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botrealty.sharepoint.com/sites/DBOTgroup/Shared Documents/Active Projects/PMC/20240115 AVS Mulund - Rudraksh Towers/QS &amp;  Budget/A &amp; B Wing Budget/"/>
    </mc:Choice>
  </mc:AlternateContent>
  <xr:revisionPtr revIDLastSave="92" documentId="8_{9B234E92-3B2C-49AB-AE2E-F2E21716C7B2}" xr6:coauthVersionLast="47" xr6:coauthVersionMax="47" xr10:uidLastSave="{09943187-8C9B-47ED-8384-E86BD2BAADE6}"/>
  <bookViews>
    <workbookView xWindow="-108" yWindow="-108" windowWidth="23256" windowHeight="12456" tabRatio="927" firstSheet="3" activeTab="8" xr2:uid="{00000000-000D-0000-FFFF-FFFF00000000}"/>
  </bookViews>
  <sheets>
    <sheet name="Civil BOQ (LD Patel R1)" sheetId="32" r:id="rId1"/>
    <sheet name="Civil BOQ (Punit Rates R2)" sheetId="30" r:id="rId2"/>
    <sheet name="Excavation Qty for BOQ" sheetId="31" r:id="rId3"/>
    <sheet name="Construction Area" sheetId="6" r:id="rId4"/>
    <sheet name="Summary" sheetId="17" r:id="rId5"/>
    <sheet name="Cost Sheet Tower" sheetId="8" r:id="rId6"/>
    <sheet name="Cost Sheet office" sheetId="35" r:id="rId7"/>
    <sheet name="Room Conf" sheetId="13" r:id="rId8"/>
    <sheet name="Flat Sizes" sheetId="14" r:id="rId9"/>
    <sheet name="Office Sizes" sheetId="24" r:id="rId10"/>
    <sheet name="Waterproofing" sheetId="15" r:id="rId11"/>
    <sheet name="Infra" sheetId="38" r:id="rId12"/>
    <sheet name="Amenities" sheetId="37" r:id="rId13"/>
    <sheet name="Preliminary" sheetId="36" r:id="rId14"/>
    <sheet name="Internal Finishes Offices" sheetId="34" r:id="rId15"/>
    <sheet name="Rate List - Office" sheetId="33" r:id="rId16"/>
    <sheet name="Internal Finishes Flats" sheetId="22" r:id="rId17"/>
    <sheet name="Sheet1" sheetId="23" r:id="rId18"/>
    <sheet name="Rate List - Flats" sheetId="10" r:id="rId19"/>
    <sheet name="Doors" sheetId="20" r:id="rId20"/>
    <sheet name="Windows" sheetId="21" r:id="rId21"/>
    <sheet name="D&amp;W Schedule" sheetId="18" r:id="rId22"/>
    <sheet name="Shuttering Summary" sheetId="5" r:id="rId23"/>
    <sheet name="Excavation" sheetId="7" r:id="rId24"/>
    <sheet name="Shore Pile" sheetId="11" r:id="rId25"/>
    <sheet name="Tremix" sheetId="12" r:id="rId26"/>
    <sheet name="Blockwork &amp; Plaster &amp; Painting" sheetId="16" r:id="rId27"/>
    <sheet name="MEP Summary" sheetId="29" r:id="rId28"/>
    <sheet name="Electrical" sheetId="28" r:id="rId29"/>
    <sheet name="Plumbing" sheetId="27" r:id="rId30"/>
    <sheet name="Fire Fighting" sheetId="26" r:id="rId31"/>
    <sheet name="Lifts" sheetId="25" r:id="rId32"/>
    <sheet name="Measurement Sheet" sheetId="2" r:id="rId33"/>
    <sheet name="Concrete &amp; Steel Summary" sheetId="4" r:id="rId34"/>
    <sheet name="Sheet2" sheetId="39" r:id="rId35"/>
  </sheets>
  <externalReferences>
    <externalReference r:id="rId36"/>
    <externalReference r:id="rId37"/>
  </externalReferences>
  <definedNames>
    <definedName name="\0" localSheetId="12">#REF!</definedName>
    <definedName name="\0" localSheetId="6">#REF!</definedName>
    <definedName name="\0" localSheetId="5">#REF!</definedName>
    <definedName name="\0" localSheetId="8">#REF!</definedName>
    <definedName name="\0" localSheetId="11">#REF!</definedName>
    <definedName name="\0" localSheetId="9">#REF!</definedName>
    <definedName name="\0" localSheetId="18">#REF!</definedName>
    <definedName name="\0" localSheetId="15">#REF!</definedName>
    <definedName name="\0" localSheetId="7">#REF!</definedName>
    <definedName name="\0">#REF!</definedName>
    <definedName name="\a" localSheetId="12">#REF!</definedName>
    <definedName name="\a" localSheetId="6">#REF!</definedName>
    <definedName name="\a" localSheetId="5">#REF!</definedName>
    <definedName name="\a" localSheetId="8">#REF!</definedName>
    <definedName name="\a" localSheetId="11">#REF!</definedName>
    <definedName name="\a" localSheetId="9">#REF!</definedName>
    <definedName name="\a" localSheetId="18">#REF!</definedName>
    <definedName name="\a" localSheetId="15">#REF!</definedName>
    <definedName name="\a" localSheetId="7">#REF!</definedName>
    <definedName name="\a">#REF!</definedName>
    <definedName name="\b">#N/A</definedName>
    <definedName name="\C" localSheetId="12">#REF!</definedName>
    <definedName name="\C" localSheetId="6">#REF!</definedName>
    <definedName name="\C" localSheetId="5">#REF!</definedName>
    <definedName name="\C" localSheetId="8">#REF!</definedName>
    <definedName name="\C" localSheetId="11">#REF!</definedName>
    <definedName name="\C" localSheetId="9">#REF!</definedName>
    <definedName name="\C" localSheetId="18">#REF!</definedName>
    <definedName name="\C" localSheetId="15">#REF!</definedName>
    <definedName name="\C" localSheetId="7">#REF!</definedName>
    <definedName name="\C">#REF!</definedName>
    <definedName name="\l" localSheetId="12">#REF!</definedName>
    <definedName name="\l" localSheetId="6">#REF!</definedName>
    <definedName name="\l" localSheetId="5">#REF!</definedName>
    <definedName name="\l" localSheetId="8">#REF!</definedName>
    <definedName name="\l" localSheetId="11">#REF!</definedName>
    <definedName name="\l" localSheetId="9">#REF!</definedName>
    <definedName name="\l" localSheetId="18">#REF!</definedName>
    <definedName name="\l" localSheetId="15">#REF!</definedName>
    <definedName name="\l" localSheetId="7">#REF!</definedName>
    <definedName name="\l">#REF!</definedName>
    <definedName name="\o" localSheetId="12">#REF!</definedName>
    <definedName name="\o" localSheetId="6">#REF!</definedName>
    <definedName name="\o" localSheetId="5">#REF!</definedName>
    <definedName name="\o" localSheetId="8">#REF!</definedName>
    <definedName name="\o" localSheetId="11">#REF!</definedName>
    <definedName name="\o" localSheetId="9">#REF!</definedName>
    <definedName name="\o" localSheetId="18">#REF!</definedName>
    <definedName name="\o" localSheetId="15">#REF!</definedName>
    <definedName name="\o" localSheetId="7">#REF!</definedName>
    <definedName name="\o">#REF!</definedName>
    <definedName name="\p" localSheetId="12">#REF!</definedName>
    <definedName name="\p" localSheetId="8">#REF!</definedName>
    <definedName name="\p" localSheetId="11">#REF!</definedName>
    <definedName name="\p" localSheetId="9">#REF!</definedName>
    <definedName name="\p" localSheetId="18">#REF!</definedName>
    <definedName name="\p" localSheetId="15">#REF!</definedName>
    <definedName name="\p" localSheetId="7">#REF!</definedName>
    <definedName name="\p">#REF!</definedName>
    <definedName name="\S" localSheetId="12">#REF!</definedName>
    <definedName name="\S" localSheetId="8">#REF!</definedName>
    <definedName name="\S" localSheetId="11">#REF!</definedName>
    <definedName name="\S" localSheetId="9">#REF!</definedName>
    <definedName name="\S" localSheetId="18">#REF!</definedName>
    <definedName name="\S" localSheetId="15">#REF!</definedName>
    <definedName name="\S" localSheetId="7">#REF!</definedName>
    <definedName name="\S">#REF!</definedName>
    <definedName name="_" localSheetId="12">#REF!</definedName>
    <definedName name="_" localSheetId="0">#REF!</definedName>
    <definedName name="_" localSheetId="1">#REF!</definedName>
    <definedName name="_" localSheetId="6">#REF!</definedName>
    <definedName name="_" localSheetId="5">#REF!</definedName>
    <definedName name="_" localSheetId="8">#REF!</definedName>
    <definedName name="_" localSheetId="11">#REF!</definedName>
    <definedName name="_" localSheetId="9">#REF!</definedName>
    <definedName name="_" localSheetId="13">#REF!</definedName>
    <definedName name="_" localSheetId="18">#REF!</definedName>
    <definedName name="_" localSheetId="15">#REF!</definedName>
    <definedName name="_" localSheetId="7">#REF!</definedName>
    <definedName name="_">#REF!</definedName>
    <definedName name="________________________________ML1" localSheetId="12">#REF!</definedName>
    <definedName name="________________________________ML1" localSheetId="6">#REF!</definedName>
    <definedName name="________________________________ML1" localSheetId="5">#REF!</definedName>
    <definedName name="________________________________ML1" localSheetId="8">#REF!</definedName>
    <definedName name="________________________________ML1" localSheetId="11">#REF!</definedName>
    <definedName name="________________________________ML1" localSheetId="9">#REF!</definedName>
    <definedName name="________________________________ML1" localSheetId="18">#REF!</definedName>
    <definedName name="________________________________ML1" localSheetId="15">#REF!</definedName>
    <definedName name="________________________________ML1" localSheetId="7">#REF!</definedName>
    <definedName name="________________________________ML1">#REF!</definedName>
    <definedName name="_______________________________ML1" localSheetId="12">#REF!</definedName>
    <definedName name="_______________________________ML1" localSheetId="6">#REF!</definedName>
    <definedName name="_______________________________ML1" localSheetId="5">#REF!</definedName>
    <definedName name="_______________________________ML1" localSheetId="8">#REF!</definedName>
    <definedName name="_______________________________ML1" localSheetId="11">#REF!</definedName>
    <definedName name="_______________________________ML1" localSheetId="9">#REF!</definedName>
    <definedName name="_______________________________ML1" localSheetId="18">#REF!</definedName>
    <definedName name="_______________________________ML1" localSheetId="15">#REF!</definedName>
    <definedName name="_______________________________ML1" localSheetId="7">#REF!</definedName>
    <definedName name="_______________________________ML1">#REF!</definedName>
    <definedName name="_____________________________ML1" localSheetId="12">#REF!</definedName>
    <definedName name="_____________________________ML1" localSheetId="8">#REF!</definedName>
    <definedName name="_____________________________ML1" localSheetId="11">#REF!</definedName>
    <definedName name="_____________________________ML1" localSheetId="9">#REF!</definedName>
    <definedName name="_____________________________ML1" localSheetId="18">#REF!</definedName>
    <definedName name="_____________________________ML1" localSheetId="15">#REF!</definedName>
    <definedName name="_____________________________ML1" localSheetId="7">#REF!</definedName>
    <definedName name="_____________________________ML1">#REF!</definedName>
    <definedName name="____________________________ML1" localSheetId="12">#REF!</definedName>
    <definedName name="____________________________ML1" localSheetId="8">#REF!</definedName>
    <definedName name="____________________________ML1" localSheetId="11">#REF!</definedName>
    <definedName name="____________________________ML1" localSheetId="9">#REF!</definedName>
    <definedName name="____________________________ML1" localSheetId="18">#REF!</definedName>
    <definedName name="____________________________ML1" localSheetId="15">#REF!</definedName>
    <definedName name="____________________________ML1" localSheetId="7">#REF!</definedName>
    <definedName name="____________________________ML1">#REF!</definedName>
    <definedName name="___________________________K85167" localSheetId="12">#REF!</definedName>
    <definedName name="___________________________K85167" localSheetId="8">#REF!</definedName>
    <definedName name="___________________________K85167" localSheetId="11">#REF!</definedName>
    <definedName name="___________________________K85167" localSheetId="9">#REF!</definedName>
    <definedName name="___________________________K85167" localSheetId="18">#REF!</definedName>
    <definedName name="___________________________K85167" localSheetId="15">#REF!</definedName>
    <definedName name="___________________________K85167" localSheetId="7">#REF!</definedName>
    <definedName name="___________________________K85167">#REF!</definedName>
    <definedName name="___________________________ML2" localSheetId="12">#REF!</definedName>
    <definedName name="___________________________ML2" localSheetId="8">#REF!</definedName>
    <definedName name="___________________________ML2" localSheetId="11">#REF!</definedName>
    <definedName name="___________________________ML2" localSheetId="9">#REF!</definedName>
    <definedName name="___________________________ML2" localSheetId="18">#REF!</definedName>
    <definedName name="___________________________ML2" localSheetId="15">#REF!</definedName>
    <definedName name="___________________________ML2" localSheetId="7">#REF!</definedName>
    <definedName name="___________________________ML2">#REF!</definedName>
    <definedName name="__________________________K85167" localSheetId="12">#REF!</definedName>
    <definedName name="__________________________K85167" localSheetId="8">#REF!</definedName>
    <definedName name="__________________________K85167" localSheetId="11">#REF!</definedName>
    <definedName name="__________________________K85167" localSheetId="9">#REF!</definedName>
    <definedName name="__________________________K85167" localSheetId="18">#REF!</definedName>
    <definedName name="__________________________K85167" localSheetId="15">#REF!</definedName>
    <definedName name="__________________________K85167" localSheetId="7">#REF!</definedName>
    <definedName name="__________________________K85167">#REF!</definedName>
    <definedName name="__________________________ML1" localSheetId="12">#REF!</definedName>
    <definedName name="__________________________ML1" localSheetId="8">#REF!</definedName>
    <definedName name="__________________________ML1" localSheetId="11">#REF!</definedName>
    <definedName name="__________________________ML1" localSheetId="9">#REF!</definedName>
    <definedName name="__________________________ML1" localSheetId="18">#REF!</definedName>
    <definedName name="__________________________ML1" localSheetId="15">#REF!</definedName>
    <definedName name="__________________________ML1" localSheetId="7">#REF!</definedName>
    <definedName name="__________________________ML1">#REF!</definedName>
    <definedName name="__________________________ML2" localSheetId="12">#REF!</definedName>
    <definedName name="__________________________ML2" localSheetId="8">#REF!</definedName>
    <definedName name="__________________________ML2" localSheetId="11">#REF!</definedName>
    <definedName name="__________________________ML2" localSheetId="9">#REF!</definedName>
    <definedName name="__________________________ML2" localSheetId="18">#REF!</definedName>
    <definedName name="__________________________ML2" localSheetId="15">#REF!</definedName>
    <definedName name="__________________________ML2" localSheetId="7">#REF!</definedName>
    <definedName name="__________________________ML2">#REF!</definedName>
    <definedName name="_________________________K85167" localSheetId="12">#REF!</definedName>
    <definedName name="_________________________K85167" localSheetId="8">#REF!</definedName>
    <definedName name="_________________________K85167" localSheetId="11">#REF!</definedName>
    <definedName name="_________________________K85167" localSheetId="9">#REF!</definedName>
    <definedName name="_________________________K85167" localSheetId="18">#REF!</definedName>
    <definedName name="_________________________K85167" localSheetId="15">#REF!</definedName>
    <definedName name="_________________________K85167" localSheetId="7">#REF!</definedName>
    <definedName name="_________________________K85167">#REF!</definedName>
    <definedName name="_________________________ML1" localSheetId="12">#REF!</definedName>
    <definedName name="_________________________ML1" localSheetId="8">#REF!</definedName>
    <definedName name="_________________________ML1" localSheetId="11">#REF!</definedName>
    <definedName name="_________________________ML1" localSheetId="9">#REF!</definedName>
    <definedName name="_________________________ML1" localSheetId="18">#REF!</definedName>
    <definedName name="_________________________ML1" localSheetId="15">#REF!</definedName>
    <definedName name="_________________________ML1" localSheetId="7">#REF!</definedName>
    <definedName name="_________________________ML1">#REF!</definedName>
    <definedName name="_________________________ML2" localSheetId="12">#REF!</definedName>
    <definedName name="_________________________ML2" localSheetId="8">#REF!</definedName>
    <definedName name="_________________________ML2" localSheetId="11">#REF!</definedName>
    <definedName name="_________________________ML2" localSheetId="9">#REF!</definedName>
    <definedName name="_________________________ML2" localSheetId="18">#REF!</definedName>
    <definedName name="_________________________ML2" localSheetId="15">#REF!</definedName>
    <definedName name="_________________________ML2" localSheetId="7">#REF!</definedName>
    <definedName name="_________________________ML2">#REF!</definedName>
    <definedName name="________________________K85167" localSheetId="12">#REF!</definedName>
    <definedName name="________________________K85167" localSheetId="8">#REF!</definedName>
    <definedName name="________________________K85167" localSheetId="11">#REF!</definedName>
    <definedName name="________________________K85167" localSheetId="9">#REF!</definedName>
    <definedName name="________________________K85167" localSheetId="18">#REF!</definedName>
    <definedName name="________________________K85167" localSheetId="15">#REF!</definedName>
    <definedName name="________________________K85167" localSheetId="7">#REF!</definedName>
    <definedName name="________________________K85167">#REF!</definedName>
    <definedName name="________________________ML1" localSheetId="12">#REF!</definedName>
    <definedName name="________________________ML1" localSheetId="8">#REF!</definedName>
    <definedName name="________________________ML1" localSheetId="11">#REF!</definedName>
    <definedName name="________________________ML1" localSheetId="9">#REF!</definedName>
    <definedName name="________________________ML1" localSheetId="18">#REF!</definedName>
    <definedName name="________________________ML1" localSheetId="15">#REF!</definedName>
    <definedName name="________________________ML1" localSheetId="7">#REF!</definedName>
    <definedName name="________________________ML1">#REF!</definedName>
    <definedName name="________________________ML2" localSheetId="12">#REF!</definedName>
    <definedName name="________________________ML2" localSheetId="8">#REF!</definedName>
    <definedName name="________________________ML2" localSheetId="11">#REF!</definedName>
    <definedName name="________________________ML2" localSheetId="9">#REF!</definedName>
    <definedName name="________________________ML2" localSheetId="18">#REF!</definedName>
    <definedName name="________________________ML2" localSheetId="15">#REF!</definedName>
    <definedName name="________________________ML2" localSheetId="7">#REF!</definedName>
    <definedName name="________________________ML2">#REF!</definedName>
    <definedName name="_______________________K85167" localSheetId="12">#REF!</definedName>
    <definedName name="_______________________K85167" localSheetId="8">#REF!</definedName>
    <definedName name="_______________________K85167" localSheetId="11">#REF!</definedName>
    <definedName name="_______________________K85167" localSheetId="9">#REF!</definedName>
    <definedName name="_______________________K85167" localSheetId="18">#REF!</definedName>
    <definedName name="_______________________K85167" localSheetId="15">#REF!</definedName>
    <definedName name="_______________________K85167" localSheetId="7">#REF!</definedName>
    <definedName name="_______________________K85167">#REF!</definedName>
    <definedName name="_______________________ML1" localSheetId="12">#REF!</definedName>
    <definedName name="_______________________ML1" localSheetId="8">#REF!</definedName>
    <definedName name="_______________________ML1" localSheetId="11">#REF!</definedName>
    <definedName name="_______________________ML1" localSheetId="9">#REF!</definedName>
    <definedName name="_______________________ML1" localSheetId="18">#REF!</definedName>
    <definedName name="_______________________ML1" localSheetId="15">#REF!</definedName>
    <definedName name="_______________________ML1" localSheetId="7">#REF!</definedName>
    <definedName name="_______________________ML1">#REF!</definedName>
    <definedName name="_______________________ML2" localSheetId="12">#REF!</definedName>
    <definedName name="_______________________ML2" localSheetId="8">#REF!</definedName>
    <definedName name="_______________________ML2" localSheetId="11">#REF!</definedName>
    <definedName name="_______________________ML2" localSheetId="9">#REF!</definedName>
    <definedName name="_______________________ML2" localSheetId="18">#REF!</definedName>
    <definedName name="_______________________ML2" localSheetId="15">#REF!</definedName>
    <definedName name="_______________________ML2" localSheetId="7">#REF!</definedName>
    <definedName name="_______________________ML2">#REF!</definedName>
    <definedName name="______________________K85167" localSheetId="12">#REF!</definedName>
    <definedName name="______________________K85167" localSheetId="8">#REF!</definedName>
    <definedName name="______________________K85167" localSheetId="11">#REF!</definedName>
    <definedName name="______________________K85167" localSheetId="9">#REF!</definedName>
    <definedName name="______________________K85167" localSheetId="18">#REF!</definedName>
    <definedName name="______________________K85167" localSheetId="15">#REF!</definedName>
    <definedName name="______________________K85167" localSheetId="7">#REF!</definedName>
    <definedName name="______________________K85167">#REF!</definedName>
    <definedName name="______________________ML1" localSheetId="12">#REF!</definedName>
    <definedName name="______________________ML1" localSheetId="8">#REF!</definedName>
    <definedName name="______________________ML1" localSheetId="11">#REF!</definedName>
    <definedName name="______________________ML1" localSheetId="9">#REF!</definedName>
    <definedName name="______________________ML1" localSheetId="18">#REF!</definedName>
    <definedName name="______________________ML1" localSheetId="15">#REF!</definedName>
    <definedName name="______________________ML1" localSheetId="7">#REF!</definedName>
    <definedName name="______________________ML1">#REF!</definedName>
    <definedName name="______________________ML2" localSheetId="12">#REF!</definedName>
    <definedName name="______________________ML2" localSheetId="8">#REF!</definedName>
    <definedName name="______________________ML2" localSheetId="11">#REF!</definedName>
    <definedName name="______________________ML2" localSheetId="9">#REF!</definedName>
    <definedName name="______________________ML2" localSheetId="18">#REF!</definedName>
    <definedName name="______________________ML2" localSheetId="15">#REF!</definedName>
    <definedName name="______________________ML2" localSheetId="7">#REF!</definedName>
    <definedName name="______________________ML2">#REF!</definedName>
    <definedName name="_____________________K85167" localSheetId="12">#REF!</definedName>
    <definedName name="_____________________K85167" localSheetId="8">#REF!</definedName>
    <definedName name="_____________________K85167" localSheetId="11">#REF!</definedName>
    <definedName name="_____________________K85167" localSheetId="9">#REF!</definedName>
    <definedName name="_____________________K85167" localSheetId="18">#REF!</definedName>
    <definedName name="_____________________K85167" localSheetId="15">#REF!</definedName>
    <definedName name="_____________________K85167" localSheetId="7">#REF!</definedName>
    <definedName name="_____________________K85167">#REF!</definedName>
    <definedName name="_____________________ML1" localSheetId="12">#REF!</definedName>
    <definedName name="_____________________ML1" localSheetId="8">#REF!</definedName>
    <definedName name="_____________________ML1" localSheetId="11">#REF!</definedName>
    <definedName name="_____________________ML1" localSheetId="9">#REF!</definedName>
    <definedName name="_____________________ML1" localSheetId="18">#REF!</definedName>
    <definedName name="_____________________ML1" localSheetId="15">#REF!</definedName>
    <definedName name="_____________________ML1" localSheetId="7">#REF!</definedName>
    <definedName name="_____________________ML1">#REF!</definedName>
    <definedName name="_____________________ML2" localSheetId="12">#REF!</definedName>
    <definedName name="_____________________ML2" localSheetId="8">#REF!</definedName>
    <definedName name="_____________________ML2" localSheetId="11">#REF!</definedName>
    <definedName name="_____________________ML2" localSheetId="9">#REF!</definedName>
    <definedName name="_____________________ML2" localSheetId="18">#REF!</definedName>
    <definedName name="_____________________ML2" localSheetId="15">#REF!</definedName>
    <definedName name="_____________________ML2" localSheetId="7">#REF!</definedName>
    <definedName name="_____________________ML2">#REF!</definedName>
    <definedName name="____________________K85167" localSheetId="12">#REF!</definedName>
    <definedName name="____________________K85167" localSheetId="8">#REF!</definedName>
    <definedName name="____________________K85167" localSheetId="11">#REF!</definedName>
    <definedName name="____________________K85167" localSheetId="9">#REF!</definedName>
    <definedName name="____________________K85167" localSheetId="18">#REF!</definedName>
    <definedName name="____________________K85167" localSheetId="15">#REF!</definedName>
    <definedName name="____________________K85167" localSheetId="7">#REF!</definedName>
    <definedName name="____________________K85167">#REF!</definedName>
    <definedName name="____________________ML1" localSheetId="12">#REF!</definedName>
    <definedName name="____________________ML1" localSheetId="8">#REF!</definedName>
    <definedName name="____________________ML1" localSheetId="11">#REF!</definedName>
    <definedName name="____________________ML1" localSheetId="9">#REF!</definedName>
    <definedName name="____________________ML1" localSheetId="18">#REF!</definedName>
    <definedName name="____________________ML1" localSheetId="15">#REF!</definedName>
    <definedName name="____________________ML1" localSheetId="7">#REF!</definedName>
    <definedName name="____________________ML1">#REF!</definedName>
    <definedName name="____________________ML2" localSheetId="12">#REF!</definedName>
    <definedName name="____________________ML2" localSheetId="8">#REF!</definedName>
    <definedName name="____________________ML2" localSheetId="11">#REF!</definedName>
    <definedName name="____________________ML2" localSheetId="9">#REF!</definedName>
    <definedName name="____________________ML2" localSheetId="18">#REF!</definedName>
    <definedName name="____________________ML2" localSheetId="15">#REF!</definedName>
    <definedName name="____________________ML2" localSheetId="7">#REF!</definedName>
    <definedName name="____________________ML2">#REF!</definedName>
    <definedName name="___________________ARD1" localSheetId="12">#REF!</definedName>
    <definedName name="___________________ARD1" localSheetId="8">#REF!</definedName>
    <definedName name="___________________ARD1" localSheetId="11">#REF!</definedName>
    <definedName name="___________________ARD1" localSheetId="9">#REF!</definedName>
    <definedName name="___________________ARD1" localSheetId="18">#REF!</definedName>
    <definedName name="___________________ARD1" localSheetId="15">#REF!</definedName>
    <definedName name="___________________ARD1" localSheetId="7">#REF!</definedName>
    <definedName name="___________________ARD1">#REF!</definedName>
    <definedName name="___________________ARD2" localSheetId="12">#REF!</definedName>
    <definedName name="___________________ARD2" localSheetId="8">#REF!</definedName>
    <definedName name="___________________ARD2" localSheetId="11">#REF!</definedName>
    <definedName name="___________________ARD2" localSheetId="9">#REF!</definedName>
    <definedName name="___________________ARD2" localSheetId="18">#REF!</definedName>
    <definedName name="___________________ARD2" localSheetId="15">#REF!</definedName>
    <definedName name="___________________ARD2" localSheetId="7">#REF!</definedName>
    <definedName name="___________________ARD2">#REF!</definedName>
    <definedName name="___________________B100000" localSheetId="12">#REF!</definedName>
    <definedName name="___________________B100000" localSheetId="8">#REF!</definedName>
    <definedName name="___________________B100000" localSheetId="11">#REF!</definedName>
    <definedName name="___________________B100000" localSheetId="9">#REF!</definedName>
    <definedName name="___________________B100000" localSheetId="18">#REF!</definedName>
    <definedName name="___________________B100000" localSheetId="15">#REF!</definedName>
    <definedName name="___________________B100000" localSheetId="7">#REF!</definedName>
    <definedName name="___________________B100000">#REF!</definedName>
    <definedName name="___________________B99999" localSheetId="12">#REF!</definedName>
    <definedName name="___________________B99999" localSheetId="8">#REF!</definedName>
    <definedName name="___________________B99999" localSheetId="11">#REF!</definedName>
    <definedName name="___________________B99999" localSheetId="9">#REF!</definedName>
    <definedName name="___________________B99999" localSheetId="18">#REF!</definedName>
    <definedName name="___________________B99999" localSheetId="15">#REF!</definedName>
    <definedName name="___________________B99999" localSheetId="7">#REF!</definedName>
    <definedName name="___________________B99999">#REF!</definedName>
    <definedName name="___________________B999999" localSheetId="12">#REF!</definedName>
    <definedName name="___________________B999999" localSheetId="8">#REF!</definedName>
    <definedName name="___________________B999999" localSheetId="11">#REF!</definedName>
    <definedName name="___________________B999999" localSheetId="9">#REF!</definedName>
    <definedName name="___________________B999999" localSheetId="18">#REF!</definedName>
    <definedName name="___________________B999999" localSheetId="15">#REF!</definedName>
    <definedName name="___________________B999999" localSheetId="7">#REF!</definedName>
    <definedName name="___________________B999999">#REF!</definedName>
    <definedName name="___________________K85167" localSheetId="12">#REF!</definedName>
    <definedName name="___________________K85167" localSheetId="8">#REF!</definedName>
    <definedName name="___________________K85167" localSheetId="11">#REF!</definedName>
    <definedName name="___________________K85167" localSheetId="9">#REF!</definedName>
    <definedName name="___________________K85167" localSheetId="18">#REF!</definedName>
    <definedName name="___________________K85167" localSheetId="15">#REF!</definedName>
    <definedName name="___________________K85167" localSheetId="7">#REF!</definedName>
    <definedName name="___________________K85167">#REF!</definedName>
    <definedName name="___________________ML1" localSheetId="12">#REF!</definedName>
    <definedName name="___________________ML1" localSheetId="8">#REF!</definedName>
    <definedName name="___________________ML1" localSheetId="11">#REF!</definedName>
    <definedName name="___________________ML1" localSheetId="9">#REF!</definedName>
    <definedName name="___________________ML1" localSheetId="18">#REF!</definedName>
    <definedName name="___________________ML1" localSheetId="15">#REF!</definedName>
    <definedName name="___________________ML1" localSheetId="7">#REF!</definedName>
    <definedName name="___________________ML1">#REF!</definedName>
    <definedName name="___________________ML2" localSheetId="12">#REF!</definedName>
    <definedName name="___________________ML2" localSheetId="8">#REF!</definedName>
    <definedName name="___________________ML2" localSheetId="11">#REF!</definedName>
    <definedName name="___________________ML2" localSheetId="9">#REF!</definedName>
    <definedName name="___________________ML2" localSheetId="18">#REF!</definedName>
    <definedName name="___________________ML2" localSheetId="15">#REF!</definedName>
    <definedName name="___________________ML2" localSheetId="7">#REF!</definedName>
    <definedName name="___________________ML2">#REF!</definedName>
    <definedName name="__________________B100000" localSheetId="12">#REF!</definedName>
    <definedName name="__________________B100000" localSheetId="8">#REF!</definedName>
    <definedName name="__________________B100000" localSheetId="11">#REF!</definedName>
    <definedName name="__________________B100000" localSheetId="9">#REF!</definedName>
    <definedName name="__________________B100000" localSheetId="18">#REF!</definedName>
    <definedName name="__________________B100000" localSheetId="15">#REF!</definedName>
    <definedName name="__________________B100000" localSheetId="7">#REF!</definedName>
    <definedName name="__________________B100000">#REF!</definedName>
    <definedName name="__________________B99999" localSheetId="12">#REF!</definedName>
    <definedName name="__________________B99999" localSheetId="8">#REF!</definedName>
    <definedName name="__________________B99999" localSheetId="11">#REF!</definedName>
    <definedName name="__________________B99999" localSheetId="9">#REF!</definedName>
    <definedName name="__________________B99999" localSheetId="18">#REF!</definedName>
    <definedName name="__________________B99999" localSheetId="15">#REF!</definedName>
    <definedName name="__________________B99999" localSheetId="7">#REF!</definedName>
    <definedName name="__________________B99999">#REF!</definedName>
    <definedName name="__________________B999999" localSheetId="12">#REF!</definedName>
    <definedName name="__________________B999999" localSheetId="8">#REF!</definedName>
    <definedName name="__________________B999999" localSheetId="11">#REF!</definedName>
    <definedName name="__________________B999999" localSheetId="9">#REF!</definedName>
    <definedName name="__________________B999999" localSheetId="18">#REF!</definedName>
    <definedName name="__________________B999999" localSheetId="15">#REF!</definedName>
    <definedName name="__________________B999999" localSheetId="7">#REF!</definedName>
    <definedName name="__________________B999999">#REF!</definedName>
    <definedName name="__________________K85167" localSheetId="12">#REF!</definedName>
    <definedName name="__________________K85167" localSheetId="8">#REF!</definedName>
    <definedName name="__________________K85167" localSheetId="11">#REF!</definedName>
    <definedName name="__________________K85167" localSheetId="9">#REF!</definedName>
    <definedName name="__________________K85167" localSheetId="18">#REF!</definedName>
    <definedName name="__________________K85167" localSheetId="15">#REF!</definedName>
    <definedName name="__________________K85167" localSheetId="7">#REF!</definedName>
    <definedName name="__________________K85167">#REF!</definedName>
    <definedName name="__________________ML1" localSheetId="12">#REF!</definedName>
    <definedName name="__________________ML1" localSheetId="8">#REF!</definedName>
    <definedName name="__________________ML1" localSheetId="11">#REF!</definedName>
    <definedName name="__________________ML1" localSheetId="9">#REF!</definedName>
    <definedName name="__________________ML1" localSheetId="18">#REF!</definedName>
    <definedName name="__________________ML1" localSheetId="15">#REF!</definedName>
    <definedName name="__________________ML1" localSheetId="7">#REF!</definedName>
    <definedName name="__________________ML1">#REF!</definedName>
    <definedName name="__________________ML2" localSheetId="12">#REF!</definedName>
    <definedName name="__________________ML2" localSheetId="8">#REF!</definedName>
    <definedName name="__________________ML2" localSheetId="11">#REF!</definedName>
    <definedName name="__________________ML2" localSheetId="9">#REF!</definedName>
    <definedName name="__________________ML2" localSheetId="18">#REF!</definedName>
    <definedName name="__________________ML2" localSheetId="15">#REF!</definedName>
    <definedName name="__________________ML2" localSheetId="7">#REF!</definedName>
    <definedName name="__________________ML2">#REF!</definedName>
    <definedName name="_________________ARD1" localSheetId="12">#REF!</definedName>
    <definedName name="_________________ARD1" localSheetId="8">#REF!</definedName>
    <definedName name="_________________ARD1" localSheetId="11">#REF!</definedName>
    <definedName name="_________________ARD1" localSheetId="9">#REF!</definedName>
    <definedName name="_________________ARD1" localSheetId="18">#REF!</definedName>
    <definedName name="_________________ARD1" localSheetId="15">#REF!</definedName>
    <definedName name="_________________ARD1" localSheetId="7">#REF!</definedName>
    <definedName name="_________________ARD1">#REF!</definedName>
    <definedName name="_________________ARD2" localSheetId="12">#REF!</definedName>
    <definedName name="_________________ARD2" localSheetId="8">#REF!</definedName>
    <definedName name="_________________ARD2" localSheetId="11">#REF!</definedName>
    <definedName name="_________________ARD2" localSheetId="9">#REF!</definedName>
    <definedName name="_________________ARD2" localSheetId="18">#REF!</definedName>
    <definedName name="_________________ARD2" localSheetId="15">#REF!</definedName>
    <definedName name="_________________ARD2" localSheetId="7">#REF!</definedName>
    <definedName name="_________________ARD2">#REF!</definedName>
    <definedName name="_________________B100000" localSheetId="12">#REF!</definedName>
    <definedName name="_________________B100000" localSheetId="8">#REF!</definedName>
    <definedName name="_________________B100000" localSheetId="11">#REF!</definedName>
    <definedName name="_________________B100000" localSheetId="9">#REF!</definedName>
    <definedName name="_________________B100000" localSheetId="18">#REF!</definedName>
    <definedName name="_________________B100000" localSheetId="15">#REF!</definedName>
    <definedName name="_________________B100000" localSheetId="7">#REF!</definedName>
    <definedName name="_________________B100000">#REF!</definedName>
    <definedName name="_________________B99999" localSheetId="12">#REF!</definedName>
    <definedName name="_________________B99999" localSheetId="8">#REF!</definedName>
    <definedName name="_________________B99999" localSheetId="11">#REF!</definedName>
    <definedName name="_________________B99999" localSheetId="9">#REF!</definedName>
    <definedName name="_________________B99999" localSheetId="18">#REF!</definedName>
    <definedName name="_________________B99999" localSheetId="15">#REF!</definedName>
    <definedName name="_________________B99999" localSheetId="7">#REF!</definedName>
    <definedName name="_________________B99999">#REF!</definedName>
    <definedName name="_________________B999999" localSheetId="12">#REF!</definedName>
    <definedName name="_________________B999999" localSheetId="8">#REF!</definedName>
    <definedName name="_________________B999999" localSheetId="11">#REF!</definedName>
    <definedName name="_________________B999999" localSheetId="9">#REF!</definedName>
    <definedName name="_________________B999999" localSheetId="18">#REF!</definedName>
    <definedName name="_________________B999999" localSheetId="15">#REF!</definedName>
    <definedName name="_________________B999999" localSheetId="7">#REF!</definedName>
    <definedName name="_________________B999999">#REF!</definedName>
    <definedName name="_________________K85167" localSheetId="12">#REF!</definedName>
    <definedName name="_________________K85167" localSheetId="8">#REF!</definedName>
    <definedName name="_________________K85167" localSheetId="11">#REF!</definedName>
    <definedName name="_________________K85167" localSheetId="9">#REF!</definedName>
    <definedName name="_________________K85167" localSheetId="18">#REF!</definedName>
    <definedName name="_________________K85167" localSheetId="15">#REF!</definedName>
    <definedName name="_________________K85167" localSheetId="7">#REF!</definedName>
    <definedName name="_________________K85167">#REF!</definedName>
    <definedName name="_________________ML1" localSheetId="12">#REF!</definedName>
    <definedName name="_________________ML1" localSheetId="8">#REF!</definedName>
    <definedName name="_________________ML1" localSheetId="11">#REF!</definedName>
    <definedName name="_________________ML1" localSheetId="9">#REF!</definedName>
    <definedName name="_________________ML1" localSheetId="18">#REF!</definedName>
    <definedName name="_________________ML1" localSheetId="15">#REF!</definedName>
    <definedName name="_________________ML1" localSheetId="7">#REF!</definedName>
    <definedName name="_________________ML1">#REF!</definedName>
    <definedName name="_________________ML2" localSheetId="12">#REF!</definedName>
    <definedName name="_________________ML2" localSheetId="8">#REF!</definedName>
    <definedName name="_________________ML2" localSheetId="11">#REF!</definedName>
    <definedName name="_________________ML2" localSheetId="9">#REF!</definedName>
    <definedName name="_________________ML2" localSheetId="18">#REF!</definedName>
    <definedName name="_________________ML2" localSheetId="15">#REF!</definedName>
    <definedName name="_________________ML2" localSheetId="7">#REF!</definedName>
    <definedName name="_________________ML2">#REF!</definedName>
    <definedName name="________________ARD1" localSheetId="12">#REF!</definedName>
    <definedName name="________________ARD1" localSheetId="8">#REF!</definedName>
    <definedName name="________________ARD1" localSheetId="11">#REF!</definedName>
    <definedName name="________________ARD1" localSheetId="9">#REF!</definedName>
    <definedName name="________________ARD1" localSheetId="18">#REF!</definedName>
    <definedName name="________________ARD1" localSheetId="15">#REF!</definedName>
    <definedName name="________________ARD1" localSheetId="7">#REF!</definedName>
    <definedName name="________________ARD1">#REF!</definedName>
    <definedName name="________________ARD2" localSheetId="12">#REF!</definedName>
    <definedName name="________________ARD2" localSheetId="8">#REF!</definedName>
    <definedName name="________________ARD2" localSheetId="11">#REF!</definedName>
    <definedName name="________________ARD2" localSheetId="9">#REF!</definedName>
    <definedName name="________________ARD2" localSheetId="18">#REF!</definedName>
    <definedName name="________________ARD2" localSheetId="15">#REF!</definedName>
    <definedName name="________________ARD2" localSheetId="7">#REF!</definedName>
    <definedName name="________________ARD2">#REF!</definedName>
    <definedName name="________________B100000" localSheetId="12">#REF!</definedName>
    <definedName name="________________B100000" localSheetId="8">#REF!</definedName>
    <definedName name="________________B100000" localSheetId="11">#REF!</definedName>
    <definedName name="________________B100000" localSheetId="9">#REF!</definedName>
    <definedName name="________________B100000" localSheetId="18">#REF!</definedName>
    <definedName name="________________B100000" localSheetId="15">#REF!</definedName>
    <definedName name="________________B100000" localSheetId="7">#REF!</definedName>
    <definedName name="________________B100000">#REF!</definedName>
    <definedName name="________________B99999" localSheetId="12">#REF!</definedName>
    <definedName name="________________B99999" localSheetId="8">#REF!</definedName>
    <definedName name="________________B99999" localSheetId="11">#REF!</definedName>
    <definedName name="________________B99999" localSheetId="9">#REF!</definedName>
    <definedName name="________________B99999" localSheetId="18">#REF!</definedName>
    <definedName name="________________B99999" localSheetId="15">#REF!</definedName>
    <definedName name="________________B99999" localSheetId="7">#REF!</definedName>
    <definedName name="________________B99999">#REF!</definedName>
    <definedName name="________________B999999" localSheetId="12">#REF!</definedName>
    <definedName name="________________B999999" localSheetId="8">#REF!</definedName>
    <definedName name="________________B999999" localSheetId="11">#REF!</definedName>
    <definedName name="________________B999999" localSheetId="9">#REF!</definedName>
    <definedName name="________________B999999" localSheetId="18">#REF!</definedName>
    <definedName name="________________B999999" localSheetId="15">#REF!</definedName>
    <definedName name="________________B999999" localSheetId="7">#REF!</definedName>
    <definedName name="________________B999999">#REF!</definedName>
    <definedName name="________________K85167" localSheetId="12">#REF!</definedName>
    <definedName name="________________K85167" localSheetId="8">#REF!</definedName>
    <definedName name="________________K85167" localSheetId="11">#REF!</definedName>
    <definedName name="________________K85167" localSheetId="9">#REF!</definedName>
    <definedName name="________________K85167" localSheetId="18">#REF!</definedName>
    <definedName name="________________K85167" localSheetId="15">#REF!</definedName>
    <definedName name="________________K85167" localSheetId="7">#REF!</definedName>
    <definedName name="________________K85167">#REF!</definedName>
    <definedName name="________________ML1" localSheetId="12">#REF!</definedName>
    <definedName name="________________ML1" localSheetId="8">#REF!</definedName>
    <definedName name="________________ML1" localSheetId="11">#REF!</definedName>
    <definedName name="________________ML1" localSheetId="9">#REF!</definedName>
    <definedName name="________________ML1" localSheetId="18">#REF!</definedName>
    <definedName name="________________ML1" localSheetId="15">#REF!</definedName>
    <definedName name="________________ML1" localSheetId="7">#REF!</definedName>
    <definedName name="________________ML1">#REF!</definedName>
    <definedName name="________________ML2" localSheetId="12">#REF!</definedName>
    <definedName name="________________ML2" localSheetId="8">#REF!</definedName>
    <definedName name="________________ML2" localSheetId="11">#REF!</definedName>
    <definedName name="________________ML2" localSheetId="9">#REF!</definedName>
    <definedName name="________________ML2" localSheetId="18">#REF!</definedName>
    <definedName name="________________ML2" localSheetId="15">#REF!</definedName>
    <definedName name="________________ML2" localSheetId="7">#REF!</definedName>
    <definedName name="________________ML2">#REF!</definedName>
    <definedName name="_______________ARD1" localSheetId="12">#REF!</definedName>
    <definedName name="_______________ARD1" localSheetId="8">#REF!</definedName>
    <definedName name="_______________ARD1" localSheetId="11">#REF!</definedName>
    <definedName name="_______________ARD1" localSheetId="9">#REF!</definedName>
    <definedName name="_______________ARD1" localSheetId="18">#REF!</definedName>
    <definedName name="_______________ARD1" localSheetId="15">#REF!</definedName>
    <definedName name="_______________ARD1" localSheetId="7">#REF!</definedName>
    <definedName name="_______________ARD1">#REF!</definedName>
    <definedName name="_______________ARD2" localSheetId="12">#REF!</definedName>
    <definedName name="_______________ARD2" localSheetId="8">#REF!</definedName>
    <definedName name="_______________ARD2" localSheetId="11">#REF!</definedName>
    <definedName name="_______________ARD2" localSheetId="9">#REF!</definedName>
    <definedName name="_______________ARD2" localSheetId="18">#REF!</definedName>
    <definedName name="_______________ARD2" localSheetId="15">#REF!</definedName>
    <definedName name="_______________ARD2" localSheetId="7">#REF!</definedName>
    <definedName name="_______________ARD2">#REF!</definedName>
    <definedName name="_______________B100000" localSheetId="12">#REF!</definedName>
    <definedName name="_______________B100000" localSheetId="8">#REF!</definedName>
    <definedName name="_______________B100000" localSheetId="11">#REF!</definedName>
    <definedName name="_______________B100000" localSheetId="9">#REF!</definedName>
    <definedName name="_______________B100000" localSheetId="18">#REF!</definedName>
    <definedName name="_______________B100000" localSheetId="15">#REF!</definedName>
    <definedName name="_______________B100000" localSheetId="7">#REF!</definedName>
    <definedName name="_______________B100000">#REF!</definedName>
    <definedName name="_______________B99999" localSheetId="12">#REF!</definedName>
    <definedName name="_______________B99999" localSheetId="8">#REF!</definedName>
    <definedName name="_______________B99999" localSheetId="11">#REF!</definedName>
    <definedName name="_______________B99999" localSheetId="9">#REF!</definedName>
    <definedName name="_______________B99999" localSheetId="18">#REF!</definedName>
    <definedName name="_______________B99999" localSheetId="15">#REF!</definedName>
    <definedName name="_______________B99999" localSheetId="7">#REF!</definedName>
    <definedName name="_______________B99999">#REF!</definedName>
    <definedName name="_______________B999999" localSheetId="12">#REF!</definedName>
    <definedName name="_______________B999999" localSheetId="8">#REF!</definedName>
    <definedName name="_______________B999999" localSheetId="11">#REF!</definedName>
    <definedName name="_______________B999999" localSheetId="9">#REF!</definedName>
    <definedName name="_______________B999999" localSheetId="18">#REF!</definedName>
    <definedName name="_______________B999999" localSheetId="15">#REF!</definedName>
    <definedName name="_______________B999999" localSheetId="7">#REF!</definedName>
    <definedName name="_______________B999999">#REF!</definedName>
    <definedName name="_______________K85167" localSheetId="12">#REF!</definedName>
    <definedName name="_______________K85167" localSheetId="8">#REF!</definedName>
    <definedName name="_______________K85167" localSheetId="11">#REF!</definedName>
    <definedName name="_______________K85167" localSheetId="9">#REF!</definedName>
    <definedName name="_______________K85167" localSheetId="18">#REF!</definedName>
    <definedName name="_______________K85167" localSheetId="15">#REF!</definedName>
    <definedName name="_______________K85167" localSheetId="7">#REF!</definedName>
    <definedName name="_______________K85167">#REF!</definedName>
    <definedName name="_______________ML1" localSheetId="12">#REF!</definedName>
    <definedName name="_______________ML1" localSheetId="8">#REF!</definedName>
    <definedName name="_______________ML1" localSheetId="11">#REF!</definedName>
    <definedName name="_______________ML1" localSheetId="9">#REF!</definedName>
    <definedName name="_______________ML1" localSheetId="18">#REF!</definedName>
    <definedName name="_______________ML1" localSheetId="15">#REF!</definedName>
    <definedName name="_______________ML1" localSheetId="7">#REF!</definedName>
    <definedName name="_______________ML1">#REF!</definedName>
    <definedName name="_______________ML2" localSheetId="12">#REF!</definedName>
    <definedName name="_______________ML2" localSheetId="8">#REF!</definedName>
    <definedName name="_______________ML2" localSheetId="11">#REF!</definedName>
    <definedName name="_______________ML2" localSheetId="9">#REF!</definedName>
    <definedName name="_______________ML2" localSheetId="18">#REF!</definedName>
    <definedName name="_______________ML2" localSheetId="15">#REF!</definedName>
    <definedName name="_______________ML2" localSheetId="7">#REF!</definedName>
    <definedName name="_______________ML2">#REF!</definedName>
    <definedName name="______________B100000" localSheetId="12">#REF!</definedName>
    <definedName name="______________B100000" localSheetId="8">#REF!</definedName>
    <definedName name="______________B100000" localSheetId="11">#REF!</definedName>
    <definedName name="______________B100000" localSheetId="9">#REF!</definedName>
    <definedName name="______________B100000" localSheetId="18">#REF!</definedName>
    <definedName name="______________B100000" localSheetId="15">#REF!</definedName>
    <definedName name="______________B100000" localSheetId="7">#REF!</definedName>
    <definedName name="______________B100000">#REF!</definedName>
    <definedName name="______________B99999" localSheetId="12">#REF!</definedName>
    <definedName name="______________B99999" localSheetId="8">#REF!</definedName>
    <definedName name="______________B99999" localSheetId="11">#REF!</definedName>
    <definedName name="______________B99999" localSheetId="9">#REF!</definedName>
    <definedName name="______________B99999" localSheetId="18">#REF!</definedName>
    <definedName name="______________B99999" localSheetId="15">#REF!</definedName>
    <definedName name="______________B99999" localSheetId="7">#REF!</definedName>
    <definedName name="______________B99999">#REF!</definedName>
    <definedName name="______________B999999" localSheetId="12">#REF!</definedName>
    <definedName name="______________B999999" localSheetId="8">#REF!</definedName>
    <definedName name="______________B999999" localSheetId="11">#REF!</definedName>
    <definedName name="______________B999999" localSheetId="9">#REF!</definedName>
    <definedName name="______________B999999" localSheetId="18">#REF!</definedName>
    <definedName name="______________B999999" localSheetId="15">#REF!</definedName>
    <definedName name="______________B999999" localSheetId="7">#REF!</definedName>
    <definedName name="______________B999999">#REF!</definedName>
    <definedName name="______________K85167" localSheetId="12">#REF!</definedName>
    <definedName name="______________K85167" localSheetId="8">#REF!</definedName>
    <definedName name="______________K85167" localSheetId="11">#REF!</definedName>
    <definedName name="______________K85167" localSheetId="9">#REF!</definedName>
    <definedName name="______________K85167" localSheetId="18">#REF!</definedName>
    <definedName name="______________K85167" localSheetId="15">#REF!</definedName>
    <definedName name="______________K85167" localSheetId="7">#REF!</definedName>
    <definedName name="______________K85167">#REF!</definedName>
    <definedName name="______________ML1" localSheetId="12">#REF!</definedName>
    <definedName name="______________ML1" localSheetId="8">#REF!</definedName>
    <definedName name="______________ML1" localSheetId="11">#REF!</definedName>
    <definedName name="______________ML1" localSheetId="9">#REF!</definedName>
    <definedName name="______________ML1" localSheetId="18">#REF!</definedName>
    <definedName name="______________ML1" localSheetId="15">#REF!</definedName>
    <definedName name="______________ML1" localSheetId="7">#REF!</definedName>
    <definedName name="______________ML1">#REF!</definedName>
    <definedName name="______________ML2" localSheetId="12">#REF!</definedName>
    <definedName name="______________ML2" localSheetId="8">#REF!</definedName>
    <definedName name="______________ML2" localSheetId="11">#REF!</definedName>
    <definedName name="______________ML2" localSheetId="9">#REF!</definedName>
    <definedName name="______________ML2" localSheetId="18">#REF!</definedName>
    <definedName name="______________ML2" localSheetId="15">#REF!</definedName>
    <definedName name="______________ML2" localSheetId="7">#REF!</definedName>
    <definedName name="______________ML2">#REF!</definedName>
    <definedName name="_____________ARD1" localSheetId="12">#REF!</definedName>
    <definedName name="_____________ARD1" localSheetId="8">#REF!</definedName>
    <definedName name="_____________ARD1" localSheetId="11">#REF!</definedName>
    <definedName name="_____________ARD1" localSheetId="9">#REF!</definedName>
    <definedName name="_____________ARD1" localSheetId="18">#REF!</definedName>
    <definedName name="_____________ARD1" localSheetId="15">#REF!</definedName>
    <definedName name="_____________ARD1" localSheetId="7">#REF!</definedName>
    <definedName name="_____________ARD1">#REF!</definedName>
    <definedName name="_____________ARD2" localSheetId="12">#REF!</definedName>
    <definedName name="_____________ARD2" localSheetId="8">#REF!</definedName>
    <definedName name="_____________ARD2" localSheetId="11">#REF!</definedName>
    <definedName name="_____________ARD2" localSheetId="9">#REF!</definedName>
    <definedName name="_____________ARD2" localSheetId="18">#REF!</definedName>
    <definedName name="_____________ARD2" localSheetId="15">#REF!</definedName>
    <definedName name="_____________ARD2" localSheetId="7">#REF!</definedName>
    <definedName name="_____________ARD2">#REF!</definedName>
    <definedName name="_____________B100000" localSheetId="12">#REF!</definedName>
    <definedName name="_____________B100000" localSheetId="8">#REF!</definedName>
    <definedName name="_____________B100000" localSheetId="11">#REF!</definedName>
    <definedName name="_____________B100000" localSheetId="9">#REF!</definedName>
    <definedName name="_____________B100000" localSheetId="18">#REF!</definedName>
    <definedName name="_____________B100000" localSheetId="15">#REF!</definedName>
    <definedName name="_____________B100000" localSheetId="7">#REF!</definedName>
    <definedName name="_____________B100000">#REF!</definedName>
    <definedName name="_____________B99999" localSheetId="12">#REF!</definedName>
    <definedName name="_____________B99999" localSheetId="8">#REF!</definedName>
    <definedName name="_____________B99999" localSheetId="11">#REF!</definedName>
    <definedName name="_____________B99999" localSheetId="9">#REF!</definedName>
    <definedName name="_____________B99999" localSheetId="18">#REF!</definedName>
    <definedName name="_____________B99999" localSheetId="15">#REF!</definedName>
    <definedName name="_____________B99999" localSheetId="7">#REF!</definedName>
    <definedName name="_____________B99999">#REF!</definedName>
    <definedName name="_____________B999999" localSheetId="12">#REF!</definedName>
    <definedName name="_____________B999999" localSheetId="8">#REF!</definedName>
    <definedName name="_____________B999999" localSheetId="11">#REF!</definedName>
    <definedName name="_____________B999999" localSheetId="9">#REF!</definedName>
    <definedName name="_____________B999999" localSheetId="18">#REF!</definedName>
    <definedName name="_____________B999999" localSheetId="15">#REF!</definedName>
    <definedName name="_____________B999999" localSheetId="7">#REF!</definedName>
    <definedName name="_____________B999999">#REF!</definedName>
    <definedName name="_____________K85167" localSheetId="12">#REF!</definedName>
    <definedName name="_____________K85167" localSheetId="8">#REF!</definedName>
    <definedName name="_____________K85167" localSheetId="11">#REF!</definedName>
    <definedName name="_____________K85167" localSheetId="9">#REF!</definedName>
    <definedName name="_____________K85167" localSheetId="18">#REF!</definedName>
    <definedName name="_____________K85167" localSheetId="15">#REF!</definedName>
    <definedName name="_____________K85167" localSheetId="7">#REF!</definedName>
    <definedName name="_____________K85167">#REF!</definedName>
    <definedName name="_____________ML1" localSheetId="12">#REF!</definedName>
    <definedName name="_____________ML1" localSheetId="8">#REF!</definedName>
    <definedName name="_____________ML1" localSheetId="11">#REF!</definedName>
    <definedName name="_____________ML1" localSheetId="9">#REF!</definedName>
    <definedName name="_____________ML1" localSheetId="18">#REF!</definedName>
    <definedName name="_____________ML1" localSheetId="15">#REF!</definedName>
    <definedName name="_____________ML1" localSheetId="7">#REF!</definedName>
    <definedName name="_____________ML1">#REF!</definedName>
    <definedName name="_____________ML2" localSheetId="12">#REF!</definedName>
    <definedName name="_____________ML2" localSheetId="8">#REF!</definedName>
    <definedName name="_____________ML2" localSheetId="11">#REF!</definedName>
    <definedName name="_____________ML2" localSheetId="9">#REF!</definedName>
    <definedName name="_____________ML2" localSheetId="18">#REF!</definedName>
    <definedName name="_____________ML2" localSheetId="15">#REF!</definedName>
    <definedName name="_____________ML2" localSheetId="7">#REF!</definedName>
    <definedName name="_____________ML2">#REF!</definedName>
    <definedName name="____________ARD1" localSheetId="12">#REF!</definedName>
    <definedName name="____________ARD1" localSheetId="8">#REF!</definedName>
    <definedName name="____________ARD1" localSheetId="11">#REF!</definedName>
    <definedName name="____________ARD1" localSheetId="9">#REF!</definedName>
    <definedName name="____________ARD1" localSheetId="18">#REF!</definedName>
    <definedName name="____________ARD1" localSheetId="15">#REF!</definedName>
    <definedName name="____________ARD1" localSheetId="7">#REF!</definedName>
    <definedName name="____________ARD1">#REF!</definedName>
    <definedName name="____________ARD2" localSheetId="12">#REF!</definedName>
    <definedName name="____________ARD2" localSheetId="8">#REF!</definedName>
    <definedName name="____________ARD2" localSheetId="11">#REF!</definedName>
    <definedName name="____________ARD2" localSheetId="9">#REF!</definedName>
    <definedName name="____________ARD2" localSheetId="18">#REF!</definedName>
    <definedName name="____________ARD2" localSheetId="15">#REF!</definedName>
    <definedName name="____________ARD2" localSheetId="7">#REF!</definedName>
    <definedName name="____________ARD2">#REF!</definedName>
    <definedName name="____________B100000" localSheetId="12">#REF!</definedName>
    <definedName name="____________B100000" localSheetId="8">#REF!</definedName>
    <definedName name="____________B100000" localSheetId="11">#REF!</definedName>
    <definedName name="____________B100000" localSheetId="9">#REF!</definedName>
    <definedName name="____________B100000" localSheetId="18">#REF!</definedName>
    <definedName name="____________B100000" localSheetId="15">#REF!</definedName>
    <definedName name="____________B100000" localSheetId="7">#REF!</definedName>
    <definedName name="____________B100000">#REF!</definedName>
    <definedName name="____________B99999" localSheetId="12">#REF!</definedName>
    <definedName name="____________B99999" localSheetId="8">#REF!</definedName>
    <definedName name="____________B99999" localSheetId="11">#REF!</definedName>
    <definedName name="____________B99999" localSheetId="9">#REF!</definedName>
    <definedName name="____________B99999" localSheetId="18">#REF!</definedName>
    <definedName name="____________B99999" localSheetId="15">#REF!</definedName>
    <definedName name="____________B99999" localSheetId="7">#REF!</definedName>
    <definedName name="____________B99999">#REF!</definedName>
    <definedName name="____________B999999" localSheetId="12">#REF!</definedName>
    <definedName name="____________B999999" localSheetId="8">#REF!</definedName>
    <definedName name="____________B999999" localSheetId="11">#REF!</definedName>
    <definedName name="____________B999999" localSheetId="9">#REF!</definedName>
    <definedName name="____________B999999" localSheetId="18">#REF!</definedName>
    <definedName name="____________B999999" localSheetId="15">#REF!</definedName>
    <definedName name="____________B999999" localSheetId="7">#REF!</definedName>
    <definedName name="____________B999999">#REF!</definedName>
    <definedName name="____________K85167" localSheetId="12">#REF!</definedName>
    <definedName name="____________K85167" localSheetId="8">#REF!</definedName>
    <definedName name="____________K85167" localSheetId="11">#REF!</definedName>
    <definedName name="____________K85167" localSheetId="9">#REF!</definedName>
    <definedName name="____________K85167" localSheetId="18">#REF!</definedName>
    <definedName name="____________K85167" localSheetId="15">#REF!</definedName>
    <definedName name="____________K85167" localSheetId="7">#REF!</definedName>
    <definedName name="____________K85167">#REF!</definedName>
    <definedName name="____________ML1" localSheetId="12">#REF!</definedName>
    <definedName name="____________ML1" localSheetId="8">#REF!</definedName>
    <definedName name="____________ML1" localSheetId="11">#REF!</definedName>
    <definedName name="____________ML1" localSheetId="9">#REF!</definedName>
    <definedName name="____________ML1" localSheetId="18">#REF!</definedName>
    <definedName name="____________ML1" localSheetId="15">#REF!</definedName>
    <definedName name="____________ML1" localSheetId="7">#REF!</definedName>
    <definedName name="____________ML1">#REF!</definedName>
    <definedName name="____________ML2" localSheetId="12">#REF!</definedName>
    <definedName name="____________ML2" localSheetId="8">#REF!</definedName>
    <definedName name="____________ML2" localSheetId="11">#REF!</definedName>
    <definedName name="____________ML2" localSheetId="9">#REF!</definedName>
    <definedName name="____________ML2" localSheetId="18">#REF!</definedName>
    <definedName name="____________ML2" localSheetId="15">#REF!</definedName>
    <definedName name="____________ML2" localSheetId="7">#REF!</definedName>
    <definedName name="____________ML2">#REF!</definedName>
    <definedName name="___________ARD1" localSheetId="12">#REF!</definedName>
    <definedName name="___________ARD1" localSheetId="8">#REF!</definedName>
    <definedName name="___________ARD1" localSheetId="11">#REF!</definedName>
    <definedName name="___________ARD1" localSheetId="9">#REF!</definedName>
    <definedName name="___________ARD1" localSheetId="18">#REF!</definedName>
    <definedName name="___________ARD1" localSheetId="15">#REF!</definedName>
    <definedName name="___________ARD1" localSheetId="7">#REF!</definedName>
    <definedName name="___________ARD1">#REF!</definedName>
    <definedName name="___________ARD2" localSheetId="12">#REF!</definedName>
    <definedName name="___________ARD2" localSheetId="8">#REF!</definedName>
    <definedName name="___________ARD2" localSheetId="11">#REF!</definedName>
    <definedName name="___________ARD2" localSheetId="9">#REF!</definedName>
    <definedName name="___________ARD2" localSheetId="18">#REF!</definedName>
    <definedName name="___________ARD2" localSheetId="15">#REF!</definedName>
    <definedName name="___________ARD2" localSheetId="7">#REF!</definedName>
    <definedName name="___________ARD2">#REF!</definedName>
    <definedName name="___________B100000" localSheetId="12">#REF!</definedName>
    <definedName name="___________B100000" localSheetId="8">#REF!</definedName>
    <definedName name="___________B100000" localSheetId="11">#REF!</definedName>
    <definedName name="___________B100000" localSheetId="9">#REF!</definedName>
    <definedName name="___________B100000" localSheetId="18">#REF!</definedName>
    <definedName name="___________B100000" localSheetId="15">#REF!</definedName>
    <definedName name="___________B100000" localSheetId="7">#REF!</definedName>
    <definedName name="___________B100000">#REF!</definedName>
    <definedName name="___________B99999" localSheetId="12">#REF!</definedName>
    <definedName name="___________B99999" localSheetId="8">#REF!</definedName>
    <definedName name="___________B99999" localSheetId="11">#REF!</definedName>
    <definedName name="___________B99999" localSheetId="9">#REF!</definedName>
    <definedName name="___________B99999" localSheetId="18">#REF!</definedName>
    <definedName name="___________B99999" localSheetId="15">#REF!</definedName>
    <definedName name="___________B99999" localSheetId="7">#REF!</definedName>
    <definedName name="___________B99999">#REF!</definedName>
    <definedName name="___________B999999" localSheetId="12">#REF!</definedName>
    <definedName name="___________B999999" localSheetId="8">#REF!</definedName>
    <definedName name="___________B999999" localSheetId="11">#REF!</definedName>
    <definedName name="___________B999999" localSheetId="9">#REF!</definedName>
    <definedName name="___________B999999" localSheetId="18">#REF!</definedName>
    <definedName name="___________B999999" localSheetId="15">#REF!</definedName>
    <definedName name="___________B999999" localSheetId="7">#REF!</definedName>
    <definedName name="___________B999999">#REF!</definedName>
    <definedName name="___________K85167" localSheetId="12">#REF!</definedName>
    <definedName name="___________K85167" localSheetId="8">#REF!</definedName>
    <definedName name="___________K85167" localSheetId="11">#REF!</definedName>
    <definedName name="___________K85167" localSheetId="9">#REF!</definedName>
    <definedName name="___________K85167" localSheetId="18">#REF!</definedName>
    <definedName name="___________K85167" localSheetId="15">#REF!</definedName>
    <definedName name="___________K85167" localSheetId="7">#REF!</definedName>
    <definedName name="___________K85167">#REF!</definedName>
    <definedName name="___________ML1" localSheetId="12">#REF!</definedName>
    <definedName name="___________ML1" localSheetId="8">#REF!</definedName>
    <definedName name="___________ML1" localSheetId="11">#REF!</definedName>
    <definedName name="___________ML1" localSheetId="9">#REF!</definedName>
    <definedName name="___________ML1" localSheetId="18">#REF!</definedName>
    <definedName name="___________ML1" localSheetId="15">#REF!</definedName>
    <definedName name="___________ML1" localSheetId="7">#REF!</definedName>
    <definedName name="___________ML1">#REF!</definedName>
    <definedName name="___________ML2" localSheetId="12">#REF!</definedName>
    <definedName name="___________ML2" localSheetId="8">#REF!</definedName>
    <definedName name="___________ML2" localSheetId="11">#REF!</definedName>
    <definedName name="___________ML2" localSheetId="9">#REF!</definedName>
    <definedName name="___________ML2" localSheetId="18">#REF!</definedName>
    <definedName name="___________ML2" localSheetId="15">#REF!</definedName>
    <definedName name="___________ML2" localSheetId="7">#REF!</definedName>
    <definedName name="___________ML2">#REF!</definedName>
    <definedName name="__________ARD1" localSheetId="12">#REF!</definedName>
    <definedName name="__________ARD1" localSheetId="8">#REF!</definedName>
    <definedName name="__________ARD1" localSheetId="11">#REF!</definedName>
    <definedName name="__________ARD1" localSheetId="9">#REF!</definedName>
    <definedName name="__________ARD1" localSheetId="18">#REF!</definedName>
    <definedName name="__________ARD1" localSheetId="15">#REF!</definedName>
    <definedName name="__________ARD1" localSheetId="7">#REF!</definedName>
    <definedName name="__________ARD1">#REF!</definedName>
    <definedName name="__________ARD2" localSheetId="12">#REF!</definedName>
    <definedName name="__________ARD2" localSheetId="8">#REF!</definedName>
    <definedName name="__________ARD2" localSheetId="11">#REF!</definedName>
    <definedName name="__________ARD2" localSheetId="9">#REF!</definedName>
    <definedName name="__________ARD2" localSheetId="18">#REF!</definedName>
    <definedName name="__________ARD2" localSheetId="15">#REF!</definedName>
    <definedName name="__________ARD2" localSheetId="7">#REF!</definedName>
    <definedName name="__________ARD2">#REF!</definedName>
    <definedName name="__________B100000" localSheetId="12">#REF!</definedName>
    <definedName name="__________B100000" localSheetId="8">#REF!</definedName>
    <definedName name="__________B100000" localSheetId="11">#REF!</definedName>
    <definedName name="__________B100000" localSheetId="9">#REF!</definedName>
    <definedName name="__________B100000" localSheetId="18">#REF!</definedName>
    <definedName name="__________B100000" localSheetId="15">#REF!</definedName>
    <definedName name="__________B100000" localSheetId="7">#REF!</definedName>
    <definedName name="__________B100000">#REF!</definedName>
    <definedName name="__________B99999" localSheetId="12">#REF!</definedName>
    <definedName name="__________B99999" localSheetId="8">#REF!</definedName>
    <definedName name="__________B99999" localSheetId="11">#REF!</definedName>
    <definedName name="__________B99999" localSheetId="9">#REF!</definedName>
    <definedName name="__________B99999" localSheetId="18">#REF!</definedName>
    <definedName name="__________B99999" localSheetId="15">#REF!</definedName>
    <definedName name="__________B99999" localSheetId="7">#REF!</definedName>
    <definedName name="__________B99999">#REF!</definedName>
    <definedName name="__________B999999" localSheetId="12">#REF!</definedName>
    <definedName name="__________B999999" localSheetId="8">#REF!</definedName>
    <definedName name="__________B999999" localSheetId="11">#REF!</definedName>
    <definedName name="__________B999999" localSheetId="9">#REF!</definedName>
    <definedName name="__________B999999" localSheetId="18">#REF!</definedName>
    <definedName name="__________B999999" localSheetId="15">#REF!</definedName>
    <definedName name="__________B999999" localSheetId="7">#REF!</definedName>
    <definedName name="__________B999999">#REF!</definedName>
    <definedName name="__________K85167" localSheetId="12">#REF!</definedName>
    <definedName name="__________K85167" localSheetId="8">#REF!</definedName>
    <definedName name="__________K85167" localSheetId="11">#REF!</definedName>
    <definedName name="__________K85167" localSheetId="9">#REF!</definedName>
    <definedName name="__________K85167" localSheetId="18">#REF!</definedName>
    <definedName name="__________K85167" localSheetId="15">#REF!</definedName>
    <definedName name="__________K85167" localSheetId="7">#REF!</definedName>
    <definedName name="__________K85167">#REF!</definedName>
    <definedName name="__________ML1" localSheetId="12">#REF!</definedName>
    <definedName name="__________ML1" localSheetId="8">#REF!</definedName>
    <definedName name="__________ML1" localSheetId="11">#REF!</definedName>
    <definedName name="__________ML1" localSheetId="9">#REF!</definedName>
    <definedName name="__________ML1" localSheetId="18">#REF!</definedName>
    <definedName name="__________ML1" localSheetId="15">#REF!</definedName>
    <definedName name="__________ML1" localSheetId="7">#REF!</definedName>
    <definedName name="__________ML1">#REF!</definedName>
    <definedName name="__________ML2" localSheetId="12">#REF!</definedName>
    <definedName name="__________ML2" localSheetId="8">#REF!</definedName>
    <definedName name="__________ML2" localSheetId="11">#REF!</definedName>
    <definedName name="__________ML2" localSheetId="9">#REF!</definedName>
    <definedName name="__________ML2" localSheetId="18">#REF!</definedName>
    <definedName name="__________ML2" localSheetId="15">#REF!</definedName>
    <definedName name="__________ML2" localSheetId="7">#REF!</definedName>
    <definedName name="__________ML2">#REF!</definedName>
    <definedName name="_________ARD1" localSheetId="12">#REF!</definedName>
    <definedName name="_________ARD1" localSheetId="8">#REF!</definedName>
    <definedName name="_________ARD1" localSheetId="11">#REF!</definedName>
    <definedName name="_________ARD1" localSheetId="9">#REF!</definedName>
    <definedName name="_________ARD1" localSheetId="18">#REF!</definedName>
    <definedName name="_________ARD1" localSheetId="15">#REF!</definedName>
    <definedName name="_________ARD1" localSheetId="7">#REF!</definedName>
    <definedName name="_________ARD1">#REF!</definedName>
    <definedName name="_________ARD2" localSheetId="12">#REF!</definedName>
    <definedName name="_________ARD2" localSheetId="8">#REF!</definedName>
    <definedName name="_________ARD2" localSheetId="11">#REF!</definedName>
    <definedName name="_________ARD2" localSheetId="9">#REF!</definedName>
    <definedName name="_________ARD2" localSheetId="18">#REF!</definedName>
    <definedName name="_________ARD2" localSheetId="15">#REF!</definedName>
    <definedName name="_________ARD2" localSheetId="7">#REF!</definedName>
    <definedName name="_________ARD2">#REF!</definedName>
    <definedName name="_________B100000" localSheetId="12">#REF!</definedName>
    <definedName name="_________B100000" localSheetId="8">#REF!</definedName>
    <definedName name="_________B100000" localSheetId="11">#REF!</definedName>
    <definedName name="_________B100000" localSheetId="9">#REF!</definedName>
    <definedName name="_________B100000" localSheetId="18">#REF!</definedName>
    <definedName name="_________B100000" localSheetId="15">#REF!</definedName>
    <definedName name="_________B100000" localSheetId="7">#REF!</definedName>
    <definedName name="_________B100000">#REF!</definedName>
    <definedName name="_________B99999" localSheetId="12">#REF!</definedName>
    <definedName name="_________B99999" localSheetId="8">#REF!</definedName>
    <definedName name="_________B99999" localSheetId="11">#REF!</definedName>
    <definedName name="_________B99999" localSheetId="9">#REF!</definedName>
    <definedName name="_________B99999" localSheetId="18">#REF!</definedName>
    <definedName name="_________B99999" localSheetId="15">#REF!</definedName>
    <definedName name="_________B99999" localSheetId="7">#REF!</definedName>
    <definedName name="_________B99999">#REF!</definedName>
    <definedName name="_________B999999" localSheetId="12">#REF!</definedName>
    <definedName name="_________B999999" localSheetId="8">#REF!</definedName>
    <definedName name="_________B999999" localSheetId="11">#REF!</definedName>
    <definedName name="_________B999999" localSheetId="9">#REF!</definedName>
    <definedName name="_________B999999" localSheetId="18">#REF!</definedName>
    <definedName name="_________B999999" localSheetId="15">#REF!</definedName>
    <definedName name="_________B999999" localSheetId="7">#REF!</definedName>
    <definedName name="_________B999999">#REF!</definedName>
    <definedName name="_________bol1" localSheetId="12">#REF!</definedName>
    <definedName name="_________bol1" localSheetId="8">#REF!</definedName>
    <definedName name="_________bol1" localSheetId="11">#REF!</definedName>
    <definedName name="_________bol1" localSheetId="9">#REF!</definedName>
    <definedName name="_________bol1" localSheetId="18">#REF!</definedName>
    <definedName name="_________bol1" localSheetId="15">#REF!</definedName>
    <definedName name="_________bol1" localSheetId="7">#REF!</definedName>
    <definedName name="_________bol1">#REF!</definedName>
    <definedName name="_________K85167" localSheetId="12">#REF!</definedName>
    <definedName name="_________K85167" localSheetId="8">#REF!</definedName>
    <definedName name="_________K85167" localSheetId="11">#REF!</definedName>
    <definedName name="_________K85167" localSheetId="9">#REF!</definedName>
    <definedName name="_________K85167" localSheetId="18">#REF!</definedName>
    <definedName name="_________K85167" localSheetId="15">#REF!</definedName>
    <definedName name="_________K85167" localSheetId="7">#REF!</definedName>
    <definedName name="_________K85167">#REF!</definedName>
    <definedName name="_________ML1" localSheetId="12">#REF!</definedName>
    <definedName name="_________ML1" localSheetId="8">#REF!</definedName>
    <definedName name="_________ML1" localSheetId="11">#REF!</definedName>
    <definedName name="_________ML1" localSheetId="9">#REF!</definedName>
    <definedName name="_________ML1" localSheetId="18">#REF!</definedName>
    <definedName name="_________ML1" localSheetId="15">#REF!</definedName>
    <definedName name="_________ML1" localSheetId="7">#REF!</definedName>
    <definedName name="_________ML1">#REF!</definedName>
    <definedName name="_________ML2" localSheetId="12">#REF!</definedName>
    <definedName name="_________ML2" localSheetId="8">#REF!</definedName>
    <definedName name="_________ML2" localSheetId="11">#REF!</definedName>
    <definedName name="_________ML2" localSheetId="9">#REF!</definedName>
    <definedName name="_________ML2" localSheetId="18">#REF!</definedName>
    <definedName name="_________ML2" localSheetId="15">#REF!</definedName>
    <definedName name="_________ML2" localSheetId="7">#REF!</definedName>
    <definedName name="_________ML2">#REF!</definedName>
    <definedName name="________ARD1" localSheetId="12">#REF!</definedName>
    <definedName name="________ARD1" localSheetId="8">#REF!</definedName>
    <definedName name="________ARD1" localSheetId="11">#REF!</definedName>
    <definedName name="________ARD1" localSheetId="9">#REF!</definedName>
    <definedName name="________ARD1" localSheetId="18">#REF!</definedName>
    <definedName name="________ARD1" localSheetId="15">#REF!</definedName>
    <definedName name="________ARD1" localSheetId="7">#REF!</definedName>
    <definedName name="________ARD1">#REF!</definedName>
    <definedName name="________ARD2" localSheetId="12">#REF!</definedName>
    <definedName name="________ARD2" localSheetId="8">#REF!</definedName>
    <definedName name="________ARD2" localSheetId="11">#REF!</definedName>
    <definedName name="________ARD2" localSheetId="9">#REF!</definedName>
    <definedName name="________ARD2" localSheetId="18">#REF!</definedName>
    <definedName name="________ARD2" localSheetId="15">#REF!</definedName>
    <definedName name="________ARD2" localSheetId="7">#REF!</definedName>
    <definedName name="________ARD2">#REF!</definedName>
    <definedName name="________B100000" localSheetId="12">#REF!</definedName>
    <definedName name="________B100000" localSheetId="8">#REF!</definedName>
    <definedName name="________B100000" localSheetId="11">#REF!</definedName>
    <definedName name="________B100000" localSheetId="9">#REF!</definedName>
    <definedName name="________B100000" localSheetId="18">#REF!</definedName>
    <definedName name="________B100000" localSheetId="15">#REF!</definedName>
    <definedName name="________B100000" localSheetId="7">#REF!</definedName>
    <definedName name="________B100000">#REF!</definedName>
    <definedName name="________B99999" localSheetId="12">#REF!</definedName>
    <definedName name="________B99999" localSheetId="8">#REF!</definedName>
    <definedName name="________B99999" localSheetId="11">#REF!</definedName>
    <definedName name="________B99999" localSheetId="9">#REF!</definedName>
    <definedName name="________B99999" localSheetId="18">#REF!</definedName>
    <definedName name="________B99999" localSheetId="15">#REF!</definedName>
    <definedName name="________B99999" localSheetId="7">#REF!</definedName>
    <definedName name="________B99999">#REF!</definedName>
    <definedName name="________B999999" localSheetId="12">#REF!</definedName>
    <definedName name="________B999999" localSheetId="8">#REF!</definedName>
    <definedName name="________B999999" localSheetId="11">#REF!</definedName>
    <definedName name="________B999999" localSheetId="9">#REF!</definedName>
    <definedName name="________B999999" localSheetId="18">#REF!</definedName>
    <definedName name="________B999999" localSheetId="15">#REF!</definedName>
    <definedName name="________B999999" localSheetId="7">#REF!</definedName>
    <definedName name="________B999999">#REF!</definedName>
    <definedName name="________flx200" localSheetId="12">#REF!</definedName>
    <definedName name="________flx200" localSheetId="8">#REF!</definedName>
    <definedName name="________flx200" localSheetId="11">#REF!</definedName>
    <definedName name="________flx200" localSheetId="9">#REF!</definedName>
    <definedName name="________flx200" localSheetId="18">#REF!</definedName>
    <definedName name="________flx200" localSheetId="15">#REF!</definedName>
    <definedName name="________flx200" localSheetId="7">#REF!</definedName>
    <definedName name="________flx200">#REF!</definedName>
    <definedName name="________flx300" localSheetId="12">#REF!</definedName>
    <definedName name="________flx300" localSheetId="8">#REF!</definedName>
    <definedName name="________flx300" localSheetId="11">#REF!</definedName>
    <definedName name="________flx300" localSheetId="9">#REF!</definedName>
    <definedName name="________flx300" localSheetId="18">#REF!</definedName>
    <definedName name="________flx300" localSheetId="15">#REF!</definedName>
    <definedName name="________flx300" localSheetId="7">#REF!</definedName>
    <definedName name="________flx300">#REF!</definedName>
    <definedName name="________K85167" localSheetId="12">#REF!</definedName>
    <definedName name="________K85167" localSheetId="8">#REF!</definedName>
    <definedName name="________K85167" localSheetId="11">#REF!</definedName>
    <definedName name="________K85167" localSheetId="9">#REF!</definedName>
    <definedName name="________K85167" localSheetId="18">#REF!</definedName>
    <definedName name="________K85167" localSheetId="15">#REF!</definedName>
    <definedName name="________K85167" localSheetId="7">#REF!</definedName>
    <definedName name="________K85167">#REF!</definedName>
    <definedName name="________ML1" localSheetId="12">#REF!</definedName>
    <definedName name="________ML1" localSheetId="8">#REF!</definedName>
    <definedName name="________ML1" localSheetId="11">#REF!</definedName>
    <definedName name="________ML1" localSheetId="9">#REF!</definedName>
    <definedName name="________ML1" localSheetId="18">#REF!</definedName>
    <definedName name="________ML1" localSheetId="15">#REF!</definedName>
    <definedName name="________ML1" localSheetId="7">#REF!</definedName>
    <definedName name="________ML1">#REF!</definedName>
    <definedName name="________ML2" localSheetId="12">#REF!</definedName>
    <definedName name="________ML2" localSheetId="8">#REF!</definedName>
    <definedName name="________ML2" localSheetId="11">#REF!</definedName>
    <definedName name="________ML2" localSheetId="9">#REF!</definedName>
    <definedName name="________ML2" localSheetId="18">#REF!</definedName>
    <definedName name="________ML2" localSheetId="15">#REF!</definedName>
    <definedName name="________ML2" localSheetId="7">#REF!</definedName>
    <definedName name="________ML2">#REF!</definedName>
    <definedName name="________pa2" localSheetId="12">#REF!</definedName>
    <definedName name="________pa2" localSheetId="8">#REF!</definedName>
    <definedName name="________pa2" localSheetId="11">#REF!</definedName>
    <definedName name="________pa2" localSheetId="9">#REF!</definedName>
    <definedName name="________pa2" localSheetId="18">#REF!</definedName>
    <definedName name="________pa2" localSheetId="15">#REF!</definedName>
    <definedName name="________pa2" localSheetId="7">#REF!</definedName>
    <definedName name="________pa2">#REF!</definedName>
    <definedName name="________sep1" localSheetId="12">#REF!</definedName>
    <definedName name="________sep1" localSheetId="8">#REF!</definedName>
    <definedName name="________sep1" localSheetId="11">#REF!</definedName>
    <definedName name="________sep1" localSheetId="9">#REF!</definedName>
    <definedName name="________sep1" localSheetId="18">#REF!</definedName>
    <definedName name="________sep1" localSheetId="15">#REF!</definedName>
    <definedName name="________sep1" localSheetId="7">#REF!</definedName>
    <definedName name="________sep1">#REF!</definedName>
    <definedName name="________SH1" localSheetId="12">#REF!</definedName>
    <definedName name="________SH1" localSheetId="8">#REF!</definedName>
    <definedName name="________SH1" localSheetId="11">#REF!</definedName>
    <definedName name="________SH1" localSheetId="9">#REF!</definedName>
    <definedName name="________SH1" localSheetId="18">#REF!</definedName>
    <definedName name="________SH1" localSheetId="15">#REF!</definedName>
    <definedName name="________SH1" localSheetId="7">#REF!</definedName>
    <definedName name="________SH1">#REF!</definedName>
    <definedName name="________SH2" localSheetId="12">#REF!</definedName>
    <definedName name="________SH2" localSheetId="8">#REF!</definedName>
    <definedName name="________SH2" localSheetId="11">#REF!</definedName>
    <definedName name="________SH2" localSheetId="9">#REF!</definedName>
    <definedName name="________SH2" localSheetId="18">#REF!</definedName>
    <definedName name="________SH2" localSheetId="15">#REF!</definedName>
    <definedName name="________SH2" localSheetId="7">#REF!</definedName>
    <definedName name="________SH2">#REF!</definedName>
    <definedName name="________SH3" localSheetId="12">#REF!</definedName>
    <definedName name="________SH3" localSheetId="8">#REF!</definedName>
    <definedName name="________SH3" localSheetId="11">#REF!</definedName>
    <definedName name="________SH3" localSheetId="9">#REF!</definedName>
    <definedName name="________SH3" localSheetId="18">#REF!</definedName>
    <definedName name="________SH3" localSheetId="15">#REF!</definedName>
    <definedName name="________SH3" localSheetId="7">#REF!</definedName>
    <definedName name="________SH3">#REF!</definedName>
    <definedName name="________SH5" localSheetId="12">#REF!</definedName>
    <definedName name="________SH5" localSheetId="8">#REF!</definedName>
    <definedName name="________SH5" localSheetId="11">#REF!</definedName>
    <definedName name="________SH5" localSheetId="9">#REF!</definedName>
    <definedName name="________SH5" localSheetId="18">#REF!</definedName>
    <definedName name="________SH5" localSheetId="15">#REF!</definedName>
    <definedName name="________SH5" localSheetId="7">#REF!</definedName>
    <definedName name="________SH5">#REF!</definedName>
    <definedName name="_______ARD1" localSheetId="12">#REF!</definedName>
    <definedName name="_______ARD1" localSheetId="8">#REF!</definedName>
    <definedName name="_______ARD1" localSheetId="11">#REF!</definedName>
    <definedName name="_______ARD1" localSheetId="9">#REF!</definedName>
    <definedName name="_______ARD1" localSheetId="18">#REF!</definedName>
    <definedName name="_______ARD1" localSheetId="15">#REF!</definedName>
    <definedName name="_______ARD1" localSheetId="7">#REF!</definedName>
    <definedName name="_______ARD1">#REF!</definedName>
    <definedName name="_______ARD2" localSheetId="12">#REF!</definedName>
    <definedName name="_______ARD2" localSheetId="8">#REF!</definedName>
    <definedName name="_______ARD2" localSheetId="11">#REF!</definedName>
    <definedName name="_______ARD2" localSheetId="9">#REF!</definedName>
    <definedName name="_______ARD2" localSheetId="18">#REF!</definedName>
    <definedName name="_______ARD2" localSheetId="15">#REF!</definedName>
    <definedName name="_______ARD2" localSheetId="7">#REF!</definedName>
    <definedName name="_______ARD2">#REF!</definedName>
    <definedName name="_______B100000" localSheetId="12">#REF!</definedName>
    <definedName name="_______B100000" localSheetId="8">#REF!</definedName>
    <definedName name="_______B100000" localSheetId="11">#REF!</definedName>
    <definedName name="_______B100000" localSheetId="9">#REF!</definedName>
    <definedName name="_______B100000" localSheetId="18">#REF!</definedName>
    <definedName name="_______B100000" localSheetId="15">#REF!</definedName>
    <definedName name="_______B100000" localSheetId="7">#REF!</definedName>
    <definedName name="_______B100000">#REF!</definedName>
    <definedName name="_______B99999" localSheetId="12">#REF!</definedName>
    <definedName name="_______B99999" localSheetId="8">#REF!</definedName>
    <definedName name="_______B99999" localSheetId="11">#REF!</definedName>
    <definedName name="_______B99999" localSheetId="9">#REF!</definedName>
    <definedName name="_______B99999" localSheetId="18">#REF!</definedName>
    <definedName name="_______B99999" localSheetId="15">#REF!</definedName>
    <definedName name="_______B99999" localSheetId="7">#REF!</definedName>
    <definedName name="_______B99999">#REF!</definedName>
    <definedName name="_______B999999" localSheetId="12">#REF!</definedName>
    <definedName name="_______B999999" localSheetId="8">#REF!</definedName>
    <definedName name="_______B999999" localSheetId="11">#REF!</definedName>
    <definedName name="_______B999999" localSheetId="9">#REF!</definedName>
    <definedName name="_______B999999" localSheetId="18">#REF!</definedName>
    <definedName name="_______B999999" localSheetId="15">#REF!</definedName>
    <definedName name="_______B999999" localSheetId="7">#REF!</definedName>
    <definedName name="_______B999999">#REF!</definedName>
    <definedName name="_______flx250" localSheetId="12">#REF!</definedName>
    <definedName name="_______flx250" localSheetId="8">#REF!</definedName>
    <definedName name="_______flx250" localSheetId="11">#REF!</definedName>
    <definedName name="_______flx250" localSheetId="9">#REF!</definedName>
    <definedName name="_______flx250" localSheetId="18">#REF!</definedName>
    <definedName name="_______flx250" localSheetId="15">#REF!</definedName>
    <definedName name="_______flx250" localSheetId="7">#REF!</definedName>
    <definedName name="_______flx250">#REF!</definedName>
    <definedName name="_______K85167" localSheetId="12">#REF!</definedName>
    <definedName name="_______K85167" localSheetId="8">#REF!</definedName>
    <definedName name="_______K85167" localSheetId="11">#REF!</definedName>
    <definedName name="_______K85167" localSheetId="9">#REF!</definedName>
    <definedName name="_______K85167" localSheetId="18">#REF!</definedName>
    <definedName name="_______K85167" localSheetId="15">#REF!</definedName>
    <definedName name="_______K85167" localSheetId="7">#REF!</definedName>
    <definedName name="_______K85167">#REF!</definedName>
    <definedName name="_______ML1" localSheetId="12">#REF!</definedName>
    <definedName name="_______ML1" localSheetId="8">#REF!</definedName>
    <definedName name="_______ML1" localSheetId="11">#REF!</definedName>
    <definedName name="_______ML1" localSheetId="9">#REF!</definedName>
    <definedName name="_______ML1" localSheetId="18">#REF!</definedName>
    <definedName name="_______ML1" localSheetId="15">#REF!</definedName>
    <definedName name="_______ML1" localSheetId="7">#REF!</definedName>
    <definedName name="_______ML1">#REF!</definedName>
    <definedName name="_______ML2" localSheetId="12">#REF!</definedName>
    <definedName name="_______ML2" localSheetId="8">#REF!</definedName>
    <definedName name="_______ML2" localSheetId="11">#REF!</definedName>
    <definedName name="_______ML2" localSheetId="9">#REF!</definedName>
    <definedName name="_______ML2" localSheetId="18">#REF!</definedName>
    <definedName name="_______ML2" localSheetId="15">#REF!</definedName>
    <definedName name="_______ML2" localSheetId="7">#REF!</definedName>
    <definedName name="_______ML2">#REF!</definedName>
    <definedName name="_______pa1" localSheetId="12">#REF!</definedName>
    <definedName name="_______pa1" localSheetId="8">#REF!</definedName>
    <definedName name="_______pa1" localSheetId="11">#REF!</definedName>
    <definedName name="_______pa1" localSheetId="9">#REF!</definedName>
    <definedName name="_______pa1" localSheetId="18">#REF!</definedName>
    <definedName name="_______pa1" localSheetId="15">#REF!</definedName>
    <definedName name="_______pa1" localSheetId="7">#REF!</definedName>
    <definedName name="_______pa1">#REF!</definedName>
    <definedName name="_______pa2" localSheetId="12">#REF!</definedName>
    <definedName name="_______pa2" localSheetId="8">#REF!</definedName>
    <definedName name="_______pa2" localSheetId="11">#REF!</definedName>
    <definedName name="_______pa2" localSheetId="9">#REF!</definedName>
    <definedName name="_______pa2" localSheetId="18">#REF!</definedName>
    <definedName name="_______pa2" localSheetId="15">#REF!</definedName>
    <definedName name="_______pa2" localSheetId="7">#REF!</definedName>
    <definedName name="_______pa2">#REF!</definedName>
    <definedName name="_______sep1" localSheetId="12">#REF!</definedName>
    <definedName name="_______sep1" localSheetId="8">#REF!</definedName>
    <definedName name="_______sep1" localSheetId="11">#REF!</definedName>
    <definedName name="_______sep1" localSheetId="9">#REF!</definedName>
    <definedName name="_______sep1" localSheetId="18">#REF!</definedName>
    <definedName name="_______sep1" localSheetId="15">#REF!</definedName>
    <definedName name="_______sep1" localSheetId="7">#REF!</definedName>
    <definedName name="_______sep1">#REF!</definedName>
    <definedName name="_______SH4" localSheetId="12">#REF!</definedName>
    <definedName name="_______SH4" localSheetId="8">#REF!</definedName>
    <definedName name="_______SH4" localSheetId="11">#REF!</definedName>
    <definedName name="_______SH4" localSheetId="9">#REF!</definedName>
    <definedName name="_______SH4" localSheetId="18">#REF!</definedName>
    <definedName name="_______SH4" localSheetId="15">#REF!</definedName>
    <definedName name="_______SH4" localSheetId="7">#REF!</definedName>
    <definedName name="_______SH4">#REF!</definedName>
    <definedName name="_______TB2" localSheetId="12">#REF!</definedName>
    <definedName name="_______TB2" localSheetId="8">#REF!</definedName>
    <definedName name="_______TB2" localSheetId="11">#REF!</definedName>
    <definedName name="_______TB2" localSheetId="9">#REF!</definedName>
    <definedName name="_______TB2" localSheetId="18">#REF!</definedName>
    <definedName name="_______TB2" localSheetId="15">#REF!</definedName>
    <definedName name="_______TB2" localSheetId="7">#REF!</definedName>
    <definedName name="_______TB2">#REF!</definedName>
    <definedName name="______alt1" localSheetId="12">#REF!</definedName>
    <definedName name="______alt1" localSheetId="0">#REF!</definedName>
    <definedName name="______alt1" localSheetId="1">#REF!</definedName>
    <definedName name="______alt1" localSheetId="8">#REF!</definedName>
    <definedName name="______alt1" localSheetId="11">#REF!</definedName>
    <definedName name="______alt1" localSheetId="9">#REF!</definedName>
    <definedName name="______alt1" localSheetId="18">#REF!</definedName>
    <definedName name="______alt1" localSheetId="15">#REF!</definedName>
    <definedName name="______alt1" localSheetId="7">#REF!</definedName>
    <definedName name="______alt1">#REF!</definedName>
    <definedName name="______ALT2" localSheetId="12">#REF!</definedName>
    <definedName name="______ALT2" localSheetId="0">#REF!</definedName>
    <definedName name="______ALT2" localSheetId="1">#REF!</definedName>
    <definedName name="______ALT2" localSheetId="8">#REF!</definedName>
    <definedName name="______ALT2" localSheetId="11">#REF!</definedName>
    <definedName name="______ALT2" localSheetId="9">#REF!</definedName>
    <definedName name="______ALT2" localSheetId="18">#REF!</definedName>
    <definedName name="______ALT2" localSheetId="15">#REF!</definedName>
    <definedName name="______ALT2" localSheetId="7">#REF!</definedName>
    <definedName name="______ALT2">#REF!</definedName>
    <definedName name="______ALT3" localSheetId="12">#REF!</definedName>
    <definedName name="______ALT3" localSheetId="0">#REF!</definedName>
    <definedName name="______ALT3" localSheetId="1">#REF!</definedName>
    <definedName name="______ALT3" localSheetId="8">#REF!</definedName>
    <definedName name="______ALT3" localSheetId="11">#REF!</definedName>
    <definedName name="______ALT3" localSheetId="9">#REF!</definedName>
    <definedName name="______ALT3" localSheetId="18">#REF!</definedName>
    <definedName name="______ALT3" localSheetId="15">#REF!</definedName>
    <definedName name="______ALT3" localSheetId="7">#REF!</definedName>
    <definedName name="______ALT3">#REF!</definedName>
    <definedName name="______ALT4" localSheetId="12">#REF!</definedName>
    <definedName name="______ALT4" localSheetId="0">#REF!</definedName>
    <definedName name="______ALT4" localSheetId="1">#REF!</definedName>
    <definedName name="______ALT4" localSheetId="8">#REF!</definedName>
    <definedName name="______ALT4" localSheetId="11">#REF!</definedName>
    <definedName name="______ALT4" localSheetId="9">#REF!</definedName>
    <definedName name="______ALT4" localSheetId="18">#REF!</definedName>
    <definedName name="______ALT4" localSheetId="15">#REF!</definedName>
    <definedName name="______ALT4" localSheetId="7">#REF!</definedName>
    <definedName name="______ALT4">#REF!</definedName>
    <definedName name="______ARD1" localSheetId="12">#REF!</definedName>
    <definedName name="______ARD1" localSheetId="8">#REF!</definedName>
    <definedName name="______ARD1" localSheetId="11">#REF!</definedName>
    <definedName name="______ARD1" localSheetId="9">#REF!</definedName>
    <definedName name="______ARD1" localSheetId="18">#REF!</definedName>
    <definedName name="______ARD1" localSheetId="15">#REF!</definedName>
    <definedName name="______ARD1" localSheetId="7">#REF!</definedName>
    <definedName name="______ARD1">#REF!</definedName>
    <definedName name="______ARD2" localSheetId="12">#REF!</definedName>
    <definedName name="______ARD2" localSheetId="8">#REF!</definedName>
    <definedName name="______ARD2" localSheetId="11">#REF!</definedName>
    <definedName name="______ARD2" localSheetId="9">#REF!</definedName>
    <definedName name="______ARD2" localSheetId="18">#REF!</definedName>
    <definedName name="______ARD2" localSheetId="15">#REF!</definedName>
    <definedName name="______ARD2" localSheetId="7">#REF!</definedName>
    <definedName name="______ARD2">#REF!</definedName>
    <definedName name="______B100000" localSheetId="12">#REF!</definedName>
    <definedName name="______B100000" localSheetId="8">#REF!</definedName>
    <definedName name="______B100000" localSheetId="11">#REF!</definedName>
    <definedName name="______B100000" localSheetId="9">#REF!</definedName>
    <definedName name="______B100000" localSheetId="18">#REF!</definedName>
    <definedName name="______B100000" localSheetId="15">#REF!</definedName>
    <definedName name="______B100000" localSheetId="7">#REF!</definedName>
    <definedName name="______B100000">#REF!</definedName>
    <definedName name="______B99999" localSheetId="12">#REF!</definedName>
    <definedName name="______B99999" localSheetId="8">#REF!</definedName>
    <definedName name="______B99999" localSheetId="11">#REF!</definedName>
    <definedName name="______B99999" localSheetId="9">#REF!</definedName>
    <definedName name="______B99999" localSheetId="18">#REF!</definedName>
    <definedName name="______B99999" localSheetId="15">#REF!</definedName>
    <definedName name="______B99999" localSheetId="7">#REF!</definedName>
    <definedName name="______B99999">#REF!</definedName>
    <definedName name="______B999999" localSheetId="12">#REF!</definedName>
    <definedName name="______B999999" localSheetId="8">#REF!</definedName>
    <definedName name="______B999999" localSheetId="11">#REF!</definedName>
    <definedName name="______B999999" localSheetId="9">#REF!</definedName>
    <definedName name="______B999999" localSheetId="18">#REF!</definedName>
    <definedName name="______B999999" localSheetId="15">#REF!</definedName>
    <definedName name="______B999999" localSheetId="7">#REF!</definedName>
    <definedName name="______B999999">#REF!</definedName>
    <definedName name="______bol1" localSheetId="12">#REF!</definedName>
    <definedName name="______bol1" localSheetId="8">#REF!</definedName>
    <definedName name="______bol1" localSheetId="11">#REF!</definedName>
    <definedName name="______bol1" localSheetId="9">#REF!</definedName>
    <definedName name="______bol1" localSheetId="18">#REF!</definedName>
    <definedName name="______bol1" localSheetId="15">#REF!</definedName>
    <definedName name="______bol1" localSheetId="7">#REF!</definedName>
    <definedName name="______bol1">#REF!</definedName>
    <definedName name="______flx200" localSheetId="12">#REF!</definedName>
    <definedName name="______flx200" localSheetId="8">#REF!</definedName>
    <definedName name="______flx200" localSheetId="11">#REF!</definedName>
    <definedName name="______flx200" localSheetId="9">#REF!</definedName>
    <definedName name="______flx200" localSheetId="18">#REF!</definedName>
    <definedName name="______flx200" localSheetId="15">#REF!</definedName>
    <definedName name="______flx200" localSheetId="7">#REF!</definedName>
    <definedName name="______flx200">#REF!</definedName>
    <definedName name="______flx250" localSheetId="12">#REF!</definedName>
    <definedName name="______flx250" localSheetId="8">#REF!</definedName>
    <definedName name="______flx250" localSheetId="11">#REF!</definedName>
    <definedName name="______flx250" localSheetId="9">#REF!</definedName>
    <definedName name="______flx250" localSheetId="18">#REF!</definedName>
    <definedName name="______flx250" localSheetId="15">#REF!</definedName>
    <definedName name="______flx250" localSheetId="7">#REF!</definedName>
    <definedName name="______flx250">#REF!</definedName>
    <definedName name="______flx300" localSheetId="12">#REF!</definedName>
    <definedName name="______flx300" localSheetId="8">#REF!</definedName>
    <definedName name="______flx300" localSheetId="11">#REF!</definedName>
    <definedName name="______flx300" localSheetId="9">#REF!</definedName>
    <definedName name="______flx300" localSheetId="18">#REF!</definedName>
    <definedName name="______flx300" localSheetId="15">#REF!</definedName>
    <definedName name="______flx300" localSheetId="7">#REF!</definedName>
    <definedName name="______flx300">#REF!</definedName>
    <definedName name="______K85167" localSheetId="12">#REF!</definedName>
    <definedName name="______K85167" localSheetId="8">#REF!</definedName>
    <definedName name="______K85167" localSheetId="11">#REF!</definedName>
    <definedName name="______K85167" localSheetId="9">#REF!</definedName>
    <definedName name="______K85167" localSheetId="18">#REF!</definedName>
    <definedName name="______K85167" localSheetId="15">#REF!</definedName>
    <definedName name="______K85167" localSheetId="7">#REF!</definedName>
    <definedName name="______K85167">#REF!</definedName>
    <definedName name="______ML1" localSheetId="12">#REF!</definedName>
    <definedName name="______ML1" localSheetId="8">#REF!</definedName>
    <definedName name="______ML1" localSheetId="11">#REF!</definedName>
    <definedName name="______ML1" localSheetId="9">#REF!</definedName>
    <definedName name="______ML1" localSheetId="18">#REF!</definedName>
    <definedName name="______ML1" localSheetId="15">#REF!</definedName>
    <definedName name="______ML1" localSheetId="7">#REF!</definedName>
    <definedName name="______ML1">#REF!</definedName>
    <definedName name="______ML2" localSheetId="12">#REF!</definedName>
    <definedName name="______ML2" localSheetId="8">#REF!</definedName>
    <definedName name="______ML2" localSheetId="11">#REF!</definedName>
    <definedName name="______ML2" localSheetId="9">#REF!</definedName>
    <definedName name="______ML2" localSheetId="18">#REF!</definedName>
    <definedName name="______ML2" localSheetId="15">#REF!</definedName>
    <definedName name="______ML2" localSheetId="7">#REF!</definedName>
    <definedName name="______ML2">#REF!</definedName>
    <definedName name="______pa1" localSheetId="12">#REF!</definedName>
    <definedName name="______pa1" localSheetId="8">#REF!</definedName>
    <definedName name="______pa1" localSheetId="11">#REF!</definedName>
    <definedName name="______pa1" localSheetId="9">#REF!</definedName>
    <definedName name="______pa1" localSheetId="18">#REF!</definedName>
    <definedName name="______pa1" localSheetId="15">#REF!</definedName>
    <definedName name="______pa1" localSheetId="7">#REF!</definedName>
    <definedName name="______pa1">#REF!</definedName>
    <definedName name="______pa2" localSheetId="12">#REF!</definedName>
    <definedName name="______pa2" localSheetId="8">#REF!</definedName>
    <definedName name="______pa2" localSheetId="11">#REF!</definedName>
    <definedName name="______pa2" localSheetId="9">#REF!</definedName>
    <definedName name="______pa2" localSheetId="18">#REF!</definedName>
    <definedName name="______pa2" localSheetId="15">#REF!</definedName>
    <definedName name="______pa2" localSheetId="7">#REF!</definedName>
    <definedName name="______pa2">#REF!</definedName>
    <definedName name="______sep1" localSheetId="12">#REF!</definedName>
    <definedName name="______sep1" localSheetId="8">#REF!</definedName>
    <definedName name="______sep1" localSheetId="11">#REF!</definedName>
    <definedName name="______sep1" localSheetId="9">#REF!</definedName>
    <definedName name="______sep1" localSheetId="18">#REF!</definedName>
    <definedName name="______sep1" localSheetId="15">#REF!</definedName>
    <definedName name="______sep1" localSheetId="7">#REF!</definedName>
    <definedName name="______sep1">#REF!</definedName>
    <definedName name="______SH1" localSheetId="12">#REF!</definedName>
    <definedName name="______SH1" localSheetId="8">#REF!</definedName>
    <definedName name="______SH1" localSheetId="11">#REF!</definedName>
    <definedName name="______SH1" localSheetId="9">#REF!</definedName>
    <definedName name="______SH1" localSheetId="18">#REF!</definedName>
    <definedName name="______SH1" localSheetId="15">#REF!</definedName>
    <definedName name="______SH1" localSheetId="7">#REF!</definedName>
    <definedName name="______SH1">#REF!</definedName>
    <definedName name="______SH2" localSheetId="12">#REF!</definedName>
    <definedName name="______SH2" localSheetId="8">#REF!</definedName>
    <definedName name="______SH2" localSheetId="11">#REF!</definedName>
    <definedName name="______SH2" localSheetId="9">#REF!</definedName>
    <definedName name="______SH2" localSheetId="18">#REF!</definedName>
    <definedName name="______SH2" localSheetId="15">#REF!</definedName>
    <definedName name="______SH2" localSheetId="7">#REF!</definedName>
    <definedName name="______SH2">#REF!</definedName>
    <definedName name="______SH3" localSheetId="12">#REF!</definedName>
    <definedName name="______SH3" localSheetId="8">#REF!</definedName>
    <definedName name="______SH3" localSheetId="11">#REF!</definedName>
    <definedName name="______SH3" localSheetId="9">#REF!</definedName>
    <definedName name="______SH3" localSheetId="18">#REF!</definedName>
    <definedName name="______SH3" localSheetId="15">#REF!</definedName>
    <definedName name="______SH3" localSheetId="7">#REF!</definedName>
    <definedName name="______SH3">#REF!</definedName>
    <definedName name="______SH4" localSheetId="12">#REF!</definedName>
    <definedName name="______SH4" localSheetId="8">#REF!</definedName>
    <definedName name="______SH4" localSheetId="11">#REF!</definedName>
    <definedName name="______SH4" localSheetId="9">#REF!</definedName>
    <definedName name="______SH4" localSheetId="18">#REF!</definedName>
    <definedName name="______SH4" localSheetId="15">#REF!</definedName>
    <definedName name="______SH4" localSheetId="7">#REF!</definedName>
    <definedName name="______SH4">#REF!</definedName>
    <definedName name="______SH5" localSheetId="12">#REF!</definedName>
    <definedName name="______SH5" localSheetId="8">#REF!</definedName>
    <definedName name="______SH5" localSheetId="11">#REF!</definedName>
    <definedName name="______SH5" localSheetId="9">#REF!</definedName>
    <definedName name="______SH5" localSheetId="18">#REF!</definedName>
    <definedName name="______SH5" localSheetId="15">#REF!</definedName>
    <definedName name="______SH5" localSheetId="7">#REF!</definedName>
    <definedName name="______SH5">#REF!</definedName>
    <definedName name="______TB2" localSheetId="12">#REF!</definedName>
    <definedName name="______TB2" localSheetId="8">#REF!</definedName>
    <definedName name="______TB2" localSheetId="11">#REF!</definedName>
    <definedName name="______TB2" localSheetId="9">#REF!</definedName>
    <definedName name="______TB2" localSheetId="18">#REF!</definedName>
    <definedName name="______TB2" localSheetId="15">#REF!</definedName>
    <definedName name="______TB2" localSheetId="7">#REF!</definedName>
    <definedName name="______TB2">#REF!</definedName>
    <definedName name="_____A655600" localSheetId="12">#REF!</definedName>
    <definedName name="_____A655600" localSheetId="8">#REF!</definedName>
    <definedName name="_____A655600" localSheetId="11">#REF!</definedName>
    <definedName name="_____A655600" localSheetId="9">#REF!</definedName>
    <definedName name="_____A655600" localSheetId="18">#REF!</definedName>
    <definedName name="_____A655600" localSheetId="15">#REF!</definedName>
    <definedName name="_____A655600" localSheetId="7">#REF!</definedName>
    <definedName name="_____A655600">#REF!</definedName>
    <definedName name="_____alt1" localSheetId="12">#REF!</definedName>
    <definedName name="_____alt1" localSheetId="0">#REF!</definedName>
    <definedName name="_____alt1" localSheetId="1">#REF!</definedName>
    <definedName name="_____alt1" localSheetId="8">#REF!</definedName>
    <definedName name="_____alt1" localSheetId="11">#REF!</definedName>
    <definedName name="_____alt1" localSheetId="9">#REF!</definedName>
    <definedName name="_____alt1" localSheetId="18">#REF!</definedName>
    <definedName name="_____alt1" localSheetId="15">#REF!</definedName>
    <definedName name="_____alt1" localSheetId="7">#REF!</definedName>
    <definedName name="_____alt1">#REF!</definedName>
    <definedName name="_____ALT2" localSheetId="12">#REF!</definedName>
    <definedName name="_____ALT2" localSheetId="0">#REF!</definedName>
    <definedName name="_____ALT2" localSheetId="1">#REF!</definedName>
    <definedName name="_____ALT2" localSheetId="8">#REF!</definedName>
    <definedName name="_____ALT2" localSheetId="11">#REF!</definedName>
    <definedName name="_____ALT2" localSheetId="9">#REF!</definedName>
    <definedName name="_____ALT2" localSheetId="18">#REF!</definedName>
    <definedName name="_____ALT2" localSheetId="15">#REF!</definedName>
    <definedName name="_____ALT2" localSheetId="7">#REF!</definedName>
    <definedName name="_____ALT2">#REF!</definedName>
    <definedName name="_____ALT3" localSheetId="12">#REF!</definedName>
    <definedName name="_____ALT3" localSheetId="0">#REF!</definedName>
    <definedName name="_____ALT3" localSheetId="1">#REF!</definedName>
    <definedName name="_____ALT3" localSheetId="8">#REF!</definedName>
    <definedName name="_____ALT3" localSheetId="11">#REF!</definedName>
    <definedName name="_____ALT3" localSheetId="9">#REF!</definedName>
    <definedName name="_____ALT3" localSheetId="18">#REF!</definedName>
    <definedName name="_____ALT3" localSheetId="15">#REF!</definedName>
    <definedName name="_____ALT3" localSheetId="7">#REF!</definedName>
    <definedName name="_____ALT3">#REF!</definedName>
    <definedName name="_____ALT4" localSheetId="12">#REF!</definedName>
    <definedName name="_____ALT4" localSheetId="0">#REF!</definedName>
    <definedName name="_____ALT4" localSheetId="1">#REF!</definedName>
    <definedName name="_____ALT4" localSheetId="8">#REF!</definedName>
    <definedName name="_____ALT4" localSheetId="11">#REF!</definedName>
    <definedName name="_____ALT4" localSheetId="9">#REF!</definedName>
    <definedName name="_____ALT4" localSheetId="18">#REF!</definedName>
    <definedName name="_____ALT4" localSheetId="15">#REF!</definedName>
    <definedName name="_____ALT4" localSheetId="7">#REF!</definedName>
    <definedName name="_____ALT4">#REF!</definedName>
    <definedName name="_____ARD1" localSheetId="12">#REF!</definedName>
    <definedName name="_____ARD1" localSheetId="8">#REF!</definedName>
    <definedName name="_____ARD1" localSheetId="11">#REF!</definedName>
    <definedName name="_____ARD1" localSheetId="9">#REF!</definedName>
    <definedName name="_____ARD1" localSheetId="18">#REF!</definedName>
    <definedName name="_____ARD1" localSheetId="15">#REF!</definedName>
    <definedName name="_____ARD1" localSheetId="7">#REF!</definedName>
    <definedName name="_____ARD1">#REF!</definedName>
    <definedName name="_____ARD2" localSheetId="12">#REF!</definedName>
    <definedName name="_____ARD2" localSheetId="8">#REF!</definedName>
    <definedName name="_____ARD2" localSheetId="11">#REF!</definedName>
    <definedName name="_____ARD2" localSheetId="9">#REF!</definedName>
    <definedName name="_____ARD2" localSheetId="18">#REF!</definedName>
    <definedName name="_____ARD2" localSheetId="15">#REF!</definedName>
    <definedName name="_____ARD2" localSheetId="7">#REF!</definedName>
    <definedName name="_____ARD2">#REF!</definedName>
    <definedName name="_____B100000" localSheetId="12">#REF!</definedName>
    <definedName name="_____B100000" localSheetId="8">#REF!</definedName>
    <definedName name="_____B100000" localSheetId="11">#REF!</definedName>
    <definedName name="_____B100000" localSheetId="9">#REF!</definedName>
    <definedName name="_____B100000" localSheetId="18">#REF!</definedName>
    <definedName name="_____B100000" localSheetId="15">#REF!</definedName>
    <definedName name="_____B100000" localSheetId="7">#REF!</definedName>
    <definedName name="_____B100000">#REF!</definedName>
    <definedName name="_____B99999" localSheetId="12">#REF!</definedName>
    <definedName name="_____B99999" localSheetId="8">#REF!</definedName>
    <definedName name="_____B99999" localSheetId="11">#REF!</definedName>
    <definedName name="_____B99999" localSheetId="9">#REF!</definedName>
    <definedName name="_____B99999" localSheetId="18">#REF!</definedName>
    <definedName name="_____B99999" localSheetId="15">#REF!</definedName>
    <definedName name="_____B99999" localSheetId="7">#REF!</definedName>
    <definedName name="_____B99999">#REF!</definedName>
    <definedName name="_____B999999" localSheetId="12">#REF!</definedName>
    <definedName name="_____B999999" localSheetId="8">#REF!</definedName>
    <definedName name="_____B999999" localSheetId="11">#REF!</definedName>
    <definedName name="_____B999999" localSheetId="9">#REF!</definedName>
    <definedName name="_____B999999" localSheetId="18">#REF!</definedName>
    <definedName name="_____B999999" localSheetId="15">#REF!</definedName>
    <definedName name="_____B999999" localSheetId="7">#REF!</definedName>
    <definedName name="_____B999999">#REF!</definedName>
    <definedName name="_____bol1" localSheetId="12">#REF!</definedName>
    <definedName name="_____bol1" localSheetId="8">#REF!</definedName>
    <definedName name="_____bol1" localSheetId="11">#REF!</definedName>
    <definedName name="_____bol1" localSheetId="9">#REF!</definedName>
    <definedName name="_____bol1" localSheetId="18">#REF!</definedName>
    <definedName name="_____bol1" localSheetId="15">#REF!</definedName>
    <definedName name="_____bol1" localSheetId="7">#REF!</definedName>
    <definedName name="_____bol1">#REF!</definedName>
    <definedName name="_____exc1" localSheetId="12">#REF!</definedName>
    <definedName name="_____exc1" localSheetId="8">#REF!</definedName>
    <definedName name="_____exc1" localSheetId="11">#REF!</definedName>
    <definedName name="_____exc1" localSheetId="9">#REF!</definedName>
    <definedName name="_____exc1" localSheetId="18">#REF!</definedName>
    <definedName name="_____exc1" localSheetId="15">#REF!</definedName>
    <definedName name="_____exc1" localSheetId="7">#REF!</definedName>
    <definedName name="_____exc1">#REF!</definedName>
    <definedName name="_____exc11" localSheetId="12">#REF!</definedName>
    <definedName name="_____exc11" localSheetId="8">#REF!</definedName>
    <definedName name="_____exc11" localSheetId="11">#REF!</definedName>
    <definedName name="_____exc11" localSheetId="9">#REF!</definedName>
    <definedName name="_____exc11" localSheetId="18">#REF!</definedName>
    <definedName name="_____exc11" localSheetId="15">#REF!</definedName>
    <definedName name="_____exc11" localSheetId="7">#REF!</definedName>
    <definedName name="_____exc11">#REF!</definedName>
    <definedName name="_____exc2" localSheetId="12">#REF!</definedName>
    <definedName name="_____exc2" localSheetId="8">#REF!</definedName>
    <definedName name="_____exc2" localSheetId="11">#REF!</definedName>
    <definedName name="_____exc2" localSheetId="9">#REF!</definedName>
    <definedName name="_____exc2" localSheetId="18">#REF!</definedName>
    <definedName name="_____exc2" localSheetId="15">#REF!</definedName>
    <definedName name="_____exc2" localSheetId="7">#REF!</definedName>
    <definedName name="_____exc2">#REF!</definedName>
    <definedName name="_____EXC3" localSheetId="12">#REF!</definedName>
    <definedName name="_____EXC3" localSheetId="8">#REF!</definedName>
    <definedName name="_____EXC3" localSheetId="11">#REF!</definedName>
    <definedName name="_____EXC3" localSheetId="9">#REF!</definedName>
    <definedName name="_____EXC3" localSheetId="18">#REF!</definedName>
    <definedName name="_____EXC3" localSheetId="15">#REF!</definedName>
    <definedName name="_____EXC3" localSheetId="7">#REF!</definedName>
    <definedName name="_____EXC3">#REF!</definedName>
    <definedName name="_____EXC4" localSheetId="12">#REF!</definedName>
    <definedName name="_____EXC4" localSheetId="8">#REF!</definedName>
    <definedName name="_____EXC4" localSheetId="11">#REF!</definedName>
    <definedName name="_____EXC4" localSheetId="9">#REF!</definedName>
    <definedName name="_____EXC4" localSheetId="18">#REF!</definedName>
    <definedName name="_____EXC4" localSheetId="15">#REF!</definedName>
    <definedName name="_____EXC4" localSheetId="7">#REF!</definedName>
    <definedName name="_____EXC4">#REF!</definedName>
    <definedName name="_____flx200" localSheetId="12">#REF!</definedName>
    <definedName name="_____flx200" localSheetId="8">#REF!</definedName>
    <definedName name="_____flx200" localSheetId="11">#REF!</definedName>
    <definedName name="_____flx200" localSheetId="9">#REF!</definedName>
    <definedName name="_____flx200" localSheetId="18">#REF!</definedName>
    <definedName name="_____flx200" localSheetId="15">#REF!</definedName>
    <definedName name="_____flx200" localSheetId="7">#REF!</definedName>
    <definedName name="_____flx200">#REF!</definedName>
    <definedName name="_____flx250" localSheetId="12">#REF!</definedName>
    <definedName name="_____flx250" localSheetId="8">#REF!</definedName>
    <definedName name="_____flx250" localSheetId="11">#REF!</definedName>
    <definedName name="_____flx250" localSheetId="9">#REF!</definedName>
    <definedName name="_____flx250" localSheetId="18">#REF!</definedName>
    <definedName name="_____flx250" localSheetId="15">#REF!</definedName>
    <definedName name="_____flx250" localSheetId="7">#REF!</definedName>
    <definedName name="_____flx250">#REF!</definedName>
    <definedName name="_____flx300" localSheetId="12">#REF!</definedName>
    <definedName name="_____flx300" localSheetId="8">#REF!</definedName>
    <definedName name="_____flx300" localSheetId="11">#REF!</definedName>
    <definedName name="_____flx300" localSheetId="9">#REF!</definedName>
    <definedName name="_____flx300" localSheetId="18">#REF!</definedName>
    <definedName name="_____flx300" localSheetId="15">#REF!</definedName>
    <definedName name="_____flx300" localSheetId="7">#REF!</definedName>
    <definedName name="_____flx300">#REF!</definedName>
    <definedName name="_____foo1" localSheetId="12">#REF!</definedName>
    <definedName name="_____foo1" localSheetId="8">#REF!</definedName>
    <definedName name="_____foo1" localSheetId="11">#REF!</definedName>
    <definedName name="_____foo1" localSheetId="9">#REF!</definedName>
    <definedName name="_____foo1" localSheetId="18">#REF!</definedName>
    <definedName name="_____foo1" localSheetId="15">#REF!</definedName>
    <definedName name="_____foo1" localSheetId="7">#REF!</definedName>
    <definedName name="_____foo1">#REF!</definedName>
    <definedName name="_____foo2" localSheetId="12">#REF!</definedName>
    <definedName name="_____foo2" localSheetId="8">#REF!</definedName>
    <definedName name="_____foo2" localSheetId="11">#REF!</definedName>
    <definedName name="_____foo2" localSheetId="9">#REF!</definedName>
    <definedName name="_____foo2" localSheetId="18">#REF!</definedName>
    <definedName name="_____foo2" localSheetId="15">#REF!</definedName>
    <definedName name="_____foo2" localSheetId="7">#REF!</definedName>
    <definedName name="_____foo2">#REF!</definedName>
    <definedName name="_____foo3" localSheetId="12">#REF!</definedName>
    <definedName name="_____foo3" localSheetId="8">#REF!</definedName>
    <definedName name="_____foo3" localSheetId="11">#REF!</definedName>
    <definedName name="_____foo3" localSheetId="9">#REF!</definedName>
    <definedName name="_____foo3" localSheetId="18">#REF!</definedName>
    <definedName name="_____foo3" localSheetId="15">#REF!</definedName>
    <definedName name="_____foo3" localSheetId="7">#REF!</definedName>
    <definedName name="_____foo3">#REF!</definedName>
    <definedName name="_____FOO4" localSheetId="12">#REF!</definedName>
    <definedName name="_____FOO4" localSheetId="8">#REF!</definedName>
    <definedName name="_____FOO4" localSheetId="11">#REF!</definedName>
    <definedName name="_____FOO4" localSheetId="9">#REF!</definedName>
    <definedName name="_____FOO4" localSheetId="18">#REF!</definedName>
    <definedName name="_____FOO4" localSheetId="15">#REF!</definedName>
    <definedName name="_____FOO4" localSheetId="7">#REF!</definedName>
    <definedName name="_____FOO4">#REF!</definedName>
    <definedName name="_____IV65700" localSheetId="12">#REF!</definedName>
    <definedName name="_____IV65700" localSheetId="8">#REF!</definedName>
    <definedName name="_____IV65700" localSheetId="11">#REF!</definedName>
    <definedName name="_____IV65700" localSheetId="9">#REF!</definedName>
    <definedName name="_____IV65700" localSheetId="18">#REF!</definedName>
    <definedName name="_____IV65700" localSheetId="15">#REF!</definedName>
    <definedName name="_____IV65700" localSheetId="7">#REF!</definedName>
    <definedName name="_____IV65700">#REF!</definedName>
    <definedName name="_____IV66000" localSheetId="12">#REF!</definedName>
    <definedName name="_____IV66000" localSheetId="8">#REF!</definedName>
    <definedName name="_____IV66000" localSheetId="11">#REF!</definedName>
    <definedName name="_____IV66000" localSheetId="9">#REF!</definedName>
    <definedName name="_____IV66000" localSheetId="18">#REF!</definedName>
    <definedName name="_____IV66000" localSheetId="15">#REF!</definedName>
    <definedName name="_____IV66000" localSheetId="7">#REF!</definedName>
    <definedName name="_____IV66000">#REF!</definedName>
    <definedName name="_____IV67000" localSheetId="12">#REF!</definedName>
    <definedName name="_____IV67000" localSheetId="8">#REF!</definedName>
    <definedName name="_____IV67000" localSheetId="11">#REF!</definedName>
    <definedName name="_____IV67000" localSheetId="9">#REF!</definedName>
    <definedName name="_____IV67000" localSheetId="18">#REF!</definedName>
    <definedName name="_____IV67000" localSheetId="15">#REF!</definedName>
    <definedName name="_____IV67000" localSheetId="7">#REF!</definedName>
    <definedName name="_____IV67000">#REF!</definedName>
    <definedName name="_____IV70000" localSheetId="12">#REF!</definedName>
    <definedName name="_____IV70000" localSheetId="8">#REF!</definedName>
    <definedName name="_____IV70000" localSheetId="11">#REF!</definedName>
    <definedName name="_____IV70000" localSheetId="9">#REF!</definedName>
    <definedName name="_____IV70000" localSheetId="18">#REF!</definedName>
    <definedName name="_____IV70000" localSheetId="15">#REF!</definedName>
    <definedName name="_____IV70000" localSheetId="7">#REF!</definedName>
    <definedName name="_____IV70000">#REF!</definedName>
    <definedName name="_____IV99999" localSheetId="12">#REF!</definedName>
    <definedName name="_____IV99999" localSheetId="8">#REF!</definedName>
    <definedName name="_____IV99999" localSheetId="11">#REF!</definedName>
    <definedName name="_____IV99999" localSheetId="9">#REF!</definedName>
    <definedName name="_____IV99999" localSheetId="18">#REF!</definedName>
    <definedName name="_____IV99999" localSheetId="15">#REF!</definedName>
    <definedName name="_____IV99999" localSheetId="7">#REF!</definedName>
    <definedName name="_____IV99999">#REF!</definedName>
    <definedName name="_____K85167" localSheetId="12">#REF!</definedName>
    <definedName name="_____K85167" localSheetId="8">#REF!</definedName>
    <definedName name="_____K85167" localSheetId="11">#REF!</definedName>
    <definedName name="_____K85167" localSheetId="9">#REF!</definedName>
    <definedName name="_____K85167" localSheetId="18">#REF!</definedName>
    <definedName name="_____K85167" localSheetId="15">#REF!</definedName>
    <definedName name="_____K85167" localSheetId="7">#REF!</definedName>
    <definedName name="_____K85167">#REF!</definedName>
    <definedName name="_____mar08" localSheetId="12">#REF!</definedName>
    <definedName name="_____mar08" localSheetId="8">#REF!</definedName>
    <definedName name="_____mar08" localSheetId="11">#REF!</definedName>
    <definedName name="_____mar08" localSheetId="9">#REF!</definedName>
    <definedName name="_____mar08" localSheetId="18">#REF!</definedName>
    <definedName name="_____mar08" localSheetId="15">#REF!</definedName>
    <definedName name="_____mar08" localSheetId="7">#REF!</definedName>
    <definedName name="_____mar08">#REF!</definedName>
    <definedName name="_____ML1" localSheetId="12">#REF!</definedName>
    <definedName name="_____ML1" localSheetId="8">#REF!</definedName>
    <definedName name="_____ML1" localSheetId="11">#REF!</definedName>
    <definedName name="_____ML1" localSheetId="9">#REF!</definedName>
    <definedName name="_____ML1" localSheetId="18">#REF!</definedName>
    <definedName name="_____ML1" localSheetId="15">#REF!</definedName>
    <definedName name="_____ML1" localSheetId="7">#REF!</definedName>
    <definedName name="_____ML1">#REF!</definedName>
    <definedName name="_____ML2" localSheetId="12">#REF!</definedName>
    <definedName name="_____ML2" localSheetId="8">#REF!</definedName>
    <definedName name="_____ML2" localSheetId="11">#REF!</definedName>
    <definedName name="_____ML2" localSheetId="9">#REF!</definedName>
    <definedName name="_____ML2" localSheetId="18">#REF!</definedName>
    <definedName name="_____ML2" localSheetId="15">#REF!</definedName>
    <definedName name="_____ML2" localSheetId="7">#REF!</definedName>
    <definedName name="_____ML2">#REF!</definedName>
    <definedName name="_____pa1" localSheetId="12">#REF!</definedName>
    <definedName name="_____pa1" localSheetId="8">#REF!</definedName>
    <definedName name="_____pa1" localSheetId="11">#REF!</definedName>
    <definedName name="_____pa1" localSheetId="9">#REF!</definedName>
    <definedName name="_____pa1" localSheetId="18">#REF!</definedName>
    <definedName name="_____pa1" localSheetId="15">#REF!</definedName>
    <definedName name="_____pa1" localSheetId="7">#REF!</definedName>
    <definedName name="_____pa1">#REF!</definedName>
    <definedName name="_____pa2" localSheetId="12">#REF!</definedName>
    <definedName name="_____pa2" localSheetId="8">#REF!</definedName>
    <definedName name="_____pa2" localSheetId="11">#REF!</definedName>
    <definedName name="_____pa2" localSheetId="9">#REF!</definedName>
    <definedName name="_____pa2" localSheetId="18">#REF!</definedName>
    <definedName name="_____pa2" localSheetId="15">#REF!</definedName>
    <definedName name="_____pa2" localSheetId="7">#REF!</definedName>
    <definedName name="_____pa2">#REF!</definedName>
    <definedName name="_____pcc1" localSheetId="12">#REF!</definedName>
    <definedName name="_____pcc1" localSheetId="8">#REF!</definedName>
    <definedName name="_____pcc1" localSheetId="11">#REF!</definedName>
    <definedName name="_____pcc1" localSheetId="9">#REF!</definedName>
    <definedName name="_____pcc1" localSheetId="18">#REF!</definedName>
    <definedName name="_____pcc1" localSheetId="15">#REF!</definedName>
    <definedName name="_____pcc1" localSheetId="7">#REF!</definedName>
    <definedName name="_____pcc1">#REF!</definedName>
    <definedName name="_____pcc2" localSheetId="12">#REF!</definedName>
    <definedName name="_____pcc2" localSheetId="8">#REF!</definedName>
    <definedName name="_____pcc2" localSheetId="11">#REF!</definedName>
    <definedName name="_____pcc2" localSheetId="9">#REF!</definedName>
    <definedName name="_____pcc2" localSheetId="18">#REF!</definedName>
    <definedName name="_____pcc2" localSheetId="15">#REF!</definedName>
    <definedName name="_____pcc2" localSheetId="7">#REF!</definedName>
    <definedName name="_____pcc2">#REF!</definedName>
    <definedName name="_____pcc3" localSheetId="12">#REF!</definedName>
    <definedName name="_____pcc3" localSheetId="8">#REF!</definedName>
    <definedName name="_____pcc3" localSheetId="11">#REF!</definedName>
    <definedName name="_____pcc3" localSheetId="9">#REF!</definedName>
    <definedName name="_____pcc3" localSheetId="18">#REF!</definedName>
    <definedName name="_____pcc3" localSheetId="15">#REF!</definedName>
    <definedName name="_____pcc3" localSheetId="7">#REF!</definedName>
    <definedName name="_____pcc3">#REF!</definedName>
    <definedName name="_____PCC4" localSheetId="12">#REF!</definedName>
    <definedName name="_____PCC4" localSheetId="8">#REF!</definedName>
    <definedName name="_____PCC4" localSheetId="11">#REF!</definedName>
    <definedName name="_____PCC4" localSheetId="9">#REF!</definedName>
    <definedName name="_____PCC4" localSheetId="18">#REF!</definedName>
    <definedName name="_____PCC4" localSheetId="15">#REF!</definedName>
    <definedName name="_____PCC4" localSheetId="7">#REF!</definedName>
    <definedName name="_____PCC4">#REF!</definedName>
    <definedName name="_____plb1" localSheetId="12">#REF!</definedName>
    <definedName name="_____plb1" localSheetId="8">#REF!</definedName>
    <definedName name="_____plb1" localSheetId="11">#REF!</definedName>
    <definedName name="_____plb1" localSheetId="9">#REF!</definedName>
    <definedName name="_____plb1" localSheetId="18">#REF!</definedName>
    <definedName name="_____plb1" localSheetId="15">#REF!</definedName>
    <definedName name="_____plb1" localSheetId="7">#REF!</definedName>
    <definedName name="_____plb1">#REF!</definedName>
    <definedName name="_____plb2" localSheetId="12">#REF!</definedName>
    <definedName name="_____plb2" localSheetId="8">#REF!</definedName>
    <definedName name="_____plb2" localSheetId="11">#REF!</definedName>
    <definedName name="_____plb2" localSheetId="9">#REF!</definedName>
    <definedName name="_____plb2" localSheetId="18">#REF!</definedName>
    <definedName name="_____plb2" localSheetId="15">#REF!</definedName>
    <definedName name="_____plb2" localSheetId="7">#REF!</definedName>
    <definedName name="_____plb2">#REF!</definedName>
    <definedName name="_____plb3" localSheetId="12">#REF!</definedName>
    <definedName name="_____plb3" localSheetId="8">#REF!</definedName>
    <definedName name="_____plb3" localSheetId="11">#REF!</definedName>
    <definedName name="_____plb3" localSheetId="9">#REF!</definedName>
    <definedName name="_____plb3" localSheetId="18">#REF!</definedName>
    <definedName name="_____plb3" localSheetId="15">#REF!</definedName>
    <definedName name="_____plb3" localSheetId="7">#REF!</definedName>
    <definedName name="_____plb3">#REF!</definedName>
    <definedName name="_____plb4" localSheetId="12">#REF!</definedName>
    <definedName name="_____plb4" localSheetId="8">#REF!</definedName>
    <definedName name="_____plb4" localSheetId="11">#REF!</definedName>
    <definedName name="_____plb4" localSheetId="9">#REF!</definedName>
    <definedName name="_____plb4" localSheetId="18">#REF!</definedName>
    <definedName name="_____plb4" localSheetId="15">#REF!</definedName>
    <definedName name="_____plb4" localSheetId="7">#REF!</definedName>
    <definedName name="_____plb4">#REF!</definedName>
    <definedName name="_____sep1" localSheetId="12">#REF!</definedName>
    <definedName name="_____sep1" localSheetId="8">#REF!</definedName>
    <definedName name="_____sep1" localSheetId="11">#REF!</definedName>
    <definedName name="_____sep1" localSheetId="9">#REF!</definedName>
    <definedName name="_____sep1" localSheetId="18">#REF!</definedName>
    <definedName name="_____sep1" localSheetId="15">#REF!</definedName>
    <definedName name="_____sep1" localSheetId="7">#REF!</definedName>
    <definedName name="_____sep1">#REF!</definedName>
    <definedName name="_____SH1" localSheetId="12">#REF!</definedName>
    <definedName name="_____SH1" localSheetId="8">#REF!</definedName>
    <definedName name="_____SH1" localSheetId="11">#REF!</definedName>
    <definedName name="_____SH1" localSheetId="9">#REF!</definedName>
    <definedName name="_____SH1" localSheetId="18">#REF!</definedName>
    <definedName name="_____SH1" localSheetId="15">#REF!</definedName>
    <definedName name="_____SH1" localSheetId="7">#REF!</definedName>
    <definedName name="_____SH1">#REF!</definedName>
    <definedName name="_____SH2" localSheetId="12">#REF!</definedName>
    <definedName name="_____SH2" localSheetId="8">#REF!</definedName>
    <definedName name="_____SH2" localSheetId="11">#REF!</definedName>
    <definedName name="_____SH2" localSheetId="9">#REF!</definedName>
    <definedName name="_____SH2" localSheetId="18">#REF!</definedName>
    <definedName name="_____SH2" localSheetId="15">#REF!</definedName>
    <definedName name="_____SH2" localSheetId="7">#REF!</definedName>
    <definedName name="_____SH2">#REF!</definedName>
    <definedName name="_____SH3" localSheetId="12">#REF!</definedName>
    <definedName name="_____SH3" localSheetId="8">#REF!</definedName>
    <definedName name="_____SH3" localSheetId="11">#REF!</definedName>
    <definedName name="_____SH3" localSheetId="9">#REF!</definedName>
    <definedName name="_____SH3" localSheetId="18">#REF!</definedName>
    <definedName name="_____SH3" localSheetId="15">#REF!</definedName>
    <definedName name="_____SH3" localSheetId="7">#REF!</definedName>
    <definedName name="_____SH3">#REF!</definedName>
    <definedName name="_____SH4" localSheetId="12">#REF!</definedName>
    <definedName name="_____SH4" localSheetId="8">#REF!</definedName>
    <definedName name="_____SH4" localSheetId="11">#REF!</definedName>
    <definedName name="_____SH4" localSheetId="9">#REF!</definedName>
    <definedName name="_____SH4" localSheetId="18">#REF!</definedName>
    <definedName name="_____SH4" localSheetId="15">#REF!</definedName>
    <definedName name="_____SH4" localSheetId="7">#REF!</definedName>
    <definedName name="_____SH4">#REF!</definedName>
    <definedName name="_____SH5" localSheetId="12">#REF!</definedName>
    <definedName name="_____SH5" localSheetId="8">#REF!</definedName>
    <definedName name="_____SH5" localSheetId="11">#REF!</definedName>
    <definedName name="_____SH5" localSheetId="9">#REF!</definedName>
    <definedName name="_____SH5" localSheetId="18">#REF!</definedName>
    <definedName name="_____SH5" localSheetId="15">#REF!</definedName>
    <definedName name="_____SH5" localSheetId="7">#REF!</definedName>
    <definedName name="_____SH5">#REF!</definedName>
    <definedName name="_____TB2" localSheetId="12">#REF!</definedName>
    <definedName name="_____TB2" localSheetId="8">#REF!</definedName>
    <definedName name="_____TB2" localSheetId="11">#REF!</definedName>
    <definedName name="_____TB2" localSheetId="9">#REF!</definedName>
    <definedName name="_____TB2" localSheetId="18">#REF!</definedName>
    <definedName name="_____TB2" localSheetId="15">#REF!</definedName>
    <definedName name="_____TB2" localSheetId="7">#REF!</definedName>
    <definedName name="_____TB2">#REF!</definedName>
    <definedName name="____A655600" localSheetId="12">#REF!</definedName>
    <definedName name="____A655600" localSheetId="8">#REF!</definedName>
    <definedName name="____A655600" localSheetId="11">#REF!</definedName>
    <definedName name="____A655600" localSheetId="9">#REF!</definedName>
    <definedName name="____A655600" localSheetId="18">#REF!</definedName>
    <definedName name="____A655600" localSheetId="15">#REF!</definedName>
    <definedName name="____A655600" localSheetId="7">#REF!</definedName>
    <definedName name="____A655600">#REF!</definedName>
    <definedName name="____alt1" localSheetId="12">#REF!</definedName>
    <definedName name="____alt1" localSheetId="0">#REF!</definedName>
    <definedName name="____alt1" localSheetId="1">#REF!</definedName>
    <definedName name="____alt1" localSheetId="8">#REF!</definedName>
    <definedName name="____alt1" localSheetId="11">#REF!</definedName>
    <definedName name="____alt1" localSheetId="9">#REF!</definedName>
    <definedName name="____alt1" localSheetId="18">#REF!</definedName>
    <definedName name="____alt1" localSheetId="15">#REF!</definedName>
    <definedName name="____alt1" localSheetId="7">#REF!</definedName>
    <definedName name="____alt1">#REF!</definedName>
    <definedName name="____ALT2" localSheetId="12">#REF!</definedName>
    <definedName name="____ALT2" localSheetId="0">#REF!</definedName>
    <definedName name="____ALT2" localSheetId="1">#REF!</definedName>
    <definedName name="____ALT2" localSheetId="8">#REF!</definedName>
    <definedName name="____ALT2" localSheetId="11">#REF!</definedName>
    <definedName name="____ALT2" localSheetId="9">#REF!</definedName>
    <definedName name="____ALT2" localSheetId="18">#REF!</definedName>
    <definedName name="____ALT2" localSheetId="15">#REF!</definedName>
    <definedName name="____ALT2" localSheetId="7">#REF!</definedName>
    <definedName name="____ALT2">#REF!</definedName>
    <definedName name="____ALT3" localSheetId="12">#REF!</definedName>
    <definedName name="____ALT3" localSheetId="0">#REF!</definedName>
    <definedName name="____ALT3" localSheetId="1">#REF!</definedName>
    <definedName name="____ALT3" localSheetId="8">#REF!</definedName>
    <definedName name="____ALT3" localSheetId="11">#REF!</definedName>
    <definedName name="____ALT3" localSheetId="9">#REF!</definedName>
    <definedName name="____ALT3" localSheetId="18">#REF!</definedName>
    <definedName name="____ALT3" localSheetId="15">#REF!</definedName>
    <definedName name="____ALT3" localSheetId="7">#REF!</definedName>
    <definedName name="____ALT3">#REF!</definedName>
    <definedName name="____ALT4" localSheetId="12">#REF!</definedName>
    <definedName name="____ALT4" localSheetId="0">#REF!</definedName>
    <definedName name="____ALT4" localSheetId="1">#REF!</definedName>
    <definedName name="____ALT4" localSheetId="8">#REF!</definedName>
    <definedName name="____ALT4" localSheetId="11">#REF!</definedName>
    <definedName name="____ALT4" localSheetId="9">#REF!</definedName>
    <definedName name="____ALT4" localSheetId="18">#REF!</definedName>
    <definedName name="____ALT4" localSheetId="15">#REF!</definedName>
    <definedName name="____ALT4" localSheetId="7">#REF!</definedName>
    <definedName name="____ALT4">#REF!</definedName>
    <definedName name="____ARD1" localSheetId="12">#REF!</definedName>
    <definedName name="____ARD1" localSheetId="8">#REF!</definedName>
    <definedName name="____ARD1" localSheetId="11">#REF!</definedName>
    <definedName name="____ARD1" localSheetId="9">#REF!</definedName>
    <definedName name="____ARD1" localSheetId="18">#REF!</definedName>
    <definedName name="____ARD1" localSheetId="15">#REF!</definedName>
    <definedName name="____ARD1" localSheetId="7">#REF!</definedName>
    <definedName name="____ARD1">#REF!</definedName>
    <definedName name="____ARD2" localSheetId="12">#REF!</definedName>
    <definedName name="____ARD2" localSheetId="8">#REF!</definedName>
    <definedName name="____ARD2" localSheetId="11">#REF!</definedName>
    <definedName name="____ARD2" localSheetId="9">#REF!</definedName>
    <definedName name="____ARD2" localSheetId="18">#REF!</definedName>
    <definedName name="____ARD2" localSheetId="15">#REF!</definedName>
    <definedName name="____ARD2" localSheetId="7">#REF!</definedName>
    <definedName name="____ARD2">#REF!</definedName>
    <definedName name="____B100000" localSheetId="12">#REF!</definedName>
    <definedName name="____B100000" localSheetId="8">#REF!</definedName>
    <definedName name="____B100000" localSheetId="11">#REF!</definedName>
    <definedName name="____B100000" localSheetId="9">#REF!</definedName>
    <definedName name="____B100000" localSheetId="18">#REF!</definedName>
    <definedName name="____B100000" localSheetId="15">#REF!</definedName>
    <definedName name="____B100000" localSheetId="7">#REF!</definedName>
    <definedName name="____B100000">#REF!</definedName>
    <definedName name="____B99999" localSheetId="12">#REF!</definedName>
    <definedName name="____B99999" localSheetId="8">#REF!</definedName>
    <definedName name="____B99999" localSheetId="11">#REF!</definedName>
    <definedName name="____B99999" localSheetId="9">#REF!</definedName>
    <definedName name="____B99999" localSheetId="18">#REF!</definedName>
    <definedName name="____B99999" localSheetId="15">#REF!</definedName>
    <definedName name="____B99999" localSheetId="7">#REF!</definedName>
    <definedName name="____B99999">#REF!</definedName>
    <definedName name="____B999999" localSheetId="12">#REF!</definedName>
    <definedName name="____B999999" localSheetId="8">#REF!</definedName>
    <definedName name="____B999999" localSheetId="11">#REF!</definedName>
    <definedName name="____B999999" localSheetId="9">#REF!</definedName>
    <definedName name="____B999999" localSheetId="18">#REF!</definedName>
    <definedName name="____B999999" localSheetId="15">#REF!</definedName>
    <definedName name="____B999999" localSheetId="7">#REF!</definedName>
    <definedName name="____B999999">#REF!</definedName>
    <definedName name="____bol1" localSheetId="12">#REF!</definedName>
    <definedName name="____bol1" localSheetId="8">#REF!</definedName>
    <definedName name="____bol1" localSheetId="11">#REF!</definedName>
    <definedName name="____bol1" localSheetId="9">#REF!</definedName>
    <definedName name="____bol1" localSheetId="18">#REF!</definedName>
    <definedName name="____bol1" localSheetId="15">#REF!</definedName>
    <definedName name="____bol1" localSheetId="7">#REF!</definedName>
    <definedName name="____bol1">#REF!</definedName>
    <definedName name="____exc1" localSheetId="12">#REF!</definedName>
    <definedName name="____exc1" localSheetId="8">#REF!</definedName>
    <definedName name="____exc1" localSheetId="11">#REF!</definedName>
    <definedName name="____exc1" localSheetId="9">#REF!</definedName>
    <definedName name="____exc1" localSheetId="18">#REF!</definedName>
    <definedName name="____exc1" localSheetId="15">#REF!</definedName>
    <definedName name="____exc1" localSheetId="7">#REF!</definedName>
    <definedName name="____exc1">#REF!</definedName>
    <definedName name="____exc11" localSheetId="12">#REF!</definedName>
    <definedName name="____exc11" localSheetId="8">#REF!</definedName>
    <definedName name="____exc11" localSheetId="11">#REF!</definedName>
    <definedName name="____exc11" localSheetId="9">#REF!</definedName>
    <definedName name="____exc11" localSheetId="18">#REF!</definedName>
    <definedName name="____exc11" localSheetId="15">#REF!</definedName>
    <definedName name="____exc11" localSheetId="7">#REF!</definedName>
    <definedName name="____exc11">#REF!</definedName>
    <definedName name="____exc2" localSheetId="12">#REF!</definedName>
    <definedName name="____exc2" localSheetId="8">#REF!</definedName>
    <definedName name="____exc2" localSheetId="11">#REF!</definedName>
    <definedName name="____exc2" localSheetId="9">#REF!</definedName>
    <definedName name="____exc2" localSheetId="18">#REF!</definedName>
    <definedName name="____exc2" localSheetId="15">#REF!</definedName>
    <definedName name="____exc2" localSheetId="7">#REF!</definedName>
    <definedName name="____exc2">#REF!</definedName>
    <definedName name="____EXC3" localSheetId="12">#REF!</definedName>
    <definedName name="____EXC3" localSheetId="8">#REF!</definedName>
    <definedName name="____EXC3" localSheetId="11">#REF!</definedName>
    <definedName name="____EXC3" localSheetId="9">#REF!</definedName>
    <definedName name="____EXC3" localSheetId="18">#REF!</definedName>
    <definedName name="____EXC3" localSheetId="15">#REF!</definedName>
    <definedName name="____EXC3" localSheetId="7">#REF!</definedName>
    <definedName name="____EXC3">#REF!</definedName>
    <definedName name="____EXC4" localSheetId="12">#REF!</definedName>
    <definedName name="____EXC4" localSheetId="8">#REF!</definedName>
    <definedName name="____EXC4" localSheetId="11">#REF!</definedName>
    <definedName name="____EXC4" localSheetId="9">#REF!</definedName>
    <definedName name="____EXC4" localSheetId="18">#REF!</definedName>
    <definedName name="____EXC4" localSheetId="15">#REF!</definedName>
    <definedName name="____EXC4" localSheetId="7">#REF!</definedName>
    <definedName name="____EXC4">#REF!</definedName>
    <definedName name="____flx200" localSheetId="12">#REF!</definedName>
    <definedName name="____flx200" localSheetId="8">#REF!</definedName>
    <definedName name="____flx200" localSheetId="11">#REF!</definedName>
    <definedName name="____flx200" localSheetId="9">#REF!</definedName>
    <definedName name="____flx200" localSheetId="18">#REF!</definedName>
    <definedName name="____flx200" localSheetId="15">#REF!</definedName>
    <definedName name="____flx200" localSheetId="7">#REF!</definedName>
    <definedName name="____flx200">#REF!</definedName>
    <definedName name="____flx250" localSheetId="12">#REF!</definedName>
    <definedName name="____flx250" localSheetId="8">#REF!</definedName>
    <definedName name="____flx250" localSheetId="11">#REF!</definedName>
    <definedName name="____flx250" localSheetId="9">#REF!</definedName>
    <definedName name="____flx250" localSheetId="18">#REF!</definedName>
    <definedName name="____flx250" localSheetId="15">#REF!</definedName>
    <definedName name="____flx250" localSheetId="7">#REF!</definedName>
    <definedName name="____flx250">#REF!</definedName>
    <definedName name="____flx300" localSheetId="12">#REF!</definedName>
    <definedName name="____flx300" localSheetId="8">#REF!</definedName>
    <definedName name="____flx300" localSheetId="11">#REF!</definedName>
    <definedName name="____flx300" localSheetId="9">#REF!</definedName>
    <definedName name="____flx300" localSheetId="18">#REF!</definedName>
    <definedName name="____flx300" localSheetId="15">#REF!</definedName>
    <definedName name="____flx300" localSheetId="7">#REF!</definedName>
    <definedName name="____flx300">#REF!</definedName>
    <definedName name="____foo1" localSheetId="12">#REF!</definedName>
    <definedName name="____foo1" localSheetId="8">#REF!</definedName>
    <definedName name="____foo1" localSheetId="11">#REF!</definedName>
    <definedName name="____foo1" localSheetId="9">#REF!</definedName>
    <definedName name="____foo1" localSheetId="18">#REF!</definedName>
    <definedName name="____foo1" localSheetId="15">#REF!</definedName>
    <definedName name="____foo1" localSheetId="7">#REF!</definedName>
    <definedName name="____foo1">#REF!</definedName>
    <definedName name="____foo2" localSheetId="12">#REF!</definedName>
    <definedName name="____foo2" localSheetId="8">#REF!</definedName>
    <definedName name="____foo2" localSheetId="11">#REF!</definedName>
    <definedName name="____foo2" localSheetId="9">#REF!</definedName>
    <definedName name="____foo2" localSheetId="18">#REF!</definedName>
    <definedName name="____foo2" localSheetId="15">#REF!</definedName>
    <definedName name="____foo2" localSheetId="7">#REF!</definedName>
    <definedName name="____foo2">#REF!</definedName>
    <definedName name="____foo3" localSheetId="12">#REF!</definedName>
    <definedName name="____foo3" localSheetId="8">#REF!</definedName>
    <definedName name="____foo3" localSheetId="11">#REF!</definedName>
    <definedName name="____foo3" localSheetId="9">#REF!</definedName>
    <definedName name="____foo3" localSheetId="18">#REF!</definedName>
    <definedName name="____foo3" localSheetId="15">#REF!</definedName>
    <definedName name="____foo3" localSheetId="7">#REF!</definedName>
    <definedName name="____foo3">#REF!</definedName>
    <definedName name="____FOO4" localSheetId="12">#REF!</definedName>
    <definedName name="____FOO4" localSheetId="8">#REF!</definedName>
    <definedName name="____FOO4" localSheetId="11">#REF!</definedName>
    <definedName name="____FOO4" localSheetId="9">#REF!</definedName>
    <definedName name="____FOO4" localSheetId="18">#REF!</definedName>
    <definedName name="____FOO4" localSheetId="15">#REF!</definedName>
    <definedName name="____FOO4" localSheetId="7">#REF!</definedName>
    <definedName name="____FOO4">#REF!</definedName>
    <definedName name="____IV65700" localSheetId="12">#REF!</definedName>
    <definedName name="____IV65700" localSheetId="8">#REF!</definedName>
    <definedName name="____IV65700" localSheetId="11">#REF!</definedName>
    <definedName name="____IV65700" localSheetId="9">#REF!</definedName>
    <definedName name="____IV65700" localSheetId="18">#REF!</definedName>
    <definedName name="____IV65700" localSheetId="15">#REF!</definedName>
    <definedName name="____IV65700" localSheetId="7">#REF!</definedName>
    <definedName name="____IV65700">#REF!</definedName>
    <definedName name="____IV66000" localSheetId="12">#REF!</definedName>
    <definedName name="____IV66000" localSheetId="8">#REF!</definedName>
    <definedName name="____IV66000" localSheetId="11">#REF!</definedName>
    <definedName name="____IV66000" localSheetId="9">#REF!</definedName>
    <definedName name="____IV66000" localSheetId="18">#REF!</definedName>
    <definedName name="____IV66000" localSheetId="15">#REF!</definedName>
    <definedName name="____IV66000" localSheetId="7">#REF!</definedName>
    <definedName name="____IV66000">#REF!</definedName>
    <definedName name="____IV67000" localSheetId="12">#REF!</definedName>
    <definedName name="____IV67000" localSheetId="8">#REF!</definedName>
    <definedName name="____IV67000" localSheetId="11">#REF!</definedName>
    <definedName name="____IV67000" localSheetId="9">#REF!</definedName>
    <definedName name="____IV67000" localSheetId="18">#REF!</definedName>
    <definedName name="____IV67000" localSheetId="15">#REF!</definedName>
    <definedName name="____IV67000" localSheetId="7">#REF!</definedName>
    <definedName name="____IV67000">#REF!</definedName>
    <definedName name="____IV70000" localSheetId="12">#REF!</definedName>
    <definedName name="____IV70000" localSheetId="8">#REF!</definedName>
    <definedName name="____IV70000" localSheetId="11">#REF!</definedName>
    <definedName name="____IV70000" localSheetId="9">#REF!</definedName>
    <definedName name="____IV70000" localSheetId="18">#REF!</definedName>
    <definedName name="____IV70000" localSheetId="15">#REF!</definedName>
    <definedName name="____IV70000" localSheetId="7">#REF!</definedName>
    <definedName name="____IV70000">#REF!</definedName>
    <definedName name="____IV99999" localSheetId="12">#REF!</definedName>
    <definedName name="____IV99999" localSheetId="8">#REF!</definedName>
    <definedName name="____IV99999" localSheetId="11">#REF!</definedName>
    <definedName name="____IV99999" localSheetId="9">#REF!</definedName>
    <definedName name="____IV99999" localSheetId="18">#REF!</definedName>
    <definedName name="____IV99999" localSheetId="15">#REF!</definedName>
    <definedName name="____IV99999" localSheetId="7">#REF!</definedName>
    <definedName name="____IV99999">#REF!</definedName>
    <definedName name="____K85167" localSheetId="12">#REF!</definedName>
    <definedName name="____K85167" localSheetId="8">#REF!</definedName>
    <definedName name="____K85167" localSheetId="11">#REF!</definedName>
    <definedName name="____K85167" localSheetId="9">#REF!</definedName>
    <definedName name="____K85167" localSheetId="18">#REF!</definedName>
    <definedName name="____K85167" localSheetId="15">#REF!</definedName>
    <definedName name="____K85167" localSheetId="7">#REF!</definedName>
    <definedName name="____K85167">#REF!</definedName>
    <definedName name="____mar08" localSheetId="12">#REF!</definedName>
    <definedName name="____mar08" localSheetId="8">#REF!</definedName>
    <definedName name="____mar08" localSheetId="11">#REF!</definedName>
    <definedName name="____mar08" localSheetId="9">#REF!</definedName>
    <definedName name="____mar08" localSheetId="18">#REF!</definedName>
    <definedName name="____mar08" localSheetId="15">#REF!</definedName>
    <definedName name="____mar08" localSheetId="7">#REF!</definedName>
    <definedName name="____mar08">#REF!</definedName>
    <definedName name="____ML1" localSheetId="12">#REF!</definedName>
    <definedName name="____ML1" localSheetId="8">#REF!</definedName>
    <definedName name="____ML1" localSheetId="11">#REF!</definedName>
    <definedName name="____ML1" localSheetId="9">#REF!</definedName>
    <definedName name="____ML1" localSheetId="18">#REF!</definedName>
    <definedName name="____ML1" localSheetId="15">#REF!</definedName>
    <definedName name="____ML1" localSheetId="7">#REF!</definedName>
    <definedName name="____ML1">#REF!</definedName>
    <definedName name="____ML2" localSheetId="12">#REF!</definedName>
    <definedName name="____ML2" localSheetId="8">#REF!</definedName>
    <definedName name="____ML2" localSheetId="11">#REF!</definedName>
    <definedName name="____ML2" localSheetId="9">#REF!</definedName>
    <definedName name="____ML2" localSheetId="18">#REF!</definedName>
    <definedName name="____ML2" localSheetId="15">#REF!</definedName>
    <definedName name="____ML2" localSheetId="7">#REF!</definedName>
    <definedName name="____ML2">#REF!</definedName>
    <definedName name="____ns1" localSheetId="12" hidden="1">{#N/A,#N/A,FALSE,"COVER1.XLS ";#N/A,#N/A,FALSE,"RACT1.XLS";#N/A,#N/A,FALSE,"RACT2.XLS";#N/A,#N/A,FALSE,"ECCMP";#N/A,#N/A,FALSE,"WELDER.XLS"}</definedName>
    <definedName name="____ns1" localSheetId="6" hidden="1">{#N/A,#N/A,FALSE,"COVER1.XLS ";#N/A,#N/A,FALSE,"RACT1.XLS";#N/A,#N/A,FALSE,"RACT2.XLS";#N/A,#N/A,FALSE,"ECCMP";#N/A,#N/A,FALSE,"WELDER.XLS"}</definedName>
    <definedName name="____ns1" localSheetId="5" hidden="1">{#N/A,#N/A,FALSE,"COVER1.XLS ";#N/A,#N/A,FALSE,"RACT1.XLS";#N/A,#N/A,FALSE,"RACT2.XLS";#N/A,#N/A,FALSE,"ECCMP";#N/A,#N/A,FALSE,"WELDER.XLS"}</definedName>
    <definedName name="____ns1" localSheetId="8" hidden="1">{#N/A,#N/A,FALSE,"COVER1.XLS ";#N/A,#N/A,FALSE,"RACT1.XLS";#N/A,#N/A,FALSE,"RACT2.XLS";#N/A,#N/A,FALSE,"ECCMP";#N/A,#N/A,FALSE,"WELDER.XLS"}</definedName>
    <definedName name="____ns1" localSheetId="11" hidden="1">{#N/A,#N/A,FALSE,"COVER1.XLS ";#N/A,#N/A,FALSE,"RACT1.XLS";#N/A,#N/A,FALSE,"RACT2.XLS";#N/A,#N/A,FALSE,"ECCMP";#N/A,#N/A,FALSE,"WELDER.XLS"}</definedName>
    <definedName name="____ns1" localSheetId="9" hidden="1">{#N/A,#N/A,FALSE,"COVER1.XLS ";#N/A,#N/A,FALSE,"RACT1.XLS";#N/A,#N/A,FALSE,"RACT2.XLS";#N/A,#N/A,FALSE,"ECCMP";#N/A,#N/A,FALSE,"WELDER.XLS"}</definedName>
    <definedName name="____ns1" localSheetId="13" hidden="1">{#N/A,#N/A,FALSE,"COVER1.XLS ";#N/A,#N/A,FALSE,"RACT1.XLS";#N/A,#N/A,FALSE,"RACT2.XLS";#N/A,#N/A,FALSE,"ECCMP";#N/A,#N/A,FALSE,"WELDER.XLS"}</definedName>
    <definedName name="____ns1" localSheetId="18" hidden="1">{#N/A,#N/A,FALSE,"COVER1.XLS ";#N/A,#N/A,FALSE,"RACT1.XLS";#N/A,#N/A,FALSE,"RACT2.XLS";#N/A,#N/A,FALSE,"ECCMP";#N/A,#N/A,FALSE,"WELDER.XLS"}</definedName>
    <definedName name="____ns1" localSheetId="15" hidden="1">{#N/A,#N/A,FALSE,"COVER1.XLS ";#N/A,#N/A,FALSE,"RACT1.XLS";#N/A,#N/A,FALSE,"RACT2.XLS";#N/A,#N/A,FALSE,"ECCMP";#N/A,#N/A,FALSE,"WELDER.XLS"}</definedName>
    <definedName name="____ns1" localSheetId="7" hidden="1">{#N/A,#N/A,FALSE,"COVER1.XLS ";#N/A,#N/A,FALSE,"RACT1.XLS";#N/A,#N/A,FALSE,"RACT2.XLS";#N/A,#N/A,FALSE,"ECCMP";#N/A,#N/A,FALSE,"WELDER.XLS"}</definedName>
    <definedName name="____ns1" hidden="1">{#N/A,#N/A,FALSE,"COVER1.XLS ";#N/A,#N/A,FALSE,"RACT1.XLS";#N/A,#N/A,FALSE,"RACT2.XLS";#N/A,#N/A,FALSE,"ECCMP";#N/A,#N/A,FALSE,"WELDER.XLS"}</definedName>
    <definedName name="____pa1" localSheetId="12">#REF!</definedName>
    <definedName name="____pa1" localSheetId="6">#REF!</definedName>
    <definedName name="____pa1" localSheetId="5">#REF!</definedName>
    <definedName name="____pa1" localSheetId="8">#REF!</definedName>
    <definedName name="____pa1" localSheetId="11">#REF!</definedName>
    <definedName name="____pa1" localSheetId="9">#REF!</definedName>
    <definedName name="____pa1" localSheetId="18">#REF!</definedName>
    <definedName name="____pa1" localSheetId="15">#REF!</definedName>
    <definedName name="____pa1" localSheetId="7">#REF!</definedName>
    <definedName name="____pa1">#REF!</definedName>
    <definedName name="____pa2" localSheetId="12">#REF!</definedName>
    <definedName name="____pa2" localSheetId="6">#REF!</definedName>
    <definedName name="____pa2" localSheetId="5">#REF!</definedName>
    <definedName name="____pa2" localSheetId="8">#REF!</definedName>
    <definedName name="____pa2" localSheetId="11">#REF!</definedName>
    <definedName name="____pa2" localSheetId="9">#REF!</definedName>
    <definedName name="____pa2" localSheetId="18">#REF!</definedName>
    <definedName name="____pa2" localSheetId="15">#REF!</definedName>
    <definedName name="____pa2" localSheetId="7">#REF!</definedName>
    <definedName name="____pa2">#REF!</definedName>
    <definedName name="____pcc1" localSheetId="12">#REF!</definedName>
    <definedName name="____pcc1" localSheetId="6">#REF!</definedName>
    <definedName name="____pcc1" localSheetId="5">#REF!</definedName>
    <definedName name="____pcc1" localSheetId="8">#REF!</definedName>
    <definedName name="____pcc1" localSheetId="11">#REF!</definedName>
    <definedName name="____pcc1" localSheetId="9">#REF!</definedName>
    <definedName name="____pcc1" localSheetId="18">#REF!</definedName>
    <definedName name="____pcc1" localSheetId="15">#REF!</definedName>
    <definedName name="____pcc1" localSheetId="7">#REF!</definedName>
    <definedName name="____pcc1">#REF!</definedName>
    <definedName name="____pcc2" localSheetId="12">#REF!</definedName>
    <definedName name="____pcc2" localSheetId="8">#REF!</definedName>
    <definedName name="____pcc2" localSheetId="11">#REF!</definedName>
    <definedName name="____pcc2" localSheetId="9">#REF!</definedName>
    <definedName name="____pcc2" localSheetId="18">#REF!</definedName>
    <definedName name="____pcc2" localSheetId="15">#REF!</definedName>
    <definedName name="____pcc2" localSheetId="7">#REF!</definedName>
    <definedName name="____pcc2">#REF!</definedName>
    <definedName name="____pcc3" localSheetId="12">#REF!</definedName>
    <definedName name="____pcc3" localSheetId="8">#REF!</definedName>
    <definedName name="____pcc3" localSheetId="11">#REF!</definedName>
    <definedName name="____pcc3" localSheetId="9">#REF!</definedName>
    <definedName name="____pcc3" localSheetId="18">#REF!</definedName>
    <definedName name="____pcc3" localSheetId="15">#REF!</definedName>
    <definedName name="____pcc3" localSheetId="7">#REF!</definedName>
    <definedName name="____pcc3">#REF!</definedName>
    <definedName name="____PCC4" localSheetId="12">#REF!</definedName>
    <definedName name="____PCC4" localSheetId="8">#REF!</definedName>
    <definedName name="____PCC4" localSheetId="11">#REF!</definedName>
    <definedName name="____PCC4" localSheetId="9">#REF!</definedName>
    <definedName name="____PCC4" localSheetId="18">#REF!</definedName>
    <definedName name="____PCC4" localSheetId="15">#REF!</definedName>
    <definedName name="____PCC4" localSheetId="7">#REF!</definedName>
    <definedName name="____PCC4">#REF!</definedName>
    <definedName name="____plb1" localSheetId="12">#REF!</definedName>
    <definedName name="____plb1" localSheetId="8">#REF!</definedName>
    <definedName name="____plb1" localSheetId="11">#REF!</definedName>
    <definedName name="____plb1" localSheetId="9">#REF!</definedName>
    <definedName name="____plb1" localSheetId="18">#REF!</definedName>
    <definedName name="____plb1" localSheetId="15">#REF!</definedName>
    <definedName name="____plb1" localSheetId="7">#REF!</definedName>
    <definedName name="____plb1">#REF!</definedName>
    <definedName name="____plb2" localSheetId="12">#REF!</definedName>
    <definedName name="____plb2" localSheetId="8">#REF!</definedName>
    <definedName name="____plb2" localSheetId="11">#REF!</definedName>
    <definedName name="____plb2" localSheetId="9">#REF!</definedName>
    <definedName name="____plb2" localSheetId="18">#REF!</definedName>
    <definedName name="____plb2" localSheetId="15">#REF!</definedName>
    <definedName name="____plb2" localSheetId="7">#REF!</definedName>
    <definedName name="____plb2">#REF!</definedName>
    <definedName name="____plb3" localSheetId="12">#REF!</definedName>
    <definedName name="____plb3" localSheetId="8">#REF!</definedName>
    <definedName name="____plb3" localSheetId="11">#REF!</definedName>
    <definedName name="____plb3" localSheetId="9">#REF!</definedName>
    <definedName name="____plb3" localSheetId="18">#REF!</definedName>
    <definedName name="____plb3" localSheetId="15">#REF!</definedName>
    <definedName name="____plb3" localSheetId="7">#REF!</definedName>
    <definedName name="____plb3">#REF!</definedName>
    <definedName name="____plb4" localSheetId="12">#REF!</definedName>
    <definedName name="____plb4" localSheetId="8">#REF!</definedName>
    <definedName name="____plb4" localSheetId="11">#REF!</definedName>
    <definedName name="____plb4" localSheetId="9">#REF!</definedName>
    <definedName name="____plb4" localSheetId="18">#REF!</definedName>
    <definedName name="____plb4" localSheetId="15">#REF!</definedName>
    <definedName name="____plb4" localSheetId="7">#REF!</definedName>
    <definedName name="____plb4">#REF!</definedName>
    <definedName name="____sep1" localSheetId="12">#REF!</definedName>
    <definedName name="____sep1" localSheetId="8">#REF!</definedName>
    <definedName name="____sep1" localSheetId="11">#REF!</definedName>
    <definedName name="____sep1" localSheetId="9">#REF!</definedName>
    <definedName name="____sep1" localSheetId="18">#REF!</definedName>
    <definedName name="____sep1" localSheetId="15">#REF!</definedName>
    <definedName name="____sep1" localSheetId="7">#REF!</definedName>
    <definedName name="____sep1">#REF!</definedName>
    <definedName name="____SH1" localSheetId="12">#REF!</definedName>
    <definedName name="____SH1" localSheetId="8">#REF!</definedName>
    <definedName name="____SH1" localSheetId="11">#REF!</definedName>
    <definedName name="____SH1" localSheetId="9">#REF!</definedName>
    <definedName name="____SH1" localSheetId="18">#REF!</definedName>
    <definedName name="____SH1" localSheetId="15">#REF!</definedName>
    <definedName name="____SH1" localSheetId="7">#REF!</definedName>
    <definedName name="____SH1">#REF!</definedName>
    <definedName name="____SH2" localSheetId="12">#REF!</definedName>
    <definedName name="____SH2" localSheetId="8">#REF!</definedName>
    <definedName name="____SH2" localSheetId="11">#REF!</definedName>
    <definedName name="____SH2" localSheetId="9">#REF!</definedName>
    <definedName name="____SH2" localSheetId="18">#REF!</definedName>
    <definedName name="____SH2" localSheetId="15">#REF!</definedName>
    <definedName name="____SH2" localSheetId="7">#REF!</definedName>
    <definedName name="____SH2">#REF!</definedName>
    <definedName name="____SH3" localSheetId="12">#REF!</definedName>
    <definedName name="____SH3" localSheetId="8">#REF!</definedName>
    <definedName name="____SH3" localSheetId="11">#REF!</definedName>
    <definedName name="____SH3" localSheetId="9">#REF!</definedName>
    <definedName name="____SH3" localSheetId="18">#REF!</definedName>
    <definedName name="____SH3" localSheetId="15">#REF!</definedName>
    <definedName name="____SH3" localSheetId="7">#REF!</definedName>
    <definedName name="____SH3">#REF!</definedName>
    <definedName name="____SH4" localSheetId="12">#REF!</definedName>
    <definedName name="____SH4" localSheetId="8">#REF!</definedName>
    <definedName name="____SH4" localSheetId="11">#REF!</definedName>
    <definedName name="____SH4" localSheetId="9">#REF!</definedName>
    <definedName name="____SH4" localSheetId="18">#REF!</definedName>
    <definedName name="____SH4" localSheetId="15">#REF!</definedName>
    <definedName name="____SH4" localSheetId="7">#REF!</definedName>
    <definedName name="____SH4">#REF!</definedName>
    <definedName name="____SH5" localSheetId="12">#REF!</definedName>
    <definedName name="____SH5" localSheetId="8">#REF!</definedName>
    <definedName name="____SH5" localSheetId="11">#REF!</definedName>
    <definedName name="____SH5" localSheetId="9">#REF!</definedName>
    <definedName name="____SH5" localSheetId="18">#REF!</definedName>
    <definedName name="____SH5" localSheetId="15">#REF!</definedName>
    <definedName name="____SH5" localSheetId="7">#REF!</definedName>
    <definedName name="____SH5">#REF!</definedName>
    <definedName name="____TB2" localSheetId="12">#REF!</definedName>
    <definedName name="____TB2" localSheetId="8">#REF!</definedName>
    <definedName name="____TB2" localSheetId="11">#REF!</definedName>
    <definedName name="____TB2" localSheetId="9">#REF!</definedName>
    <definedName name="____TB2" localSheetId="18">#REF!</definedName>
    <definedName name="____TB2" localSheetId="15">#REF!</definedName>
    <definedName name="____TB2" localSheetId="7">#REF!</definedName>
    <definedName name="____TB2">#REF!</definedName>
    <definedName name="___A655600" localSheetId="12">#REF!</definedName>
    <definedName name="___A655600" localSheetId="8">#REF!</definedName>
    <definedName name="___A655600" localSheetId="11">#REF!</definedName>
    <definedName name="___A655600" localSheetId="9">#REF!</definedName>
    <definedName name="___A655600" localSheetId="18">#REF!</definedName>
    <definedName name="___A655600" localSheetId="15">#REF!</definedName>
    <definedName name="___A655600" localSheetId="7">#REF!</definedName>
    <definedName name="___A655600">#REF!</definedName>
    <definedName name="___alt1" localSheetId="12">#REF!</definedName>
    <definedName name="___alt1" localSheetId="0">#REF!</definedName>
    <definedName name="___alt1" localSheetId="1">#REF!</definedName>
    <definedName name="___alt1" localSheetId="8">#REF!</definedName>
    <definedName name="___alt1" localSheetId="11">#REF!</definedName>
    <definedName name="___alt1" localSheetId="9">#REF!</definedName>
    <definedName name="___alt1" localSheetId="18">#REF!</definedName>
    <definedName name="___alt1" localSheetId="15">#REF!</definedName>
    <definedName name="___alt1" localSheetId="7">#REF!</definedName>
    <definedName name="___alt1">#REF!</definedName>
    <definedName name="___ALT2" localSheetId="12">#REF!</definedName>
    <definedName name="___ALT2" localSheetId="0">#REF!</definedName>
    <definedName name="___ALT2" localSheetId="1">#REF!</definedName>
    <definedName name="___ALT2" localSheetId="8">#REF!</definedName>
    <definedName name="___ALT2" localSheetId="11">#REF!</definedName>
    <definedName name="___ALT2" localSheetId="9">#REF!</definedName>
    <definedName name="___ALT2" localSheetId="18">#REF!</definedName>
    <definedName name="___ALT2" localSheetId="15">#REF!</definedName>
    <definedName name="___ALT2" localSheetId="7">#REF!</definedName>
    <definedName name="___ALT2">#REF!</definedName>
    <definedName name="___ALT3" localSheetId="12">#REF!</definedName>
    <definedName name="___ALT3" localSheetId="0">#REF!</definedName>
    <definedName name="___ALT3" localSheetId="1">#REF!</definedName>
    <definedName name="___ALT3" localSheetId="8">#REF!</definedName>
    <definedName name="___ALT3" localSheetId="11">#REF!</definedName>
    <definedName name="___ALT3" localSheetId="9">#REF!</definedName>
    <definedName name="___ALT3" localSheetId="18">#REF!</definedName>
    <definedName name="___ALT3" localSheetId="15">#REF!</definedName>
    <definedName name="___ALT3" localSheetId="7">#REF!</definedName>
    <definedName name="___ALT3">#REF!</definedName>
    <definedName name="___ALT4" localSheetId="12">#REF!</definedName>
    <definedName name="___ALT4" localSheetId="0">#REF!</definedName>
    <definedName name="___ALT4" localSheetId="1">#REF!</definedName>
    <definedName name="___ALT4" localSheetId="8">#REF!</definedName>
    <definedName name="___ALT4" localSheetId="11">#REF!</definedName>
    <definedName name="___ALT4" localSheetId="9">#REF!</definedName>
    <definedName name="___ALT4" localSheetId="18">#REF!</definedName>
    <definedName name="___ALT4" localSheetId="15">#REF!</definedName>
    <definedName name="___ALT4" localSheetId="7">#REF!</definedName>
    <definedName name="___ALT4">#REF!</definedName>
    <definedName name="___ARD1" localSheetId="12">#REF!</definedName>
    <definedName name="___ARD1" localSheetId="8">#REF!</definedName>
    <definedName name="___ARD1" localSheetId="11">#REF!</definedName>
    <definedName name="___ARD1" localSheetId="9">#REF!</definedName>
    <definedName name="___ARD1" localSheetId="18">#REF!</definedName>
    <definedName name="___ARD1" localSheetId="15">#REF!</definedName>
    <definedName name="___ARD1" localSheetId="7">#REF!</definedName>
    <definedName name="___ARD1">#REF!</definedName>
    <definedName name="___ARD2" localSheetId="12">#REF!</definedName>
    <definedName name="___ARD2" localSheetId="8">#REF!</definedName>
    <definedName name="___ARD2" localSheetId="11">#REF!</definedName>
    <definedName name="___ARD2" localSheetId="9">#REF!</definedName>
    <definedName name="___ARD2" localSheetId="18">#REF!</definedName>
    <definedName name="___ARD2" localSheetId="15">#REF!</definedName>
    <definedName name="___ARD2" localSheetId="7">#REF!</definedName>
    <definedName name="___ARD2">#REF!</definedName>
    <definedName name="___B100000" localSheetId="12">#REF!</definedName>
    <definedName name="___B100000" localSheetId="8">#REF!</definedName>
    <definedName name="___B100000" localSheetId="11">#REF!</definedName>
    <definedName name="___B100000" localSheetId="9">#REF!</definedName>
    <definedName name="___B100000" localSheetId="18">#REF!</definedName>
    <definedName name="___B100000" localSheetId="15">#REF!</definedName>
    <definedName name="___B100000" localSheetId="7">#REF!</definedName>
    <definedName name="___B100000">#REF!</definedName>
    <definedName name="___b111121" localSheetId="12">#REF!</definedName>
    <definedName name="___b111121" localSheetId="8">#REF!</definedName>
    <definedName name="___b111121" localSheetId="11">#REF!</definedName>
    <definedName name="___b111121" localSheetId="9">#REF!</definedName>
    <definedName name="___b111121" localSheetId="18">#REF!</definedName>
    <definedName name="___b111121" localSheetId="15">#REF!</definedName>
    <definedName name="___b111121" localSheetId="7">#REF!</definedName>
    <definedName name="___b111121">#REF!</definedName>
    <definedName name="___B99999" localSheetId="12">#REF!</definedName>
    <definedName name="___B99999" localSheetId="8">#REF!</definedName>
    <definedName name="___B99999" localSheetId="11">#REF!</definedName>
    <definedName name="___B99999" localSheetId="9">#REF!</definedName>
    <definedName name="___B99999" localSheetId="18">#REF!</definedName>
    <definedName name="___B99999" localSheetId="15">#REF!</definedName>
    <definedName name="___B99999" localSheetId="7">#REF!</definedName>
    <definedName name="___B99999">#REF!</definedName>
    <definedName name="___B999999" localSheetId="12">#REF!</definedName>
    <definedName name="___B999999" localSheetId="8">#REF!</definedName>
    <definedName name="___B999999" localSheetId="11">#REF!</definedName>
    <definedName name="___B999999" localSheetId="9">#REF!</definedName>
    <definedName name="___B999999" localSheetId="18">#REF!</definedName>
    <definedName name="___B999999" localSheetId="15">#REF!</definedName>
    <definedName name="___B999999" localSheetId="7">#REF!</definedName>
    <definedName name="___B999999">#REF!</definedName>
    <definedName name="___bol1" localSheetId="12">#REF!</definedName>
    <definedName name="___bol1" localSheetId="8">#REF!</definedName>
    <definedName name="___bol1" localSheetId="11">#REF!</definedName>
    <definedName name="___bol1" localSheetId="9">#REF!</definedName>
    <definedName name="___bol1" localSheetId="18">#REF!</definedName>
    <definedName name="___bol1" localSheetId="15">#REF!</definedName>
    <definedName name="___bol1" localSheetId="7">#REF!</definedName>
    <definedName name="___bol1">#REF!</definedName>
    <definedName name="___can430">40.73</definedName>
    <definedName name="___can435">43.3</definedName>
    <definedName name="___dim4" localSheetId="12">#REF!</definedName>
    <definedName name="___dim4" localSheetId="6">#REF!</definedName>
    <definedName name="___dim4" localSheetId="5">#REF!</definedName>
    <definedName name="___dim4" localSheetId="8">#REF!</definedName>
    <definedName name="___dim4" localSheetId="11">#REF!</definedName>
    <definedName name="___dim4" localSheetId="9">#REF!</definedName>
    <definedName name="___dim4" localSheetId="18">#REF!</definedName>
    <definedName name="___dim4" localSheetId="15">#REF!</definedName>
    <definedName name="___dim4" localSheetId="7">#REF!</definedName>
    <definedName name="___dim4">#REF!</definedName>
    <definedName name="___dk1" localSheetId="12" hidden="1">{#N/A,#N/A,FALSE,"COVER.XLS";#N/A,#N/A,FALSE,"RACT1.XLS";#N/A,#N/A,FALSE,"RACT2.XLS";#N/A,#N/A,FALSE,"ECCMP";#N/A,#N/A,FALSE,"WELDER.XLS"}</definedName>
    <definedName name="___dk1" localSheetId="6" hidden="1">{#N/A,#N/A,FALSE,"COVER.XLS";#N/A,#N/A,FALSE,"RACT1.XLS";#N/A,#N/A,FALSE,"RACT2.XLS";#N/A,#N/A,FALSE,"ECCMP";#N/A,#N/A,FALSE,"WELDER.XLS"}</definedName>
    <definedName name="___dk1" localSheetId="5" hidden="1">{#N/A,#N/A,FALSE,"COVER.XLS";#N/A,#N/A,FALSE,"RACT1.XLS";#N/A,#N/A,FALSE,"RACT2.XLS";#N/A,#N/A,FALSE,"ECCMP";#N/A,#N/A,FALSE,"WELDER.XLS"}</definedName>
    <definedName name="___dk1" localSheetId="8" hidden="1">{#N/A,#N/A,FALSE,"COVER.XLS";#N/A,#N/A,FALSE,"RACT1.XLS";#N/A,#N/A,FALSE,"RACT2.XLS";#N/A,#N/A,FALSE,"ECCMP";#N/A,#N/A,FALSE,"WELDER.XLS"}</definedName>
    <definedName name="___dk1" localSheetId="11" hidden="1">{#N/A,#N/A,FALSE,"COVER.XLS";#N/A,#N/A,FALSE,"RACT1.XLS";#N/A,#N/A,FALSE,"RACT2.XLS";#N/A,#N/A,FALSE,"ECCMP";#N/A,#N/A,FALSE,"WELDER.XLS"}</definedName>
    <definedName name="___dk1" localSheetId="9" hidden="1">{#N/A,#N/A,FALSE,"COVER.XLS";#N/A,#N/A,FALSE,"RACT1.XLS";#N/A,#N/A,FALSE,"RACT2.XLS";#N/A,#N/A,FALSE,"ECCMP";#N/A,#N/A,FALSE,"WELDER.XLS"}</definedName>
    <definedName name="___dk1" localSheetId="13" hidden="1">{#N/A,#N/A,FALSE,"COVER.XLS";#N/A,#N/A,FALSE,"RACT1.XLS";#N/A,#N/A,FALSE,"RACT2.XLS";#N/A,#N/A,FALSE,"ECCMP";#N/A,#N/A,FALSE,"WELDER.XLS"}</definedName>
    <definedName name="___dk1" localSheetId="18" hidden="1">{#N/A,#N/A,FALSE,"COVER.XLS";#N/A,#N/A,FALSE,"RACT1.XLS";#N/A,#N/A,FALSE,"RACT2.XLS";#N/A,#N/A,FALSE,"ECCMP";#N/A,#N/A,FALSE,"WELDER.XLS"}</definedName>
    <definedName name="___dk1" localSheetId="15" hidden="1">{#N/A,#N/A,FALSE,"COVER.XLS";#N/A,#N/A,FALSE,"RACT1.XLS";#N/A,#N/A,FALSE,"RACT2.XLS";#N/A,#N/A,FALSE,"ECCMP";#N/A,#N/A,FALSE,"WELDER.XLS"}</definedName>
    <definedName name="___dk1" localSheetId="7" hidden="1">{#N/A,#N/A,FALSE,"COVER.XLS";#N/A,#N/A,FALSE,"RACT1.XLS";#N/A,#N/A,FALSE,"RACT2.XLS";#N/A,#N/A,FALSE,"ECCMP";#N/A,#N/A,FALSE,"WELDER.XLS"}</definedName>
    <definedName name="___dk1" hidden="1">{#N/A,#N/A,FALSE,"COVER.XLS";#N/A,#N/A,FALSE,"RACT1.XLS";#N/A,#N/A,FALSE,"RACT2.XLS";#N/A,#N/A,FALSE,"ECCMP";#N/A,#N/A,FALSE,"WELDER.XLS"}</definedName>
    <definedName name="___exc1" localSheetId="12">#REF!</definedName>
    <definedName name="___exc1" localSheetId="6">#REF!</definedName>
    <definedName name="___exc1" localSheetId="5">#REF!</definedName>
    <definedName name="___exc1" localSheetId="8">#REF!</definedName>
    <definedName name="___exc1" localSheetId="11">#REF!</definedName>
    <definedName name="___exc1" localSheetId="9">#REF!</definedName>
    <definedName name="___exc1" localSheetId="18">#REF!</definedName>
    <definedName name="___exc1" localSheetId="15">#REF!</definedName>
    <definedName name="___exc1" localSheetId="7">#REF!</definedName>
    <definedName name="___exc1">#REF!</definedName>
    <definedName name="___exc11" localSheetId="12">#REF!</definedName>
    <definedName name="___exc11" localSheetId="6">#REF!</definedName>
    <definedName name="___exc11" localSheetId="5">#REF!</definedName>
    <definedName name="___exc11" localSheetId="8">#REF!</definedName>
    <definedName name="___exc11" localSheetId="11">#REF!</definedName>
    <definedName name="___exc11" localSheetId="9">#REF!</definedName>
    <definedName name="___exc11" localSheetId="18">#REF!</definedName>
    <definedName name="___exc11" localSheetId="15">#REF!</definedName>
    <definedName name="___exc11" localSheetId="7">#REF!</definedName>
    <definedName name="___exc11">#REF!</definedName>
    <definedName name="___exc2" localSheetId="12">#REF!</definedName>
    <definedName name="___exc2" localSheetId="6">#REF!</definedName>
    <definedName name="___exc2" localSheetId="5">#REF!</definedName>
    <definedName name="___exc2" localSheetId="8">#REF!</definedName>
    <definedName name="___exc2" localSheetId="11">#REF!</definedName>
    <definedName name="___exc2" localSheetId="9">#REF!</definedName>
    <definedName name="___exc2" localSheetId="18">#REF!</definedName>
    <definedName name="___exc2" localSheetId="15">#REF!</definedName>
    <definedName name="___exc2" localSheetId="7">#REF!</definedName>
    <definedName name="___exc2">#REF!</definedName>
    <definedName name="___EXC3" localSheetId="12">#REF!</definedName>
    <definedName name="___EXC3" localSheetId="8">#REF!</definedName>
    <definedName name="___EXC3" localSheetId="11">#REF!</definedName>
    <definedName name="___EXC3" localSheetId="9">#REF!</definedName>
    <definedName name="___EXC3" localSheetId="18">#REF!</definedName>
    <definedName name="___EXC3" localSheetId="15">#REF!</definedName>
    <definedName name="___EXC3" localSheetId="7">#REF!</definedName>
    <definedName name="___EXC3">#REF!</definedName>
    <definedName name="___EXC4" localSheetId="12">#REF!</definedName>
    <definedName name="___EXC4" localSheetId="8">#REF!</definedName>
    <definedName name="___EXC4" localSheetId="11">#REF!</definedName>
    <definedName name="___EXC4" localSheetId="9">#REF!</definedName>
    <definedName name="___EXC4" localSheetId="18">#REF!</definedName>
    <definedName name="___EXC4" localSheetId="15">#REF!</definedName>
    <definedName name="___EXC4" localSheetId="7">#REF!</definedName>
    <definedName name="___EXC4">#REF!</definedName>
    <definedName name="___flx200" localSheetId="12">#REF!</definedName>
    <definedName name="___flx200" localSheetId="8">#REF!</definedName>
    <definedName name="___flx200" localSheetId="11">#REF!</definedName>
    <definedName name="___flx200" localSheetId="9">#REF!</definedName>
    <definedName name="___flx200" localSheetId="18">#REF!</definedName>
    <definedName name="___flx200" localSheetId="15">#REF!</definedName>
    <definedName name="___flx200" localSheetId="7">#REF!</definedName>
    <definedName name="___flx200">#REF!</definedName>
    <definedName name="___flx250" localSheetId="12">#REF!</definedName>
    <definedName name="___flx250" localSheetId="8">#REF!</definedName>
    <definedName name="___flx250" localSheetId="11">#REF!</definedName>
    <definedName name="___flx250" localSheetId="9">#REF!</definedName>
    <definedName name="___flx250" localSheetId="18">#REF!</definedName>
    <definedName name="___flx250" localSheetId="15">#REF!</definedName>
    <definedName name="___flx250" localSheetId="7">#REF!</definedName>
    <definedName name="___flx250">#REF!</definedName>
    <definedName name="___flx300" localSheetId="12">#REF!</definedName>
    <definedName name="___flx300" localSheetId="8">#REF!</definedName>
    <definedName name="___flx300" localSheetId="11">#REF!</definedName>
    <definedName name="___flx300" localSheetId="9">#REF!</definedName>
    <definedName name="___flx300" localSheetId="18">#REF!</definedName>
    <definedName name="___flx300" localSheetId="15">#REF!</definedName>
    <definedName name="___flx300" localSheetId="7">#REF!</definedName>
    <definedName name="___flx300">#REF!</definedName>
    <definedName name="___foo1" localSheetId="12">#REF!</definedName>
    <definedName name="___foo1" localSheetId="8">#REF!</definedName>
    <definedName name="___foo1" localSheetId="11">#REF!</definedName>
    <definedName name="___foo1" localSheetId="9">#REF!</definedName>
    <definedName name="___foo1" localSheetId="18">#REF!</definedName>
    <definedName name="___foo1" localSheetId="15">#REF!</definedName>
    <definedName name="___foo1" localSheetId="7">#REF!</definedName>
    <definedName name="___foo1">#REF!</definedName>
    <definedName name="___foo2" localSheetId="12">#REF!</definedName>
    <definedName name="___foo2" localSheetId="8">#REF!</definedName>
    <definedName name="___foo2" localSheetId="11">#REF!</definedName>
    <definedName name="___foo2" localSheetId="9">#REF!</definedName>
    <definedName name="___foo2" localSheetId="18">#REF!</definedName>
    <definedName name="___foo2" localSheetId="15">#REF!</definedName>
    <definedName name="___foo2" localSheetId="7">#REF!</definedName>
    <definedName name="___foo2">#REF!</definedName>
    <definedName name="___foo3" localSheetId="12">#REF!</definedName>
    <definedName name="___foo3" localSheetId="8">#REF!</definedName>
    <definedName name="___foo3" localSheetId="11">#REF!</definedName>
    <definedName name="___foo3" localSheetId="9">#REF!</definedName>
    <definedName name="___foo3" localSheetId="18">#REF!</definedName>
    <definedName name="___foo3" localSheetId="15">#REF!</definedName>
    <definedName name="___foo3" localSheetId="7">#REF!</definedName>
    <definedName name="___foo3">#REF!</definedName>
    <definedName name="___FOO4" localSheetId="12">#REF!</definedName>
    <definedName name="___FOO4" localSheetId="8">#REF!</definedName>
    <definedName name="___FOO4" localSheetId="11">#REF!</definedName>
    <definedName name="___FOO4" localSheetId="9">#REF!</definedName>
    <definedName name="___FOO4" localSheetId="18">#REF!</definedName>
    <definedName name="___FOO4" localSheetId="15">#REF!</definedName>
    <definedName name="___FOO4" localSheetId="7">#REF!</definedName>
    <definedName name="___FOO4">#REF!</definedName>
    <definedName name="___hp10" localSheetId="12" hidden="1">{#N/A,#N/A,TRUE,"Front";#N/A,#N/A,TRUE,"Simple Letter";#N/A,#N/A,TRUE,"Inside";#N/A,#N/A,TRUE,"Contents";#N/A,#N/A,TRUE,"Basis";#N/A,#N/A,TRUE,"Inclusions";#N/A,#N/A,TRUE,"Exclusions";#N/A,#N/A,TRUE,"Areas";#N/A,#N/A,TRUE,"Summary";#N/A,#N/A,TRUE,"Detail"}</definedName>
    <definedName name="___hp10" localSheetId="6" hidden="1">{#N/A,#N/A,TRUE,"Front";#N/A,#N/A,TRUE,"Simple Letter";#N/A,#N/A,TRUE,"Inside";#N/A,#N/A,TRUE,"Contents";#N/A,#N/A,TRUE,"Basis";#N/A,#N/A,TRUE,"Inclusions";#N/A,#N/A,TRUE,"Exclusions";#N/A,#N/A,TRUE,"Areas";#N/A,#N/A,TRUE,"Summary";#N/A,#N/A,TRUE,"Detail"}</definedName>
    <definedName name="___hp10" localSheetId="5" hidden="1">{#N/A,#N/A,TRUE,"Front";#N/A,#N/A,TRUE,"Simple Letter";#N/A,#N/A,TRUE,"Inside";#N/A,#N/A,TRUE,"Contents";#N/A,#N/A,TRUE,"Basis";#N/A,#N/A,TRUE,"Inclusions";#N/A,#N/A,TRUE,"Exclusions";#N/A,#N/A,TRUE,"Areas";#N/A,#N/A,TRUE,"Summary";#N/A,#N/A,TRUE,"Detail"}</definedName>
    <definedName name="___hp10" localSheetId="8" hidden="1">{#N/A,#N/A,TRUE,"Front";#N/A,#N/A,TRUE,"Simple Letter";#N/A,#N/A,TRUE,"Inside";#N/A,#N/A,TRUE,"Contents";#N/A,#N/A,TRUE,"Basis";#N/A,#N/A,TRUE,"Inclusions";#N/A,#N/A,TRUE,"Exclusions";#N/A,#N/A,TRUE,"Areas";#N/A,#N/A,TRUE,"Summary";#N/A,#N/A,TRUE,"Detail"}</definedName>
    <definedName name="___hp10" localSheetId="11" hidden="1">{#N/A,#N/A,TRUE,"Front";#N/A,#N/A,TRUE,"Simple Letter";#N/A,#N/A,TRUE,"Inside";#N/A,#N/A,TRUE,"Contents";#N/A,#N/A,TRUE,"Basis";#N/A,#N/A,TRUE,"Inclusions";#N/A,#N/A,TRUE,"Exclusions";#N/A,#N/A,TRUE,"Areas";#N/A,#N/A,TRUE,"Summary";#N/A,#N/A,TRUE,"Detail"}</definedName>
    <definedName name="___hp10" localSheetId="9" hidden="1">{#N/A,#N/A,TRUE,"Front";#N/A,#N/A,TRUE,"Simple Letter";#N/A,#N/A,TRUE,"Inside";#N/A,#N/A,TRUE,"Contents";#N/A,#N/A,TRUE,"Basis";#N/A,#N/A,TRUE,"Inclusions";#N/A,#N/A,TRUE,"Exclusions";#N/A,#N/A,TRUE,"Areas";#N/A,#N/A,TRUE,"Summary";#N/A,#N/A,TRUE,"Detail"}</definedName>
    <definedName name="___hp10" localSheetId="13" hidden="1">{#N/A,#N/A,TRUE,"Front";#N/A,#N/A,TRUE,"Simple Letter";#N/A,#N/A,TRUE,"Inside";#N/A,#N/A,TRUE,"Contents";#N/A,#N/A,TRUE,"Basis";#N/A,#N/A,TRUE,"Inclusions";#N/A,#N/A,TRUE,"Exclusions";#N/A,#N/A,TRUE,"Areas";#N/A,#N/A,TRUE,"Summary";#N/A,#N/A,TRUE,"Detail"}</definedName>
    <definedName name="___hp10" localSheetId="18" hidden="1">{#N/A,#N/A,TRUE,"Front";#N/A,#N/A,TRUE,"Simple Letter";#N/A,#N/A,TRUE,"Inside";#N/A,#N/A,TRUE,"Contents";#N/A,#N/A,TRUE,"Basis";#N/A,#N/A,TRUE,"Inclusions";#N/A,#N/A,TRUE,"Exclusions";#N/A,#N/A,TRUE,"Areas";#N/A,#N/A,TRUE,"Summary";#N/A,#N/A,TRUE,"Detail"}</definedName>
    <definedName name="___hp10" localSheetId="15" hidden="1">{#N/A,#N/A,TRUE,"Front";#N/A,#N/A,TRUE,"Simple Letter";#N/A,#N/A,TRUE,"Inside";#N/A,#N/A,TRUE,"Contents";#N/A,#N/A,TRUE,"Basis";#N/A,#N/A,TRUE,"Inclusions";#N/A,#N/A,TRUE,"Exclusions";#N/A,#N/A,TRUE,"Areas";#N/A,#N/A,TRUE,"Summary";#N/A,#N/A,TRUE,"Detail"}</definedName>
    <definedName name="___hp10" localSheetId="7"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IV65700" localSheetId="12">#REF!</definedName>
    <definedName name="___IV65700" localSheetId="6">#REF!</definedName>
    <definedName name="___IV65700" localSheetId="5">#REF!</definedName>
    <definedName name="___IV65700" localSheetId="8">#REF!</definedName>
    <definedName name="___IV65700" localSheetId="11">#REF!</definedName>
    <definedName name="___IV65700" localSheetId="9">#REF!</definedName>
    <definedName name="___IV65700" localSheetId="18">#REF!</definedName>
    <definedName name="___IV65700" localSheetId="15">#REF!</definedName>
    <definedName name="___IV65700" localSheetId="7">#REF!</definedName>
    <definedName name="___IV65700">#REF!</definedName>
    <definedName name="___IV66000" localSheetId="12">#REF!</definedName>
    <definedName name="___IV66000" localSheetId="6">#REF!</definedName>
    <definedName name="___IV66000" localSheetId="5">#REF!</definedName>
    <definedName name="___IV66000" localSheetId="8">#REF!</definedName>
    <definedName name="___IV66000" localSheetId="11">#REF!</definedName>
    <definedName name="___IV66000" localSheetId="9">#REF!</definedName>
    <definedName name="___IV66000" localSheetId="18">#REF!</definedName>
    <definedName name="___IV66000" localSheetId="15">#REF!</definedName>
    <definedName name="___IV66000" localSheetId="7">#REF!</definedName>
    <definedName name="___IV66000">#REF!</definedName>
    <definedName name="___IV67000" localSheetId="12">#REF!</definedName>
    <definedName name="___IV67000" localSheetId="6">#REF!</definedName>
    <definedName name="___IV67000" localSheetId="5">#REF!</definedName>
    <definedName name="___IV67000" localSheetId="8">#REF!</definedName>
    <definedName name="___IV67000" localSheetId="11">#REF!</definedName>
    <definedName name="___IV67000" localSheetId="9">#REF!</definedName>
    <definedName name="___IV67000" localSheetId="18">#REF!</definedName>
    <definedName name="___IV67000" localSheetId="15">#REF!</definedName>
    <definedName name="___IV67000" localSheetId="7">#REF!</definedName>
    <definedName name="___IV67000">#REF!</definedName>
    <definedName name="___IV70000" localSheetId="12">#REF!</definedName>
    <definedName name="___IV70000" localSheetId="8">#REF!</definedName>
    <definedName name="___IV70000" localSheetId="11">#REF!</definedName>
    <definedName name="___IV70000" localSheetId="9">#REF!</definedName>
    <definedName name="___IV70000" localSheetId="18">#REF!</definedName>
    <definedName name="___IV70000" localSheetId="15">#REF!</definedName>
    <definedName name="___IV70000" localSheetId="7">#REF!</definedName>
    <definedName name="___IV70000">#REF!</definedName>
    <definedName name="___IV99999" localSheetId="12">#REF!</definedName>
    <definedName name="___IV99999" localSheetId="8">#REF!</definedName>
    <definedName name="___IV99999" localSheetId="11">#REF!</definedName>
    <definedName name="___IV99999" localSheetId="9">#REF!</definedName>
    <definedName name="___IV99999" localSheetId="18">#REF!</definedName>
    <definedName name="___IV99999" localSheetId="15">#REF!</definedName>
    <definedName name="___IV99999" localSheetId="7">#REF!</definedName>
    <definedName name="___IV99999">#REF!</definedName>
    <definedName name="___K85167" localSheetId="12">#REF!</definedName>
    <definedName name="___K85167" localSheetId="8">#REF!</definedName>
    <definedName name="___K85167" localSheetId="11">#REF!</definedName>
    <definedName name="___K85167" localSheetId="9">#REF!</definedName>
    <definedName name="___K85167" localSheetId="18">#REF!</definedName>
    <definedName name="___K85167" localSheetId="15">#REF!</definedName>
    <definedName name="___K85167" localSheetId="7">#REF!</definedName>
    <definedName name="___K85167">#REF!</definedName>
    <definedName name="___Ki1" localSheetId="12">#REF!</definedName>
    <definedName name="___Ki1" localSheetId="8">#REF!</definedName>
    <definedName name="___Ki1" localSheetId="11">#REF!</definedName>
    <definedName name="___Ki1" localSheetId="9">#REF!</definedName>
    <definedName name="___Ki1" localSheetId="18">#REF!</definedName>
    <definedName name="___Ki1" localSheetId="15">#REF!</definedName>
    <definedName name="___Ki1" localSheetId="7">#REF!</definedName>
    <definedName name="___Ki1">#REF!</definedName>
    <definedName name="___Ki2" localSheetId="12">#REF!</definedName>
    <definedName name="___Ki2" localSheetId="8">#REF!</definedName>
    <definedName name="___Ki2" localSheetId="11">#REF!</definedName>
    <definedName name="___Ki2" localSheetId="9">#REF!</definedName>
    <definedName name="___Ki2" localSheetId="18">#REF!</definedName>
    <definedName name="___Ki2" localSheetId="15">#REF!</definedName>
    <definedName name="___Ki2" localSheetId="7">#REF!</definedName>
    <definedName name="___Ki2">#REF!</definedName>
    <definedName name="___kvs1" localSheetId="12" hidden="1">{#N/A,#N/A,FALSE,"COVER1.XLS ";#N/A,#N/A,FALSE,"RACT1.XLS";#N/A,#N/A,FALSE,"RACT2.XLS";#N/A,#N/A,FALSE,"ECCMP";#N/A,#N/A,FALSE,"WELDER.XLS"}</definedName>
    <definedName name="___kvs1" localSheetId="6" hidden="1">{#N/A,#N/A,FALSE,"COVER1.XLS ";#N/A,#N/A,FALSE,"RACT1.XLS";#N/A,#N/A,FALSE,"RACT2.XLS";#N/A,#N/A,FALSE,"ECCMP";#N/A,#N/A,FALSE,"WELDER.XLS"}</definedName>
    <definedName name="___kvs1" localSheetId="5" hidden="1">{#N/A,#N/A,FALSE,"COVER1.XLS ";#N/A,#N/A,FALSE,"RACT1.XLS";#N/A,#N/A,FALSE,"RACT2.XLS";#N/A,#N/A,FALSE,"ECCMP";#N/A,#N/A,FALSE,"WELDER.XLS"}</definedName>
    <definedName name="___kvs1" localSheetId="8" hidden="1">{#N/A,#N/A,FALSE,"COVER1.XLS ";#N/A,#N/A,FALSE,"RACT1.XLS";#N/A,#N/A,FALSE,"RACT2.XLS";#N/A,#N/A,FALSE,"ECCMP";#N/A,#N/A,FALSE,"WELDER.XLS"}</definedName>
    <definedName name="___kvs1" localSheetId="11" hidden="1">{#N/A,#N/A,FALSE,"COVER1.XLS ";#N/A,#N/A,FALSE,"RACT1.XLS";#N/A,#N/A,FALSE,"RACT2.XLS";#N/A,#N/A,FALSE,"ECCMP";#N/A,#N/A,FALSE,"WELDER.XLS"}</definedName>
    <definedName name="___kvs1" localSheetId="9" hidden="1">{#N/A,#N/A,FALSE,"COVER1.XLS ";#N/A,#N/A,FALSE,"RACT1.XLS";#N/A,#N/A,FALSE,"RACT2.XLS";#N/A,#N/A,FALSE,"ECCMP";#N/A,#N/A,FALSE,"WELDER.XLS"}</definedName>
    <definedName name="___kvs1" localSheetId="13" hidden="1">{#N/A,#N/A,FALSE,"COVER1.XLS ";#N/A,#N/A,FALSE,"RACT1.XLS";#N/A,#N/A,FALSE,"RACT2.XLS";#N/A,#N/A,FALSE,"ECCMP";#N/A,#N/A,FALSE,"WELDER.XLS"}</definedName>
    <definedName name="___kvs1" localSheetId="18" hidden="1">{#N/A,#N/A,FALSE,"COVER1.XLS ";#N/A,#N/A,FALSE,"RACT1.XLS";#N/A,#N/A,FALSE,"RACT2.XLS";#N/A,#N/A,FALSE,"ECCMP";#N/A,#N/A,FALSE,"WELDER.XLS"}</definedName>
    <definedName name="___kvs1" localSheetId="15" hidden="1">{#N/A,#N/A,FALSE,"COVER1.XLS ";#N/A,#N/A,FALSE,"RACT1.XLS";#N/A,#N/A,FALSE,"RACT2.XLS";#N/A,#N/A,FALSE,"ECCMP";#N/A,#N/A,FALSE,"WELDER.XLS"}</definedName>
    <definedName name="___kvs1" localSheetId="7" hidden="1">{#N/A,#N/A,FALSE,"COVER1.XLS ";#N/A,#N/A,FALSE,"RACT1.XLS";#N/A,#N/A,FALSE,"RACT2.XLS";#N/A,#N/A,FALSE,"ECCMP";#N/A,#N/A,FALSE,"WELDER.XLS"}</definedName>
    <definedName name="___kvs1" hidden="1">{#N/A,#N/A,FALSE,"COVER1.XLS ";#N/A,#N/A,FALSE,"RACT1.XLS";#N/A,#N/A,FALSE,"RACT2.XLS";#N/A,#N/A,FALSE,"ECCMP";#N/A,#N/A,FALSE,"WELDER.XLS"}</definedName>
    <definedName name="___kvs2" localSheetId="12" hidden="1">{#N/A,#N/A,FALSE,"COVER1.XLS ";#N/A,#N/A,FALSE,"RACT1.XLS";#N/A,#N/A,FALSE,"RACT2.XLS";#N/A,#N/A,FALSE,"ECCMP";#N/A,#N/A,FALSE,"WELDER.XLS"}</definedName>
    <definedName name="___kvs2" localSheetId="6" hidden="1">{#N/A,#N/A,FALSE,"COVER1.XLS ";#N/A,#N/A,FALSE,"RACT1.XLS";#N/A,#N/A,FALSE,"RACT2.XLS";#N/A,#N/A,FALSE,"ECCMP";#N/A,#N/A,FALSE,"WELDER.XLS"}</definedName>
    <definedName name="___kvs2" localSheetId="5" hidden="1">{#N/A,#N/A,FALSE,"COVER1.XLS ";#N/A,#N/A,FALSE,"RACT1.XLS";#N/A,#N/A,FALSE,"RACT2.XLS";#N/A,#N/A,FALSE,"ECCMP";#N/A,#N/A,FALSE,"WELDER.XLS"}</definedName>
    <definedName name="___kvs2" localSheetId="8" hidden="1">{#N/A,#N/A,FALSE,"COVER1.XLS ";#N/A,#N/A,FALSE,"RACT1.XLS";#N/A,#N/A,FALSE,"RACT2.XLS";#N/A,#N/A,FALSE,"ECCMP";#N/A,#N/A,FALSE,"WELDER.XLS"}</definedName>
    <definedName name="___kvs2" localSheetId="11" hidden="1">{#N/A,#N/A,FALSE,"COVER1.XLS ";#N/A,#N/A,FALSE,"RACT1.XLS";#N/A,#N/A,FALSE,"RACT2.XLS";#N/A,#N/A,FALSE,"ECCMP";#N/A,#N/A,FALSE,"WELDER.XLS"}</definedName>
    <definedName name="___kvs2" localSheetId="9" hidden="1">{#N/A,#N/A,FALSE,"COVER1.XLS ";#N/A,#N/A,FALSE,"RACT1.XLS";#N/A,#N/A,FALSE,"RACT2.XLS";#N/A,#N/A,FALSE,"ECCMP";#N/A,#N/A,FALSE,"WELDER.XLS"}</definedName>
    <definedName name="___kvs2" localSheetId="13" hidden="1">{#N/A,#N/A,FALSE,"COVER1.XLS ";#N/A,#N/A,FALSE,"RACT1.XLS";#N/A,#N/A,FALSE,"RACT2.XLS";#N/A,#N/A,FALSE,"ECCMP";#N/A,#N/A,FALSE,"WELDER.XLS"}</definedName>
    <definedName name="___kvs2" localSheetId="18" hidden="1">{#N/A,#N/A,FALSE,"COVER1.XLS ";#N/A,#N/A,FALSE,"RACT1.XLS";#N/A,#N/A,FALSE,"RACT2.XLS";#N/A,#N/A,FALSE,"ECCMP";#N/A,#N/A,FALSE,"WELDER.XLS"}</definedName>
    <definedName name="___kvs2" localSheetId="15" hidden="1">{#N/A,#N/A,FALSE,"COVER1.XLS ";#N/A,#N/A,FALSE,"RACT1.XLS";#N/A,#N/A,FALSE,"RACT2.XLS";#N/A,#N/A,FALSE,"ECCMP";#N/A,#N/A,FALSE,"WELDER.XLS"}</definedName>
    <definedName name="___kvs2" localSheetId="7" hidden="1">{#N/A,#N/A,FALSE,"COVER1.XLS ";#N/A,#N/A,FALSE,"RACT1.XLS";#N/A,#N/A,FALSE,"RACT2.XLS";#N/A,#N/A,FALSE,"ECCMP";#N/A,#N/A,FALSE,"WELDER.XLS"}</definedName>
    <definedName name="___kvs2" hidden="1">{#N/A,#N/A,FALSE,"COVER1.XLS ";#N/A,#N/A,FALSE,"RACT1.XLS";#N/A,#N/A,FALSE,"RACT2.XLS";#N/A,#N/A,FALSE,"ECCMP";#N/A,#N/A,FALSE,"WELDER.XLS"}</definedName>
    <definedName name="___kvs5" localSheetId="12" hidden="1">{#N/A,#N/A,FALSE,"COVER.XLS";#N/A,#N/A,FALSE,"RACT1.XLS";#N/A,#N/A,FALSE,"RACT2.XLS";#N/A,#N/A,FALSE,"ECCMP";#N/A,#N/A,FALSE,"WELDER.XLS"}</definedName>
    <definedName name="___kvs5" localSheetId="6" hidden="1">{#N/A,#N/A,FALSE,"COVER.XLS";#N/A,#N/A,FALSE,"RACT1.XLS";#N/A,#N/A,FALSE,"RACT2.XLS";#N/A,#N/A,FALSE,"ECCMP";#N/A,#N/A,FALSE,"WELDER.XLS"}</definedName>
    <definedName name="___kvs5" localSheetId="5" hidden="1">{#N/A,#N/A,FALSE,"COVER.XLS";#N/A,#N/A,FALSE,"RACT1.XLS";#N/A,#N/A,FALSE,"RACT2.XLS";#N/A,#N/A,FALSE,"ECCMP";#N/A,#N/A,FALSE,"WELDER.XLS"}</definedName>
    <definedName name="___kvs5" localSheetId="8" hidden="1">{#N/A,#N/A,FALSE,"COVER.XLS";#N/A,#N/A,FALSE,"RACT1.XLS";#N/A,#N/A,FALSE,"RACT2.XLS";#N/A,#N/A,FALSE,"ECCMP";#N/A,#N/A,FALSE,"WELDER.XLS"}</definedName>
    <definedName name="___kvs5" localSheetId="11" hidden="1">{#N/A,#N/A,FALSE,"COVER.XLS";#N/A,#N/A,FALSE,"RACT1.XLS";#N/A,#N/A,FALSE,"RACT2.XLS";#N/A,#N/A,FALSE,"ECCMP";#N/A,#N/A,FALSE,"WELDER.XLS"}</definedName>
    <definedName name="___kvs5" localSheetId="9" hidden="1">{#N/A,#N/A,FALSE,"COVER.XLS";#N/A,#N/A,FALSE,"RACT1.XLS";#N/A,#N/A,FALSE,"RACT2.XLS";#N/A,#N/A,FALSE,"ECCMP";#N/A,#N/A,FALSE,"WELDER.XLS"}</definedName>
    <definedName name="___kvs5" localSheetId="13" hidden="1">{#N/A,#N/A,FALSE,"COVER.XLS";#N/A,#N/A,FALSE,"RACT1.XLS";#N/A,#N/A,FALSE,"RACT2.XLS";#N/A,#N/A,FALSE,"ECCMP";#N/A,#N/A,FALSE,"WELDER.XLS"}</definedName>
    <definedName name="___kvs5" localSheetId="18" hidden="1">{#N/A,#N/A,FALSE,"COVER.XLS";#N/A,#N/A,FALSE,"RACT1.XLS";#N/A,#N/A,FALSE,"RACT2.XLS";#N/A,#N/A,FALSE,"ECCMP";#N/A,#N/A,FALSE,"WELDER.XLS"}</definedName>
    <definedName name="___kvs5" localSheetId="15" hidden="1">{#N/A,#N/A,FALSE,"COVER.XLS";#N/A,#N/A,FALSE,"RACT1.XLS";#N/A,#N/A,FALSE,"RACT2.XLS";#N/A,#N/A,FALSE,"ECCMP";#N/A,#N/A,FALSE,"WELDER.XLS"}</definedName>
    <definedName name="___kvs5" localSheetId="7" hidden="1">{#N/A,#N/A,FALSE,"COVER.XLS";#N/A,#N/A,FALSE,"RACT1.XLS";#N/A,#N/A,FALSE,"RACT2.XLS";#N/A,#N/A,FALSE,"ECCMP";#N/A,#N/A,FALSE,"WELDER.XLS"}</definedName>
    <definedName name="___kvs5" hidden="1">{#N/A,#N/A,FALSE,"COVER.XLS";#N/A,#N/A,FALSE,"RACT1.XLS";#N/A,#N/A,FALSE,"RACT2.XLS";#N/A,#N/A,FALSE,"ECCMP";#N/A,#N/A,FALSE,"WELDER.XLS"}</definedName>
    <definedName name="___kvs8" localSheetId="12" hidden="1">{#N/A,#N/A,FALSE,"COVER1.XLS ";#N/A,#N/A,FALSE,"RACT1.XLS";#N/A,#N/A,FALSE,"RACT2.XLS";#N/A,#N/A,FALSE,"ECCMP";#N/A,#N/A,FALSE,"WELDER.XLS"}</definedName>
    <definedName name="___kvs8" localSheetId="6" hidden="1">{#N/A,#N/A,FALSE,"COVER1.XLS ";#N/A,#N/A,FALSE,"RACT1.XLS";#N/A,#N/A,FALSE,"RACT2.XLS";#N/A,#N/A,FALSE,"ECCMP";#N/A,#N/A,FALSE,"WELDER.XLS"}</definedName>
    <definedName name="___kvs8" localSheetId="5" hidden="1">{#N/A,#N/A,FALSE,"COVER1.XLS ";#N/A,#N/A,FALSE,"RACT1.XLS";#N/A,#N/A,FALSE,"RACT2.XLS";#N/A,#N/A,FALSE,"ECCMP";#N/A,#N/A,FALSE,"WELDER.XLS"}</definedName>
    <definedName name="___kvs8" localSheetId="8" hidden="1">{#N/A,#N/A,FALSE,"COVER1.XLS ";#N/A,#N/A,FALSE,"RACT1.XLS";#N/A,#N/A,FALSE,"RACT2.XLS";#N/A,#N/A,FALSE,"ECCMP";#N/A,#N/A,FALSE,"WELDER.XLS"}</definedName>
    <definedName name="___kvs8" localSheetId="11" hidden="1">{#N/A,#N/A,FALSE,"COVER1.XLS ";#N/A,#N/A,FALSE,"RACT1.XLS";#N/A,#N/A,FALSE,"RACT2.XLS";#N/A,#N/A,FALSE,"ECCMP";#N/A,#N/A,FALSE,"WELDER.XLS"}</definedName>
    <definedName name="___kvs8" localSheetId="9" hidden="1">{#N/A,#N/A,FALSE,"COVER1.XLS ";#N/A,#N/A,FALSE,"RACT1.XLS";#N/A,#N/A,FALSE,"RACT2.XLS";#N/A,#N/A,FALSE,"ECCMP";#N/A,#N/A,FALSE,"WELDER.XLS"}</definedName>
    <definedName name="___kvs8" localSheetId="13" hidden="1">{#N/A,#N/A,FALSE,"COVER1.XLS ";#N/A,#N/A,FALSE,"RACT1.XLS";#N/A,#N/A,FALSE,"RACT2.XLS";#N/A,#N/A,FALSE,"ECCMP";#N/A,#N/A,FALSE,"WELDER.XLS"}</definedName>
    <definedName name="___kvs8" localSheetId="18" hidden="1">{#N/A,#N/A,FALSE,"COVER1.XLS ";#N/A,#N/A,FALSE,"RACT1.XLS";#N/A,#N/A,FALSE,"RACT2.XLS";#N/A,#N/A,FALSE,"ECCMP";#N/A,#N/A,FALSE,"WELDER.XLS"}</definedName>
    <definedName name="___kvs8" localSheetId="15" hidden="1">{#N/A,#N/A,FALSE,"COVER1.XLS ";#N/A,#N/A,FALSE,"RACT1.XLS";#N/A,#N/A,FALSE,"RACT2.XLS";#N/A,#N/A,FALSE,"ECCMP";#N/A,#N/A,FALSE,"WELDER.XLS"}</definedName>
    <definedName name="___kvs8" localSheetId="7" hidden="1">{#N/A,#N/A,FALSE,"COVER1.XLS ";#N/A,#N/A,FALSE,"RACT1.XLS";#N/A,#N/A,FALSE,"RACT2.XLS";#N/A,#N/A,FALSE,"ECCMP";#N/A,#N/A,FALSE,"WELDER.XLS"}</definedName>
    <definedName name="___kvs8" hidden="1">{#N/A,#N/A,FALSE,"COVER1.XLS ";#N/A,#N/A,FALSE,"RACT1.XLS";#N/A,#N/A,FALSE,"RACT2.XLS";#N/A,#N/A,FALSE,"ECCMP";#N/A,#N/A,FALSE,"WELDER.XLS"}</definedName>
    <definedName name="___lk1"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AN1" localSheetId="12">#REF!</definedName>
    <definedName name="___MAN1" localSheetId="6">#REF!</definedName>
    <definedName name="___MAN1" localSheetId="5">#REF!</definedName>
    <definedName name="___MAN1" localSheetId="8">#REF!</definedName>
    <definedName name="___MAN1" localSheetId="11">#REF!</definedName>
    <definedName name="___MAN1" localSheetId="9">#REF!</definedName>
    <definedName name="___MAN1" localSheetId="18">#REF!</definedName>
    <definedName name="___MAN1" localSheetId="15">#REF!</definedName>
    <definedName name="___MAN1" localSheetId="7">#REF!</definedName>
    <definedName name="___MAN1">#REF!</definedName>
    <definedName name="___mar08" localSheetId="12">#REF!</definedName>
    <definedName name="___mar08" localSheetId="6">#REF!</definedName>
    <definedName name="___mar08" localSheetId="5">#REF!</definedName>
    <definedName name="___mar08" localSheetId="8">#REF!</definedName>
    <definedName name="___mar08" localSheetId="11">#REF!</definedName>
    <definedName name="___mar08" localSheetId="9">#REF!</definedName>
    <definedName name="___mar08" localSheetId="18">#REF!</definedName>
    <definedName name="___mar08" localSheetId="15">#REF!</definedName>
    <definedName name="___mar08" localSheetId="7">#REF!</definedName>
    <definedName name="___mar08">#REF!</definedName>
    <definedName name="___ML1" localSheetId="12">#REF!</definedName>
    <definedName name="___ML1" localSheetId="6">#REF!</definedName>
    <definedName name="___ML1" localSheetId="5">#REF!</definedName>
    <definedName name="___ML1" localSheetId="8">#REF!</definedName>
    <definedName name="___ML1" localSheetId="11">#REF!</definedName>
    <definedName name="___ML1" localSheetId="9">#REF!</definedName>
    <definedName name="___ML1" localSheetId="18">#REF!</definedName>
    <definedName name="___ML1" localSheetId="15">#REF!</definedName>
    <definedName name="___ML1" localSheetId="7">#REF!</definedName>
    <definedName name="___ML1">#REF!</definedName>
    <definedName name="___ML2" localSheetId="12">#REF!</definedName>
    <definedName name="___ML2" localSheetId="8">#REF!</definedName>
    <definedName name="___ML2" localSheetId="11">#REF!</definedName>
    <definedName name="___ML2" localSheetId="9">#REF!</definedName>
    <definedName name="___ML2" localSheetId="18">#REF!</definedName>
    <definedName name="___ML2" localSheetId="15">#REF!</definedName>
    <definedName name="___ML2" localSheetId="7">#REF!</definedName>
    <definedName name="___ML2">#REF!</definedName>
    <definedName name="___ns1" localSheetId="12" hidden="1">{#N/A,#N/A,FALSE,"COVER1.XLS ";#N/A,#N/A,FALSE,"RACT1.XLS";#N/A,#N/A,FALSE,"RACT2.XLS";#N/A,#N/A,FALSE,"ECCMP";#N/A,#N/A,FALSE,"WELDER.XLS"}</definedName>
    <definedName name="___ns1" localSheetId="6" hidden="1">{#N/A,#N/A,FALSE,"COVER1.XLS ";#N/A,#N/A,FALSE,"RACT1.XLS";#N/A,#N/A,FALSE,"RACT2.XLS";#N/A,#N/A,FALSE,"ECCMP";#N/A,#N/A,FALSE,"WELDER.XLS"}</definedName>
    <definedName name="___ns1" localSheetId="5" hidden="1">{#N/A,#N/A,FALSE,"COVER1.XLS ";#N/A,#N/A,FALSE,"RACT1.XLS";#N/A,#N/A,FALSE,"RACT2.XLS";#N/A,#N/A,FALSE,"ECCMP";#N/A,#N/A,FALSE,"WELDER.XLS"}</definedName>
    <definedName name="___ns1" localSheetId="8" hidden="1">{#N/A,#N/A,FALSE,"COVER1.XLS ";#N/A,#N/A,FALSE,"RACT1.XLS";#N/A,#N/A,FALSE,"RACT2.XLS";#N/A,#N/A,FALSE,"ECCMP";#N/A,#N/A,FALSE,"WELDER.XLS"}</definedName>
    <definedName name="___ns1" localSheetId="11" hidden="1">{#N/A,#N/A,FALSE,"COVER1.XLS ";#N/A,#N/A,FALSE,"RACT1.XLS";#N/A,#N/A,FALSE,"RACT2.XLS";#N/A,#N/A,FALSE,"ECCMP";#N/A,#N/A,FALSE,"WELDER.XLS"}</definedName>
    <definedName name="___ns1" localSheetId="9" hidden="1">{#N/A,#N/A,FALSE,"COVER1.XLS ";#N/A,#N/A,FALSE,"RACT1.XLS";#N/A,#N/A,FALSE,"RACT2.XLS";#N/A,#N/A,FALSE,"ECCMP";#N/A,#N/A,FALSE,"WELDER.XLS"}</definedName>
    <definedName name="___ns1" localSheetId="13" hidden="1">{#N/A,#N/A,FALSE,"COVER1.XLS ";#N/A,#N/A,FALSE,"RACT1.XLS";#N/A,#N/A,FALSE,"RACT2.XLS";#N/A,#N/A,FALSE,"ECCMP";#N/A,#N/A,FALSE,"WELDER.XLS"}</definedName>
    <definedName name="___ns1" localSheetId="18" hidden="1">{#N/A,#N/A,FALSE,"COVER1.XLS ";#N/A,#N/A,FALSE,"RACT1.XLS";#N/A,#N/A,FALSE,"RACT2.XLS";#N/A,#N/A,FALSE,"ECCMP";#N/A,#N/A,FALSE,"WELDER.XLS"}</definedName>
    <definedName name="___ns1" localSheetId="15" hidden="1">{#N/A,#N/A,FALSE,"COVER1.XLS ";#N/A,#N/A,FALSE,"RACT1.XLS";#N/A,#N/A,FALSE,"RACT2.XLS";#N/A,#N/A,FALSE,"ECCMP";#N/A,#N/A,FALSE,"WELDER.XLS"}</definedName>
    <definedName name="___ns1" localSheetId="7" hidden="1">{#N/A,#N/A,FALSE,"COVER1.XLS ";#N/A,#N/A,FALSE,"RACT1.XLS";#N/A,#N/A,FALSE,"RACT2.XLS";#N/A,#N/A,FALSE,"ECCMP";#N/A,#N/A,FALSE,"WELDER.XLS"}</definedName>
    <definedName name="___ns1" hidden="1">{#N/A,#N/A,FALSE,"COVER1.XLS ";#N/A,#N/A,FALSE,"RACT1.XLS";#N/A,#N/A,FALSE,"RACT2.XLS";#N/A,#N/A,FALSE,"ECCMP";#N/A,#N/A,FALSE,"WELDER.XLS"}</definedName>
    <definedName name="___pa1" localSheetId="12">#REF!</definedName>
    <definedName name="___pa1" localSheetId="6">#REF!</definedName>
    <definedName name="___pa1" localSheetId="5">#REF!</definedName>
    <definedName name="___pa1" localSheetId="8">#REF!</definedName>
    <definedName name="___pa1" localSheetId="11">#REF!</definedName>
    <definedName name="___pa1" localSheetId="9">#REF!</definedName>
    <definedName name="___pa1" localSheetId="18">#REF!</definedName>
    <definedName name="___pa1" localSheetId="15">#REF!</definedName>
    <definedName name="___pa1" localSheetId="7">#REF!</definedName>
    <definedName name="___pa1">#REF!</definedName>
    <definedName name="___pa2" localSheetId="12">#REF!</definedName>
    <definedName name="___pa2" localSheetId="6">#REF!</definedName>
    <definedName name="___pa2" localSheetId="5">#REF!</definedName>
    <definedName name="___pa2" localSheetId="8">#REF!</definedName>
    <definedName name="___pa2" localSheetId="11">#REF!</definedName>
    <definedName name="___pa2" localSheetId="9">#REF!</definedName>
    <definedName name="___pa2" localSheetId="18">#REF!</definedName>
    <definedName name="___pa2" localSheetId="15">#REF!</definedName>
    <definedName name="___pa2" localSheetId="7">#REF!</definedName>
    <definedName name="___pa2">#REF!</definedName>
    <definedName name="___PB1" localSheetId="12">#REF!</definedName>
    <definedName name="___PB1" localSheetId="6">#REF!</definedName>
    <definedName name="___PB1" localSheetId="5">#REF!</definedName>
    <definedName name="___PB1" localSheetId="8">#REF!</definedName>
    <definedName name="___PB1" localSheetId="11">#REF!</definedName>
    <definedName name="___PB1" localSheetId="9">#REF!</definedName>
    <definedName name="___PB1" localSheetId="18">#REF!</definedName>
    <definedName name="___PB1" localSheetId="15">#REF!</definedName>
    <definedName name="___PB1" localSheetId="7">#REF!</definedName>
    <definedName name="___PB1">#REF!</definedName>
    <definedName name="___pcc1" localSheetId="12">#REF!</definedName>
    <definedName name="___pcc1" localSheetId="8">#REF!</definedName>
    <definedName name="___pcc1" localSheetId="11">#REF!</definedName>
    <definedName name="___pcc1" localSheetId="9">#REF!</definedName>
    <definedName name="___pcc1" localSheetId="18">#REF!</definedName>
    <definedName name="___pcc1" localSheetId="15">#REF!</definedName>
    <definedName name="___pcc1" localSheetId="7">#REF!</definedName>
    <definedName name="___pcc1">#REF!</definedName>
    <definedName name="___pcc2" localSheetId="12">#REF!</definedName>
    <definedName name="___pcc2" localSheetId="8">#REF!</definedName>
    <definedName name="___pcc2" localSheetId="11">#REF!</definedName>
    <definedName name="___pcc2" localSheetId="9">#REF!</definedName>
    <definedName name="___pcc2" localSheetId="18">#REF!</definedName>
    <definedName name="___pcc2" localSheetId="15">#REF!</definedName>
    <definedName name="___pcc2" localSheetId="7">#REF!</definedName>
    <definedName name="___pcc2">#REF!</definedName>
    <definedName name="___pcc3" localSheetId="12">#REF!</definedName>
    <definedName name="___pcc3" localSheetId="8">#REF!</definedName>
    <definedName name="___pcc3" localSheetId="11">#REF!</definedName>
    <definedName name="___pcc3" localSheetId="9">#REF!</definedName>
    <definedName name="___pcc3" localSheetId="18">#REF!</definedName>
    <definedName name="___pcc3" localSheetId="15">#REF!</definedName>
    <definedName name="___pcc3" localSheetId="7">#REF!</definedName>
    <definedName name="___pcc3">#REF!</definedName>
    <definedName name="___PCC4" localSheetId="12">#REF!</definedName>
    <definedName name="___PCC4" localSheetId="8">#REF!</definedName>
    <definedName name="___PCC4" localSheetId="11">#REF!</definedName>
    <definedName name="___PCC4" localSheetId="9">#REF!</definedName>
    <definedName name="___PCC4" localSheetId="18">#REF!</definedName>
    <definedName name="___PCC4" localSheetId="15">#REF!</definedName>
    <definedName name="___PCC4" localSheetId="7">#REF!</definedName>
    <definedName name="___PCC4">#REF!</definedName>
    <definedName name="___plb1" localSheetId="12">#REF!</definedName>
    <definedName name="___plb1" localSheetId="8">#REF!</definedName>
    <definedName name="___plb1" localSheetId="11">#REF!</definedName>
    <definedName name="___plb1" localSheetId="9">#REF!</definedName>
    <definedName name="___plb1" localSheetId="18">#REF!</definedName>
    <definedName name="___plb1" localSheetId="15">#REF!</definedName>
    <definedName name="___plb1" localSheetId="7">#REF!</definedName>
    <definedName name="___plb1">#REF!</definedName>
    <definedName name="___plb2" localSheetId="12">#REF!</definedName>
    <definedName name="___plb2" localSheetId="8">#REF!</definedName>
    <definedName name="___plb2" localSheetId="11">#REF!</definedName>
    <definedName name="___plb2" localSheetId="9">#REF!</definedName>
    <definedName name="___plb2" localSheetId="18">#REF!</definedName>
    <definedName name="___plb2" localSheetId="15">#REF!</definedName>
    <definedName name="___plb2" localSheetId="7">#REF!</definedName>
    <definedName name="___plb2">#REF!</definedName>
    <definedName name="___plb3" localSheetId="12">#REF!</definedName>
    <definedName name="___plb3" localSheetId="8">#REF!</definedName>
    <definedName name="___plb3" localSheetId="11">#REF!</definedName>
    <definedName name="___plb3" localSheetId="9">#REF!</definedName>
    <definedName name="___plb3" localSheetId="18">#REF!</definedName>
    <definedName name="___plb3" localSheetId="15">#REF!</definedName>
    <definedName name="___plb3" localSheetId="7">#REF!</definedName>
    <definedName name="___plb3">#REF!</definedName>
    <definedName name="___plb4" localSheetId="12">#REF!</definedName>
    <definedName name="___plb4" localSheetId="8">#REF!</definedName>
    <definedName name="___plb4" localSheetId="11">#REF!</definedName>
    <definedName name="___plb4" localSheetId="9">#REF!</definedName>
    <definedName name="___plb4" localSheetId="18">#REF!</definedName>
    <definedName name="___plb4" localSheetId="15">#REF!</definedName>
    <definedName name="___plb4" localSheetId="7">#REF!</definedName>
    <definedName name="___plb4">#REF!</definedName>
    <definedName name="___PRN1" localSheetId="12" hidden="1">{#N/A,#N/A,FALSE,"COVER.XLS";#N/A,#N/A,FALSE,"RACT1.XLS";#N/A,#N/A,FALSE,"RACT2.XLS";#N/A,#N/A,FALSE,"ECCMP";#N/A,#N/A,FALSE,"WELDER.XLS"}</definedName>
    <definedName name="___PRN1" localSheetId="6" hidden="1">{#N/A,#N/A,FALSE,"COVER.XLS";#N/A,#N/A,FALSE,"RACT1.XLS";#N/A,#N/A,FALSE,"RACT2.XLS";#N/A,#N/A,FALSE,"ECCMP";#N/A,#N/A,FALSE,"WELDER.XLS"}</definedName>
    <definedName name="___PRN1" localSheetId="5" hidden="1">{#N/A,#N/A,FALSE,"COVER.XLS";#N/A,#N/A,FALSE,"RACT1.XLS";#N/A,#N/A,FALSE,"RACT2.XLS";#N/A,#N/A,FALSE,"ECCMP";#N/A,#N/A,FALSE,"WELDER.XLS"}</definedName>
    <definedName name="___PRN1" localSheetId="8" hidden="1">{#N/A,#N/A,FALSE,"COVER.XLS";#N/A,#N/A,FALSE,"RACT1.XLS";#N/A,#N/A,FALSE,"RACT2.XLS";#N/A,#N/A,FALSE,"ECCMP";#N/A,#N/A,FALSE,"WELDER.XLS"}</definedName>
    <definedName name="___PRN1" localSheetId="11" hidden="1">{#N/A,#N/A,FALSE,"COVER.XLS";#N/A,#N/A,FALSE,"RACT1.XLS";#N/A,#N/A,FALSE,"RACT2.XLS";#N/A,#N/A,FALSE,"ECCMP";#N/A,#N/A,FALSE,"WELDER.XLS"}</definedName>
    <definedName name="___PRN1" localSheetId="9" hidden="1">{#N/A,#N/A,FALSE,"COVER.XLS";#N/A,#N/A,FALSE,"RACT1.XLS";#N/A,#N/A,FALSE,"RACT2.XLS";#N/A,#N/A,FALSE,"ECCMP";#N/A,#N/A,FALSE,"WELDER.XLS"}</definedName>
    <definedName name="___PRN1" localSheetId="13" hidden="1">{#N/A,#N/A,FALSE,"COVER.XLS";#N/A,#N/A,FALSE,"RACT1.XLS";#N/A,#N/A,FALSE,"RACT2.XLS";#N/A,#N/A,FALSE,"ECCMP";#N/A,#N/A,FALSE,"WELDER.XLS"}</definedName>
    <definedName name="___PRN1" localSheetId="18" hidden="1">{#N/A,#N/A,FALSE,"COVER.XLS";#N/A,#N/A,FALSE,"RACT1.XLS";#N/A,#N/A,FALSE,"RACT2.XLS";#N/A,#N/A,FALSE,"ECCMP";#N/A,#N/A,FALSE,"WELDER.XLS"}</definedName>
    <definedName name="___PRN1" localSheetId="15" hidden="1">{#N/A,#N/A,FALSE,"COVER.XLS";#N/A,#N/A,FALSE,"RACT1.XLS";#N/A,#N/A,FALSE,"RACT2.XLS";#N/A,#N/A,FALSE,"ECCMP";#N/A,#N/A,FALSE,"WELDER.XLS"}</definedName>
    <definedName name="___PRN1" localSheetId="7" hidden="1">{#N/A,#N/A,FALSE,"COVER.XLS";#N/A,#N/A,FALSE,"RACT1.XLS";#N/A,#N/A,FALSE,"RACT2.XLS";#N/A,#N/A,FALSE,"ECCMP";#N/A,#N/A,FALSE,"WELDER.XLS"}</definedName>
    <definedName name="___PRN1" hidden="1">{#N/A,#N/A,FALSE,"COVER.XLS";#N/A,#N/A,FALSE,"RACT1.XLS";#N/A,#N/A,FALSE,"RACT2.XLS";#N/A,#N/A,FALSE,"ECCMP";#N/A,#N/A,FALSE,"WELDER.XLS"}</definedName>
    <definedName name="___rm4" localSheetId="12">#REF!</definedName>
    <definedName name="___rm4" localSheetId="6">#REF!</definedName>
    <definedName name="___rm4" localSheetId="5">#REF!</definedName>
    <definedName name="___rm4" localSheetId="8">#REF!</definedName>
    <definedName name="___rm4" localSheetId="11">#REF!</definedName>
    <definedName name="___rm4" localSheetId="9">#REF!</definedName>
    <definedName name="___rm4" localSheetId="18">#REF!</definedName>
    <definedName name="___rm4" localSheetId="15">#REF!</definedName>
    <definedName name="___rm4" localSheetId="7">#REF!</definedName>
    <definedName name="___rm4">#REF!</definedName>
    <definedName name="___sep1" localSheetId="12">#REF!</definedName>
    <definedName name="___sep1" localSheetId="6">#REF!</definedName>
    <definedName name="___sep1" localSheetId="5">#REF!</definedName>
    <definedName name="___sep1" localSheetId="8">#REF!</definedName>
    <definedName name="___sep1" localSheetId="11">#REF!</definedName>
    <definedName name="___sep1" localSheetId="9">#REF!</definedName>
    <definedName name="___sep1" localSheetId="18">#REF!</definedName>
    <definedName name="___sep1" localSheetId="15">#REF!</definedName>
    <definedName name="___sep1" localSheetId="7">#REF!</definedName>
    <definedName name="___sep1">#REF!</definedName>
    <definedName name="___SH1" localSheetId="12">#REF!</definedName>
    <definedName name="___SH1" localSheetId="6">#REF!</definedName>
    <definedName name="___SH1" localSheetId="5">#REF!</definedName>
    <definedName name="___SH1" localSheetId="8">#REF!</definedName>
    <definedName name="___SH1" localSheetId="11">#REF!</definedName>
    <definedName name="___SH1" localSheetId="9">#REF!</definedName>
    <definedName name="___SH1" localSheetId="18">#REF!</definedName>
    <definedName name="___SH1" localSheetId="15">#REF!</definedName>
    <definedName name="___SH1" localSheetId="7">#REF!</definedName>
    <definedName name="___SH1">#REF!</definedName>
    <definedName name="___SH2" localSheetId="12">#REF!</definedName>
    <definedName name="___SH2" localSheetId="8">#REF!</definedName>
    <definedName name="___SH2" localSheetId="11">#REF!</definedName>
    <definedName name="___SH2" localSheetId="9">#REF!</definedName>
    <definedName name="___SH2" localSheetId="18">#REF!</definedName>
    <definedName name="___SH2" localSheetId="15">#REF!</definedName>
    <definedName name="___SH2" localSheetId="7">#REF!</definedName>
    <definedName name="___SH2">#REF!</definedName>
    <definedName name="___SH3" localSheetId="12">#REF!</definedName>
    <definedName name="___SH3" localSheetId="8">#REF!</definedName>
    <definedName name="___SH3" localSheetId="11">#REF!</definedName>
    <definedName name="___SH3" localSheetId="9">#REF!</definedName>
    <definedName name="___SH3" localSheetId="18">#REF!</definedName>
    <definedName name="___SH3" localSheetId="15">#REF!</definedName>
    <definedName name="___SH3" localSheetId="7">#REF!</definedName>
    <definedName name="___SH3">#REF!</definedName>
    <definedName name="___SH4" localSheetId="12">#REF!</definedName>
    <definedName name="___SH4" localSheetId="8">#REF!</definedName>
    <definedName name="___SH4" localSheetId="11">#REF!</definedName>
    <definedName name="___SH4" localSheetId="9">#REF!</definedName>
    <definedName name="___SH4" localSheetId="18">#REF!</definedName>
    <definedName name="___SH4" localSheetId="15">#REF!</definedName>
    <definedName name="___SH4" localSheetId="7">#REF!</definedName>
    <definedName name="___SH4">#REF!</definedName>
    <definedName name="___SH5" localSheetId="12">#REF!</definedName>
    <definedName name="___SH5" localSheetId="8">#REF!</definedName>
    <definedName name="___SH5" localSheetId="11">#REF!</definedName>
    <definedName name="___SH5" localSheetId="9">#REF!</definedName>
    <definedName name="___SH5" localSheetId="18">#REF!</definedName>
    <definedName name="___SH5" localSheetId="15">#REF!</definedName>
    <definedName name="___SH5" localSheetId="7">#REF!</definedName>
    <definedName name="___SH5">#REF!</definedName>
    <definedName name="___TB2" localSheetId="12">#REF!</definedName>
    <definedName name="___TB2" localSheetId="8">#REF!</definedName>
    <definedName name="___TB2" localSheetId="11">#REF!</definedName>
    <definedName name="___TB2" localSheetId="9">#REF!</definedName>
    <definedName name="___TB2" localSheetId="18">#REF!</definedName>
    <definedName name="___TB2" localSheetId="15">#REF!</definedName>
    <definedName name="___TB2" localSheetId="7">#REF!</definedName>
    <definedName name="___TB2">#REF!</definedName>
    <definedName name="___tr1"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2" localSheetId="12" hidden="1">{#N/A,#N/A,FALSE,"COVER1.XLS ";#N/A,#N/A,FALSE,"RACT1.XLS";#N/A,#N/A,FALSE,"RACT2.XLS";#N/A,#N/A,FALSE,"ECCMP";#N/A,#N/A,FALSE,"WELDER.XLS"}</definedName>
    <definedName name="___WRN2" localSheetId="6" hidden="1">{#N/A,#N/A,FALSE,"COVER1.XLS ";#N/A,#N/A,FALSE,"RACT1.XLS";#N/A,#N/A,FALSE,"RACT2.XLS";#N/A,#N/A,FALSE,"ECCMP";#N/A,#N/A,FALSE,"WELDER.XLS"}</definedName>
    <definedName name="___WRN2" localSheetId="5" hidden="1">{#N/A,#N/A,FALSE,"COVER1.XLS ";#N/A,#N/A,FALSE,"RACT1.XLS";#N/A,#N/A,FALSE,"RACT2.XLS";#N/A,#N/A,FALSE,"ECCMP";#N/A,#N/A,FALSE,"WELDER.XLS"}</definedName>
    <definedName name="___WRN2" localSheetId="8" hidden="1">{#N/A,#N/A,FALSE,"COVER1.XLS ";#N/A,#N/A,FALSE,"RACT1.XLS";#N/A,#N/A,FALSE,"RACT2.XLS";#N/A,#N/A,FALSE,"ECCMP";#N/A,#N/A,FALSE,"WELDER.XLS"}</definedName>
    <definedName name="___WRN2" localSheetId="11" hidden="1">{#N/A,#N/A,FALSE,"COVER1.XLS ";#N/A,#N/A,FALSE,"RACT1.XLS";#N/A,#N/A,FALSE,"RACT2.XLS";#N/A,#N/A,FALSE,"ECCMP";#N/A,#N/A,FALSE,"WELDER.XLS"}</definedName>
    <definedName name="___WRN2" localSheetId="9" hidden="1">{#N/A,#N/A,FALSE,"COVER1.XLS ";#N/A,#N/A,FALSE,"RACT1.XLS";#N/A,#N/A,FALSE,"RACT2.XLS";#N/A,#N/A,FALSE,"ECCMP";#N/A,#N/A,FALSE,"WELDER.XLS"}</definedName>
    <definedName name="___WRN2" localSheetId="13" hidden="1">{#N/A,#N/A,FALSE,"COVER1.XLS ";#N/A,#N/A,FALSE,"RACT1.XLS";#N/A,#N/A,FALSE,"RACT2.XLS";#N/A,#N/A,FALSE,"ECCMP";#N/A,#N/A,FALSE,"WELDER.XLS"}</definedName>
    <definedName name="___WRN2" localSheetId="18" hidden="1">{#N/A,#N/A,FALSE,"COVER1.XLS ";#N/A,#N/A,FALSE,"RACT1.XLS";#N/A,#N/A,FALSE,"RACT2.XLS";#N/A,#N/A,FALSE,"ECCMP";#N/A,#N/A,FALSE,"WELDER.XLS"}</definedName>
    <definedName name="___WRN2" localSheetId="15" hidden="1">{#N/A,#N/A,FALSE,"COVER1.XLS ";#N/A,#N/A,FALSE,"RACT1.XLS";#N/A,#N/A,FALSE,"RACT2.XLS";#N/A,#N/A,FALSE,"ECCMP";#N/A,#N/A,FALSE,"WELDER.XLS"}</definedName>
    <definedName name="___WRN2" localSheetId="7" hidden="1">{#N/A,#N/A,FALSE,"COVER1.XLS ";#N/A,#N/A,FALSE,"RACT1.XLS";#N/A,#N/A,FALSE,"RACT2.XLS";#N/A,#N/A,FALSE,"ECCMP";#N/A,#N/A,FALSE,"WELDER.XLS"}</definedName>
    <definedName name="___WRN2" hidden="1">{#N/A,#N/A,FALSE,"COVER1.XLS ";#N/A,#N/A,FALSE,"RACT1.XLS";#N/A,#N/A,FALSE,"RACT2.XLS";#N/A,#N/A,FALSE,"ECCMP";#N/A,#N/A,FALSE,"WELDER.XLS"}</definedName>
    <definedName name="___WRN3" localSheetId="12" hidden="1">{#N/A,#N/A,FALSE,"consu_cover";#N/A,#N/A,FALSE,"consu_strategy";#N/A,#N/A,FALSE,"consu_flow";#N/A,#N/A,FALSE,"Summary_reqmt";#N/A,#N/A,FALSE,"field_ppg";#N/A,#N/A,FALSE,"ppg_shop";#N/A,#N/A,FALSE,"strl";#N/A,#N/A,FALSE,"tankages";#N/A,#N/A,FALSE,"gases"}</definedName>
    <definedName name="___WRN3" localSheetId="6" hidden="1">{#N/A,#N/A,FALSE,"consu_cover";#N/A,#N/A,FALSE,"consu_strategy";#N/A,#N/A,FALSE,"consu_flow";#N/A,#N/A,FALSE,"Summary_reqmt";#N/A,#N/A,FALSE,"field_ppg";#N/A,#N/A,FALSE,"ppg_shop";#N/A,#N/A,FALSE,"strl";#N/A,#N/A,FALSE,"tankages";#N/A,#N/A,FALSE,"gases"}</definedName>
    <definedName name="___WRN3" localSheetId="5" hidden="1">{#N/A,#N/A,FALSE,"consu_cover";#N/A,#N/A,FALSE,"consu_strategy";#N/A,#N/A,FALSE,"consu_flow";#N/A,#N/A,FALSE,"Summary_reqmt";#N/A,#N/A,FALSE,"field_ppg";#N/A,#N/A,FALSE,"ppg_shop";#N/A,#N/A,FALSE,"strl";#N/A,#N/A,FALSE,"tankages";#N/A,#N/A,FALSE,"gases"}</definedName>
    <definedName name="___WRN3" localSheetId="8" hidden="1">{#N/A,#N/A,FALSE,"consu_cover";#N/A,#N/A,FALSE,"consu_strategy";#N/A,#N/A,FALSE,"consu_flow";#N/A,#N/A,FALSE,"Summary_reqmt";#N/A,#N/A,FALSE,"field_ppg";#N/A,#N/A,FALSE,"ppg_shop";#N/A,#N/A,FALSE,"strl";#N/A,#N/A,FALSE,"tankages";#N/A,#N/A,FALSE,"gases"}</definedName>
    <definedName name="___WRN3" localSheetId="11" hidden="1">{#N/A,#N/A,FALSE,"consu_cover";#N/A,#N/A,FALSE,"consu_strategy";#N/A,#N/A,FALSE,"consu_flow";#N/A,#N/A,FALSE,"Summary_reqmt";#N/A,#N/A,FALSE,"field_ppg";#N/A,#N/A,FALSE,"ppg_shop";#N/A,#N/A,FALSE,"strl";#N/A,#N/A,FALSE,"tankages";#N/A,#N/A,FALSE,"gases"}</definedName>
    <definedName name="___WRN3" localSheetId="9" hidden="1">{#N/A,#N/A,FALSE,"consu_cover";#N/A,#N/A,FALSE,"consu_strategy";#N/A,#N/A,FALSE,"consu_flow";#N/A,#N/A,FALSE,"Summary_reqmt";#N/A,#N/A,FALSE,"field_ppg";#N/A,#N/A,FALSE,"ppg_shop";#N/A,#N/A,FALSE,"strl";#N/A,#N/A,FALSE,"tankages";#N/A,#N/A,FALSE,"gases"}</definedName>
    <definedName name="___WRN3" localSheetId="13" hidden="1">{#N/A,#N/A,FALSE,"consu_cover";#N/A,#N/A,FALSE,"consu_strategy";#N/A,#N/A,FALSE,"consu_flow";#N/A,#N/A,FALSE,"Summary_reqmt";#N/A,#N/A,FALSE,"field_ppg";#N/A,#N/A,FALSE,"ppg_shop";#N/A,#N/A,FALSE,"strl";#N/A,#N/A,FALSE,"tankages";#N/A,#N/A,FALSE,"gases"}</definedName>
    <definedName name="___WRN3" localSheetId="18" hidden="1">{#N/A,#N/A,FALSE,"consu_cover";#N/A,#N/A,FALSE,"consu_strategy";#N/A,#N/A,FALSE,"consu_flow";#N/A,#N/A,FALSE,"Summary_reqmt";#N/A,#N/A,FALSE,"field_ppg";#N/A,#N/A,FALSE,"ppg_shop";#N/A,#N/A,FALSE,"strl";#N/A,#N/A,FALSE,"tankages";#N/A,#N/A,FALSE,"gases"}</definedName>
    <definedName name="___WRN3" localSheetId="15" hidden="1">{#N/A,#N/A,FALSE,"consu_cover";#N/A,#N/A,FALSE,"consu_strategy";#N/A,#N/A,FALSE,"consu_flow";#N/A,#N/A,FALSE,"Summary_reqmt";#N/A,#N/A,FALSE,"field_ppg";#N/A,#N/A,FALSE,"ppg_shop";#N/A,#N/A,FALSE,"strl";#N/A,#N/A,FALSE,"tankages";#N/A,#N/A,FALSE,"gases"}</definedName>
    <definedName name="___WRN3" localSheetId="7" hidden="1">{#N/A,#N/A,FALSE,"consu_cover";#N/A,#N/A,FALSE,"consu_strategy";#N/A,#N/A,FALSE,"consu_flow";#N/A,#N/A,FALSE,"Summary_reqmt";#N/A,#N/A,FALSE,"field_ppg";#N/A,#N/A,FALSE,"ppg_shop";#N/A,#N/A,FALSE,"strl";#N/A,#N/A,FALSE,"tankages";#N/A,#N/A,FALSE,"gases"}</definedName>
    <definedName name="___WRN3" hidden="1">{#N/A,#N/A,FALSE,"consu_cover";#N/A,#N/A,FALSE,"consu_strategy";#N/A,#N/A,FALSE,"consu_flow";#N/A,#N/A,FALSE,"Summary_reqmt";#N/A,#N/A,FALSE,"field_ppg";#N/A,#N/A,FALSE,"ppg_shop";#N/A,#N/A,FALSE,"strl";#N/A,#N/A,FALSE,"tankages";#N/A,#N/A,FALSE,"gases"}</definedName>
    <definedName name="__123Graph_A" localSheetId="12" hidden="1">#REF!</definedName>
    <definedName name="__123Graph_A" localSheetId="6" hidden="1">#REF!</definedName>
    <definedName name="__123Graph_A" localSheetId="5" hidden="1">#REF!</definedName>
    <definedName name="__123Graph_A" localSheetId="8" hidden="1">#REF!</definedName>
    <definedName name="__123Graph_A" localSheetId="11" hidden="1">#REF!</definedName>
    <definedName name="__123Graph_A" localSheetId="9" hidden="1">#REF!</definedName>
    <definedName name="__123Graph_A" localSheetId="18" hidden="1">#REF!</definedName>
    <definedName name="__123Graph_A" localSheetId="15" hidden="1">#REF!</definedName>
    <definedName name="__123Graph_A" localSheetId="7" hidden="1">#REF!</definedName>
    <definedName name="__123Graph_A" hidden="1">#REF!</definedName>
    <definedName name="__123Graph_ACURVE" localSheetId="12" hidden="1">#REF!</definedName>
    <definedName name="__123Graph_ACURVE" localSheetId="6" hidden="1">#REF!</definedName>
    <definedName name="__123Graph_ACURVE" localSheetId="5" hidden="1">#REF!</definedName>
    <definedName name="__123Graph_ACURVE" localSheetId="8" hidden="1">#REF!</definedName>
    <definedName name="__123Graph_ACURVE" localSheetId="11" hidden="1">#REF!</definedName>
    <definedName name="__123Graph_ACURVE" localSheetId="9" hidden="1">#REF!</definedName>
    <definedName name="__123Graph_ACURVE" localSheetId="18" hidden="1">#REF!</definedName>
    <definedName name="__123Graph_ACURVE" localSheetId="15" hidden="1">#REF!</definedName>
    <definedName name="__123Graph_ACURVE" localSheetId="7" hidden="1">#REF!</definedName>
    <definedName name="__123Graph_ACURVE" hidden="1">#REF!</definedName>
    <definedName name="__123Graph_APAY" localSheetId="12" hidden="1">#REF!</definedName>
    <definedName name="__123Graph_APAY" localSheetId="6" hidden="1">#REF!</definedName>
    <definedName name="__123Graph_APAY" localSheetId="5" hidden="1">#REF!</definedName>
    <definedName name="__123Graph_APAY" localSheetId="8" hidden="1">#REF!</definedName>
    <definedName name="__123Graph_APAY" localSheetId="11" hidden="1">#REF!</definedName>
    <definedName name="__123Graph_APAY" localSheetId="9" hidden="1">#REF!</definedName>
    <definedName name="__123Graph_APAY" localSheetId="18" hidden="1">#REF!</definedName>
    <definedName name="__123Graph_APAY" localSheetId="15" hidden="1">#REF!</definedName>
    <definedName name="__123Graph_APAY" localSheetId="7" hidden="1">#REF!</definedName>
    <definedName name="__123Graph_APAY" hidden="1">#REF!</definedName>
    <definedName name="__123Graph_ASTATPROG" localSheetId="12" hidden="1">#REF!</definedName>
    <definedName name="__123Graph_ASTATPROG" localSheetId="8" hidden="1">#REF!</definedName>
    <definedName name="__123Graph_ASTATPROG" localSheetId="11" hidden="1">#REF!</definedName>
    <definedName name="__123Graph_ASTATPROG" localSheetId="9" hidden="1">#REF!</definedName>
    <definedName name="__123Graph_ASTATPROG" localSheetId="18" hidden="1">#REF!</definedName>
    <definedName name="__123Graph_ASTATPROG" localSheetId="15" hidden="1">#REF!</definedName>
    <definedName name="__123Graph_ASTATPROG" localSheetId="7" hidden="1">#REF!</definedName>
    <definedName name="__123Graph_ASTATPROG" hidden="1">#REF!</definedName>
    <definedName name="__123Graph_B" localSheetId="12" hidden="1">#REF!</definedName>
    <definedName name="__123Graph_B" localSheetId="8" hidden="1">#REF!</definedName>
    <definedName name="__123Graph_B" localSheetId="11" hidden="1">#REF!</definedName>
    <definedName name="__123Graph_B" localSheetId="9" hidden="1">#REF!</definedName>
    <definedName name="__123Graph_B" localSheetId="18" hidden="1">#REF!</definedName>
    <definedName name="__123Graph_B" localSheetId="15" hidden="1">#REF!</definedName>
    <definedName name="__123Graph_B" localSheetId="7" hidden="1">#REF!</definedName>
    <definedName name="__123Graph_B" hidden="1">#REF!</definedName>
    <definedName name="__123Graph_C" localSheetId="12" hidden="1">#REF!</definedName>
    <definedName name="__123Graph_C" localSheetId="8" hidden="1">#REF!</definedName>
    <definedName name="__123Graph_C" localSheetId="11" hidden="1">#REF!</definedName>
    <definedName name="__123Graph_C" localSheetId="9" hidden="1">#REF!</definedName>
    <definedName name="__123Graph_C" localSheetId="18" hidden="1">#REF!</definedName>
    <definedName name="__123Graph_C" localSheetId="15" hidden="1">#REF!</definedName>
    <definedName name="__123Graph_C" localSheetId="7" hidden="1">#REF!</definedName>
    <definedName name="__123Graph_C" hidden="1">#REF!</definedName>
    <definedName name="__123Graph_D" localSheetId="12" hidden="1">#REF!</definedName>
    <definedName name="__123Graph_D" localSheetId="8" hidden="1">#REF!</definedName>
    <definedName name="__123Graph_D" localSheetId="11" hidden="1">#REF!</definedName>
    <definedName name="__123Graph_D" localSheetId="9" hidden="1">#REF!</definedName>
    <definedName name="__123Graph_D" localSheetId="18" hidden="1">#REF!</definedName>
    <definedName name="__123Graph_D" localSheetId="15" hidden="1">#REF!</definedName>
    <definedName name="__123Graph_D" localSheetId="7" hidden="1">#REF!</definedName>
    <definedName name="__123Graph_D" hidden="1">#REF!</definedName>
    <definedName name="__123Graph_E" localSheetId="12" hidden="1">#REF!</definedName>
    <definedName name="__123Graph_E" localSheetId="8" hidden="1">#REF!</definedName>
    <definedName name="__123Graph_E" localSheetId="11" hidden="1">#REF!</definedName>
    <definedName name="__123Graph_E" localSheetId="9" hidden="1">#REF!</definedName>
    <definedName name="__123Graph_E" localSheetId="18" hidden="1">#REF!</definedName>
    <definedName name="__123Graph_E" localSheetId="15" hidden="1">#REF!</definedName>
    <definedName name="__123Graph_E" localSheetId="7" hidden="1">#REF!</definedName>
    <definedName name="__123Graph_E" hidden="1">#REF!</definedName>
    <definedName name="__123Graph_F" localSheetId="12" hidden="1">#REF!</definedName>
    <definedName name="__123Graph_F" localSheetId="8" hidden="1">#REF!</definedName>
    <definedName name="__123Graph_F" localSheetId="11" hidden="1">#REF!</definedName>
    <definedName name="__123Graph_F" localSheetId="9" hidden="1">#REF!</definedName>
    <definedName name="__123Graph_F" localSheetId="18" hidden="1">#REF!</definedName>
    <definedName name="__123Graph_F" localSheetId="15" hidden="1">#REF!</definedName>
    <definedName name="__123Graph_F" localSheetId="7" hidden="1">#REF!</definedName>
    <definedName name="__123Graph_F" hidden="1">#REF!</definedName>
    <definedName name="__123Graph_X" localSheetId="12" hidden="1">#REF!</definedName>
    <definedName name="__123Graph_X" localSheetId="8" hidden="1">#REF!</definedName>
    <definedName name="__123Graph_X" localSheetId="11" hidden="1">#REF!</definedName>
    <definedName name="__123Graph_X" localSheetId="9" hidden="1">#REF!</definedName>
    <definedName name="__123Graph_X" localSheetId="18" hidden="1">#REF!</definedName>
    <definedName name="__123Graph_X" localSheetId="15" hidden="1">#REF!</definedName>
    <definedName name="__123Graph_X" localSheetId="7" hidden="1">#REF!</definedName>
    <definedName name="__123Graph_X" hidden="1">#REF!</definedName>
    <definedName name="__123Graph_XCURVE" localSheetId="12" hidden="1">#REF!</definedName>
    <definedName name="__123Graph_XCURVE" localSheetId="8" hidden="1">#REF!</definedName>
    <definedName name="__123Graph_XCURVE" localSheetId="11" hidden="1">#REF!</definedName>
    <definedName name="__123Graph_XCURVE" localSheetId="9" hidden="1">#REF!</definedName>
    <definedName name="__123Graph_XCURVE" localSheetId="18" hidden="1">#REF!</definedName>
    <definedName name="__123Graph_XCURVE" localSheetId="15" hidden="1">#REF!</definedName>
    <definedName name="__123Graph_XCURVE" localSheetId="7" hidden="1">#REF!</definedName>
    <definedName name="__123Graph_XCURVE" hidden="1">#REF!</definedName>
    <definedName name="__123Graph_XPAY" localSheetId="12" hidden="1">#REF!</definedName>
    <definedName name="__123Graph_XPAY" localSheetId="8" hidden="1">#REF!</definedName>
    <definedName name="__123Graph_XPAY" localSheetId="11" hidden="1">#REF!</definedName>
    <definedName name="__123Graph_XPAY" localSheetId="9" hidden="1">#REF!</definedName>
    <definedName name="__123Graph_XPAY" localSheetId="18" hidden="1">#REF!</definedName>
    <definedName name="__123Graph_XPAY" localSheetId="15" hidden="1">#REF!</definedName>
    <definedName name="__123Graph_XPAY" localSheetId="7" hidden="1">#REF!</definedName>
    <definedName name="__123Graph_XPAY" hidden="1">#REF!</definedName>
    <definedName name="__123Graph_XSTATPROG" localSheetId="12" hidden="1">#REF!</definedName>
    <definedName name="__123Graph_XSTATPROG" localSheetId="8" hidden="1">#REF!</definedName>
    <definedName name="__123Graph_XSTATPROG" localSheetId="11" hidden="1">#REF!</definedName>
    <definedName name="__123Graph_XSTATPROG" localSheetId="9" hidden="1">#REF!</definedName>
    <definedName name="__123Graph_XSTATPROG" localSheetId="18" hidden="1">#REF!</definedName>
    <definedName name="__123Graph_XSTATPROG" localSheetId="15" hidden="1">#REF!</definedName>
    <definedName name="__123Graph_XSTATPROG" localSheetId="7" hidden="1">#REF!</definedName>
    <definedName name="__123Graph_XSTATPROG" hidden="1">#REF!</definedName>
    <definedName name="__A655600" localSheetId="12">#REF!</definedName>
    <definedName name="__A655600" localSheetId="8">#REF!</definedName>
    <definedName name="__A655600" localSheetId="11">#REF!</definedName>
    <definedName name="__A655600" localSheetId="9">#REF!</definedName>
    <definedName name="__A655600" localSheetId="18">#REF!</definedName>
    <definedName name="__A655600" localSheetId="15">#REF!</definedName>
    <definedName name="__A655600" localSheetId="7">#REF!</definedName>
    <definedName name="__A655600">#REF!</definedName>
    <definedName name="__alt1" localSheetId="12">#REF!</definedName>
    <definedName name="__alt1" localSheetId="0">#REF!</definedName>
    <definedName name="__alt1" localSheetId="1">#REF!</definedName>
    <definedName name="__alt1" localSheetId="8">#REF!</definedName>
    <definedName name="__alt1" localSheetId="11">#REF!</definedName>
    <definedName name="__alt1" localSheetId="9">#REF!</definedName>
    <definedName name="__alt1" localSheetId="18">#REF!</definedName>
    <definedName name="__alt1" localSheetId="15">#REF!</definedName>
    <definedName name="__alt1" localSheetId="7">#REF!</definedName>
    <definedName name="__alt1">#REF!</definedName>
    <definedName name="__ALT2" localSheetId="12">#REF!</definedName>
    <definedName name="__ALT2" localSheetId="0">#REF!</definedName>
    <definedName name="__ALT2" localSheetId="1">#REF!</definedName>
    <definedName name="__ALT2" localSheetId="8">#REF!</definedName>
    <definedName name="__ALT2" localSheetId="11">#REF!</definedName>
    <definedName name="__ALT2" localSheetId="9">#REF!</definedName>
    <definedName name="__ALT2" localSheetId="18">#REF!</definedName>
    <definedName name="__ALT2" localSheetId="15">#REF!</definedName>
    <definedName name="__ALT2" localSheetId="7">#REF!</definedName>
    <definedName name="__ALT2">#REF!</definedName>
    <definedName name="__ALT3" localSheetId="12">#REF!</definedName>
    <definedName name="__ALT3" localSheetId="0">#REF!</definedName>
    <definedName name="__ALT3" localSheetId="1">#REF!</definedName>
    <definedName name="__ALT3" localSheetId="8">#REF!</definedName>
    <definedName name="__ALT3" localSheetId="11">#REF!</definedName>
    <definedName name="__ALT3" localSheetId="9">#REF!</definedName>
    <definedName name="__ALT3" localSheetId="18">#REF!</definedName>
    <definedName name="__ALT3" localSheetId="15">#REF!</definedName>
    <definedName name="__ALT3" localSheetId="7">#REF!</definedName>
    <definedName name="__ALT3">#REF!</definedName>
    <definedName name="__ALT4" localSheetId="12">#REF!</definedName>
    <definedName name="__ALT4" localSheetId="0">#REF!</definedName>
    <definedName name="__ALT4" localSheetId="1">#REF!</definedName>
    <definedName name="__ALT4" localSheetId="8">#REF!</definedName>
    <definedName name="__ALT4" localSheetId="11">#REF!</definedName>
    <definedName name="__ALT4" localSheetId="9">#REF!</definedName>
    <definedName name="__ALT4" localSheetId="18">#REF!</definedName>
    <definedName name="__ALT4" localSheetId="15">#REF!</definedName>
    <definedName name="__ALT4" localSheetId="7">#REF!</definedName>
    <definedName name="__ALT4">#REF!</definedName>
    <definedName name="__aoc10" localSheetId="12">#REF!</definedName>
    <definedName name="__aoc10" localSheetId="8">#REF!</definedName>
    <definedName name="__aoc10" localSheetId="11">#REF!</definedName>
    <definedName name="__aoc10" localSheetId="9">#REF!</definedName>
    <definedName name="__aoc10" localSheetId="18">#REF!</definedName>
    <definedName name="__aoc10" localSheetId="15">#REF!</definedName>
    <definedName name="__aoc10" localSheetId="7">#REF!</definedName>
    <definedName name="__aoc10">#REF!</definedName>
    <definedName name="__aoc11" localSheetId="12">#REF!</definedName>
    <definedName name="__aoc11" localSheetId="8">#REF!</definedName>
    <definedName name="__aoc11" localSheetId="11">#REF!</definedName>
    <definedName name="__aoc11" localSheetId="9">#REF!</definedName>
    <definedName name="__aoc11" localSheetId="18">#REF!</definedName>
    <definedName name="__aoc11" localSheetId="15">#REF!</definedName>
    <definedName name="__aoc11" localSheetId="7">#REF!</definedName>
    <definedName name="__aoc11">#REF!</definedName>
    <definedName name="__aoc2" localSheetId="12">#REF!</definedName>
    <definedName name="__aoc2" localSheetId="8">#REF!</definedName>
    <definedName name="__aoc2" localSheetId="11">#REF!</definedName>
    <definedName name="__aoc2" localSheetId="9">#REF!</definedName>
    <definedName name="__aoc2" localSheetId="18">#REF!</definedName>
    <definedName name="__aoc2" localSheetId="15">#REF!</definedName>
    <definedName name="__aoc2" localSheetId="7">#REF!</definedName>
    <definedName name="__aoc2">#REF!</definedName>
    <definedName name="__aoc3" localSheetId="12">#REF!</definedName>
    <definedName name="__aoc3" localSheetId="8">#REF!</definedName>
    <definedName name="__aoc3" localSheetId="11">#REF!</definedName>
    <definedName name="__aoc3" localSheetId="9">#REF!</definedName>
    <definedName name="__aoc3" localSheetId="18">#REF!</definedName>
    <definedName name="__aoc3" localSheetId="15">#REF!</definedName>
    <definedName name="__aoc3" localSheetId="7">#REF!</definedName>
    <definedName name="__aoc3">#REF!</definedName>
    <definedName name="__aoc4" localSheetId="12">#REF!</definedName>
    <definedName name="__aoc4" localSheetId="8">#REF!</definedName>
    <definedName name="__aoc4" localSheetId="11">#REF!</definedName>
    <definedName name="__aoc4" localSheetId="9">#REF!</definedName>
    <definedName name="__aoc4" localSheetId="18">#REF!</definedName>
    <definedName name="__aoc4" localSheetId="15">#REF!</definedName>
    <definedName name="__aoc4" localSheetId="7">#REF!</definedName>
    <definedName name="__aoc4">#REF!</definedName>
    <definedName name="__aoc7" localSheetId="12">#REF!</definedName>
    <definedName name="__aoc7" localSheetId="8">#REF!</definedName>
    <definedName name="__aoc7" localSheetId="11">#REF!</definedName>
    <definedName name="__aoc7" localSheetId="9">#REF!</definedName>
    <definedName name="__aoc7" localSheetId="18">#REF!</definedName>
    <definedName name="__aoc7" localSheetId="15">#REF!</definedName>
    <definedName name="__aoc7" localSheetId="7">#REF!</definedName>
    <definedName name="__aoc7">#REF!</definedName>
    <definedName name="__aoc8" localSheetId="12">#REF!</definedName>
    <definedName name="__aoc8" localSheetId="8">#REF!</definedName>
    <definedName name="__aoc8" localSheetId="11">#REF!</definedName>
    <definedName name="__aoc8" localSheetId="9">#REF!</definedName>
    <definedName name="__aoc8" localSheetId="18">#REF!</definedName>
    <definedName name="__aoc8" localSheetId="15">#REF!</definedName>
    <definedName name="__aoc8" localSheetId="7">#REF!</definedName>
    <definedName name="__aoc8">#REF!</definedName>
    <definedName name="__aoc9" localSheetId="12">#REF!</definedName>
    <definedName name="__aoc9" localSheetId="8">#REF!</definedName>
    <definedName name="__aoc9" localSheetId="11">#REF!</definedName>
    <definedName name="__aoc9" localSheetId="9">#REF!</definedName>
    <definedName name="__aoc9" localSheetId="18">#REF!</definedName>
    <definedName name="__aoc9" localSheetId="15">#REF!</definedName>
    <definedName name="__aoc9" localSheetId="7">#REF!</definedName>
    <definedName name="__aoc9">#REF!</definedName>
    <definedName name="__ARD1" localSheetId="12">#REF!</definedName>
    <definedName name="__ARD1" localSheetId="8">#REF!</definedName>
    <definedName name="__ARD1" localSheetId="11">#REF!</definedName>
    <definedName name="__ARD1" localSheetId="9">#REF!</definedName>
    <definedName name="__ARD1" localSheetId="18">#REF!</definedName>
    <definedName name="__ARD1" localSheetId="15">#REF!</definedName>
    <definedName name="__ARD1" localSheetId="7">#REF!</definedName>
    <definedName name="__ARD1">#REF!</definedName>
    <definedName name="__ARD2" localSheetId="12">#REF!</definedName>
    <definedName name="__ARD2" localSheetId="8">#REF!</definedName>
    <definedName name="__ARD2" localSheetId="11">#REF!</definedName>
    <definedName name="__ARD2" localSheetId="9">#REF!</definedName>
    <definedName name="__ARD2" localSheetId="18">#REF!</definedName>
    <definedName name="__ARD2" localSheetId="15">#REF!</definedName>
    <definedName name="__ARD2" localSheetId="7">#REF!</definedName>
    <definedName name="__ARD2">#REF!</definedName>
    <definedName name="__B100000" localSheetId="12">#REF!</definedName>
    <definedName name="__B100000" localSheetId="8">#REF!</definedName>
    <definedName name="__B100000" localSheetId="11">#REF!</definedName>
    <definedName name="__B100000" localSheetId="9">#REF!</definedName>
    <definedName name="__B100000" localSheetId="18">#REF!</definedName>
    <definedName name="__B100000" localSheetId="15">#REF!</definedName>
    <definedName name="__B100000" localSheetId="7">#REF!</definedName>
    <definedName name="__B100000">#REF!</definedName>
    <definedName name="__b111121" localSheetId="12">#REF!</definedName>
    <definedName name="__b111121" localSheetId="8">#REF!</definedName>
    <definedName name="__b111121" localSheetId="11">#REF!</definedName>
    <definedName name="__b111121" localSheetId="9">#REF!</definedName>
    <definedName name="__b111121" localSheetId="18">#REF!</definedName>
    <definedName name="__b111121" localSheetId="15">#REF!</definedName>
    <definedName name="__b111121" localSheetId="7">#REF!</definedName>
    <definedName name="__b111121">#REF!</definedName>
    <definedName name="__B99999" localSheetId="12">#REF!</definedName>
    <definedName name="__B99999" localSheetId="8">#REF!</definedName>
    <definedName name="__B99999" localSheetId="11">#REF!</definedName>
    <definedName name="__B99999" localSheetId="9">#REF!</definedName>
    <definedName name="__B99999" localSheetId="18">#REF!</definedName>
    <definedName name="__B99999" localSheetId="15">#REF!</definedName>
    <definedName name="__B99999" localSheetId="7">#REF!</definedName>
    <definedName name="__B99999">#REF!</definedName>
    <definedName name="__B999999" localSheetId="12">#REF!</definedName>
    <definedName name="__B999999" localSheetId="8">#REF!</definedName>
    <definedName name="__B999999" localSheetId="11">#REF!</definedName>
    <definedName name="__B999999" localSheetId="9">#REF!</definedName>
    <definedName name="__B999999" localSheetId="18">#REF!</definedName>
    <definedName name="__B999999" localSheetId="15">#REF!</definedName>
    <definedName name="__B999999" localSheetId="7">#REF!</definedName>
    <definedName name="__B999999">#REF!</definedName>
    <definedName name="__BLK1" localSheetId="12">#REF!</definedName>
    <definedName name="__BLK1" localSheetId="8">#REF!</definedName>
    <definedName name="__BLK1" localSheetId="11">#REF!</definedName>
    <definedName name="__BLK1" localSheetId="9">#REF!</definedName>
    <definedName name="__BLK1" localSheetId="18">#REF!</definedName>
    <definedName name="__BLK1" localSheetId="15">#REF!</definedName>
    <definedName name="__BLK1" localSheetId="7">#REF!</definedName>
    <definedName name="__BLK1">#REF!</definedName>
    <definedName name="__BLK2" localSheetId="12">#REF!</definedName>
    <definedName name="__BLK2" localSheetId="8">#REF!</definedName>
    <definedName name="__BLK2" localSheetId="11">#REF!</definedName>
    <definedName name="__BLK2" localSheetId="9">#REF!</definedName>
    <definedName name="__BLK2" localSheetId="18">#REF!</definedName>
    <definedName name="__BLK2" localSheetId="15">#REF!</definedName>
    <definedName name="__BLK2" localSheetId="7">#REF!</definedName>
    <definedName name="__BLK2">#REF!</definedName>
    <definedName name="__bol1" localSheetId="12">#REF!</definedName>
    <definedName name="__bol1" localSheetId="8">#REF!</definedName>
    <definedName name="__bol1" localSheetId="11">#REF!</definedName>
    <definedName name="__bol1" localSheetId="9">#REF!</definedName>
    <definedName name="__bol1" localSheetId="18">#REF!</definedName>
    <definedName name="__bol1" localSheetId="15">#REF!</definedName>
    <definedName name="__bol1" localSheetId="7">#REF!</definedName>
    <definedName name="__bol1">#REF!</definedName>
    <definedName name="__can430">40.73</definedName>
    <definedName name="__can435">43.3</definedName>
    <definedName name="__dim4" localSheetId="12">#REF!</definedName>
    <definedName name="__dim4" localSheetId="6">#REF!</definedName>
    <definedName name="__dim4" localSheetId="5">#REF!</definedName>
    <definedName name="__dim4" localSheetId="8">#REF!</definedName>
    <definedName name="__dim4" localSheetId="11">#REF!</definedName>
    <definedName name="__dim4" localSheetId="9">#REF!</definedName>
    <definedName name="__dim4" localSheetId="18">#REF!</definedName>
    <definedName name="__dim4" localSheetId="15">#REF!</definedName>
    <definedName name="__dim4" localSheetId="7">#REF!</definedName>
    <definedName name="__dim4">#REF!</definedName>
    <definedName name="__dk1" localSheetId="12" hidden="1">{#N/A,#N/A,FALSE,"COVER.XLS";#N/A,#N/A,FALSE,"RACT1.XLS";#N/A,#N/A,FALSE,"RACT2.XLS";#N/A,#N/A,FALSE,"ECCMP";#N/A,#N/A,FALSE,"WELDER.XLS"}</definedName>
    <definedName name="__dk1" localSheetId="6" hidden="1">{#N/A,#N/A,FALSE,"COVER.XLS";#N/A,#N/A,FALSE,"RACT1.XLS";#N/A,#N/A,FALSE,"RACT2.XLS";#N/A,#N/A,FALSE,"ECCMP";#N/A,#N/A,FALSE,"WELDER.XLS"}</definedName>
    <definedName name="__dk1" localSheetId="5" hidden="1">{#N/A,#N/A,FALSE,"COVER.XLS";#N/A,#N/A,FALSE,"RACT1.XLS";#N/A,#N/A,FALSE,"RACT2.XLS";#N/A,#N/A,FALSE,"ECCMP";#N/A,#N/A,FALSE,"WELDER.XLS"}</definedName>
    <definedName name="__dk1" localSheetId="8" hidden="1">{#N/A,#N/A,FALSE,"COVER.XLS";#N/A,#N/A,FALSE,"RACT1.XLS";#N/A,#N/A,FALSE,"RACT2.XLS";#N/A,#N/A,FALSE,"ECCMP";#N/A,#N/A,FALSE,"WELDER.XLS"}</definedName>
    <definedName name="__dk1" localSheetId="11" hidden="1">{#N/A,#N/A,FALSE,"COVER.XLS";#N/A,#N/A,FALSE,"RACT1.XLS";#N/A,#N/A,FALSE,"RACT2.XLS";#N/A,#N/A,FALSE,"ECCMP";#N/A,#N/A,FALSE,"WELDER.XLS"}</definedName>
    <definedName name="__dk1" localSheetId="9" hidden="1">{#N/A,#N/A,FALSE,"COVER.XLS";#N/A,#N/A,FALSE,"RACT1.XLS";#N/A,#N/A,FALSE,"RACT2.XLS";#N/A,#N/A,FALSE,"ECCMP";#N/A,#N/A,FALSE,"WELDER.XLS"}</definedName>
    <definedName name="__dk1" localSheetId="13" hidden="1">{#N/A,#N/A,FALSE,"COVER.XLS";#N/A,#N/A,FALSE,"RACT1.XLS";#N/A,#N/A,FALSE,"RACT2.XLS";#N/A,#N/A,FALSE,"ECCMP";#N/A,#N/A,FALSE,"WELDER.XLS"}</definedName>
    <definedName name="__dk1" localSheetId="18" hidden="1">{#N/A,#N/A,FALSE,"COVER.XLS";#N/A,#N/A,FALSE,"RACT1.XLS";#N/A,#N/A,FALSE,"RACT2.XLS";#N/A,#N/A,FALSE,"ECCMP";#N/A,#N/A,FALSE,"WELDER.XLS"}</definedName>
    <definedName name="__dk1" localSheetId="15" hidden="1">{#N/A,#N/A,FALSE,"COVER.XLS";#N/A,#N/A,FALSE,"RACT1.XLS";#N/A,#N/A,FALSE,"RACT2.XLS";#N/A,#N/A,FALSE,"ECCMP";#N/A,#N/A,FALSE,"WELDER.XLS"}</definedName>
    <definedName name="__dk1" localSheetId="7" hidden="1">{#N/A,#N/A,FALSE,"COVER.XLS";#N/A,#N/A,FALSE,"RACT1.XLS";#N/A,#N/A,FALSE,"RACT2.XLS";#N/A,#N/A,FALSE,"ECCMP";#N/A,#N/A,FALSE,"WELDER.XLS"}</definedName>
    <definedName name="__dk1" hidden="1">{#N/A,#N/A,FALSE,"COVER.XLS";#N/A,#N/A,FALSE,"RACT1.XLS";#N/A,#N/A,FALSE,"RACT2.XLS";#N/A,#N/A,FALSE,"ECCMP";#N/A,#N/A,FALSE,"WELDER.XLS"}</definedName>
    <definedName name="__exc1" localSheetId="12">#REF!</definedName>
    <definedName name="__exc1" localSheetId="6">#REF!</definedName>
    <definedName name="__exc1" localSheetId="5">#REF!</definedName>
    <definedName name="__exc1" localSheetId="8">#REF!</definedName>
    <definedName name="__exc1" localSheetId="11">#REF!</definedName>
    <definedName name="__exc1" localSheetId="9">#REF!</definedName>
    <definedName name="__exc1" localSheetId="18">#REF!</definedName>
    <definedName name="__exc1" localSheetId="15">#REF!</definedName>
    <definedName name="__exc1" localSheetId="7">#REF!</definedName>
    <definedName name="__exc1">#REF!</definedName>
    <definedName name="__exc11" localSheetId="12">#REF!</definedName>
    <definedName name="__exc11" localSheetId="6">#REF!</definedName>
    <definedName name="__exc11" localSheetId="5">#REF!</definedName>
    <definedName name="__exc11" localSheetId="8">#REF!</definedName>
    <definedName name="__exc11" localSheetId="11">#REF!</definedName>
    <definedName name="__exc11" localSheetId="9">#REF!</definedName>
    <definedName name="__exc11" localSheetId="18">#REF!</definedName>
    <definedName name="__exc11" localSheetId="15">#REF!</definedName>
    <definedName name="__exc11" localSheetId="7">#REF!</definedName>
    <definedName name="__exc11">#REF!</definedName>
    <definedName name="__exc2" localSheetId="12">#REF!</definedName>
    <definedName name="__exc2" localSheetId="6">#REF!</definedName>
    <definedName name="__exc2" localSheetId="5">#REF!</definedName>
    <definedName name="__exc2" localSheetId="8">#REF!</definedName>
    <definedName name="__exc2" localSheetId="11">#REF!</definedName>
    <definedName name="__exc2" localSheetId="9">#REF!</definedName>
    <definedName name="__exc2" localSheetId="18">#REF!</definedName>
    <definedName name="__exc2" localSheetId="15">#REF!</definedName>
    <definedName name="__exc2" localSheetId="7">#REF!</definedName>
    <definedName name="__exc2">#REF!</definedName>
    <definedName name="__EXC3" localSheetId="12">#REF!</definedName>
    <definedName name="__EXC3" localSheetId="8">#REF!</definedName>
    <definedName name="__EXC3" localSheetId="11">#REF!</definedName>
    <definedName name="__EXC3" localSheetId="9">#REF!</definedName>
    <definedName name="__EXC3" localSheetId="18">#REF!</definedName>
    <definedName name="__EXC3" localSheetId="15">#REF!</definedName>
    <definedName name="__EXC3" localSheetId="7">#REF!</definedName>
    <definedName name="__EXC3">#REF!</definedName>
    <definedName name="__EXC4" localSheetId="12">#REF!</definedName>
    <definedName name="__EXC4" localSheetId="8">#REF!</definedName>
    <definedName name="__EXC4" localSheetId="11">#REF!</definedName>
    <definedName name="__EXC4" localSheetId="9">#REF!</definedName>
    <definedName name="__EXC4" localSheetId="18">#REF!</definedName>
    <definedName name="__EXC4" localSheetId="15">#REF!</definedName>
    <definedName name="__EXC4" localSheetId="7">#REF!</definedName>
    <definedName name="__EXC4">#REF!</definedName>
    <definedName name="__FIT1" localSheetId="12">#REF!</definedName>
    <definedName name="__FIT1" localSheetId="8">#REF!</definedName>
    <definedName name="__FIT1" localSheetId="11">#REF!</definedName>
    <definedName name="__FIT1" localSheetId="9">#REF!</definedName>
    <definedName name="__FIT1" localSheetId="18">#REF!</definedName>
    <definedName name="__FIT1" localSheetId="15">#REF!</definedName>
    <definedName name="__FIT1" localSheetId="7">#REF!</definedName>
    <definedName name="__FIT1">#REF!</definedName>
    <definedName name="__FIT2" localSheetId="12">#REF!</definedName>
    <definedName name="__FIT2" localSheetId="8">#REF!</definedName>
    <definedName name="__FIT2" localSheetId="11">#REF!</definedName>
    <definedName name="__FIT2" localSheetId="9">#REF!</definedName>
    <definedName name="__FIT2" localSheetId="18">#REF!</definedName>
    <definedName name="__FIT2" localSheetId="15">#REF!</definedName>
    <definedName name="__FIT2" localSheetId="7">#REF!</definedName>
    <definedName name="__FIT2">#REF!</definedName>
    <definedName name="__flx200" localSheetId="12">#REF!</definedName>
    <definedName name="__flx200" localSheetId="8">#REF!</definedName>
    <definedName name="__flx200" localSheetId="11">#REF!</definedName>
    <definedName name="__flx200" localSheetId="9">#REF!</definedName>
    <definedName name="__flx200" localSheetId="18">#REF!</definedName>
    <definedName name="__flx200" localSheetId="15">#REF!</definedName>
    <definedName name="__flx200" localSheetId="7">#REF!</definedName>
    <definedName name="__flx200">#REF!</definedName>
    <definedName name="__flx250" localSheetId="12">#REF!</definedName>
    <definedName name="__flx250" localSheetId="8">#REF!</definedName>
    <definedName name="__flx250" localSheetId="11">#REF!</definedName>
    <definedName name="__flx250" localSheetId="9">#REF!</definedName>
    <definedName name="__flx250" localSheetId="18">#REF!</definedName>
    <definedName name="__flx250" localSheetId="15">#REF!</definedName>
    <definedName name="__flx250" localSheetId="7">#REF!</definedName>
    <definedName name="__flx250">#REF!</definedName>
    <definedName name="__flx300" localSheetId="12">#REF!</definedName>
    <definedName name="__flx300" localSheetId="8">#REF!</definedName>
    <definedName name="__flx300" localSheetId="11">#REF!</definedName>
    <definedName name="__flx300" localSheetId="9">#REF!</definedName>
    <definedName name="__flx300" localSheetId="18">#REF!</definedName>
    <definedName name="__flx300" localSheetId="15">#REF!</definedName>
    <definedName name="__flx300" localSheetId="7">#REF!</definedName>
    <definedName name="__flx300">#REF!</definedName>
    <definedName name="__foo1" localSheetId="12">#REF!</definedName>
    <definedName name="__foo1" localSheetId="8">#REF!</definedName>
    <definedName name="__foo1" localSheetId="11">#REF!</definedName>
    <definedName name="__foo1" localSheetId="9">#REF!</definedName>
    <definedName name="__foo1" localSheetId="18">#REF!</definedName>
    <definedName name="__foo1" localSheetId="15">#REF!</definedName>
    <definedName name="__foo1" localSheetId="7">#REF!</definedName>
    <definedName name="__foo1">#REF!</definedName>
    <definedName name="__foo2" localSheetId="12">#REF!</definedName>
    <definedName name="__foo2" localSheetId="8">#REF!</definedName>
    <definedName name="__foo2" localSheetId="11">#REF!</definedName>
    <definedName name="__foo2" localSheetId="9">#REF!</definedName>
    <definedName name="__foo2" localSheetId="18">#REF!</definedName>
    <definedName name="__foo2" localSheetId="15">#REF!</definedName>
    <definedName name="__foo2" localSheetId="7">#REF!</definedName>
    <definedName name="__foo2">#REF!</definedName>
    <definedName name="__foo3" localSheetId="12">#REF!</definedName>
    <definedName name="__foo3" localSheetId="8">#REF!</definedName>
    <definedName name="__foo3" localSheetId="11">#REF!</definedName>
    <definedName name="__foo3" localSheetId="9">#REF!</definedName>
    <definedName name="__foo3" localSheetId="18">#REF!</definedName>
    <definedName name="__foo3" localSheetId="15">#REF!</definedName>
    <definedName name="__foo3" localSheetId="7">#REF!</definedName>
    <definedName name="__foo3">#REF!</definedName>
    <definedName name="__FOO4" localSheetId="12">#REF!</definedName>
    <definedName name="__FOO4" localSheetId="8">#REF!</definedName>
    <definedName name="__FOO4" localSheetId="11">#REF!</definedName>
    <definedName name="__FOO4" localSheetId="9">#REF!</definedName>
    <definedName name="__FOO4" localSheetId="18">#REF!</definedName>
    <definedName name="__FOO4" localSheetId="15">#REF!</definedName>
    <definedName name="__FOO4" localSheetId="7">#REF!</definedName>
    <definedName name="__FOO4">#REF!</definedName>
    <definedName name="__hp10" localSheetId="12" hidden="1">{#N/A,#N/A,TRUE,"Front";#N/A,#N/A,TRUE,"Simple Letter";#N/A,#N/A,TRUE,"Inside";#N/A,#N/A,TRUE,"Contents";#N/A,#N/A,TRUE,"Basis";#N/A,#N/A,TRUE,"Inclusions";#N/A,#N/A,TRUE,"Exclusions";#N/A,#N/A,TRUE,"Areas";#N/A,#N/A,TRUE,"Summary";#N/A,#N/A,TRUE,"Detail"}</definedName>
    <definedName name="__hp10" localSheetId="6" hidden="1">{#N/A,#N/A,TRUE,"Front";#N/A,#N/A,TRUE,"Simple Letter";#N/A,#N/A,TRUE,"Inside";#N/A,#N/A,TRUE,"Contents";#N/A,#N/A,TRUE,"Basis";#N/A,#N/A,TRUE,"Inclusions";#N/A,#N/A,TRUE,"Exclusions";#N/A,#N/A,TRUE,"Areas";#N/A,#N/A,TRUE,"Summary";#N/A,#N/A,TRUE,"Detail"}</definedName>
    <definedName name="__hp10" localSheetId="5" hidden="1">{#N/A,#N/A,TRUE,"Front";#N/A,#N/A,TRUE,"Simple Letter";#N/A,#N/A,TRUE,"Inside";#N/A,#N/A,TRUE,"Contents";#N/A,#N/A,TRUE,"Basis";#N/A,#N/A,TRUE,"Inclusions";#N/A,#N/A,TRUE,"Exclusions";#N/A,#N/A,TRUE,"Areas";#N/A,#N/A,TRUE,"Summary";#N/A,#N/A,TRUE,"Detail"}</definedName>
    <definedName name="__hp10" localSheetId="8" hidden="1">{#N/A,#N/A,TRUE,"Front";#N/A,#N/A,TRUE,"Simple Letter";#N/A,#N/A,TRUE,"Inside";#N/A,#N/A,TRUE,"Contents";#N/A,#N/A,TRUE,"Basis";#N/A,#N/A,TRUE,"Inclusions";#N/A,#N/A,TRUE,"Exclusions";#N/A,#N/A,TRUE,"Areas";#N/A,#N/A,TRUE,"Summary";#N/A,#N/A,TRUE,"Detail"}</definedName>
    <definedName name="__hp10" localSheetId="11" hidden="1">{#N/A,#N/A,TRUE,"Front";#N/A,#N/A,TRUE,"Simple Letter";#N/A,#N/A,TRUE,"Inside";#N/A,#N/A,TRUE,"Contents";#N/A,#N/A,TRUE,"Basis";#N/A,#N/A,TRUE,"Inclusions";#N/A,#N/A,TRUE,"Exclusions";#N/A,#N/A,TRUE,"Areas";#N/A,#N/A,TRUE,"Summary";#N/A,#N/A,TRUE,"Detail"}</definedName>
    <definedName name="__hp10" localSheetId="9" hidden="1">{#N/A,#N/A,TRUE,"Front";#N/A,#N/A,TRUE,"Simple Letter";#N/A,#N/A,TRUE,"Inside";#N/A,#N/A,TRUE,"Contents";#N/A,#N/A,TRUE,"Basis";#N/A,#N/A,TRUE,"Inclusions";#N/A,#N/A,TRUE,"Exclusions";#N/A,#N/A,TRUE,"Areas";#N/A,#N/A,TRUE,"Summary";#N/A,#N/A,TRUE,"Detail"}</definedName>
    <definedName name="__hp10" localSheetId="13" hidden="1">{#N/A,#N/A,TRUE,"Front";#N/A,#N/A,TRUE,"Simple Letter";#N/A,#N/A,TRUE,"Inside";#N/A,#N/A,TRUE,"Contents";#N/A,#N/A,TRUE,"Basis";#N/A,#N/A,TRUE,"Inclusions";#N/A,#N/A,TRUE,"Exclusions";#N/A,#N/A,TRUE,"Areas";#N/A,#N/A,TRUE,"Summary";#N/A,#N/A,TRUE,"Detail"}</definedName>
    <definedName name="__hp10" localSheetId="18" hidden="1">{#N/A,#N/A,TRUE,"Front";#N/A,#N/A,TRUE,"Simple Letter";#N/A,#N/A,TRUE,"Inside";#N/A,#N/A,TRUE,"Contents";#N/A,#N/A,TRUE,"Basis";#N/A,#N/A,TRUE,"Inclusions";#N/A,#N/A,TRUE,"Exclusions";#N/A,#N/A,TRUE,"Areas";#N/A,#N/A,TRUE,"Summary";#N/A,#N/A,TRUE,"Detail"}</definedName>
    <definedName name="__hp10" localSheetId="15" hidden="1">{#N/A,#N/A,TRUE,"Front";#N/A,#N/A,TRUE,"Simple Letter";#N/A,#N/A,TRUE,"Inside";#N/A,#N/A,TRUE,"Contents";#N/A,#N/A,TRUE,"Basis";#N/A,#N/A,TRUE,"Inclusions";#N/A,#N/A,TRUE,"Exclusions";#N/A,#N/A,TRUE,"Areas";#N/A,#N/A,TRUE,"Summary";#N/A,#N/A,TRUE,"Detail"}</definedName>
    <definedName name="__hp10" localSheetId="7" hidden="1">{#N/A,#N/A,TRUE,"Front";#N/A,#N/A,TRUE,"Simple Letter";#N/A,#N/A,TRUE,"Inside";#N/A,#N/A,TRUE,"Contents";#N/A,#N/A,TRUE,"Basis";#N/A,#N/A,TRUE,"Inclusions";#N/A,#N/A,TRUE,"Exclusions";#N/A,#N/A,TRUE,"Areas";#N/A,#N/A,TRUE,"Summary";#N/A,#N/A,TRUE,"Detail"}</definedName>
    <definedName name="__hp10" hidden="1">{#N/A,#N/A,TRUE,"Front";#N/A,#N/A,TRUE,"Simple Letter";#N/A,#N/A,TRUE,"Inside";#N/A,#N/A,TRUE,"Contents";#N/A,#N/A,TRUE,"Basis";#N/A,#N/A,TRUE,"Inclusions";#N/A,#N/A,TRUE,"Exclusions";#N/A,#N/A,TRUE,"Areas";#N/A,#N/A,TRUE,"Summary";#N/A,#N/A,TRUE,"Detail"}</definedName>
    <definedName name="__IntlFixup" hidden="1">TRUE</definedName>
    <definedName name="__IV65700" localSheetId="12">#REF!</definedName>
    <definedName name="__IV65700" localSheetId="6">#REF!</definedName>
    <definedName name="__IV65700" localSheetId="5">#REF!</definedName>
    <definedName name="__IV65700" localSheetId="8">#REF!</definedName>
    <definedName name="__IV65700" localSheetId="11">#REF!</definedName>
    <definedName name="__IV65700" localSheetId="9">#REF!</definedName>
    <definedName name="__IV65700" localSheetId="18">#REF!</definedName>
    <definedName name="__IV65700" localSheetId="15">#REF!</definedName>
    <definedName name="__IV65700" localSheetId="7">#REF!</definedName>
    <definedName name="__IV65700">#REF!</definedName>
    <definedName name="__IV66000" localSheetId="12">#REF!</definedName>
    <definedName name="__IV66000" localSheetId="6">#REF!</definedName>
    <definedName name="__IV66000" localSheetId="5">#REF!</definedName>
    <definedName name="__IV66000" localSheetId="8">#REF!</definedName>
    <definedName name="__IV66000" localSheetId="11">#REF!</definedName>
    <definedName name="__IV66000" localSheetId="9">#REF!</definedName>
    <definedName name="__IV66000" localSheetId="18">#REF!</definedName>
    <definedName name="__IV66000" localSheetId="15">#REF!</definedName>
    <definedName name="__IV66000" localSheetId="7">#REF!</definedName>
    <definedName name="__IV66000">#REF!</definedName>
    <definedName name="__IV67000" localSheetId="12">#REF!</definedName>
    <definedName name="__IV67000" localSheetId="6">#REF!</definedName>
    <definedName name="__IV67000" localSheetId="5">#REF!</definedName>
    <definedName name="__IV67000" localSheetId="8">#REF!</definedName>
    <definedName name="__IV67000" localSheetId="11">#REF!</definedName>
    <definedName name="__IV67000" localSheetId="9">#REF!</definedName>
    <definedName name="__IV67000" localSheetId="18">#REF!</definedName>
    <definedName name="__IV67000" localSheetId="15">#REF!</definedName>
    <definedName name="__IV67000" localSheetId="7">#REF!</definedName>
    <definedName name="__IV67000">#REF!</definedName>
    <definedName name="__IV70000" localSheetId="12">#REF!</definedName>
    <definedName name="__IV70000" localSheetId="8">#REF!</definedName>
    <definedName name="__IV70000" localSheetId="11">#REF!</definedName>
    <definedName name="__IV70000" localSheetId="9">#REF!</definedName>
    <definedName name="__IV70000" localSheetId="18">#REF!</definedName>
    <definedName name="__IV70000" localSheetId="15">#REF!</definedName>
    <definedName name="__IV70000" localSheetId="7">#REF!</definedName>
    <definedName name="__IV70000">#REF!</definedName>
    <definedName name="__IV99999" localSheetId="12">#REF!</definedName>
    <definedName name="__IV99999" localSheetId="8">#REF!</definedName>
    <definedName name="__IV99999" localSheetId="11">#REF!</definedName>
    <definedName name="__IV99999" localSheetId="9">#REF!</definedName>
    <definedName name="__IV99999" localSheetId="18">#REF!</definedName>
    <definedName name="__IV99999" localSheetId="15">#REF!</definedName>
    <definedName name="__IV99999" localSheetId="7">#REF!</definedName>
    <definedName name="__IV99999">#REF!</definedName>
    <definedName name="__K85167" localSheetId="12">#REF!</definedName>
    <definedName name="__K85167" localSheetId="8">#REF!</definedName>
    <definedName name="__K85167" localSheetId="11">#REF!</definedName>
    <definedName name="__K85167" localSheetId="9">#REF!</definedName>
    <definedName name="__K85167" localSheetId="18">#REF!</definedName>
    <definedName name="__K85167" localSheetId="15">#REF!</definedName>
    <definedName name="__K85167" localSheetId="7">#REF!</definedName>
    <definedName name="__K85167">#REF!</definedName>
    <definedName name="__Ki1" localSheetId="12">#REF!</definedName>
    <definedName name="__Ki1" localSheetId="8">#REF!</definedName>
    <definedName name="__Ki1" localSheetId="11">#REF!</definedName>
    <definedName name="__Ki1" localSheetId="9">#REF!</definedName>
    <definedName name="__Ki1" localSheetId="18">#REF!</definedName>
    <definedName name="__Ki1" localSheetId="15">#REF!</definedName>
    <definedName name="__Ki1" localSheetId="7">#REF!</definedName>
    <definedName name="__Ki1">#REF!</definedName>
    <definedName name="__Ki2" localSheetId="12">#REF!</definedName>
    <definedName name="__Ki2" localSheetId="8">#REF!</definedName>
    <definedName name="__Ki2" localSheetId="11">#REF!</definedName>
    <definedName name="__Ki2" localSheetId="9">#REF!</definedName>
    <definedName name="__Ki2" localSheetId="18">#REF!</definedName>
    <definedName name="__Ki2" localSheetId="15">#REF!</definedName>
    <definedName name="__Ki2" localSheetId="7">#REF!</definedName>
    <definedName name="__Ki2">#REF!</definedName>
    <definedName name="__kvs1" localSheetId="12" hidden="1">{#N/A,#N/A,FALSE,"COVER1.XLS ";#N/A,#N/A,FALSE,"RACT1.XLS";#N/A,#N/A,FALSE,"RACT2.XLS";#N/A,#N/A,FALSE,"ECCMP";#N/A,#N/A,FALSE,"WELDER.XLS"}</definedName>
    <definedName name="__kvs1" localSheetId="6" hidden="1">{#N/A,#N/A,FALSE,"COVER1.XLS ";#N/A,#N/A,FALSE,"RACT1.XLS";#N/A,#N/A,FALSE,"RACT2.XLS";#N/A,#N/A,FALSE,"ECCMP";#N/A,#N/A,FALSE,"WELDER.XLS"}</definedName>
    <definedName name="__kvs1" localSheetId="5" hidden="1">{#N/A,#N/A,FALSE,"COVER1.XLS ";#N/A,#N/A,FALSE,"RACT1.XLS";#N/A,#N/A,FALSE,"RACT2.XLS";#N/A,#N/A,FALSE,"ECCMP";#N/A,#N/A,FALSE,"WELDER.XLS"}</definedName>
    <definedName name="__kvs1" localSheetId="8" hidden="1">{#N/A,#N/A,FALSE,"COVER1.XLS ";#N/A,#N/A,FALSE,"RACT1.XLS";#N/A,#N/A,FALSE,"RACT2.XLS";#N/A,#N/A,FALSE,"ECCMP";#N/A,#N/A,FALSE,"WELDER.XLS"}</definedName>
    <definedName name="__kvs1" localSheetId="11" hidden="1">{#N/A,#N/A,FALSE,"COVER1.XLS ";#N/A,#N/A,FALSE,"RACT1.XLS";#N/A,#N/A,FALSE,"RACT2.XLS";#N/A,#N/A,FALSE,"ECCMP";#N/A,#N/A,FALSE,"WELDER.XLS"}</definedName>
    <definedName name="__kvs1" localSheetId="9" hidden="1">{#N/A,#N/A,FALSE,"COVER1.XLS ";#N/A,#N/A,FALSE,"RACT1.XLS";#N/A,#N/A,FALSE,"RACT2.XLS";#N/A,#N/A,FALSE,"ECCMP";#N/A,#N/A,FALSE,"WELDER.XLS"}</definedName>
    <definedName name="__kvs1" localSheetId="13" hidden="1">{#N/A,#N/A,FALSE,"COVER1.XLS ";#N/A,#N/A,FALSE,"RACT1.XLS";#N/A,#N/A,FALSE,"RACT2.XLS";#N/A,#N/A,FALSE,"ECCMP";#N/A,#N/A,FALSE,"WELDER.XLS"}</definedName>
    <definedName name="__kvs1" localSheetId="18" hidden="1">{#N/A,#N/A,FALSE,"COVER1.XLS ";#N/A,#N/A,FALSE,"RACT1.XLS";#N/A,#N/A,FALSE,"RACT2.XLS";#N/A,#N/A,FALSE,"ECCMP";#N/A,#N/A,FALSE,"WELDER.XLS"}</definedName>
    <definedName name="__kvs1" localSheetId="15" hidden="1">{#N/A,#N/A,FALSE,"COVER1.XLS ";#N/A,#N/A,FALSE,"RACT1.XLS";#N/A,#N/A,FALSE,"RACT2.XLS";#N/A,#N/A,FALSE,"ECCMP";#N/A,#N/A,FALSE,"WELDER.XLS"}</definedName>
    <definedName name="__kvs1" localSheetId="7" hidden="1">{#N/A,#N/A,FALSE,"COVER1.XLS ";#N/A,#N/A,FALSE,"RACT1.XLS";#N/A,#N/A,FALSE,"RACT2.XLS";#N/A,#N/A,FALSE,"ECCMP";#N/A,#N/A,FALSE,"WELDER.XLS"}</definedName>
    <definedName name="__kvs1" hidden="1">{#N/A,#N/A,FALSE,"COVER1.XLS ";#N/A,#N/A,FALSE,"RACT1.XLS";#N/A,#N/A,FALSE,"RACT2.XLS";#N/A,#N/A,FALSE,"ECCMP";#N/A,#N/A,FALSE,"WELDER.XLS"}</definedName>
    <definedName name="__kvs2" localSheetId="12" hidden="1">{#N/A,#N/A,FALSE,"COVER1.XLS ";#N/A,#N/A,FALSE,"RACT1.XLS";#N/A,#N/A,FALSE,"RACT2.XLS";#N/A,#N/A,FALSE,"ECCMP";#N/A,#N/A,FALSE,"WELDER.XLS"}</definedName>
    <definedName name="__kvs2" localSheetId="6" hidden="1">{#N/A,#N/A,FALSE,"COVER1.XLS ";#N/A,#N/A,FALSE,"RACT1.XLS";#N/A,#N/A,FALSE,"RACT2.XLS";#N/A,#N/A,FALSE,"ECCMP";#N/A,#N/A,FALSE,"WELDER.XLS"}</definedName>
    <definedName name="__kvs2" localSheetId="5" hidden="1">{#N/A,#N/A,FALSE,"COVER1.XLS ";#N/A,#N/A,FALSE,"RACT1.XLS";#N/A,#N/A,FALSE,"RACT2.XLS";#N/A,#N/A,FALSE,"ECCMP";#N/A,#N/A,FALSE,"WELDER.XLS"}</definedName>
    <definedName name="__kvs2" localSheetId="8" hidden="1">{#N/A,#N/A,FALSE,"COVER1.XLS ";#N/A,#N/A,FALSE,"RACT1.XLS";#N/A,#N/A,FALSE,"RACT2.XLS";#N/A,#N/A,FALSE,"ECCMP";#N/A,#N/A,FALSE,"WELDER.XLS"}</definedName>
    <definedName name="__kvs2" localSheetId="11" hidden="1">{#N/A,#N/A,FALSE,"COVER1.XLS ";#N/A,#N/A,FALSE,"RACT1.XLS";#N/A,#N/A,FALSE,"RACT2.XLS";#N/A,#N/A,FALSE,"ECCMP";#N/A,#N/A,FALSE,"WELDER.XLS"}</definedName>
    <definedName name="__kvs2" localSheetId="9" hidden="1">{#N/A,#N/A,FALSE,"COVER1.XLS ";#N/A,#N/A,FALSE,"RACT1.XLS";#N/A,#N/A,FALSE,"RACT2.XLS";#N/A,#N/A,FALSE,"ECCMP";#N/A,#N/A,FALSE,"WELDER.XLS"}</definedName>
    <definedName name="__kvs2" localSheetId="13" hidden="1">{#N/A,#N/A,FALSE,"COVER1.XLS ";#N/A,#N/A,FALSE,"RACT1.XLS";#N/A,#N/A,FALSE,"RACT2.XLS";#N/A,#N/A,FALSE,"ECCMP";#N/A,#N/A,FALSE,"WELDER.XLS"}</definedName>
    <definedName name="__kvs2" localSheetId="18" hidden="1">{#N/A,#N/A,FALSE,"COVER1.XLS ";#N/A,#N/A,FALSE,"RACT1.XLS";#N/A,#N/A,FALSE,"RACT2.XLS";#N/A,#N/A,FALSE,"ECCMP";#N/A,#N/A,FALSE,"WELDER.XLS"}</definedName>
    <definedName name="__kvs2" localSheetId="15" hidden="1">{#N/A,#N/A,FALSE,"COVER1.XLS ";#N/A,#N/A,FALSE,"RACT1.XLS";#N/A,#N/A,FALSE,"RACT2.XLS";#N/A,#N/A,FALSE,"ECCMP";#N/A,#N/A,FALSE,"WELDER.XLS"}</definedName>
    <definedName name="__kvs2" localSheetId="7" hidden="1">{#N/A,#N/A,FALSE,"COVER1.XLS ";#N/A,#N/A,FALSE,"RACT1.XLS";#N/A,#N/A,FALSE,"RACT2.XLS";#N/A,#N/A,FALSE,"ECCMP";#N/A,#N/A,FALSE,"WELDER.XLS"}</definedName>
    <definedName name="__kvs2" hidden="1">{#N/A,#N/A,FALSE,"COVER1.XLS ";#N/A,#N/A,FALSE,"RACT1.XLS";#N/A,#N/A,FALSE,"RACT2.XLS";#N/A,#N/A,FALSE,"ECCMP";#N/A,#N/A,FALSE,"WELDER.XLS"}</definedName>
    <definedName name="__kvs5" localSheetId="12" hidden="1">{#N/A,#N/A,FALSE,"COVER.XLS";#N/A,#N/A,FALSE,"RACT1.XLS";#N/A,#N/A,FALSE,"RACT2.XLS";#N/A,#N/A,FALSE,"ECCMP";#N/A,#N/A,FALSE,"WELDER.XLS"}</definedName>
    <definedName name="__kvs5" localSheetId="6" hidden="1">{#N/A,#N/A,FALSE,"COVER.XLS";#N/A,#N/A,FALSE,"RACT1.XLS";#N/A,#N/A,FALSE,"RACT2.XLS";#N/A,#N/A,FALSE,"ECCMP";#N/A,#N/A,FALSE,"WELDER.XLS"}</definedName>
    <definedName name="__kvs5" localSheetId="5" hidden="1">{#N/A,#N/A,FALSE,"COVER.XLS";#N/A,#N/A,FALSE,"RACT1.XLS";#N/A,#N/A,FALSE,"RACT2.XLS";#N/A,#N/A,FALSE,"ECCMP";#N/A,#N/A,FALSE,"WELDER.XLS"}</definedName>
    <definedName name="__kvs5" localSheetId="8" hidden="1">{#N/A,#N/A,FALSE,"COVER.XLS";#N/A,#N/A,FALSE,"RACT1.XLS";#N/A,#N/A,FALSE,"RACT2.XLS";#N/A,#N/A,FALSE,"ECCMP";#N/A,#N/A,FALSE,"WELDER.XLS"}</definedName>
    <definedName name="__kvs5" localSheetId="11" hidden="1">{#N/A,#N/A,FALSE,"COVER.XLS";#N/A,#N/A,FALSE,"RACT1.XLS";#N/A,#N/A,FALSE,"RACT2.XLS";#N/A,#N/A,FALSE,"ECCMP";#N/A,#N/A,FALSE,"WELDER.XLS"}</definedName>
    <definedName name="__kvs5" localSheetId="9" hidden="1">{#N/A,#N/A,FALSE,"COVER.XLS";#N/A,#N/A,FALSE,"RACT1.XLS";#N/A,#N/A,FALSE,"RACT2.XLS";#N/A,#N/A,FALSE,"ECCMP";#N/A,#N/A,FALSE,"WELDER.XLS"}</definedName>
    <definedName name="__kvs5" localSheetId="13" hidden="1">{#N/A,#N/A,FALSE,"COVER.XLS";#N/A,#N/A,FALSE,"RACT1.XLS";#N/A,#N/A,FALSE,"RACT2.XLS";#N/A,#N/A,FALSE,"ECCMP";#N/A,#N/A,FALSE,"WELDER.XLS"}</definedName>
    <definedName name="__kvs5" localSheetId="18" hidden="1">{#N/A,#N/A,FALSE,"COVER.XLS";#N/A,#N/A,FALSE,"RACT1.XLS";#N/A,#N/A,FALSE,"RACT2.XLS";#N/A,#N/A,FALSE,"ECCMP";#N/A,#N/A,FALSE,"WELDER.XLS"}</definedName>
    <definedName name="__kvs5" localSheetId="15" hidden="1">{#N/A,#N/A,FALSE,"COVER.XLS";#N/A,#N/A,FALSE,"RACT1.XLS";#N/A,#N/A,FALSE,"RACT2.XLS";#N/A,#N/A,FALSE,"ECCMP";#N/A,#N/A,FALSE,"WELDER.XLS"}</definedName>
    <definedName name="__kvs5" localSheetId="7" hidden="1">{#N/A,#N/A,FALSE,"COVER.XLS";#N/A,#N/A,FALSE,"RACT1.XLS";#N/A,#N/A,FALSE,"RACT2.XLS";#N/A,#N/A,FALSE,"ECCMP";#N/A,#N/A,FALSE,"WELDER.XLS"}</definedName>
    <definedName name="__kvs5" hidden="1">{#N/A,#N/A,FALSE,"COVER.XLS";#N/A,#N/A,FALSE,"RACT1.XLS";#N/A,#N/A,FALSE,"RACT2.XLS";#N/A,#N/A,FALSE,"ECCMP";#N/A,#N/A,FALSE,"WELDER.XLS"}</definedName>
    <definedName name="__kvs8" localSheetId="12" hidden="1">{#N/A,#N/A,FALSE,"COVER1.XLS ";#N/A,#N/A,FALSE,"RACT1.XLS";#N/A,#N/A,FALSE,"RACT2.XLS";#N/A,#N/A,FALSE,"ECCMP";#N/A,#N/A,FALSE,"WELDER.XLS"}</definedName>
    <definedName name="__kvs8" localSheetId="6" hidden="1">{#N/A,#N/A,FALSE,"COVER1.XLS ";#N/A,#N/A,FALSE,"RACT1.XLS";#N/A,#N/A,FALSE,"RACT2.XLS";#N/A,#N/A,FALSE,"ECCMP";#N/A,#N/A,FALSE,"WELDER.XLS"}</definedName>
    <definedName name="__kvs8" localSheetId="5" hidden="1">{#N/A,#N/A,FALSE,"COVER1.XLS ";#N/A,#N/A,FALSE,"RACT1.XLS";#N/A,#N/A,FALSE,"RACT2.XLS";#N/A,#N/A,FALSE,"ECCMP";#N/A,#N/A,FALSE,"WELDER.XLS"}</definedName>
    <definedName name="__kvs8" localSheetId="8" hidden="1">{#N/A,#N/A,FALSE,"COVER1.XLS ";#N/A,#N/A,FALSE,"RACT1.XLS";#N/A,#N/A,FALSE,"RACT2.XLS";#N/A,#N/A,FALSE,"ECCMP";#N/A,#N/A,FALSE,"WELDER.XLS"}</definedName>
    <definedName name="__kvs8" localSheetId="11" hidden="1">{#N/A,#N/A,FALSE,"COVER1.XLS ";#N/A,#N/A,FALSE,"RACT1.XLS";#N/A,#N/A,FALSE,"RACT2.XLS";#N/A,#N/A,FALSE,"ECCMP";#N/A,#N/A,FALSE,"WELDER.XLS"}</definedName>
    <definedName name="__kvs8" localSheetId="9" hidden="1">{#N/A,#N/A,FALSE,"COVER1.XLS ";#N/A,#N/A,FALSE,"RACT1.XLS";#N/A,#N/A,FALSE,"RACT2.XLS";#N/A,#N/A,FALSE,"ECCMP";#N/A,#N/A,FALSE,"WELDER.XLS"}</definedName>
    <definedName name="__kvs8" localSheetId="13" hidden="1">{#N/A,#N/A,FALSE,"COVER1.XLS ";#N/A,#N/A,FALSE,"RACT1.XLS";#N/A,#N/A,FALSE,"RACT2.XLS";#N/A,#N/A,FALSE,"ECCMP";#N/A,#N/A,FALSE,"WELDER.XLS"}</definedName>
    <definedName name="__kvs8" localSheetId="18" hidden="1">{#N/A,#N/A,FALSE,"COVER1.XLS ";#N/A,#N/A,FALSE,"RACT1.XLS";#N/A,#N/A,FALSE,"RACT2.XLS";#N/A,#N/A,FALSE,"ECCMP";#N/A,#N/A,FALSE,"WELDER.XLS"}</definedName>
    <definedName name="__kvs8" localSheetId="15" hidden="1">{#N/A,#N/A,FALSE,"COVER1.XLS ";#N/A,#N/A,FALSE,"RACT1.XLS";#N/A,#N/A,FALSE,"RACT2.XLS";#N/A,#N/A,FALSE,"ECCMP";#N/A,#N/A,FALSE,"WELDER.XLS"}</definedName>
    <definedName name="__kvs8" localSheetId="7" hidden="1">{#N/A,#N/A,FALSE,"COVER1.XLS ";#N/A,#N/A,FALSE,"RACT1.XLS";#N/A,#N/A,FALSE,"RACT2.XLS";#N/A,#N/A,FALSE,"ECCMP";#N/A,#N/A,FALSE,"WELDER.XLS"}</definedName>
    <definedName name="__kvs8" hidden="1">{#N/A,#N/A,FALSE,"COVER1.XLS ";#N/A,#N/A,FALSE,"RACT1.XLS";#N/A,#N/A,FALSE,"RACT2.XLS";#N/A,#N/A,FALSE,"ECCMP";#N/A,#N/A,FALSE,"WELDER.XLS"}</definedName>
    <definedName name="__lk1"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AN1" localSheetId="12">#REF!</definedName>
    <definedName name="__MAN1" localSheetId="6">#REF!</definedName>
    <definedName name="__MAN1" localSheetId="5">#REF!</definedName>
    <definedName name="__MAN1" localSheetId="8">#REF!</definedName>
    <definedName name="__MAN1" localSheetId="11">#REF!</definedName>
    <definedName name="__MAN1" localSheetId="9">#REF!</definedName>
    <definedName name="__MAN1" localSheetId="18">#REF!</definedName>
    <definedName name="__MAN1" localSheetId="15">#REF!</definedName>
    <definedName name="__MAN1" localSheetId="7">#REF!</definedName>
    <definedName name="__MAN1">#REF!</definedName>
    <definedName name="__mar08" localSheetId="12">#REF!</definedName>
    <definedName name="__mar08" localSheetId="6">#REF!</definedName>
    <definedName name="__mar08" localSheetId="5">#REF!</definedName>
    <definedName name="__mar08" localSheetId="8">#REF!</definedName>
    <definedName name="__mar08" localSheetId="11">#REF!</definedName>
    <definedName name="__mar08" localSheetId="9">#REF!</definedName>
    <definedName name="__mar08" localSheetId="18">#REF!</definedName>
    <definedName name="__mar08" localSheetId="15">#REF!</definedName>
    <definedName name="__mar08" localSheetId="7">#REF!</definedName>
    <definedName name="__mar08">#REF!</definedName>
    <definedName name="__ML1" localSheetId="12">#REF!</definedName>
    <definedName name="__ML1" localSheetId="6">#REF!</definedName>
    <definedName name="__ML1" localSheetId="5">#REF!</definedName>
    <definedName name="__ML1" localSheetId="8">#REF!</definedName>
    <definedName name="__ML1" localSheetId="11">#REF!</definedName>
    <definedName name="__ML1" localSheetId="9">#REF!</definedName>
    <definedName name="__ML1" localSheetId="18">#REF!</definedName>
    <definedName name="__ML1" localSheetId="15">#REF!</definedName>
    <definedName name="__ML1" localSheetId="7">#REF!</definedName>
    <definedName name="__ML1">#REF!</definedName>
    <definedName name="__ML2" localSheetId="12">#REF!</definedName>
    <definedName name="__ML2" localSheetId="8">#REF!</definedName>
    <definedName name="__ML2" localSheetId="11">#REF!</definedName>
    <definedName name="__ML2" localSheetId="9">#REF!</definedName>
    <definedName name="__ML2" localSheetId="18">#REF!</definedName>
    <definedName name="__ML2" localSheetId="15">#REF!</definedName>
    <definedName name="__ML2" localSheetId="7">#REF!</definedName>
    <definedName name="__ML2">#REF!</definedName>
    <definedName name="__MS2" localSheetId="12">#REF!</definedName>
    <definedName name="__MS2" localSheetId="8">#REF!</definedName>
    <definedName name="__MS2" localSheetId="11">#REF!</definedName>
    <definedName name="__MS2" localSheetId="9">#REF!</definedName>
    <definedName name="__MS2" localSheetId="18">#REF!</definedName>
    <definedName name="__MS2" localSheetId="15">#REF!</definedName>
    <definedName name="__MS2" localSheetId="7">#REF!</definedName>
    <definedName name="__MS2">#REF!</definedName>
    <definedName name="__ns1" localSheetId="12" hidden="1">{#N/A,#N/A,FALSE,"COVER1.XLS ";#N/A,#N/A,FALSE,"RACT1.XLS";#N/A,#N/A,FALSE,"RACT2.XLS";#N/A,#N/A,FALSE,"ECCMP";#N/A,#N/A,FALSE,"WELDER.XLS"}</definedName>
    <definedName name="__ns1" localSheetId="6" hidden="1">{#N/A,#N/A,FALSE,"COVER1.XLS ";#N/A,#N/A,FALSE,"RACT1.XLS";#N/A,#N/A,FALSE,"RACT2.XLS";#N/A,#N/A,FALSE,"ECCMP";#N/A,#N/A,FALSE,"WELDER.XLS"}</definedName>
    <definedName name="__ns1" localSheetId="5" hidden="1">{#N/A,#N/A,FALSE,"COVER1.XLS ";#N/A,#N/A,FALSE,"RACT1.XLS";#N/A,#N/A,FALSE,"RACT2.XLS";#N/A,#N/A,FALSE,"ECCMP";#N/A,#N/A,FALSE,"WELDER.XLS"}</definedName>
    <definedName name="__ns1" localSheetId="8" hidden="1">{#N/A,#N/A,FALSE,"COVER1.XLS ";#N/A,#N/A,FALSE,"RACT1.XLS";#N/A,#N/A,FALSE,"RACT2.XLS";#N/A,#N/A,FALSE,"ECCMP";#N/A,#N/A,FALSE,"WELDER.XLS"}</definedName>
    <definedName name="__ns1" localSheetId="11" hidden="1">{#N/A,#N/A,FALSE,"COVER1.XLS ";#N/A,#N/A,FALSE,"RACT1.XLS";#N/A,#N/A,FALSE,"RACT2.XLS";#N/A,#N/A,FALSE,"ECCMP";#N/A,#N/A,FALSE,"WELDER.XLS"}</definedName>
    <definedName name="__ns1" localSheetId="9" hidden="1">{#N/A,#N/A,FALSE,"COVER1.XLS ";#N/A,#N/A,FALSE,"RACT1.XLS";#N/A,#N/A,FALSE,"RACT2.XLS";#N/A,#N/A,FALSE,"ECCMP";#N/A,#N/A,FALSE,"WELDER.XLS"}</definedName>
    <definedName name="__ns1" localSheetId="13" hidden="1">{#N/A,#N/A,FALSE,"COVER1.XLS ";#N/A,#N/A,FALSE,"RACT1.XLS";#N/A,#N/A,FALSE,"RACT2.XLS";#N/A,#N/A,FALSE,"ECCMP";#N/A,#N/A,FALSE,"WELDER.XLS"}</definedName>
    <definedName name="__ns1" localSheetId="18" hidden="1">{#N/A,#N/A,FALSE,"COVER1.XLS ";#N/A,#N/A,FALSE,"RACT1.XLS";#N/A,#N/A,FALSE,"RACT2.XLS";#N/A,#N/A,FALSE,"ECCMP";#N/A,#N/A,FALSE,"WELDER.XLS"}</definedName>
    <definedName name="__ns1" localSheetId="15" hidden="1">{#N/A,#N/A,FALSE,"COVER1.XLS ";#N/A,#N/A,FALSE,"RACT1.XLS";#N/A,#N/A,FALSE,"RACT2.XLS";#N/A,#N/A,FALSE,"ECCMP";#N/A,#N/A,FALSE,"WELDER.XLS"}</definedName>
    <definedName name="__ns1" localSheetId="7" hidden="1">{#N/A,#N/A,FALSE,"COVER1.XLS ";#N/A,#N/A,FALSE,"RACT1.XLS";#N/A,#N/A,FALSE,"RACT2.XLS";#N/A,#N/A,FALSE,"ECCMP";#N/A,#N/A,FALSE,"WELDER.XLS"}</definedName>
    <definedName name="__ns1" hidden="1">{#N/A,#N/A,FALSE,"COVER1.XLS ";#N/A,#N/A,FALSE,"RACT1.XLS";#N/A,#N/A,FALSE,"RACT2.XLS";#N/A,#N/A,FALSE,"ECCMP";#N/A,#N/A,FALSE,"WELDER.XLS"}</definedName>
    <definedName name="__pa1" localSheetId="12">#REF!</definedName>
    <definedName name="__pa1" localSheetId="6">#REF!</definedName>
    <definedName name="__pa1" localSheetId="5">#REF!</definedName>
    <definedName name="__pa1" localSheetId="8">#REF!</definedName>
    <definedName name="__pa1" localSheetId="11">#REF!</definedName>
    <definedName name="__pa1" localSheetId="9">#REF!</definedName>
    <definedName name="__pa1" localSheetId="18">#REF!</definedName>
    <definedName name="__pa1" localSheetId="15">#REF!</definedName>
    <definedName name="__pa1" localSheetId="7">#REF!</definedName>
    <definedName name="__pa1">#REF!</definedName>
    <definedName name="__pa2" localSheetId="12">#REF!</definedName>
    <definedName name="__pa2" localSheetId="6">#REF!</definedName>
    <definedName name="__pa2" localSheetId="5">#REF!</definedName>
    <definedName name="__pa2" localSheetId="8">#REF!</definedName>
    <definedName name="__pa2" localSheetId="11">#REF!</definedName>
    <definedName name="__pa2" localSheetId="9">#REF!</definedName>
    <definedName name="__pa2" localSheetId="18">#REF!</definedName>
    <definedName name="__pa2" localSheetId="15">#REF!</definedName>
    <definedName name="__pa2" localSheetId="7">#REF!</definedName>
    <definedName name="__pa2">#REF!</definedName>
    <definedName name="__PB1" localSheetId="12">#REF!</definedName>
    <definedName name="__PB1" localSheetId="6">#REF!</definedName>
    <definedName name="__PB1" localSheetId="5">#REF!</definedName>
    <definedName name="__PB1" localSheetId="8">#REF!</definedName>
    <definedName name="__PB1" localSheetId="11">#REF!</definedName>
    <definedName name="__PB1" localSheetId="9">#REF!</definedName>
    <definedName name="__PB1" localSheetId="18">#REF!</definedName>
    <definedName name="__PB1" localSheetId="15">#REF!</definedName>
    <definedName name="__PB1" localSheetId="7">#REF!</definedName>
    <definedName name="__PB1">#REF!</definedName>
    <definedName name="__pcc1" localSheetId="12">#REF!</definedName>
    <definedName name="__pcc1" localSheetId="8">#REF!</definedName>
    <definedName name="__pcc1" localSheetId="11">#REF!</definedName>
    <definedName name="__pcc1" localSheetId="9">#REF!</definedName>
    <definedName name="__pcc1" localSheetId="18">#REF!</definedName>
    <definedName name="__pcc1" localSheetId="15">#REF!</definedName>
    <definedName name="__pcc1" localSheetId="7">#REF!</definedName>
    <definedName name="__pcc1">#REF!</definedName>
    <definedName name="__pcc2" localSheetId="12">#REF!</definedName>
    <definedName name="__pcc2" localSheetId="8">#REF!</definedName>
    <definedName name="__pcc2" localSheetId="11">#REF!</definedName>
    <definedName name="__pcc2" localSheetId="9">#REF!</definedName>
    <definedName name="__pcc2" localSheetId="18">#REF!</definedName>
    <definedName name="__pcc2" localSheetId="15">#REF!</definedName>
    <definedName name="__pcc2" localSheetId="7">#REF!</definedName>
    <definedName name="__pcc2">#REF!</definedName>
    <definedName name="__pcc3" localSheetId="12">#REF!</definedName>
    <definedName name="__pcc3" localSheetId="8">#REF!</definedName>
    <definedName name="__pcc3" localSheetId="11">#REF!</definedName>
    <definedName name="__pcc3" localSheetId="9">#REF!</definedName>
    <definedName name="__pcc3" localSheetId="18">#REF!</definedName>
    <definedName name="__pcc3" localSheetId="15">#REF!</definedName>
    <definedName name="__pcc3" localSheetId="7">#REF!</definedName>
    <definedName name="__pcc3">#REF!</definedName>
    <definedName name="__PCC4" localSheetId="12">#REF!</definedName>
    <definedName name="__PCC4" localSheetId="8">#REF!</definedName>
    <definedName name="__PCC4" localSheetId="11">#REF!</definedName>
    <definedName name="__PCC4" localSheetId="9">#REF!</definedName>
    <definedName name="__PCC4" localSheetId="18">#REF!</definedName>
    <definedName name="__PCC4" localSheetId="15">#REF!</definedName>
    <definedName name="__PCC4" localSheetId="7">#REF!</definedName>
    <definedName name="__PCC4">#REF!</definedName>
    <definedName name="__plb1" localSheetId="12">#REF!</definedName>
    <definedName name="__plb1" localSheetId="8">#REF!</definedName>
    <definedName name="__plb1" localSheetId="11">#REF!</definedName>
    <definedName name="__plb1" localSheetId="9">#REF!</definedName>
    <definedName name="__plb1" localSheetId="18">#REF!</definedName>
    <definedName name="__plb1" localSheetId="15">#REF!</definedName>
    <definedName name="__plb1" localSheetId="7">#REF!</definedName>
    <definedName name="__plb1">#REF!</definedName>
    <definedName name="__plb2" localSheetId="12">#REF!</definedName>
    <definedName name="__plb2" localSheetId="8">#REF!</definedName>
    <definedName name="__plb2" localSheetId="11">#REF!</definedName>
    <definedName name="__plb2" localSheetId="9">#REF!</definedName>
    <definedName name="__plb2" localSheetId="18">#REF!</definedName>
    <definedName name="__plb2" localSheetId="15">#REF!</definedName>
    <definedName name="__plb2" localSheetId="7">#REF!</definedName>
    <definedName name="__plb2">#REF!</definedName>
    <definedName name="__plb3" localSheetId="12">#REF!</definedName>
    <definedName name="__plb3" localSheetId="8">#REF!</definedName>
    <definedName name="__plb3" localSheetId="11">#REF!</definedName>
    <definedName name="__plb3" localSheetId="9">#REF!</definedName>
    <definedName name="__plb3" localSheetId="18">#REF!</definedName>
    <definedName name="__plb3" localSheetId="15">#REF!</definedName>
    <definedName name="__plb3" localSheetId="7">#REF!</definedName>
    <definedName name="__plb3">#REF!</definedName>
    <definedName name="__plb4" localSheetId="12">#REF!</definedName>
    <definedName name="__plb4" localSheetId="8">#REF!</definedName>
    <definedName name="__plb4" localSheetId="11">#REF!</definedName>
    <definedName name="__plb4" localSheetId="9">#REF!</definedName>
    <definedName name="__plb4" localSheetId="18">#REF!</definedName>
    <definedName name="__plb4" localSheetId="15">#REF!</definedName>
    <definedName name="__plb4" localSheetId="7">#REF!</definedName>
    <definedName name="__plb4">#REF!</definedName>
    <definedName name="__PRN1" localSheetId="12" hidden="1">{#N/A,#N/A,FALSE,"COVER.XLS";#N/A,#N/A,FALSE,"RACT1.XLS";#N/A,#N/A,FALSE,"RACT2.XLS";#N/A,#N/A,FALSE,"ECCMP";#N/A,#N/A,FALSE,"WELDER.XLS"}</definedName>
    <definedName name="__PRN1" localSheetId="6" hidden="1">{#N/A,#N/A,FALSE,"COVER.XLS";#N/A,#N/A,FALSE,"RACT1.XLS";#N/A,#N/A,FALSE,"RACT2.XLS";#N/A,#N/A,FALSE,"ECCMP";#N/A,#N/A,FALSE,"WELDER.XLS"}</definedName>
    <definedName name="__PRN1" localSheetId="5" hidden="1">{#N/A,#N/A,FALSE,"COVER.XLS";#N/A,#N/A,FALSE,"RACT1.XLS";#N/A,#N/A,FALSE,"RACT2.XLS";#N/A,#N/A,FALSE,"ECCMP";#N/A,#N/A,FALSE,"WELDER.XLS"}</definedName>
    <definedName name="__PRN1" localSheetId="8" hidden="1">{#N/A,#N/A,FALSE,"COVER.XLS";#N/A,#N/A,FALSE,"RACT1.XLS";#N/A,#N/A,FALSE,"RACT2.XLS";#N/A,#N/A,FALSE,"ECCMP";#N/A,#N/A,FALSE,"WELDER.XLS"}</definedName>
    <definedName name="__PRN1" localSheetId="11" hidden="1">{#N/A,#N/A,FALSE,"COVER.XLS";#N/A,#N/A,FALSE,"RACT1.XLS";#N/A,#N/A,FALSE,"RACT2.XLS";#N/A,#N/A,FALSE,"ECCMP";#N/A,#N/A,FALSE,"WELDER.XLS"}</definedName>
    <definedName name="__PRN1" localSheetId="9" hidden="1">{#N/A,#N/A,FALSE,"COVER.XLS";#N/A,#N/A,FALSE,"RACT1.XLS";#N/A,#N/A,FALSE,"RACT2.XLS";#N/A,#N/A,FALSE,"ECCMP";#N/A,#N/A,FALSE,"WELDER.XLS"}</definedName>
    <definedName name="__PRN1" localSheetId="13" hidden="1">{#N/A,#N/A,FALSE,"COVER.XLS";#N/A,#N/A,FALSE,"RACT1.XLS";#N/A,#N/A,FALSE,"RACT2.XLS";#N/A,#N/A,FALSE,"ECCMP";#N/A,#N/A,FALSE,"WELDER.XLS"}</definedName>
    <definedName name="__PRN1" localSheetId="18" hidden="1">{#N/A,#N/A,FALSE,"COVER.XLS";#N/A,#N/A,FALSE,"RACT1.XLS";#N/A,#N/A,FALSE,"RACT2.XLS";#N/A,#N/A,FALSE,"ECCMP";#N/A,#N/A,FALSE,"WELDER.XLS"}</definedName>
    <definedName name="__PRN1" localSheetId="15" hidden="1">{#N/A,#N/A,FALSE,"COVER.XLS";#N/A,#N/A,FALSE,"RACT1.XLS";#N/A,#N/A,FALSE,"RACT2.XLS";#N/A,#N/A,FALSE,"ECCMP";#N/A,#N/A,FALSE,"WELDER.XLS"}</definedName>
    <definedName name="__PRN1" localSheetId="7" hidden="1">{#N/A,#N/A,FALSE,"COVER.XLS";#N/A,#N/A,FALSE,"RACT1.XLS";#N/A,#N/A,FALSE,"RACT2.XLS";#N/A,#N/A,FALSE,"ECCMP";#N/A,#N/A,FALSE,"WELDER.XLS"}</definedName>
    <definedName name="__PRN1" hidden="1">{#N/A,#N/A,FALSE,"COVER.XLS";#N/A,#N/A,FALSE,"RACT1.XLS";#N/A,#N/A,FALSE,"RACT2.XLS";#N/A,#N/A,FALSE,"ECCMP";#N/A,#N/A,FALSE,"WELDER.XLS"}</definedName>
    <definedName name="__rm4" localSheetId="12">#REF!</definedName>
    <definedName name="__rm4" localSheetId="6">#REF!</definedName>
    <definedName name="__rm4" localSheetId="5">#REF!</definedName>
    <definedName name="__rm4" localSheetId="8">#REF!</definedName>
    <definedName name="__rm4" localSheetId="11">#REF!</definedName>
    <definedName name="__rm4" localSheetId="9">#REF!</definedName>
    <definedName name="__rm4" localSheetId="18">#REF!</definedName>
    <definedName name="__rm4" localSheetId="15">#REF!</definedName>
    <definedName name="__rm4" localSheetId="7">#REF!</definedName>
    <definedName name="__rm4">#REF!</definedName>
    <definedName name="__sep1" localSheetId="12">#REF!</definedName>
    <definedName name="__sep1" localSheetId="6">#REF!</definedName>
    <definedName name="__sep1" localSheetId="5">#REF!</definedName>
    <definedName name="__sep1" localSheetId="8">#REF!</definedName>
    <definedName name="__sep1" localSheetId="11">#REF!</definedName>
    <definedName name="__sep1" localSheetId="9">#REF!</definedName>
    <definedName name="__sep1" localSheetId="18">#REF!</definedName>
    <definedName name="__sep1" localSheetId="15">#REF!</definedName>
    <definedName name="__sep1" localSheetId="7">#REF!</definedName>
    <definedName name="__sep1">#REF!</definedName>
    <definedName name="__SH1" localSheetId="12">#REF!</definedName>
    <definedName name="__SH1" localSheetId="6">#REF!</definedName>
    <definedName name="__SH1" localSheetId="5">#REF!</definedName>
    <definedName name="__SH1" localSheetId="8">#REF!</definedName>
    <definedName name="__SH1" localSheetId="11">#REF!</definedName>
    <definedName name="__SH1" localSheetId="9">#REF!</definedName>
    <definedName name="__SH1" localSheetId="18">#REF!</definedName>
    <definedName name="__SH1" localSheetId="15">#REF!</definedName>
    <definedName name="__SH1" localSheetId="7">#REF!</definedName>
    <definedName name="__SH1">#REF!</definedName>
    <definedName name="__SH2" localSheetId="12">#REF!</definedName>
    <definedName name="__SH2" localSheetId="8">#REF!</definedName>
    <definedName name="__SH2" localSheetId="11">#REF!</definedName>
    <definedName name="__SH2" localSheetId="9">#REF!</definedName>
    <definedName name="__SH2" localSheetId="18">#REF!</definedName>
    <definedName name="__SH2" localSheetId="15">#REF!</definedName>
    <definedName name="__SH2" localSheetId="7">#REF!</definedName>
    <definedName name="__SH2">#REF!</definedName>
    <definedName name="__SH3" localSheetId="12">#REF!</definedName>
    <definedName name="__SH3" localSheetId="8">#REF!</definedName>
    <definedName name="__SH3" localSheetId="11">#REF!</definedName>
    <definedName name="__SH3" localSheetId="9">#REF!</definedName>
    <definedName name="__SH3" localSheetId="18">#REF!</definedName>
    <definedName name="__SH3" localSheetId="15">#REF!</definedName>
    <definedName name="__SH3" localSheetId="7">#REF!</definedName>
    <definedName name="__SH3">#REF!</definedName>
    <definedName name="__SH4" localSheetId="12">#REF!</definedName>
    <definedName name="__SH4" localSheetId="8">#REF!</definedName>
    <definedName name="__SH4" localSheetId="11">#REF!</definedName>
    <definedName name="__SH4" localSheetId="9">#REF!</definedName>
    <definedName name="__SH4" localSheetId="18">#REF!</definedName>
    <definedName name="__SH4" localSheetId="15">#REF!</definedName>
    <definedName name="__SH4" localSheetId="7">#REF!</definedName>
    <definedName name="__SH4">#REF!</definedName>
    <definedName name="__SH5" localSheetId="12">#REF!</definedName>
    <definedName name="__SH5" localSheetId="8">#REF!</definedName>
    <definedName name="__SH5" localSheetId="11">#REF!</definedName>
    <definedName name="__SH5" localSheetId="9">#REF!</definedName>
    <definedName name="__SH5" localSheetId="18">#REF!</definedName>
    <definedName name="__SH5" localSheetId="15">#REF!</definedName>
    <definedName name="__SH5" localSheetId="7">#REF!</definedName>
    <definedName name="__SH5">#REF!</definedName>
    <definedName name="__TB2" localSheetId="12">#REF!</definedName>
    <definedName name="__TB2" localSheetId="8">#REF!</definedName>
    <definedName name="__TB2" localSheetId="11">#REF!</definedName>
    <definedName name="__TB2" localSheetId="9">#REF!</definedName>
    <definedName name="__TB2" localSheetId="18">#REF!</definedName>
    <definedName name="__TB2" localSheetId="15">#REF!</definedName>
    <definedName name="__TB2" localSheetId="7">#REF!</definedName>
    <definedName name="__TB2">#REF!</definedName>
    <definedName name="__tr1"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TL1" localSheetId="12">#REF!</definedName>
    <definedName name="__TTL1" localSheetId="6">#REF!</definedName>
    <definedName name="__TTL1" localSheetId="5">#REF!</definedName>
    <definedName name="__TTL1" localSheetId="8">#REF!</definedName>
    <definedName name="__TTL1" localSheetId="11">#REF!</definedName>
    <definedName name="__TTL1" localSheetId="9">#REF!</definedName>
    <definedName name="__TTL1" localSheetId="18">#REF!</definedName>
    <definedName name="__TTL1" localSheetId="15">#REF!</definedName>
    <definedName name="__TTL1" localSheetId="7">#REF!</definedName>
    <definedName name="__TTL1">#REF!</definedName>
    <definedName name="__TTL2" localSheetId="12">#REF!</definedName>
    <definedName name="__TTL2" localSheetId="6">#REF!</definedName>
    <definedName name="__TTL2" localSheetId="5">#REF!</definedName>
    <definedName name="__TTL2" localSheetId="8">#REF!</definedName>
    <definedName name="__TTL2" localSheetId="11">#REF!</definedName>
    <definedName name="__TTL2" localSheetId="9">#REF!</definedName>
    <definedName name="__TTL2" localSheetId="18">#REF!</definedName>
    <definedName name="__TTL2" localSheetId="15">#REF!</definedName>
    <definedName name="__TTL2" localSheetId="7">#REF!</definedName>
    <definedName name="__TTL2">#REF!</definedName>
    <definedName name="__TTL3" localSheetId="12">#REF!</definedName>
    <definedName name="__TTL3" localSheetId="6">#REF!</definedName>
    <definedName name="__TTL3" localSheetId="5">#REF!</definedName>
    <definedName name="__TTL3" localSheetId="8">#REF!</definedName>
    <definedName name="__TTL3" localSheetId="11">#REF!</definedName>
    <definedName name="__TTL3" localSheetId="9">#REF!</definedName>
    <definedName name="__TTL3" localSheetId="18">#REF!</definedName>
    <definedName name="__TTL3" localSheetId="15">#REF!</definedName>
    <definedName name="__TTL3" localSheetId="7">#REF!</definedName>
    <definedName name="__TTL3">#REF!</definedName>
    <definedName name="__TTL4" localSheetId="12">#REF!</definedName>
    <definedName name="__TTL4" localSheetId="8">#REF!</definedName>
    <definedName name="__TTL4" localSheetId="11">#REF!</definedName>
    <definedName name="__TTL4" localSheetId="9">#REF!</definedName>
    <definedName name="__TTL4" localSheetId="18">#REF!</definedName>
    <definedName name="__TTL4" localSheetId="15">#REF!</definedName>
    <definedName name="__TTL4" localSheetId="7">#REF!</definedName>
    <definedName name="__TTL4">#REF!</definedName>
    <definedName name="__TTL5" localSheetId="12">#REF!</definedName>
    <definedName name="__TTL5" localSheetId="8">#REF!</definedName>
    <definedName name="__TTL5" localSheetId="11">#REF!</definedName>
    <definedName name="__TTL5" localSheetId="9">#REF!</definedName>
    <definedName name="__TTL5" localSheetId="18">#REF!</definedName>
    <definedName name="__TTL5" localSheetId="15">#REF!</definedName>
    <definedName name="__TTL5" localSheetId="7">#REF!</definedName>
    <definedName name="__TTL5">#REF!</definedName>
    <definedName name="__TTL6" localSheetId="12">#REF!</definedName>
    <definedName name="__TTL6" localSheetId="8">#REF!</definedName>
    <definedName name="__TTL6" localSheetId="11">#REF!</definedName>
    <definedName name="__TTL6" localSheetId="9">#REF!</definedName>
    <definedName name="__TTL6" localSheetId="18">#REF!</definedName>
    <definedName name="__TTL6" localSheetId="15">#REF!</definedName>
    <definedName name="__TTL6" localSheetId="7">#REF!</definedName>
    <definedName name="__TTL6">#REF!</definedName>
    <definedName name="__wrn1"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2" localSheetId="12" hidden="1">{#N/A,#N/A,FALSE,"COVER1.XLS ";#N/A,#N/A,FALSE,"RACT1.XLS";#N/A,#N/A,FALSE,"RACT2.XLS";#N/A,#N/A,FALSE,"ECCMP";#N/A,#N/A,FALSE,"WELDER.XLS"}</definedName>
    <definedName name="__WRN2" localSheetId="6" hidden="1">{#N/A,#N/A,FALSE,"COVER1.XLS ";#N/A,#N/A,FALSE,"RACT1.XLS";#N/A,#N/A,FALSE,"RACT2.XLS";#N/A,#N/A,FALSE,"ECCMP";#N/A,#N/A,FALSE,"WELDER.XLS"}</definedName>
    <definedName name="__WRN2" localSheetId="5" hidden="1">{#N/A,#N/A,FALSE,"COVER1.XLS ";#N/A,#N/A,FALSE,"RACT1.XLS";#N/A,#N/A,FALSE,"RACT2.XLS";#N/A,#N/A,FALSE,"ECCMP";#N/A,#N/A,FALSE,"WELDER.XLS"}</definedName>
    <definedName name="__WRN2" localSheetId="8" hidden="1">{#N/A,#N/A,FALSE,"COVER1.XLS ";#N/A,#N/A,FALSE,"RACT1.XLS";#N/A,#N/A,FALSE,"RACT2.XLS";#N/A,#N/A,FALSE,"ECCMP";#N/A,#N/A,FALSE,"WELDER.XLS"}</definedName>
    <definedName name="__WRN2" localSheetId="11" hidden="1">{#N/A,#N/A,FALSE,"COVER1.XLS ";#N/A,#N/A,FALSE,"RACT1.XLS";#N/A,#N/A,FALSE,"RACT2.XLS";#N/A,#N/A,FALSE,"ECCMP";#N/A,#N/A,FALSE,"WELDER.XLS"}</definedName>
    <definedName name="__WRN2" localSheetId="9" hidden="1">{#N/A,#N/A,FALSE,"COVER1.XLS ";#N/A,#N/A,FALSE,"RACT1.XLS";#N/A,#N/A,FALSE,"RACT2.XLS";#N/A,#N/A,FALSE,"ECCMP";#N/A,#N/A,FALSE,"WELDER.XLS"}</definedName>
    <definedName name="__WRN2" localSheetId="13" hidden="1">{#N/A,#N/A,FALSE,"COVER1.XLS ";#N/A,#N/A,FALSE,"RACT1.XLS";#N/A,#N/A,FALSE,"RACT2.XLS";#N/A,#N/A,FALSE,"ECCMP";#N/A,#N/A,FALSE,"WELDER.XLS"}</definedName>
    <definedName name="__WRN2" localSheetId="18" hidden="1">{#N/A,#N/A,FALSE,"COVER1.XLS ";#N/A,#N/A,FALSE,"RACT1.XLS";#N/A,#N/A,FALSE,"RACT2.XLS";#N/A,#N/A,FALSE,"ECCMP";#N/A,#N/A,FALSE,"WELDER.XLS"}</definedName>
    <definedName name="__WRN2" localSheetId="15" hidden="1">{#N/A,#N/A,FALSE,"COVER1.XLS ";#N/A,#N/A,FALSE,"RACT1.XLS";#N/A,#N/A,FALSE,"RACT2.XLS";#N/A,#N/A,FALSE,"ECCMP";#N/A,#N/A,FALSE,"WELDER.XLS"}</definedName>
    <definedName name="__WRN2" localSheetId="7" hidden="1">{#N/A,#N/A,FALSE,"COVER1.XLS ";#N/A,#N/A,FALSE,"RACT1.XLS";#N/A,#N/A,FALSE,"RACT2.XLS";#N/A,#N/A,FALSE,"ECCMP";#N/A,#N/A,FALSE,"WELDER.XLS"}</definedName>
    <definedName name="__WRN2" hidden="1">{#N/A,#N/A,FALSE,"COVER1.XLS ";#N/A,#N/A,FALSE,"RACT1.XLS";#N/A,#N/A,FALSE,"RACT2.XLS";#N/A,#N/A,FALSE,"ECCMP";#N/A,#N/A,FALSE,"WELDER.XLS"}</definedName>
    <definedName name="__WRN3" localSheetId="12" hidden="1">{#N/A,#N/A,FALSE,"consu_cover";#N/A,#N/A,FALSE,"consu_strategy";#N/A,#N/A,FALSE,"consu_flow";#N/A,#N/A,FALSE,"Summary_reqmt";#N/A,#N/A,FALSE,"field_ppg";#N/A,#N/A,FALSE,"ppg_shop";#N/A,#N/A,FALSE,"strl";#N/A,#N/A,FALSE,"tankages";#N/A,#N/A,FALSE,"gases"}</definedName>
    <definedName name="__WRN3" localSheetId="6" hidden="1">{#N/A,#N/A,FALSE,"consu_cover";#N/A,#N/A,FALSE,"consu_strategy";#N/A,#N/A,FALSE,"consu_flow";#N/A,#N/A,FALSE,"Summary_reqmt";#N/A,#N/A,FALSE,"field_ppg";#N/A,#N/A,FALSE,"ppg_shop";#N/A,#N/A,FALSE,"strl";#N/A,#N/A,FALSE,"tankages";#N/A,#N/A,FALSE,"gases"}</definedName>
    <definedName name="__WRN3" localSheetId="5" hidden="1">{#N/A,#N/A,FALSE,"consu_cover";#N/A,#N/A,FALSE,"consu_strategy";#N/A,#N/A,FALSE,"consu_flow";#N/A,#N/A,FALSE,"Summary_reqmt";#N/A,#N/A,FALSE,"field_ppg";#N/A,#N/A,FALSE,"ppg_shop";#N/A,#N/A,FALSE,"strl";#N/A,#N/A,FALSE,"tankages";#N/A,#N/A,FALSE,"gases"}</definedName>
    <definedName name="__WRN3" localSheetId="8" hidden="1">{#N/A,#N/A,FALSE,"consu_cover";#N/A,#N/A,FALSE,"consu_strategy";#N/A,#N/A,FALSE,"consu_flow";#N/A,#N/A,FALSE,"Summary_reqmt";#N/A,#N/A,FALSE,"field_ppg";#N/A,#N/A,FALSE,"ppg_shop";#N/A,#N/A,FALSE,"strl";#N/A,#N/A,FALSE,"tankages";#N/A,#N/A,FALSE,"gases"}</definedName>
    <definedName name="__WRN3" localSheetId="11" hidden="1">{#N/A,#N/A,FALSE,"consu_cover";#N/A,#N/A,FALSE,"consu_strategy";#N/A,#N/A,FALSE,"consu_flow";#N/A,#N/A,FALSE,"Summary_reqmt";#N/A,#N/A,FALSE,"field_ppg";#N/A,#N/A,FALSE,"ppg_shop";#N/A,#N/A,FALSE,"strl";#N/A,#N/A,FALSE,"tankages";#N/A,#N/A,FALSE,"gases"}</definedName>
    <definedName name="__WRN3" localSheetId="9" hidden="1">{#N/A,#N/A,FALSE,"consu_cover";#N/A,#N/A,FALSE,"consu_strategy";#N/A,#N/A,FALSE,"consu_flow";#N/A,#N/A,FALSE,"Summary_reqmt";#N/A,#N/A,FALSE,"field_ppg";#N/A,#N/A,FALSE,"ppg_shop";#N/A,#N/A,FALSE,"strl";#N/A,#N/A,FALSE,"tankages";#N/A,#N/A,FALSE,"gases"}</definedName>
    <definedName name="__WRN3" localSheetId="13" hidden="1">{#N/A,#N/A,FALSE,"consu_cover";#N/A,#N/A,FALSE,"consu_strategy";#N/A,#N/A,FALSE,"consu_flow";#N/A,#N/A,FALSE,"Summary_reqmt";#N/A,#N/A,FALSE,"field_ppg";#N/A,#N/A,FALSE,"ppg_shop";#N/A,#N/A,FALSE,"strl";#N/A,#N/A,FALSE,"tankages";#N/A,#N/A,FALSE,"gases"}</definedName>
    <definedName name="__WRN3" localSheetId="18" hidden="1">{#N/A,#N/A,FALSE,"consu_cover";#N/A,#N/A,FALSE,"consu_strategy";#N/A,#N/A,FALSE,"consu_flow";#N/A,#N/A,FALSE,"Summary_reqmt";#N/A,#N/A,FALSE,"field_ppg";#N/A,#N/A,FALSE,"ppg_shop";#N/A,#N/A,FALSE,"strl";#N/A,#N/A,FALSE,"tankages";#N/A,#N/A,FALSE,"gases"}</definedName>
    <definedName name="__WRN3" localSheetId="15" hidden="1">{#N/A,#N/A,FALSE,"consu_cover";#N/A,#N/A,FALSE,"consu_strategy";#N/A,#N/A,FALSE,"consu_flow";#N/A,#N/A,FALSE,"Summary_reqmt";#N/A,#N/A,FALSE,"field_ppg";#N/A,#N/A,FALSE,"ppg_shop";#N/A,#N/A,FALSE,"strl";#N/A,#N/A,FALSE,"tankages";#N/A,#N/A,FALSE,"gases"}</definedName>
    <definedName name="__WRN3" localSheetId="7" hidden="1">{#N/A,#N/A,FALSE,"consu_cover";#N/A,#N/A,FALSE,"consu_strategy";#N/A,#N/A,FALSE,"consu_flow";#N/A,#N/A,FALSE,"Summary_reqmt";#N/A,#N/A,FALSE,"field_ppg";#N/A,#N/A,FALSE,"ppg_shop";#N/A,#N/A,FALSE,"strl";#N/A,#N/A,FALSE,"tankages";#N/A,#N/A,FALSE,"gases"}</definedName>
    <definedName name="__WRN3" hidden="1">{#N/A,#N/A,FALSE,"consu_cover";#N/A,#N/A,FALSE,"consu_strategy";#N/A,#N/A,FALSE,"consu_flow";#N/A,#N/A,FALSE,"Summary_reqmt";#N/A,#N/A,FALSE,"field_ppg";#N/A,#N/A,FALSE,"ppg_shop";#N/A,#N/A,FALSE,"strl";#N/A,#N/A,FALSE,"tankages";#N/A,#N/A,FALSE,"gases"}</definedName>
    <definedName name="__xlnm.Print_Area_2" localSheetId="12">#REF!</definedName>
    <definedName name="__xlnm.Print_Area_2" localSheetId="6">#REF!</definedName>
    <definedName name="__xlnm.Print_Area_2" localSheetId="5">#REF!</definedName>
    <definedName name="__xlnm.Print_Area_2" localSheetId="8">#REF!</definedName>
    <definedName name="__xlnm.Print_Area_2" localSheetId="11">#REF!</definedName>
    <definedName name="__xlnm.Print_Area_2" localSheetId="9">#REF!</definedName>
    <definedName name="__xlnm.Print_Area_2" localSheetId="18">#REF!</definedName>
    <definedName name="__xlnm.Print_Area_2" localSheetId="15">#REF!</definedName>
    <definedName name="__xlnm.Print_Area_2" localSheetId="7">#REF!</definedName>
    <definedName name="__xlnm.Print_Area_2">#REF!</definedName>
    <definedName name="__xlnm.Print_Area_3" localSheetId="12">#REF!</definedName>
    <definedName name="__xlnm.Print_Area_3" localSheetId="6">#REF!</definedName>
    <definedName name="__xlnm.Print_Area_3" localSheetId="5">#REF!</definedName>
    <definedName name="__xlnm.Print_Area_3" localSheetId="8">#REF!</definedName>
    <definedName name="__xlnm.Print_Area_3" localSheetId="11">#REF!</definedName>
    <definedName name="__xlnm.Print_Area_3" localSheetId="9">#REF!</definedName>
    <definedName name="__xlnm.Print_Area_3" localSheetId="18">#REF!</definedName>
    <definedName name="__xlnm.Print_Area_3" localSheetId="15">#REF!</definedName>
    <definedName name="__xlnm.Print_Area_3" localSheetId="7">#REF!</definedName>
    <definedName name="__xlnm.Print_Area_3">#REF!</definedName>
    <definedName name="_0" localSheetId="12">#REF!</definedName>
    <definedName name="_0" localSheetId="6">#REF!</definedName>
    <definedName name="_0" localSheetId="5">#REF!</definedName>
    <definedName name="_0" localSheetId="8">#REF!</definedName>
    <definedName name="_0" localSheetId="11">#REF!</definedName>
    <definedName name="_0" localSheetId="9">#REF!</definedName>
    <definedName name="_0" localSheetId="18">#REF!</definedName>
    <definedName name="_0" localSheetId="15">#REF!</definedName>
    <definedName name="_0" localSheetId="7">#REF!</definedName>
    <definedName name="_0">#REF!</definedName>
    <definedName name="_0___0" localSheetId="12">#REF!</definedName>
    <definedName name="_0___0" localSheetId="8">#REF!</definedName>
    <definedName name="_0___0" localSheetId="11">#REF!</definedName>
    <definedName name="_0___0" localSheetId="9">#REF!</definedName>
    <definedName name="_0___0" localSheetId="18">#REF!</definedName>
    <definedName name="_0___0" localSheetId="15">#REF!</definedName>
    <definedName name="_0___0" localSheetId="7">#REF!</definedName>
    <definedName name="_0___0">#REF!</definedName>
    <definedName name="_1" localSheetId="12">#REF!</definedName>
    <definedName name="_1" localSheetId="8">#REF!</definedName>
    <definedName name="_1" localSheetId="11">#REF!</definedName>
    <definedName name="_1" localSheetId="9">#REF!</definedName>
    <definedName name="_1" localSheetId="18">#REF!</definedName>
    <definedName name="_1" localSheetId="15">#REF!</definedName>
    <definedName name="_1" localSheetId="7">#REF!</definedName>
    <definedName name="_1">#REF!</definedName>
    <definedName name="_1__123Graph_ACHART_3" localSheetId="12" hidden="1">#REF!</definedName>
    <definedName name="_1__123Graph_ACHART_3" localSheetId="8" hidden="1">#REF!</definedName>
    <definedName name="_1__123Graph_ACHART_3" localSheetId="11" hidden="1">#REF!</definedName>
    <definedName name="_1__123Graph_ACHART_3" localSheetId="9" hidden="1">#REF!</definedName>
    <definedName name="_1__123Graph_ACHART_3" localSheetId="18" hidden="1">#REF!</definedName>
    <definedName name="_1__123Graph_ACHART_3" localSheetId="15" hidden="1">#REF!</definedName>
    <definedName name="_1__123Graph_ACHART_3" localSheetId="7" hidden="1">#REF!</definedName>
    <definedName name="_1__123Graph_ACHART_3" hidden="1">#REF!</definedName>
    <definedName name="_10.1" localSheetId="12">#REF!</definedName>
    <definedName name="_10.1" localSheetId="8">#REF!</definedName>
    <definedName name="_10.1" localSheetId="11">#REF!</definedName>
    <definedName name="_10.1" localSheetId="9">#REF!</definedName>
    <definedName name="_10.1" localSheetId="18">#REF!</definedName>
    <definedName name="_10.1" localSheetId="15">#REF!</definedName>
    <definedName name="_10.1" localSheetId="7">#REF!</definedName>
    <definedName name="_10.1">#REF!</definedName>
    <definedName name="_10__123Graph_XCHART_4" localSheetId="12" hidden="1">#REF!</definedName>
    <definedName name="_10__123Graph_XCHART_4" localSheetId="8" hidden="1">#REF!</definedName>
    <definedName name="_10__123Graph_XCHART_4" localSheetId="11" hidden="1">#REF!</definedName>
    <definedName name="_10__123Graph_XCHART_4" localSheetId="9" hidden="1">#REF!</definedName>
    <definedName name="_10__123Graph_XCHART_4" localSheetId="18" hidden="1">#REF!</definedName>
    <definedName name="_10__123Graph_XCHART_4" localSheetId="15" hidden="1">#REF!</definedName>
    <definedName name="_10__123Graph_XCHART_4" localSheetId="7" hidden="1">#REF!</definedName>
    <definedName name="_10__123Graph_XCHART_4" hidden="1">#REF!</definedName>
    <definedName name="_11__123Graph_BCHART_4" localSheetId="12" hidden="1">#REF!</definedName>
    <definedName name="_11__123Graph_BCHART_4" localSheetId="8" hidden="1">#REF!</definedName>
    <definedName name="_11__123Graph_BCHART_4" localSheetId="11" hidden="1">#REF!</definedName>
    <definedName name="_11__123Graph_BCHART_4" localSheetId="9" hidden="1">#REF!</definedName>
    <definedName name="_11__123Graph_BCHART_4" localSheetId="18" hidden="1">#REF!</definedName>
    <definedName name="_11__123Graph_BCHART_4" localSheetId="15" hidden="1">#REF!</definedName>
    <definedName name="_11__123Graph_BCHART_4" localSheetId="7" hidden="1">#REF!</definedName>
    <definedName name="_11__123Graph_BCHART_4" hidden="1">#REF!</definedName>
    <definedName name="_123" localSheetId="12">#REF!</definedName>
    <definedName name="_123" localSheetId="8">#REF!</definedName>
    <definedName name="_123" localSheetId="11">#REF!</definedName>
    <definedName name="_123" localSheetId="9">#REF!</definedName>
    <definedName name="_123" localSheetId="18">#REF!</definedName>
    <definedName name="_123" localSheetId="15">#REF!</definedName>
    <definedName name="_123" localSheetId="7">#REF!</definedName>
    <definedName name="_123">#REF!</definedName>
    <definedName name="_15__123Graph_XCHART_3" localSheetId="12" hidden="1">#REF!</definedName>
    <definedName name="_15__123Graph_XCHART_3" localSheetId="8" hidden="1">#REF!</definedName>
    <definedName name="_15__123Graph_XCHART_3" localSheetId="11" hidden="1">#REF!</definedName>
    <definedName name="_15__123Graph_XCHART_3" localSheetId="9" hidden="1">#REF!</definedName>
    <definedName name="_15__123Graph_XCHART_3" localSheetId="18" hidden="1">#REF!</definedName>
    <definedName name="_15__123Graph_XCHART_3" localSheetId="15" hidden="1">#REF!</definedName>
    <definedName name="_15__123Graph_XCHART_3" localSheetId="7" hidden="1">#REF!</definedName>
    <definedName name="_15__123Graph_XCHART_3" hidden="1">#REF!</definedName>
    <definedName name="_16__123Graph_XCHART_4" localSheetId="12" hidden="1">#REF!</definedName>
    <definedName name="_16__123Graph_XCHART_4" localSheetId="8" hidden="1">#REF!</definedName>
    <definedName name="_16__123Graph_XCHART_4" localSheetId="11" hidden="1">#REF!</definedName>
    <definedName name="_16__123Graph_XCHART_4" localSheetId="9" hidden="1">#REF!</definedName>
    <definedName name="_16__123Graph_XCHART_4" localSheetId="18" hidden="1">#REF!</definedName>
    <definedName name="_16__123Graph_XCHART_4" localSheetId="15" hidden="1">#REF!</definedName>
    <definedName name="_16__123Graph_XCHART_4" localSheetId="7" hidden="1">#REF!</definedName>
    <definedName name="_16__123Graph_XCHART_4" hidden="1">#REF!</definedName>
    <definedName name="_2__123Graph_ACHART_3" localSheetId="12" hidden="1">#REF!</definedName>
    <definedName name="_2__123Graph_ACHART_3" localSheetId="8" hidden="1">#REF!</definedName>
    <definedName name="_2__123Graph_ACHART_3" localSheetId="11" hidden="1">#REF!</definedName>
    <definedName name="_2__123Graph_ACHART_3" localSheetId="9" hidden="1">#REF!</definedName>
    <definedName name="_2__123Graph_ACHART_3" localSheetId="18" hidden="1">#REF!</definedName>
    <definedName name="_2__123Graph_ACHART_3" localSheetId="15" hidden="1">#REF!</definedName>
    <definedName name="_2__123Graph_ACHART_3" localSheetId="7" hidden="1">#REF!</definedName>
    <definedName name="_2__123Graph_ACHART_3" hidden="1">#REF!</definedName>
    <definedName name="_2__123Graph_ACHART_4" localSheetId="12" hidden="1">#REF!</definedName>
    <definedName name="_2__123Graph_ACHART_4" localSheetId="8" hidden="1">#REF!</definedName>
    <definedName name="_2__123Graph_ACHART_4" localSheetId="11" hidden="1">#REF!</definedName>
    <definedName name="_2__123Graph_ACHART_4" localSheetId="9" hidden="1">#REF!</definedName>
    <definedName name="_2__123Graph_ACHART_4" localSheetId="18" hidden="1">#REF!</definedName>
    <definedName name="_2__123Graph_ACHART_4" localSheetId="15" hidden="1">#REF!</definedName>
    <definedName name="_2__123Graph_ACHART_4" localSheetId="7" hidden="1">#REF!</definedName>
    <definedName name="_2__123Graph_ACHART_4" hidden="1">#REF!</definedName>
    <definedName name="_2m_100" localSheetId="12">#REF!</definedName>
    <definedName name="_2m_100" localSheetId="8">#REF!</definedName>
    <definedName name="_2m_100" localSheetId="11">#REF!</definedName>
    <definedName name="_2m_100" localSheetId="9">#REF!</definedName>
    <definedName name="_2m_100" localSheetId="18">#REF!</definedName>
    <definedName name="_2m_100" localSheetId="15">#REF!</definedName>
    <definedName name="_2m_100" localSheetId="7">#REF!</definedName>
    <definedName name="_2m_100">#REF!</definedName>
    <definedName name="_2m_150" localSheetId="12">#REF!</definedName>
    <definedName name="_2m_150" localSheetId="8">#REF!</definedName>
    <definedName name="_2m_150" localSheetId="11">#REF!</definedName>
    <definedName name="_2m_150" localSheetId="9">#REF!</definedName>
    <definedName name="_2m_150" localSheetId="18">#REF!</definedName>
    <definedName name="_2m_150" localSheetId="15">#REF!</definedName>
    <definedName name="_2m_150" localSheetId="7">#REF!</definedName>
    <definedName name="_2m_150">#REF!</definedName>
    <definedName name="_2m_200" localSheetId="12">#REF!</definedName>
    <definedName name="_2m_200" localSheetId="8">#REF!</definedName>
    <definedName name="_2m_200" localSheetId="11">#REF!</definedName>
    <definedName name="_2m_200" localSheetId="9">#REF!</definedName>
    <definedName name="_2m_200" localSheetId="18">#REF!</definedName>
    <definedName name="_2m_200" localSheetId="15">#REF!</definedName>
    <definedName name="_2m_200" localSheetId="7">#REF!</definedName>
    <definedName name="_2m_200">#REF!</definedName>
    <definedName name="_2m_25" localSheetId="12">#REF!</definedName>
    <definedName name="_2m_25" localSheetId="8">#REF!</definedName>
    <definedName name="_2m_25" localSheetId="11">#REF!</definedName>
    <definedName name="_2m_25" localSheetId="9">#REF!</definedName>
    <definedName name="_2m_25" localSheetId="18">#REF!</definedName>
    <definedName name="_2m_25" localSheetId="15">#REF!</definedName>
    <definedName name="_2m_25" localSheetId="7">#REF!</definedName>
    <definedName name="_2m_25">#REF!</definedName>
    <definedName name="_2m_250" localSheetId="12">#REF!</definedName>
    <definedName name="_2m_250" localSheetId="8">#REF!</definedName>
    <definedName name="_2m_250" localSheetId="11">#REF!</definedName>
    <definedName name="_2m_250" localSheetId="9">#REF!</definedName>
    <definedName name="_2m_250" localSheetId="18">#REF!</definedName>
    <definedName name="_2m_250" localSheetId="15">#REF!</definedName>
    <definedName name="_2m_250" localSheetId="7">#REF!</definedName>
    <definedName name="_2m_250">#REF!</definedName>
    <definedName name="_2m_300" localSheetId="12">#REF!</definedName>
    <definedName name="_2m_300" localSheetId="8">#REF!</definedName>
    <definedName name="_2m_300" localSheetId="11">#REF!</definedName>
    <definedName name="_2m_300" localSheetId="9">#REF!</definedName>
    <definedName name="_2m_300" localSheetId="18">#REF!</definedName>
    <definedName name="_2m_300" localSheetId="15">#REF!</definedName>
    <definedName name="_2m_300" localSheetId="7">#REF!</definedName>
    <definedName name="_2m_300">#REF!</definedName>
    <definedName name="_2m_32" localSheetId="12">#REF!</definedName>
    <definedName name="_2m_32" localSheetId="8">#REF!</definedName>
    <definedName name="_2m_32" localSheetId="11">#REF!</definedName>
    <definedName name="_2m_32" localSheetId="9">#REF!</definedName>
    <definedName name="_2m_32" localSheetId="18">#REF!</definedName>
    <definedName name="_2m_32" localSheetId="15">#REF!</definedName>
    <definedName name="_2m_32" localSheetId="7">#REF!</definedName>
    <definedName name="_2m_32">#REF!</definedName>
    <definedName name="_2m_40" localSheetId="12">#REF!</definedName>
    <definedName name="_2m_40" localSheetId="8">#REF!</definedName>
    <definedName name="_2m_40" localSheetId="11">#REF!</definedName>
    <definedName name="_2m_40" localSheetId="9">#REF!</definedName>
    <definedName name="_2m_40" localSheetId="18">#REF!</definedName>
    <definedName name="_2m_40" localSheetId="15">#REF!</definedName>
    <definedName name="_2m_40" localSheetId="7">#REF!</definedName>
    <definedName name="_2m_40">#REF!</definedName>
    <definedName name="_2m_50" localSheetId="12">#REF!</definedName>
    <definedName name="_2m_50" localSheetId="8">#REF!</definedName>
    <definedName name="_2m_50" localSheetId="11">#REF!</definedName>
    <definedName name="_2m_50" localSheetId="9">#REF!</definedName>
    <definedName name="_2m_50" localSheetId="18">#REF!</definedName>
    <definedName name="_2m_50" localSheetId="15">#REF!</definedName>
    <definedName name="_2m_50" localSheetId="7">#REF!</definedName>
    <definedName name="_2m_50">#REF!</definedName>
    <definedName name="_2m_65" localSheetId="12">#REF!</definedName>
    <definedName name="_2m_65" localSheetId="8">#REF!</definedName>
    <definedName name="_2m_65" localSheetId="11">#REF!</definedName>
    <definedName name="_2m_65" localSheetId="9">#REF!</definedName>
    <definedName name="_2m_65" localSheetId="18">#REF!</definedName>
    <definedName name="_2m_65" localSheetId="15">#REF!</definedName>
    <definedName name="_2m_65" localSheetId="7">#REF!</definedName>
    <definedName name="_2m_65">#REF!</definedName>
    <definedName name="_2m_80" localSheetId="12">#REF!</definedName>
    <definedName name="_2m_80" localSheetId="8">#REF!</definedName>
    <definedName name="_2m_80" localSheetId="11">#REF!</definedName>
    <definedName name="_2m_80" localSheetId="9">#REF!</definedName>
    <definedName name="_2m_80" localSheetId="18">#REF!</definedName>
    <definedName name="_2m_80" localSheetId="15">#REF!</definedName>
    <definedName name="_2m_80" localSheetId="7">#REF!</definedName>
    <definedName name="_2m_80">#REF!</definedName>
    <definedName name="_3.1" localSheetId="12">#REF!</definedName>
    <definedName name="_3.1" localSheetId="8">#REF!</definedName>
    <definedName name="_3.1" localSheetId="11">#REF!</definedName>
    <definedName name="_3.1" localSheetId="9">#REF!</definedName>
    <definedName name="_3.1" localSheetId="18">#REF!</definedName>
    <definedName name="_3.1" localSheetId="15">#REF!</definedName>
    <definedName name="_3.1" localSheetId="7">#REF!</definedName>
    <definedName name="_3.1">#REF!</definedName>
    <definedName name="_3.10" localSheetId="12">#REF!</definedName>
    <definedName name="_3.10" localSheetId="8">#REF!</definedName>
    <definedName name="_3.10" localSheetId="11">#REF!</definedName>
    <definedName name="_3.10" localSheetId="9">#REF!</definedName>
    <definedName name="_3.10" localSheetId="18">#REF!</definedName>
    <definedName name="_3.10" localSheetId="15">#REF!</definedName>
    <definedName name="_3.10" localSheetId="7">#REF!</definedName>
    <definedName name="_3.10">#REF!</definedName>
    <definedName name="_3.11" localSheetId="12">#REF!</definedName>
    <definedName name="_3.11" localSheetId="8">#REF!</definedName>
    <definedName name="_3.11" localSheetId="11">#REF!</definedName>
    <definedName name="_3.11" localSheetId="9">#REF!</definedName>
    <definedName name="_3.11" localSheetId="18">#REF!</definedName>
    <definedName name="_3.11" localSheetId="15">#REF!</definedName>
    <definedName name="_3.11" localSheetId="7">#REF!</definedName>
    <definedName name="_3.11">#REF!</definedName>
    <definedName name="_3.12" localSheetId="12">#REF!</definedName>
    <definedName name="_3.12" localSheetId="8">#REF!</definedName>
    <definedName name="_3.12" localSheetId="11">#REF!</definedName>
    <definedName name="_3.12" localSheetId="9">#REF!</definedName>
    <definedName name="_3.12" localSheetId="18">#REF!</definedName>
    <definedName name="_3.12" localSheetId="15">#REF!</definedName>
    <definedName name="_3.12" localSheetId="7">#REF!</definedName>
    <definedName name="_3.12">#REF!</definedName>
    <definedName name="_3.13" localSheetId="12">#REF!</definedName>
    <definedName name="_3.13" localSheetId="8">#REF!</definedName>
    <definedName name="_3.13" localSheetId="11">#REF!</definedName>
    <definedName name="_3.13" localSheetId="9">#REF!</definedName>
    <definedName name="_3.13" localSheetId="18">#REF!</definedName>
    <definedName name="_3.13" localSheetId="15">#REF!</definedName>
    <definedName name="_3.13" localSheetId="7">#REF!</definedName>
    <definedName name="_3.13">#REF!</definedName>
    <definedName name="_3.14" localSheetId="12">#REF!</definedName>
    <definedName name="_3.14" localSheetId="8">#REF!</definedName>
    <definedName name="_3.14" localSheetId="11">#REF!</definedName>
    <definedName name="_3.14" localSheetId="9">#REF!</definedName>
    <definedName name="_3.14" localSheetId="18">#REF!</definedName>
    <definedName name="_3.14" localSheetId="15">#REF!</definedName>
    <definedName name="_3.14" localSheetId="7">#REF!</definedName>
    <definedName name="_3.14">#REF!</definedName>
    <definedName name="_3.15" localSheetId="12">#REF!</definedName>
    <definedName name="_3.15" localSheetId="8">#REF!</definedName>
    <definedName name="_3.15" localSheetId="11">#REF!</definedName>
    <definedName name="_3.15" localSheetId="9">#REF!</definedName>
    <definedName name="_3.15" localSheetId="18">#REF!</definedName>
    <definedName name="_3.15" localSheetId="15">#REF!</definedName>
    <definedName name="_3.15" localSheetId="7">#REF!</definedName>
    <definedName name="_3.15">#REF!</definedName>
    <definedName name="_3.16" localSheetId="12">#REF!</definedName>
    <definedName name="_3.16" localSheetId="8">#REF!</definedName>
    <definedName name="_3.16" localSheetId="11">#REF!</definedName>
    <definedName name="_3.16" localSheetId="9">#REF!</definedName>
    <definedName name="_3.16" localSheetId="18">#REF!</definedName>
    <definedName name="_3.16" localSheetId="15">#REF!</definedName>
    <definedName name="_3.16" localSheetId="7">#REF!</definedName>
    <definedName name="_3.16">#REF!</definedName>
    <definedName name="_3.17" localSheetId="12">#REF!</definedName>
    <definedName name="_3.17" localSheetId="8">#REF!</definedName>
    <definedName name="_3.17" localSheetId="11">#REF!</definedName>
    <definedName name="_3.17" localSheetId="9">#REF!</definedName>
    <definedName name="_3.17" localSheetId="18">#REF!</definedName>
    <definedName name="_3.17" localSheetId="15">#REF!</definedName>
    <definedName name="_3.17" localSheetId="7">#REF!</definedName>
    <definedName name="_3.17">#REF!</definedName>
    <definedName name="_3.2" localSheetId="12">#REF!</definedName>
    <definedName name="_3.2" localSheetId="8">#REF!</definedName>
    <definedName name="_3.2" localSheetId="11">#REF!</definedName>
    <definedName name="_3.2" localSheetId="9">#REF!</definedName>
    <definedName name="_3.2" localSheetId="18">#REF!</definedName>
    <definedName name="_3.2" localSheetId="15">#REF!</definedName>
    <definedName name="_3.2" localSheetId="7">#REF!</definedName>
    <definedName name="_3.2">#REF!</definedName>
    <definedName name="_3.3" localSheetId="12">#REF!</definedName>
    <definedName name="_3.3" localSheetId="8">#REF!</definedName>
    <definedName name="_3.3" localSheetId="11">#REF!</definedName>
    <definedName name="_3.3" localSheetId="9">#REF!</definedName>
    <definedName name="_3.3" localSheetId="18">#REF!</definedName>
    <definedName name="_3.3" localSheetId="15">#REF!</definedName>
    <definedName name="_3.3" localSheetId="7">#REF!</definedName>
    <definedName name="_3.3">#REF!</definedName>
    <definedName name="_3.4" localSheetId="12">#REF!</definedName>
    <definedName name="_3.4" localSheetId="8">#REF!</definedName>
    <definedName name="_3.4" localSheetId="11">#REF!</definedName>
    <definedName name="_3.4" localSheetId="9">#REF!</definedName>
    <definedName name="_3.4" localSheetId="18">#REF!</definedName>
    <definedName name="_3.4" localSheetId="15">#REF!</definedName>
    <definedName name="_3.4" localSheetId="7">#REF!</definedName>
    <definedName name="_3.4">#REF!</definedName>
    <definedName name="_3.5" localSheetId="12">#REF!</definedName>
    <definedName name="_3.5" localSheetId="8">#REF!</definedName>
    <definedName name="_3.5" localSheetId="11">#REF!</definedName>
    <definedName name="_3.5" localSheetId="9">#REF!</definedName>
    <definedName name="_3.5" localSheetId="18">#REF!</definedName>
    <definedName name="_3.5" localSheetId="15">#REF!</definedName>
    <definedName name="_3.5" localSheetId="7">#REF!</definedName>
    <definedName name="_3.5">#REF!</definedName>
    <definedName name="_3.6" localSheetId="12">#REF!</definedName>
    <definedName name="_3.6" localSheetId="8">#REF!</definedName>
    <definedName name="_3.6" localSheetId="11">#REF!</definedName>
    <definedName name="_3.6" localSheetId="9">#REF!</definedName>
    <definedName name="_3.6" localSheetId="18">#REF!</definedName>
    <definedName name="_3.6" localSheetId="15">#REF!</definedName>
    <definedName name="_3.6" localSheetId="7">#REF!</definedName>
    <definedName name="_3.6">#REF!</definedName>
    <definedName name="_3.7" localSheetId="12">#REF!</definedName>
    <definedName name="_3.7" localSheetId="8">#REF!</definedName>
    <definedName name="_3.7" localSheetId="11">#REF!</definedName>
    <definedName name="_3.7" localSheetId="9">#REF!</definedName>
    <definedName name="_3.7" localSheetId="18">#REF!</definedName>
    <definedName name="_3.7" localSheetId="15">#REF!</definedName>
    <definedName name="_3.7" localSheetId="7">#REF!</definedName>
    <definedName name="_3.7">#REF!</definedName>
    <definedName name="_3.8" localSheetId="12">#REF!</definedName>
    <definedName name="_3.8" localSheetId="8">#REF!</definedName>
    <definedName name="_3.8" localSheetId="11">#REF!</definedName>
    <definedName name="_3.8" localSheetId="9">#REF!</definedName>
    <definedName name="_3.8" localSheetId="18">#REF!</definedName>
    <definedName name="_3.8" localSheetId="15">#REF!</definedName>
    <definedName name="_3.8" localSheetId="7">#REF!</definedName>
    <definedName name="_3.8">#REF!</definedName>
    <definedName name="_3.9" localSheetId="12">#REF!</definedName>
    <definedName name="_3.9" localSheetId="8">#REF!</definedName>
    <definedName name="_3.9" localSheetId="11">#REF!</definedName>
    <definedName name="_3.9" localSheetId="9">#REF!</definedName>
    <definedName name="_3.9" localSheetId="18">#REF!</definedName>
    <definedName name="_3.9" localSheetId="15">#REF!</definedName>
    <definedName name="_3.9" localSheetId="7">#REF!</definedName>
    <definedName name="_3.9">#REF!</definedName>
    <definedName name="_3__123Graph_BCHART_3" localSheetId="12" hidden="1">#REF!</definedName>
    <definedName name="_3__123Graph_BCHART_3" localSheetId="8" hidden="1">#REF!</definedName>
    <definedName name="_3__123Graph_BCHART_3" localSheetId="11" hidden="1">#REF!</definedName>
    <definedName name="_3__123Graph_BCHART_3" localSheetId="9" hidden="1">#REF!</definedName>
    <definedName name="_3__123Graph_BCHART_3" localSheetId="18" hidden="1">#REF!</definedName>
    <definedName name="_3__123Graph_BCHART_3" localSheetId="15" hidden="1">#REF!</definedName>
    <definedName name="_3__123Graph_BCHART_3" localSheetId="7" hidden="1">#REF!</definedName>
    <definedName name="_3__123Graph_BCHART_3" hidden="1">#REF!</definedName>
    <definedName name="_3m_100" localSheetId="12">#REF!</definedName>
    <definedName name="_3m_100" localSheetId="8">#REF!</definedName>
    <definedName name="_3m_100" localSheetId="11">#REF!</definedName>
    <definedName name="_3m_100" localSheetId="9">#REF!</definedName>
    <definedName name="_3m_100" localSheetId="18">#REF!</definedName>
    <definedName name="_3m_100" localSheetId="15">#REF!</definedName>
    <definedName name="_3m_100" localSheetId="7">#REF!</definedName>
    <definedName name="_3m_100">#REF!</definedName>
    <definedName name="_3m_150" localSheetId="12">#REF!</definedName>
    <definedName name="_3m_150" localSheetId="8">#REF!</definedName>
    <definedName name="_3m_150" localSheetId="11">#REF!</definedName>
    <definedName name="_3m_150" localSheetId="9">#REF!</definedName>
    <definedName name="_3m_150" localSheetId="18">#REF!</definedName>
    <definedName name="_3m_150" localSheetId="15">#REF!</definedName>
    <definedName name="_3m_150" localSheetId="7">#REF!</definedName>
    <definedName name="_3m_150">#REF!</definedName>
    <definedName name="_3m_200" localSheetId="12">#REF!</definedName>
    <definedName name="_3m_200" localSheetId="8">#REF!</definedName>
    <definedName name="_3m_200" localSheetId="11">#REF!</definedName>
    <definedName name="_3m_200" localSheetId="9">#REF!</definedName>
    <definedName name="_3m_200" localSheetId="18">#REF!</definedName>
    <definedName name="_3m_200" localSheetId="15">#REF!</definedName>
    <definedName name="_3m_200" localSheetId="7">#REF!</definedName>
    <definedName name="_3m_200">#REF!</definedName>
    <definedName name="_3m_25" localSheetId="12">#REF!</definedName>
    <definedName name="_3m_25" localSheetId="8">#REF!</definedName>
    <definedName name="_3m_25" localSheetId="11">#REF!</definedName>
    <definedName name="_3m_25" localSheetId="9">#REF!</definedName>
    <definedName name="_3m_25" localSheetId="18">#REF!</definedName>
    <definedName name="_3m_25" localSheetId="15">#REF!</definedName>
    <definedName name="_3m_25" localSheetId="7">#REF!</definedName>
    <definedName name="_3m_25">#REF!</definedName>
    <definedName name="_3m_250" localSheetId="12">#REF!</definedName>
    <definedName name="_3m_250" localSheetId="8">#REF!</definedName>
    <definedName name="_3m_250" localSheetId="11">#REF!</definedName>
    <definedName name="_3m_250" localSheetId="9">#REF!</definedName>
    <definedName name="_3m_250" localSheetId="18">#REF!</definedName>
    <definedName name="_3m_250" localSheetId="15">#REF!</definedName>
    <definedName name="_3m_250" localSheetId="7">#REF!</definedName>
    <definedName name="_3m_250">#REF!</definedName>
    <definedName name="_3m_300" localSheetId="12">#REF!</definedName>
    <definedName name="_3m_300" localSheetId="8">#REF!</definedName>
    <definedName name="_3m_300" localSheetId="11">#REF!</definedName>
    <definedName name="_3m_300" localSheetId="9">#REF!</definedName>
    <definedName name="_3m_300" localSheetId="18">#REF!</definedName>
    <definedName name="_3m_300" localSheetId="15">#REF!</definedName>
    <definedName name="_3m_300" localSheetId="7">#REF!</definedName>
    <definedName name="_3m_300">#REF!</definedName>
    <definedName name="_3m_32" localSheetId="12">#REF!</definedName>
    <definedName name="_3m_32" localSheetId="8">#REF!</definedName>
    <definedName name="_3m_32" localSheetId="11">#REF!</definedName>
    <definedName name="_3m_32" localSheetId="9">#REF!</definedName>
    <definedName name="_3m_32" localSheetId="18">#REF!</definedName>
    <definedName name="_3m_32" localSheetId="15">#REF!</definedName>
    <definedName name="_3m_32" localSheetId="7">#REF!</definedName>
    <definedName name="_3m_32">#REF!</definedName>
    <definedName name="_3m_40" localSheetId="12">#REF!</definedName>
    <definedName name="_3m_40" localSheetId="8">#REF!</definedName>
    <definedName name="_3m_40" localSheetId="11">#REF!</definedName>
    <definedName name="_3m_40" localSheetId="9">#REF!</definedName>
    <definedName name="_3m_40" localSheetId="18">#REF!</definedName>
    <definedName name="_3m_40" localSheetId="15">#REF!</definedName>
    <definedName name="_3m_40" localSheetId="7">#REF!</definedName>
    <definedName name="_3m_40">#REF!</definedName>
    <definedName name="_3m_50" localSheetId="12">#REF!</definedName>
    <definedName name="_3m_50" localSheetId="8">#REF!</definedName>
    <definedName name="_3m_50" localSheetId="11">#REF!</definedName>
    <definedName name="_3m_50" localSheetId="9">#REF!</definedName>
    <definedName name="_3m_50" localSheetId="18">#REF!</definedName>
    <definedName name="_3m_50" localSheetId="15">#REF!</definedName>
    <definedName name="_3m_50" localSheetId="7">#REF!</definedName>
    <definedName name="_3m_50">#REF!</definedName>
    <definedName name="_3m_65" localSheetId="12">#REF!</definedName>
    <definedName name="_3m_65" localSheetId="8">#REF!</definedName>
    <definedName name="_3m_65" localSheetId="11">#REF!</definedName>
    <definedName name="_3m_65" localSheetId="9">#REF!</definedName>
    <definedName name="_3m_65" localSheetId="18">#REF!</definedName>
    <definedName name="_3m_65" localSheetId="15">#REF!</definedName>
    <definedName name="_3m_65" localSheetId="7">#REF!</definedName>
    <definedName name="_3m_65">#REF!</definedName>
    <definedName name="_3m_80" localSheetId="12">#REF!</definedName>
    <definedName name="_3m_80" localSheetId="8">#REF!</definedName>
    <definedName name="_3m_80" localSheetId="11">#REF!</definedName>
    <definedName name="_3m_80" localSheetId="9">#REF!</definedName>
    <definedName name="_3m_80" localSheetId="18">#REF!</definedName>
    <definedName name="_3m_80" localSheetId="15">#REF!</definedName>
    <definedName name="_3m_80" localSheetId="7">#REF!</definedName>
    <definedName name="_3m_80">#REF!</definedName>
    <definedName name="_4__123Graph_ACHART_3" localSheetId="12" hidden="1">#REF!</definedName>
    <definedName name="_4__123Graph_ACHART_3" localSheetId="8" hidden="1">#REF!</definedName>
    <definedName name="_4__123Graph_ACHART_3" localSheetId="11" hidden="1">#REF!</definedName>
    <definedName name="_4__123Graph_ACHART_3" localSheetId="9" hidden="1">#REF!</definedName>
    <definedName name="_4__123Graph_ACHART_3" localSheetId="18" hidden="1">#REF!</definedName>
    <definedName name="_4__123Graph_ACHART_3" localSheetId="15" hidden="1">#REF!</definedName>
    <definedName name="_4__123Graph_ACHART_3" localSheetId="7" hidden="1">#REF!</definedName>
    <definedName name="_4__123Graph_ACHART_3" hidden="1">#REF!</definedName>
    <definedName name="_4__123Graph_ACHART_4" localSheetId="12" hidden="1">#REF!</definedName>
    <definedName name="_4__123Graph_ACHART_4" localSheetId="8" hidden="1">#REF!</definedName>
    <definedName name="_4__123Graph_ACHART_4" localSheetId="11" hidden="1">#REF!</definedName>
    <definedName name="_4__123Graph_ACHART_4" localSheetId="9" hidden="1">#REF!</definedName>
    <definedName name="_4__123Graph_ACHART_4" localSheetId="18" hidden="1">#REF!</definedName>
    <definedName name="_4__123Graph_ACHART_4" localSheetId="15" hidden="1">#REF!</definedName>
    <definedName name="_4__123Graph_ACHART_4" localSheetId="7" hidden="1">#REF!</definedName>
    <definedName name="_4__123Graph_ACHART_4" hidden="1">#REF!</definedName>
    <definedName name="_4__123Graph_BCHART_4" localSheetId="12" hidden="1">#REF!</definedName>
    <definedName name="_4__123Graph_BCHART_4" localSheetId="8" hidden="1">#REF!</definedName>
    <definedName name="_4__123Graph_BCHART_4" localSheetId="11" hidden="1">#REF!</definedName>
    <definedName name="_4__123Graph_BCHART_4" localSheetId="9" hidden="1">#REF!</definedName>
    <definedName name="_4__123Graph_BCHART_4" localSheetId="18" hidden="1">#REF!</definedName>
    <definedName name="_4__123Graph_BCHART_4" localSheetId="15" hidden="1">#REF!</definedName>
    <definedName name="_4__123Graph_BCHART_4" localSheetId="7" hidden="1">#REF!</definedName>
    <definedName name="_4__123Graph_BCHART_4" hidden="1">#REF!</definedName>
    <definedName name="_5.0_Hire_and_running_charges_of_winch___grab" localSheetId="12">#REF!</definedName>
    <definedName name="_5.0_Hire_and_running_charges_of_winch___grab" localSheetId="8">#REF!</definedName>
    <definedName name="_5.0_Hire_and_running_charges_of_winch___grab" localSheetId="11">#REF!</definedName>
    <definedName name="_5.0_Hire_and_running_charges_of_winch___grab" localSheetId="9">#REF!</definedName>
    <definedName name="_5.0_Hire_and_running_charges_of_winch___grab" localSheetId="18">#REF!</definedName>
    <definedName name="_5.0_Hire_and_running_charges_of_winch___grab" localSheetId="15">#REF!</definedName>
    <definedName name="_5.0_Hire_and_running_charges_of_winch___grab" localSheetId="7">#REF!</definedName>
    <definedName name="_5.0_Hire_and_running_charges_of_winch___grab">#REF!</definedName>
    <definedName name="_5__123Graph_XCHART_3" localSheetId="12" hidden="1">#REF!</definedName>
    <definedName name="_5__123Graph_XCHART_3" localSheetId="8" hidden="1">#REF!</definedName>
    <definedName name="_5__123Graph_XCHART_3" localSheetId="11" hidden="1">#REF!</definedName>
    <definedName name="_5__123Graph_XCHART_3" localSheetId="9" hidden="1">#REF!</definedName>
    <definedName name="_5__123Graph_XCHART_3" localSheetId="18" hidden="1">#REF!</definedName>
    <definedName name="_5__123Graph_XCHART_3" localSheetId="15" hidden="1">#REF!</definedName>
    <definedName name="_5__123Graph_XCHART_3" localSheetId="7" hidden="1">#REF!</definedName>
    <definedName name="_5__123Graph_XCHART_3" hidden="1">#REF!</definedName>
    <definedName name="_6__123Graph_ACHART_4" localSheetId="12" hidden="1">#REF!</definedName>
    <definedName name="_6__123Graph_ACHART_4" localSheetId="8" hidden="1">#REF!</definedName>
    <definedName name="_6__123Graph_ACHART_4" localSheetId="11" hidden="1">#REF!</definedName>
    <definedName name="_6__123Graph_ACHART_4" localSheetId="9" hidden="1">#REF!</definedName>
    <definedName name="_6__123Graph_ACHART_4" localSheetId="18" hidden="1">#REF!</definedName>
    <definedName name="_6__123Graph_ACHART_4" localSheetId="15" hidden="1">#REF!</definedName>
    <definedName name="_6__123Graph_ACHART_4" localSheetId="7" hidden="1">#REF!</definedName>
    <definedName name="_6__123Graph_ACHART_4" hidden="1">#REF!</definedName>
    <definedName name="_6__123Graph_BCHART_3" localSheetId="12" hidden="1">#REF!</definedName>
    <definedName name="_6__123Graph_BCHART_3" localSheetId="8" hidden="1">#REF!</definedName>
    <definedName name="_6__123Graph_BCHART_3" localSheetId="11" hidden="1">#REF!</definedName>
    <definedName name="_6__123Graph_BCHART_3" localSheetId="9" hidden="1">#REF!</definedName>
    <definedName name="_6__123Graph_BCHART_3" localSheetId="18" hidden="1">#REF!</definedName>
    <definedName name="_6__123Graph_BCHART_3" localSheetId="15" hidden="1">#REF!</definedName>
    <definedName name="_6__123Graph_BCHART_3" localSheetId="7" hidden="1">#REF!</definedName>
    <definedName name="_6__123Graph_BCHART_3" hidden="1">#REF!</definedName>
    <definedName name="_6__123Graph_XCHART_4" localSheetId="12" hidden="1">#REF!</definedName>
    <definedName name="_6__123Graph_XCHART_4" localSheetId="8" hidden="1">#REF!</definedName>
    <definedName name="_6__123Graph_XCHART_4" localSheetId="11" hidden="1">#REF!</definedName>
    <definedName name="_6__123Graph_XCHART_4" localSheetId="9" hidden="1">#REF!</definedName>
    <definedName name="_6__123Graph_XCHART_4" localSheetId="18" hidden="1">#REF!</definedName>
    <definedName name="_6__123Graph_XCHART_4" localSheetId="15" hidden="1">#REF!</definedName>
    <definedName name="_6__123Graph_XCHART_4" localSheetId="7" hidden="1">#REF!</definedName>
    <definedName name="_6__123Graph_XCHART_4" hidden="1">#REF!</definedName>
    <definedName name="_8__123Graph_BCHART_4" localSheetId="12" hidden="1">#REF!</definedName>
    <definedName name="_8__123Graph_BCHART_4" localSheetId="8" hidden="1">#REF!</definedName>
    <definedName name="_8__123Graph_BCHART_4" localSheetId="11" hidden="1">#REF!</definedName>
    <definedName name="_8__123Graph_BCHART_4" localSheetId="9" hidden="1">#REF!</definedName>
    <definedName name="_8__123Graph_BCHART_4" localSheetId="18" hidden="1">#REF!</definedName>
    <definedName name="_8__123Graph_BCHART_4" localSheetId="15" hidden="1">#REF!</definedName>
    <definedName name="_8__123Graph_BCHART_4" localSheetId="7" hidden="1">#REF!</definedName>
    <definedName name="_8__123Graph_BCHART_4" hidden="1">#REF!</definedName>
    <definedName name="_9__123Graph_BCHART_3" localSheetId="12" hidden="1">#REF!</definedName>
    <definedName name="_9__123Graph_BCHART_3" localSheetId="8" hidden="1">#REF!</definedName>
    <definedName name="_9__123Graph_BCHART_3" localSheetId="11" hidden="1">#REF!</definedName>
    <definedName name="_9__123Graph_BCHART_3" localSheetId="9" hidden="1">#REF!</definedName>
    <definedName name="_9__123Graph_BCHART_3" localSheetId="18" hidden="1">#REF!</definedName>
    <definedName name="_9__123Graph_BCHART_3" localSheetId="15" hidden="1">#REF!</definedName>
    <definedName name="_9__123Graph_BCHART_3" localSheetId="7" hidden="1">#REF!</definedName>
    <definedName name="_9__123Graph_BCHART_3" hidden="1">#REF!</definedName>
    <definedName name="_9__123Graph_XCHART_3" localSheetId="12" hidden="1">#REF!</definedName>
    <definedName name="_9__123Graph_XCHART_3" localSheetId="8" hidden="1">#REF!</definedName>
    <definedName name="_9__123Graph_XCHART_3" localSheetId="11" hidden="1">#REF!</definedName>
    <definedName name="_9__123Graph_XCHART_3" localSheetId="9" hidden="1">#REF!</definedName>
    <definedName name="_9__123Graph_XCHART_3" localSheetId="18" hidden="1">#REF!</definedName>
    <definedName name="_9__123Graph_XCHART_3" localSheetId="15" hidden="1">#REF!</definedName>
    <definedName name="_9__123Graph_XCHART_3" localSheetId="7" hidden="1">#REF!</definedName>
    <definedName name="_9__123Graph_XCHART_3" hidden="1">#REF!</definedName>
    <definedName name="_A655600" localSheetId="12">#REF!</definedName>
    <definedName name="_A655600" localSheetId="8">#REF!</definedName>
    <definedName name="_A655600" localSheetId="11">#REF!</definedName>
    <definedName name="_A655600" localSheetId="9">#REF!</definedName>
    <definedName name="_A655600" localSheetId="18">#REF!</definedName>
    <definedName name="_A655600" localSheetId="15">#REF!</definedName>
    <definedName name="_A655600" localSheetId="7">#REF!</definedName>
    <definedName name="_A655600">#REF!</definedName>
    <definedName name="_A655601" localSheetId="12">#REF!</definedName>
    <definedName name="_A655601" localSheetId="8">#REF!</definedName>
    <definedName name="_A655601" localSheetId="11">#REF!</definedName>
    <definedName name="_A655601" localSheetId="9">#REF!</definedName>
    <definedName name="_A655601" localSheetId="18">#REF!</definedName>
    <definedName name="_A655601" localSheetId="15">#REF!</definedName>
    <definedName name="_A655601" localSheetId="7">#REF!</definedName>
    <definedName name="_A655601">#REF!</definedName>
    <definedName name="_aaa10" localSheetId="12">#REF!</definedName>
    <definedName name="_aaa10" localSheetId="0">#REF!</definedName>
    <definedName name="_aaa10" localSheetId="1">#REF!</definedName>
    <definedName name="_aaa10" localSheetId="8">#REF!</definedName>
    <definedName name="_aaa10" localSheetId="11">#REF!</definedName>
    <definedName name="_aaa10" localSheetId="9">#REF!</definedName>
    <definedName name="_aaa10" localSheetId="18">#REF!</definedName>
    <definedName name="_aaa10" localSheetId="15">#REF!</definedName>
    <definedName name="_aaa10" localSheetId="7">#REF!</definedName>
    <definedName name="_aaa10">#REF!</definedName>
    <definedName name="_aaa11" localSheetId="12">#REF!</definedName>
    <definedName name="_aaa11" localSheetId="0">#REF!</definedName>
    <definedName name="_aaa11" localSheetId="1">#REF!</definedName>
    <definedName name="_aaa11" localSheetId="8">#REF!</definedName>
    <definedName name="_aaa11" localSheetId="11">#REF!</definedName>
    <definedName name="_aaa11" localSheetId="9">#REF!</definedName>
    <definedName name="_aaa11" localSheetId="18">#REF!</definedName>
    <definedName name="_aaa11" localSheetId="15">#REF!</definedName>
    <definedName name="_aaa11" localSheetId="7">#REF!</definedName>
    <definedName name="_aaa11">#REF!</definedName>
    <definedName name="_AAA12" localSheetId="12">#REF!</definedName>
    <definedName name="_AAA12" localSheetId="0">#REF!</definedName>
    <definedName name="_AAA12" localSheetId="1">#REF!</definedName>
    <definedName name="_AAA12" localSheetId="8">#REF!</definedName>
    <definedName name="_AAA12" localSheetId="11">#REF!</definedName>
    <definedName name="_AAA12" localSheetId="9">#REF!</definedName>
    <definedName name="_AAA12" localSheetId="18">#REF!</definedName>
    <definedName name="_AAA12" localSheetId="15">#REF!</definedName>
    <definedName name="_AAA12" localSheetId="7">#REF!</definedName>
    <definedName name="_AAA12">#REF!</definedName>
    <definedName name="_AAA21" localSheetId="12">#REF!</definedName>
    <definedName name="_AAA21" localSheetId="0">#REF!</definedName>
    <definedName name="_AAA21" localSheetId="1">#REF!</definedName>
    <definedName name="_AAA21" localSheetId="8">#REF!</definedName>
    <definedName name="_AAA21" localSheetId="11">#REF!</definedName>
    <definedName name="_AAA21" localSheetId="9">#REF!</definedName>
    <definedName name="_AAA21" localSheetId="18">#REF!</definedName>
    <definedName name="_AAA21" localSheetId="15">#REF!</definedName>
    <definedName name="_AAA21" localSheetId="7">#REF!</definedName>
    <definedName name="_AAA21">#REF!</definedName>
    <definedName name="_aaa23" localSheetId="12">#REF!</definedName>
    <definedName name="_aaa23" localSheetId="0">#REF!</definedName>
    <definedName name="_aaa23" localSheetId="1">#REF!</definedName>
    <definedName name="_aaa23" localSheetId="8">#REF!</definedName>
    <definedName name="_aaa23" localSheetId="11">#REF!</definedName>
    <definedName name="_aaa23" localSheetId="9">#REF!</definedName>
    <definedName name="_aaa23" localSheetId="18">#REF!</definedName>
    <definedName name="_aaa23" localSheetId="15">#REF!</definedName>
    <definedName name="_aaa23" localSheetId="7">#REF!</definedName>
    <definedName name="_aaa23">#REF!</definedName>
    <definedName name="_aaa34" localSheetId="12">#REF!</definedName>
    <definedName name="_aaa34" localSheetId="0">#REF!</definedName>
    <definedName name="_aaa34" localSheetId="1">#REF!</definedName>
    <definedName name="_aaa34" localSheetId="8">#REF!</definedName>
    <definedName name="_aaa34" localSheetId="11">#REF!</definedName>
    <definedName name="_aaa34" localSheetId="9">#REF!</definedName>
    <definedName name="_aaa34" localSheetId="18">#REF!</definedName>
    <definedName name="_aaa34" localSheetId="15">#REF!</definedName>
    <definedName name="_aaa34" localSheetId="7">#REF!</definedName>
    <definedName name="_aaa34">#REF!</definedName>
    <definedName name="_aaa5" localSheetId="12">#REF!</definedName>
    <definedName name="_aaa5" localSheetId="0">#REF!</definedName>
    <definedName name="_aaa5" localSheetId="1">#REF!</definedName>
    <definedName name="_aaa5" localSheetId="8">#REF!</definedName>
    <definedName name="_aaa5" localSheetId="11">#REF!</definedName>
    <definedName name="_aaa5" localSheetId="9">#REF!</definedName>
    <definedName name="_aaa5" localSheetId="18">#REF!</definedName>
    <definedName name="_aaa5" localSheetId="15">#REF!</definedName>
    <definedName name="_aaa5" localSheetId="7">#REF!</definedName>
    <definedName name="_aaa5">#REF!</definedName>
    <definedName name="_AAA53" localSheetId="12">#REF!</definedName>
    <definedName name="_AAA53" localSheetId="0">#REF!</definedName>
    <definedName name="_AAA53" localSheetId="1">#REF!</definedName>
    <definedName name="_AAA53" localSheetId="8">#REF!</definedName>
    <definedName name="_AAA53" localSheetId="11">#REF!</definedName>
    <definedName name="_AAA53" localSheetId="9">#REF!</definedName>
    <definedName name="_AAA53" localSheetId="18">#REF!</definedName>
    <definedName name="_AAA53" localSheetId="15">#REF!</definedName>
    <definedName name="_AAA53" localSheetId="7">#REF!</definedName>
    <definedName name="_AAA53">#REF!</definedName>
    <definedName name="_aaa54" localSheetId="12">#REF!</definedName>
    <definedName name="_aaa54" localSheetId="0">#REF!</definedName>
    <definedName name="_aaa54" localSheetId="1">#REF!</definedName>
    <definedName name="_aaa54" localSheetId="8">#REF!</definedName>
    <definedName name="_aaa54" localSheetId="11">#REF!</definedName>
    <definedName name="_aaa54" localSheetId="9">#REF!</definedName>
    <definedName name="_aaa54" localSheetId="18">#REF!</definedName>
    <definedName name="_aaa54" localSheetId="15">#REF!</definedName>
    <definedName name="_aaa54" localSheetId="7">#REF!</definedName>
    <definedName name="_aaa54">#REF!</definedName>
    <definedName name="_aaa545" localSheetId="12">#REF!</definedName>
    <definedName name="_aaa545" localSheetId="0">#REF!</definedName>
    <definedName name="_aaa545" localSheetId="1">#REF!</definedName>
    <definedName name="_aaa545" localSheetId="8">#REF!</definedName>
    <definedName name="_aaa545" localSheetId="11">#REF!</definedName>
    <definedName name="_aaa545" localSheetId="9">#REF!</definedName>
    <definedName name="_aaa545" localSheetId="18">#REF!</definedName>
    <definedName name="_aaa545" localSheetId="15">#REF!</definedName>
    <definedName name="_aaa545" localSheetId="7">#REF!</definedName>
    <definedName name="_aaa545">#REF!</definedName>
    <definedName name="_aaa55" localSheetId="12">#REF!</definedName>
    <definedName name="_aaa55" localSheetId="0">#REF!</definedName>
    <definedName name="_aaa55" localSheetId="1">#REF!</definedName>
    <definedName name="_aaa55" localSheetId="8">#REF!</definedName>
    <definedName name="_aaa55" localSheetId="11">#REF!</definedName>
    <definedName name="_aaa55" localSheetId="9">#REF!</definedName>
    <definedName name="_aaa55" localSheetId="18">#REF!</definedName>
    <definedName name="_aaa55" localSheetId="15">#REF!</definedName>
    <definedName name="_aaa55" localSheetId="7">#REF!</definedName>
    <definedName name="_aaa55">#REF!</definedName>
    <definedName name="_aaa56" localSheetId="12">#REF!</definedName>
    <definedName name="_aaa56" localSheetId="0">#REF!</definedName>
    <definedName name="_aaa56" localSheetId="1">#REF!</definedName>
    <definedName name="_aaa56" localSheetId="8">#REF!</definedName>
    <definedName name="_aaa56" localSheetId="11">#REF!</definedName>
    <definedName name="_aaa56" localSheetId="9">#REF!</definedName>
    <definedName name="_aaa56" localSheetId="18">#REF!</definedName>
    <definedName name="_aaa56" localSheetId="15">#REF!</definedName>
    <definedName name="_aaa56" localSheetId="7">#REF!</definedName>
    <definedName name="_aaa56">#REF!</definedName>
    <definedName name="_AAA57" localSheetId="12">#REF!</definedName>
    <definedName name="_AAA57" localSheetId="0">#REF!</definedName>
    <definedName name="_AAA57" localSheetId="1">#REF!</definedName>
    <definedName name="_AAA57" localSheetId="8">#REF!</definedName>
    <definedName name="_AAA57" localSheetId="11">#REF!</definedName>
    <definedName name="_AAA57" localSheetId="9">#REF!</definedName>
    <definedName name="_AAA57" localSheetId="18">#REF!</definedName>
    <definedName name="_AAA57" localSheetId="15">#REF!</definedName>
    <definedName name="_AAA57" localSheetId="7">#REF!</definedName>
    <definedName name="_AAA57">#REF!</definedName>
    <definedName name="_aaa59" localSheetId="12">#REF!</definedName>
    <definedName name="_aaa59" localSheetId="0">#REF!</definedName>
    <definedName name="_aaa59" localSheetId="1">#REF!</definedName>
    <definedName name="_aaa59" localSheetId="8">#REF!</definedName>
    <definedName name="_aaa59" localSheetId="11">#REF!</definedName>
    <definedName name="_aaa59" localSheetId="9">#REF!</definedName>
    <definedName name="_aaa59" localSheetId="18">#REF!</definedName>
    <definedName name="_aaa59" localSheetId="15">#REF!</definedName>
    <definedName name="_aaa59" localSheetId="7">#REF!</definedName>
    <definedName name="_aaa59">#REF!</definedName>
    <definedName name="_AAA66" localSheetId="12">#REF!</definedName>
    <definedName name="_AAA66" localSheetId="0">#REF!</definedName>
    <definedName name="_AAA66" localSheetId="1">#REF!</definedName>
    <definedName name="_AAA66" localSheetId="8">#REF!</definedName>
    <definedName name="_AAA66" localSheetId="11">#REF!</definedName>
    <definedName name="_AAA66" localSheetId="9">#REF!</definedName>
    <definedName name="_AAA66" localSheetId="18">#REF!</definedName>
    <definedName name="_AAA66" localSheetId="15">#REF!</definedName>
    <definedName name="_AAA66" localSheetId="7">#REF!</definedName>
    <definedName name="_AAA66">#REF!</definedName>
    <definedName name="_AAA69" localSheetId="12">#REF!</definedName>
    <definedName name="_AAA69" localSheetId="0">#REF!</definedName>
    <definedName name="_AAA69" localSheetId="1">#REF!</definedName>
    <definedName name="_AAA69" localSheetId="8">#REF!</definedName>
    <definedName name="_AAA69" localSheetId="11">#REF!</definedName>
    <definedName name="_AAA69" localSheetId="9">#REF!</definedName>
    <definedName name="_AAA69" localSheetId="18">#REF!</definedName>
    <definedName name="_AAA69" localSheetId="15">#REF!</definedName>
    <definedName name="_AAA69" localSheetId="7">#REF!</definedName>
    <definedName name="_AAA69">#REF!</definedName>
    <definedName name="_AAD5" localSheetId="12">#REF!</definedName>
    <definedName name="_AAD5" localSheetId="0">#REF!</definedName>
    <definedName name="_AAD5" localSheetId="1">#REF!</definedName>
    <definedName name="_AAD5" localSheetId="8">#REF!</definedName>
    <definedName name="_AAD5" localSheetId="11">#REF!</definedName>
    <definedName name="_AAD5" localSheetId="9">#REF!</definedName>
    <definedName name="_AAD5" localSheetId="18">#REF!</definedName>
    <definedName name="_AAD5" localSheetId="15">#REF!</definedName>
    <definedName name="_AAD5" localSheetId="7">#REF!</definedName>
    <definedName name="_AAD5">#REF!</definedName>
    <definedName name="_aad55" localSheetId="12">#REF!</definedName>
    <definedName name="_aad55" localSheetId="0">#REF!</definedName>
    <definedName name="_aad55" localSheetId="1">#REF!</definedName>
    <definedName name="_aad55" localSheetId="8">#REF!</definedName>
    <definedName name="_aad55" localSheetId="11">#REF!</definedName>
    <definedName name="_aad55" localSheetId="9">#REF!</definedName>
    <definedName name="_aad55" localSheetId="18">#REF!</definedName>
    <definedName name="_aad55" localSheetId="15">#REF!</definedName>
    <definedName name="_aad55" localSheetId="7">#REF!</definedName>
    <definedName name="_aad55">#REF!</definedName>
    <definedName name="_AAD56" localSheetId="12">#REF!</definedName>
    <definedName name="_AAD56" localSheetId="0">#REF!</definedName>
    <definedName name="_AAD56" localSheetId="1">#REF!</definedName>
    <definedName name="_AAD56" localSheetId="8">#REF!</definedName>
    <definedName name="_AAD56" localSheetId="11">#REF!</definedName>
    <definedName name="_AAD56" localSheetId="9">#REF!</definedName>
    <definedName name="_AAD56" localSheetId="18">#REF!</definedName>
    <definedName name="_AAD56" localSheetId="15">#REF!</definedName>
    <definedName name="_AAD56" localSheetId="7">#REF!</definedName>
    <definedName name="_AAD56">#REF!</definedName>
    <definedName name="_AAD57" localSheetId="12">#REF!</definedName>
    <definedName name="_AAD57" localSheetId="0">#REF!</definedName>
    <definedName name="_AAD57" localSheetId="1">#REF!</definedName>
    <definedName name="_AAD57" localSheetId="8">#REF!</definedName>
    <definedName name="_AAD57" localSheetId="11">#REF!</definedName>
    <definedName name="_AAD57" localSheetId="9">#REF!</definedName>
    <definedName name="_AAD57" localSheetId="18">#REF!</definedName>
    <definedName name="_AAD57" localSheetId="15">#REF!</definedName>
    <definedName name="_AAD57" localSheetId="7">#REF!</definedName>
    <definedName name="_AAD57">#REF!</definedName>
    <definedName name="_alt1" localSheetId="12">#REF!</definedName>
    <definedName name="_alt1" localSheetId="0">#REF!</definedName>
    <definedName name="_alt1" localSheetId="1">#REF!</definedName>
    <definedName name="_alt1" localSheetId="8">#REF!</definedName>
    <definedName name="_alt1" localSheetId="11">#REF!</definedName>
    <definedName name="_alt1" localSheetId="9">#REF!</definedName>
    <definedName name="_alt1" localSheetId="18">#REF!</definedName>
    <definedName name="_alt1" localSheetId="15">#REF!</definedName>
    <definedName name="_alt1" localSheetId="7">#REF!</definedName>
    <definedName name="_alt1">#REF!</definedName>
    <definedName name="_ALT2" localSheetId="12">#REF!</definedName>
    <definedName name="_ALT2" localSheetId="0">#REF!</definedName>
    <definedName name="_ALT2" localSheetId="1">#REF!</definedName>
    <definedName name="_ALT2" localSheetId="8">#REF!</definedName>
    <definedName name="_ALT2" localSheetId="11">#REF!</definedName>
    <definedName name="_ALT2" localSheetId="9">#REF!</definedName>
    <definedName name="_ALT2" localSheetId="18">#REF!</definedName>
    <definedName name="_ALT2" localSheetId="15">#REF!</definedName>
    <definedName name="_ALT2" localSheetId="7">#REF!</definedName>
    <definedName name="_ALT2">#REF!</definedName>
    <definedName name="_ALT3" localSheetId="12">#REF!</definedName>
    <definedName name="_ALT3" localSheetId="0">#REF!</definedName>
    <definedName name="_ALT3" localSheetId="1">#REF!</definedName>
    <definedName name="_ALT3" localSheetId="8">#REF!</definedName>
    <definedName name="_ALT3" localSheetId="11">#REF!</definedName>
    <definedName name="_ALT3" localSheetId="9">#REF!</definedName>
    <definedName name="_ALT3" localSheetId="18">#REF!</definedName>
    <definedName name="_ALT3" localSheetId="15">#REF!</definedName>
    <definedName name="_ALT3" localSheetId="7">#REF!</definedName>
    <definedName name="_ALT3">#REF!</definedName>
    <definedName name="_ALT4" localSheetId="12">#REF!</definedName>
    <definedName name="_ALT4" localSheetId="0">#REF!</definedName>
    <definedName name="_ALT4" localSheetId="1">#REF!</definedName>
    <definedName name="_ALT4" localSheetId="8">#REF!</definedName>
    <definedName name="_ALT4" localSheetId="11">#REF!</definedName>
    <definedName name="_ALT4" localSheetId="9">#REF!</definedName>
    <definedName name="_ALT4" localSheetId="18">#REF!</definedName>
    <definedName name="_ALT4" localSheetId="15">#REF!</definedName>
    <definedName name="_ALT4" localSheetId="7">#REF!</definedName>
    <definedName name="_ALT4">#REF!</definedName>
    <definedName name="_alt9" localSheetId="12">#REF!</definedName>
    <definedName name="_alt9" localSheetId="0">#REF!</definedName>
    <definedName name="_alt9" localSheetId="1">#REF!</definedName>
    <definedName name="_alt9" localSheetId="8">#REF!</definedName>
    <definedName name="_alt9" localSheetId="11">#REF!</definedName>
    <definedName name="_alt9" localSheetId="9">#REF!</definedName>
    <definedName name="_alt9" localSheetId="18">#REF!</definedName>
    <definedName name="_alt9" localSheetId="15">#REF!</definedName>
    <definedName name="_alt9" localSheetId="7">#REF!</definedName>
    <definedName name="_alt9">#REF!</definedName>
    <definedName name="_aoc1" localSheetId="12">#REF!</definedName>
    <definedName name="_aoc1" localSheetId="8">#REF!</definedName>
    <definedName name="_aoc1" localSheetId="11">#REF!</definedName>
    <definedName name="_aoc1" localSheetId="9">#REF!</definedName>
    <definedName name="_aoc1" localSheetId="18">#REF!</definedName>
    <definedName name="_aoc1" localSheetId="15">#REF!</definedName>
    <definedName name="_aoc1" localSheetId="7">#REF!</definedName>
    <definedName name="_aoc1">#REF!</definedName>
    <definedName name="_aoc10" localSheetId="12">#REF!</definedName>
    <definedName name="_aoc10" localSheetId="8">#REF!</definedName>
    <definedName name="_aoc10" localSheetId="11">#REF!</definedName>
    <definedName name="_aoc10" localSheetId="9">#REF!</definedName>
    <definedName name="_aoc10" localSheetId="18">#REF!</definedName>
    <definedName name="_aoc10" localSheetId="15">#REF!</definedName>
    <definedName name="_aoc10" localSheetId="7">#REF!</definedName>
    <definedName name="_aoc10">#REF!</definedName>
    <definedName name="_aoc11" localSheetId="12">#REF!</definedName>
    <definedName name="_aoc11" localSheetId="8">#REF!</definedName>
    <definedName name="_aoc11" localSheetId="11">#REF!</definedName>
    <definedName name="_aoc11" localSheetId="9">#REF!</definedName>
    <definedName name="_aoc11" localSheetId="18">#REF!</definedName>
    <definedName name="_aoc11" localSheetId="15">#REF!</definedName>
    <definedName name="_aoc11" localSheetId="7">#REF!</definedName>
    <definedName name="_aoc11">#REF!</definedName>
    <definedName name="_aoc2" localSheetId="12">#REF!</definedName>
    <definedName name="_aoc2" localSheetId="8">#REF!</definedName>
    <definedName name="_aoc2" localSheetId="11">#REF!</definedName>
    <definedName name="_aoc2" localSheetId="9">#REF!</definedName>
    <definedName name="_aoc2" localSheetId="18">#REF!</definedName>
    <definedName name="_aoc2" localSheetId="15">#REF!</definedName>
    <definedName name="_aoc2" localSheetId="7">#REF!</definedName>
    <definedName name="_aoc2">#REF!</definedName>
    <definedName name="_aoc3" localSheetId="12">#REF!</definedName>
    <definedName name="_aoc3" localSheetId="8">#REF!</definedName>
    <definedName name="_aoc3" localSheetId="11">#REF!</definedName>
    <definedName name="_aoc3" localSheetId="9">#REF!</definedName>
    <definedName name="_aoc3" localSheetId="18">#REF!</definedName>
    <definedName name="_aoc3" localSheetId="15">#REF!</definedName>
    <definedName name="_aoc3" localSheetId="7">#REF!</definedName>
    <definedName name="_aoc3">#REF!</definedName>
    <definedName name="_aoc4" localSheetId="12">#REF!</definedName>
    <definedName name="_aoc4" localSheetId="8">#REF!</definedName>
    <definedName name="_aoc4" localSheetId="11">#REF!</definedName>
    <definedName name="_aoc4" localSheetId="9">#REF!</definedName>
    <definedName name="_aoc4" localSheetId="18">#REF!</definedName>
    <definedName name="_aoc4" localSheetId="15">#REF!</definedName>
    <definedName name="_aoc4" localSheetId="7">#REF!</definedName>
    <definedName name="_aoc4">#REF!</definedName>
    <definedName name="_aoc7" localSheetId="12">#REF!</definedName>
    <definedName name="_aoc7" localSheetId="8">#REF!</definedName>
    <definedName name="_aoc7" localSheetId="11">#REF!</definedName>
    <definedName name="_aoc7" localSheetId="9">#REF!</definedName>
    <definedName name="_aoc7" localSheetId="18">#REF!</definedName>
    <definedName name="_aoc7" localSheetId="15">#REF!</definedName>
    <definedName name="_aoc7" localSheetId="7">#REF!</definedName>
    <definedName name="_aoc7">#REF!</definedName>
    <definedName name="_aoc8" localSheetId="12">#REF!</definedName>
    <definedName name="_aoc8" localSheetId="8">#REF!</definedName>
    <definedName name="_aoc8" localSheetId="11">#REF!</definedName>
    <definedName name="_aoc8" localSheetId="9">#REF!</definedName>
    <definedName name="_aoc8" localSheetId="18">#REF!</definedName>
    <definedName name="_aoc8" localSheetId="15">#REF!</definedName>
    <definedName name="_aoc8" localSheetId="7">#REF!</definedName>
    <definedName name="_aoc8">#REF!</definedName>
    <definedName name="_aoc9" localSheetId="12">#REF!</definedName>
    <definedName name="_aoc9" localSheetId="8">#REF!</definedName>
    <definedName name="_aoc9" localSheetId="11">#REF!</definedName>
    <definedName name="_aoc9" localSheetId="9">#REF!</definedName>
    <definedName name="_aoc9" localSheetId="18">#REF!</definedName>
    <definedName name="_aoc9" localSheetId="15">#REF!</definedName>
    <definedName name="_aoc9" localSheetId="7">#REF!</definedName>
    <definedName name="_aoc9">#REF!</definedName>
    <definedName name="_ARD1" localSheetId="12">#REF!</definedName>
    <definedName name="_ARD1" localSheetId="8">#REF!</definedName>
    <definedName name="_ARD1" localSheetId="11">#REF!</definedName>
    <definedName name="_ARD1" localSheetId="9">#REF!</definedName>
    <definedName name="_ARD1" localSheetId="18">#REF!</definedName>
    <definedName name="_ARD1" localSheetId="15">#REF!</definedName>
    <definedName name="_ARD1" localSheetId="7">#REF!</definedName>
    <definedName name="_ARD1">#REF!</definedName>
    <definedName name="_ARD2" localSheetId="12">#REF!</definedName>
    <definedName name="_ARD2" localSheetId="8">#REF!</definedName>
    <definedName name="_ARD2" localSheetId="11">#REF!</definedName>
    <definedName name="_ARD2" localSheetId="9">#REF!</definedName>
    <definedName name="_ARD2" localSheetId="18">#REF!</definedName>
    <definedName name="_ARD2" localSheetId="15">#REF!</definedName>
    <definedName name="_ARD2" localSheetId="7">#REF!</definedName>
    <definedName name="_ARD2">#REF!</definedName>
    <definedName name="_B100000" localSheetId="12">#REF!</definedName>
    <definedName name="_B100000" localSheetId="8">#REF!</definedName>
    <definedName name="_B100000" localSheetId="11">#REF!</definedName>
    <definedName name="_B100000" localSheetId="9">#REF!</definedName>
    <definedName name="_B100000" localSheetId="18">#REF!</definedName>
    <definedName name="_B100000" localSheetId="15">#REF!</definedName>
    <definedName name="_B100000" localSheetId="7">#REF!</definedName>
    <definedName name="_B100000">#REF!</definedName>
    <definedName name="_B111000" localSheetId="12">#REF!</definedName>
    <definedName name="_B111000" localSheetId="8">#REF!</definedName>
    <definedName name="_B111000" localSheetId="11">#REF!</definedName>
    <definedName name="_B111000" localSheetId="9">#REF!</definedName>
    <definedName name="_B111000" localSheetId="18">#REF!</definedName>
    <definedName name="_B111000" localSheetId="15">#REF!</definedName>
    <definedName name="_B111000" localSheetId="7">#REF!</definedName>
    <definedName name="_B111000">#REF!</definedName>
    <definedName name="_b111121" localSheetId="12">#REF!</definedName>
    <definedName name="_b111121" localSheetId="8">#REF!</definedName>
    <definedName name="_b111121" localSheetId="11">#REF!</definedName>
    <definedName name="_b111121" localSheetId="9">#REF!</definedName>
    <definedName name="_b111121" localSheetId="18">#REF!</definedName>
    <definedName name="_b111121" localSheetId="15">#REF!</definedName>
    <definedName name="_b111121" localSheetId="7">#REF!</definedName>
    <definedName name="_b111121">#REF!</definedName>
    <definedName name="_B99999" localSheetId="12">#REF!</definedName>
    <definedName name="_B99999" localSheetId="8">#REF!</definedName>
    <definedName name="_B99999" localSheetId="11">#REF!</definedName>
    <definedName name="_B99999" localSheetId="9">#REF!</definedName>
    <definedName name="_B99999" localSheetId="18">#REF!</definedName>
    <definedName name="_B99999" localSheetId="15">#REF!</definedName>
    <definedName name="_B99999" localSheetId="7">#REF!</definedName>
    <definedName name="_B99999">#REF!</definedName>
    <definedName name="_B999999" localSheetId="12">#REF!</definedName>
    <definedName name="_B999999" localSheetId="8">#REF!</definedName>
    <definedName name="_B999999" localSheetId="11">#REF!</definedName>
    <definedName name="_B999999" localSheetId="9">#REF!</definedName>
    <definedName name="_B999999" localSheetId="18">#REF!</definedName>
    <definedName name="_B999999" localSheetId="15">#REF!</definedName>
    <definedName name="_B999999" localSheetId="7">#REF!</definedName>
    <definedName name="_B999999">#REF!</definedName>
    <definedName name="_BLK1" localSheetId="12">#REF!</definedName>
    <definedName name="_BLK1" localSheetId="8">#REF!</definedName>
    <definedName name="_BLK1" localSheetId="11">#REF!</definedName>
    <definedName name="_BLK1" localSheetId="9">#REF!</definedName>
    <definedName name="_BLK1" localSheetId="18">#REF!</definedName>
    <definedName name="_BLK1" localSheetId="15">#REF!</definedName>
    <definedName name="_BLK1" localSheetId="7">#REF!</definedName>
    <definedName name="_BLK1">#REF!</definedName>
    <definedName name="_BLK2" localSheetId="12">#REF!</definedName>
    <definedName name="_BLK2" localSheetId="8">#REF!</definedName>
    <definedName name="_BLK2" localSheetId="11">#REF!</definedName>
    <definedName name="_BLK2" localSheetId="9">#REF!</definedName>
    <definedName name="_BLK2" localSheetId="18">#REF!</definedName>
    <definedName name="_BLK2" localSheetId="15">#REF!</definedName>
    <definedName name="_BLK2" localSheetId="7">#REF!</definedName>
    <definedName name="_BLK2">#REF!</definedName>
    <definedName name="_bol1" localSheetId="12">#REF!</definedName>
    <definedName name="_bol1" localSheetId="8">#REF!</definedName>
    <definedName name="_bol1" localSheetId="11">#REF!</definedName>
    <definedName name="_bol1" localSheetId="9">#REF!</definedName>
    <definedName name="_bol1" localSheetId="18">#REF!</definedName>
    <definedName name="_bol1" localSheetId="15">#REF!</definedName>
    <definedName name="_bol1" localSheetId="7">#REF!</definedName>
    <definedName name="_bol1">#REF!</definedName>
    <definedName name="_C" localSheetId="12">#REF!</definedName>
    <definedName name="_C" localSheetId="8">#REF!</definedName>
    <definedName name="_C" localSheetId="11">#REF!</definedName>
    <definedName name="_C" localSheetId="9">#REF!</definedName>
    <definedName name="_C" localSheetId="18">#REF!</definedName>
    <definedName name="_C" localSheetId="15">#REF!</definedName>
    <definedName name="_C" localSheetId="7">#REF!</definedName>
    <definedName name="_C">#REF!</definedName>
    <definedName name="_C___0" localSheetId="12">#REF!</definedName>
    <definedName name="_C___0" localSheetId="8">#REF!</definedName>
    <definedName name="_C___0" localSheetId="11">#REF!</definedName>
    <definedName name="_C___0" localSheetId="9">#REF!</definedName>
    <definedName name="_C___0" localSheetId="18">#REF!</definedName>
    <definedName name="_C___0" localSheetId="15">#REF!</definedName>
    <definedName name="_C___0" localSheetId="7">#REF!</definedName>
    <definedName name="_C___0">#REF!</definedName>
    <definedName name="_C___13" localSheetId="12">#REF!</definedName>
    <definedName name="_C___13" localSheetId="8">#REF!</definedName>
    <definedName name="_C___13" localSheetId="11">#REF!</definedName>
    <definedName name="_C___13" localSheetId="9">#REF!</definedName>
    <definedName name="_C___13" localSheetId="18">#REF!</definedName>
    <definedName name="_C___13" localSheetId="15">#REF!</definedName>
    <definedName name="_C___13" localSheetId="7">#REF!</definedName>
    <definedName name="_C___13">#REF!</definedName>
    <definedName name="_can430">40.73</definedName>
    <definedName name="_can435">43.3</definedName>
    <definedName name="_COL14" localSheetId="12">#REF!</definedName>
    <definedName name="_COL14" localSheetId="0">#REF!</definedName>
    <definedName name="_COL14" localSheetId="1">#REF!</definedName>
    <definedName name="_COL14" localSheetId="6">#REF!</definedName>
    <definedName name="_COL14" localSheetId="5">#REF!</definedName>
    <definedName name="_COL14" localSheetId="8">#REF!</definedName>
    <definedName name="_COL14" localSheetId="11">#REF!</definedName>
    <definedName name="_COL14" localSheetId="9">#REF!</definedName>
    <definedName name="_COL14" localSheetId="18">#REF!</definedName>
    <definedName name="_COL14" localSheetId="15">#REF!</definedName>
    <definedName name="_COL14" localSheetId="7">#REF!</definedName>
    <definedName name="_COL14">#REF!</definedName>
    <definedName name="_COL15" localSheetId="12">#REF!</definedName>
    <definedName name="_COL15" localSheetId="0">#REF!</definedName>
    <definedName name="_COL15" localSheetId="1">#REF!</definedName>
    <definedName name="_COL15" localSheetId="8">#REF!</definedName>
    <definedName name="_COL15" localSheetId="11">#REF!</definedName>
    <definedName name="_COL15" localSheetId="9">#REF!</definedName>
    <definedName name="_COL15" localSheetId="18">#REF!</definedName>
    <definedName name="_COL15" localSheetId="15">#REF!</definedName>
    <definedName name="_COL15" localSheetId="7">#REF!</definedName>
    <definedName name="_COL15">#REF!</definedName>
    <definedName name="_COL16" localSheetId="12">#REF!</definedName>
    <definedName name="_COL16" localSheetId="0">#REF!</definedName>
    <definedName name="_COL16" localSheetId="1">#REF!</definedName>
    <definedName name="_COL16" localSheetId="8">#REF!</definedName>
    <definedName name="_COL16" localSheetId="11">#REF!</definedName>
    <definedName name="_COL16" localSheetId="9">#REF!</definedName>
    <definedName name="_COL16" localSheetId="18">#REF!</definedName>
    <definedName name="_COL16" localSheetId="15">#REF!</definedName>
    <definedName name="_COL16" localSheetId="7">#REF!</definedName>
    <definedName name="_COL16">#REF!</definedName>
    <definedName name="_dim4" localSheetId="12">#REF!</definedName>
    <definedName name="_dim4" localSheetId="0">#REF!</definedName>
    <definedName name="_dim4" localSheetId="1">#REF!</definedName>
    <definedName name="_dim4" localSheetId="8">#REF!</definedName>
    <definedName name="_dim4" localSheetId="11">#REF!</definedName>
    <definedName name="_dim4" localSheetId="9">#REF!</definedName>
    <definedName name="_dim4" localSheetId="18">#REF!</definedName>
    <definedName name="_dim4" localSheetId="15">#REF!</definedName>
    <definedName name="_dim4" localSheetId="7">#REF!</definedName>
    <definedName name="_dim4">#REF!</definedName>
    <definedName name="_dk1" localSheetId="12" hidden="1">{#N/A,#N/A,FALSE,"COVER.XLS";#N/A,#N/A,FALSE,"RACT1.XLS";#N/A,#N/A,FALSE,"RACT2.XLS";#N/A,#N/A,FALSE,"ECCMP";#N/A,#N/A,FALSE,"WELDER.XLS"}</definedName>
    <definedName name="_dk1" localSheetId="6" hidden="1">{#N/A,#N/A,FALSE,"COVER.XLS";#N/A,#N/A,FALSE,"RACT1.XLS";#N/A,#N/A,FALSE,"RACT2.XLS";#N/A,#N/A,FALSE,"ECCMP";#N/A,#N/A,FALSE,"WELDER.XLS"}</definedName>
    <definedName name="_dk1" localSheetId="5" hidden="1">{#N/A,#N/A,FALSE,"COVER.XLS";#N/A,#N/A,FALSE,"RACT1.XLS";#N/A,#N/A,FALSE,"RACT2.XLS";#N/A,#N/A,FALSE,"ECCMP";#N/A,#N/A,FALSE,"WELDER.XLS"}</definedName>
    <definedName name="_dk1" localSheetId="8" hidden="1">{#N/A,#N/A,FALSE,"COVER.XLS";#N/A,#N/A,FALSE,"RACT1.XLS";#N/A,#N/A,FALSE,"RACT2.XLS";#N/A,#N/A,FALSE,"ECCMP";#N/A,#N/A,FALSE,"WELDER.XLS"}</definedName>
    <definedName name="_dk1" localSheetId="11" hidden="1">{#N/A,#N/A,FALSE,"COVER.XLS";#N/A,#N/A,FALSE,"RACT1.XLS";#N/A,#N/A,FALSE,"RACT2.XLS";#N/A,#N/A,FALSE,"ECCMP";#N/A,#N/A,FALSE,"WELDER.XLS"}</definedName>
    <definedName name="_dk1" localSheetId="9" hidden="1">{#N/A,#N/A,FALSE,"COVER.XLS";#N/A,#N/A,FALSE,"RACT1.XLS";#N/A,#N/A,FALSE,"RACT2.XLS";#N/A,#N/A,FALSE,"ECCMP";#N/A,#N/A,FALSE,"WELDER.XLS"}</definedName>
    <definedName name="_dk1" localSheetId="13" hidden="1">{#N/A,#N/A,FALSE,"COVER.XLS";#N/A,#N/A,FALSE,"RACT1.XLS";#N/A,#N/A,FALSE,"RACT2.XLS";#N/A,#N/A,FALSE,"ECCMP";#N/A,#N/A,FALSE,"WELDER.XLS"}</definedName>
    <definedName name="_dk1" localSheetId="18" hidden="1">{#N/A,#N/A,FALSE,"COVER.XLS";#N/A,#N/A,FALSE,"RACT1.XLS";#N/A,#N/A,FALSE,"RACT2.XLS";#N/A,#N/A,FALSE,"ECCMP";#N/A,#N/A,FALSE,"WELDER.XLS"}</definedName>
    <definedName name="_dk1" localSheetId="15" hidden="1">{#N/A,#N/A,FALSE,"COVER.XLS";#N/A,#N/A,FALSE,"RACT1.XLS";#N/A,#N/A,FALSE,"RACT2.XLS";#N/A,#N/A,FALSE,"ECCMP";#N/A,#N/A,FALSE,"WELDER.XLS"}</definedName>
    <definedName name="_dk1" localSheetId="7" hidden="1">{#N/A,#N/A,FALSE,"COVER.XLS";#N/A,#N/A,FALSE,"RACT1.XLS";#N/A,#N/A,FALSE,"RACT2.XLS";#N/A,#N/A,FALSE,"ECCMP";#N/A,#N/A,FALSE,"WELDER.XLS"}</definedName>
    <definedName name="_dk1" hidden="1">{#N/A,#N/A,FALSE,"COVER.XLS";#N/A,#N/A,FALSE,"RACT1.XLS";#N/A,#N/A,FALSE,"RACT2.XLS";#N/A,#N/A,FALSE,"ECCMP";#N/A,#N/A,FALSE,"WELDER.XLS"}</definedName>
    <definedName name="_exc1" localSheetId="12">#REF!</definedName>
    <definedName name="_exc1" localSheetId="0">#REF!</definedName>
    <definedName name="_exc1" localSheetId="1">#REF!</definedName>
    <definedName name="_exc1" localSheetId="6">#REF!</definedName>
    <definedName name="_exc1" localSheetId="5">#REF!</definedName>
    <definedName name="_exc1" localSheetId="8">#REF!</definedName>
    <definedName name="_exc1" localSheetId="11">#REF!</definedName>
    <definedName name="_exc1" localSheetId="9">#REF!</definedName>
    <definedName name="_exc1" localSheetId="18">#REF!</definedName>
    <definedName name="_exc1" localSheetId="15">#REF!</definedName>
    <definedName name="_exc1" localSheetId="7">#REF!</definedName>
    <definedName name="_exc1">#REF!</definedName>
    <definedName name="_exc11" localSheetId="12">#REF!</definedName>
    <definedName name="_exc11" localSheetId="0">#REF!</definedName>
    <definedName name="_exc11" localSheetId="1">#REF!</definedName>
    <definedName name="_exc11" localSheetId="8">#REF!</definedName>
    <definedName name="_exc11" localSheetId="11">#REF!</definedName>
    <definedName name="_exc11" localSheetId="9">#REF!</definedName>
    <definedName name="_exc11" localSheetId="18">#REF!</definedName>
    <definedName name="_exc11" localSheetId="15">#REF!</definedName>
    <definedName name="_exc11" localSheetId="7">#REF!</definedName>
    <definedName name="_exc11">#REF!</definedName>
    <definedName name="_exc2" localSheetId="12">#REF!</definedName>
    <definedName name="_exc2" localSheetId="0">#REF!</definedName>
    <definedName name="_exc2" localSheetId="1">#REF!</definedName>
    <definedName name="_exc2" localSheetId="8">#REF!</definedName>
    <definedName name="_exc2" localSheetId="11">#REF!</definedName>
    <definedName name="_exc2" localSheetId="9">#REF!</definedName>
    <definedName name="_exc2" localSheetId="18">#REF!</definedName>
    <definedName name="_exc2" localSheetId="15">#REF!</definedName>
    <definedName name="_exc2" localSheetId="7">#REF!</definedName>
    <definedName name="_exc2">#REF!</definedName>
    <definedName name="_EXC3" localSheetId="12">#REF!</definedName>
    <definedName name="_EXC3" localSheetId="0">#REF!</definedName>
    <definedName name="_EXC3" localSheetId="1">#REF!</definedName>
    <definedName name="_EXC3" localSheetId="8">#REF!</definedName>
    <definedName name="_EXC3" localSheetId="11">#REF!</definedName>
    <definedName name="_EXC3" localSheetId="9">#REF!</definedName>
    <definedName name="_EXC3" localSheetId="18">#REF!</definedName>
    <definedName name="_EXC3" localSheetId="15">#REF!</definedName>
    <definedName name="_EXC3" localSheetId="7">#REF!</definedName>
    <definedName name="_EXC3">#REF!</definedName>
    <definedName name="_EXC4" localSheetId="12">#REF!</definedName>
    <definedName name="_EXC4" localSheetId="0">#REF!</definedName>
    <definedName name="_EXC4" localSheetId="1">#REF!</definedName>
    <definedName name="_EXC4" localSheetId="8">#REF!</definedName>
    <definedName name="_EXC4" localSheetId="11">#REF!</definedName>
    <definedName name="_EXC4" localSheetId="9">#REF!</definedName>
    <definedName name="_EXC4" localSheetId="18">#REF!</definedName>
    <definedName name="_EXC4" localSheetId="15">#REF!</definedName>
    <definedName name="_EXC4" localSheetId="7">#REF!</definedName>
    <definedName name="_EXC4">#REF!</definedName>
    <definedName name="_Fill" localSheetId="12">#REF!</definedName>
    <definedName name="_Fill" localSheetId="0">#REF!</definedName>
    <definedName name="_Fill" localSheetId="1">#REF!</definedName>
    <definedName name="_Fill" localSheetId="8">#REF!</definedName>
    <definedName name="_Fill" localSheetId="11">#REF!</definedName>
    <definedName name="_Fill" localSheetId="9">#REF!</definedName>
    <definedName name="_Fill" localSheetId="18">#REF!</definedName>
    <definedName name="_Fill" localSheetId="15">#REF!</definedName>
    <definedName name="_Fill" localSheetId="7">#REF!</definedName>
    <definedName name="_Fill">#REF!</definedName>
    <definedName name="_Fill1" localSheetId="12" hidden="1">#REF!</definedName>
    <definedName name="_Fill1" localSheetId="8" hidden="1">#REF!</definedName>
    <definedName name="_Fill1" localSheetId="11" hidden="1">#REF!</definedName>
    <definedName name="_Fill1" localSheetId="9" hidden="1">#REF!</definedName>
    <definedName name="_Fill1" localSheetId="18" hidden="1">#REF!</definedName>
    <definedName name="_Fill1" localSheetId="15" hidden="1">#REF!</definedName>
    <definedName name="_Fill1" localSheetId="7" hidden="1">#REF!</definedName>
    <definedName name="_Fill1" hidden="1">#REF!</definedName>
    <definedName name="_xlnm._FilterDatabase" localSheetId="12" hidden="1">#REF!</definedName>
    <definedName name="_xlnm._FilterDatabase" localSheetId="33" hidden="1">'Concrete &amp; Steel Summary'!$A$64:$P$80</definedName>
    <definedName name="_xlnm._FilterDatabase" localSheetId="6" hidden="1">#REF!</definedName>
    <definedName name="_xlnm._FilterDatabase" localSheetId="5" hidden="1">#REF!</definedName>
    <definedName name="_xlnm._FilterDatabase" localSheetId="8" hidden="1">#REF!</definedName>
    <definedName name="_xlnm._FilterDatabase" localSheetId="11" hidden="1">#REF!</definedName>
    <definedName name="_xlnm._FilterDatabase" localSheetId="16" hidden="1">'Internal Finishes Flats'!$R$1:$R$2083</definedName>
    <definedName name="_xlnm._FilterDatabase" localSheetId="14" hidden="1">'Internal Finishes Offices'!$R$1:$R$124</definedName>
    <definedName name="_xlnm._FilterDatabase" localSheetId="32" hidden="1">'Measurement Sheet'!$B$50:$B$93</definedName>
    <definedName name="_xlnm._FilterDatabase" localSheetId="9" hidden="1">#REF!</definedName>
    <definedName name="_xlnm._FilterDatabase" localSheetId="13" hidden="1">#REF!</definedName>
    <definedName name="_xlnm._FilterDatabase" localSheetId="18" hidden="1">'Rate List - Flats'!$B$3:$B$279</definedName>
    <definedName name="_xlnm._FilterDatabase" localSheetId="15" hidden="1">'Rate List - Office'!$B$3:$B$69</definedName>
    <definedName name="_xlnm._FilterDatabase" localSheetId="7" hidden="1">#REF!</definedName>
    <definedName name="_xlnm._FilterDatabase" localSheetId="10" hidden="1">Waterproofing!$A$115:$O$141</definedName>
    <definedName name="_xlnm._FilterDatabase" hidden="1">#REF!</definedName>
    <definedName name="_FIT1" localSheetId="12">#REF!</definedName>
    <definedName name="_FIT1" localSheetId="6">#REF!</definedName>
    <definedName name="_FIT1" localSheetId="5">#REF!</definedName>
    <definedName name="_FIT1" localSheetId="8">#REF!</definedName>
    <definedName name="_FIT1" localSheetId="11">#REF!</definedName>
    <definedName name="_FIT1" localSheetId="9">#REF!</definedName>
    <definedName name="_FIT1" localSheetId="18">#REF!</definedName>
    <definedName name="_FIT1" localSheetId="15">#REF!</definedName>
    <definedName name="_FIT1" localSheetId="7">#REF!</definedName>
    <definedName name="_FIT1">#REF!</definedName>
    <definedName name="_FIT2" localSheetId="12">#REF!</definedName>
    <definedName name="_FIT2" localSheetId="6">#REF!</definedName>
    <definedName name="_FIT2" localSheetId="5">#REF!</definedName>
    <definedName name="_FIT2" localSheetId="8">#REF!</definedName>
    <definedName name="_FIT2" localSheetId="11">#REF!</definedName>
    <definedName name="_FIT2" localSheetId="9">#REF!</definedName>
    <definedName name="_FIT2" localSheetId="18">#REF!</definedName>
    <definedName name="_FIT2" localSheetId="15">#REF!</definedName>
    <definedName name="_FIT2" localSheetId="7">#REF!</definedName>
    <definedName name="_FIT2">#REF!</definedName>
    <definedName name="_flx200" localSheetId="12">#REF!</definedName>
    <definedName name="_flx200" localSheetId="8">#REF!</definedName>
    <definedName name="_flx200" localSheetId="11">#REF!</definedName>
    <definedName name="_flx200" localSheetId="9">#REF!</definedName>
    <definedName name="_flx200" localSheetId="18">#REF!</definedName>
    <definedName name="_flx200" localSheetId="15">#REF!</definedName>
    <definedName name="_flx200" localSheetId="7">#REF!</definedName>
    <definedName name="_flx200">#REF!</definedName>
    <definedName name="_flx250" localSheetId="12">#REF!</definedName>
    <definedName name="_flx250" localSheetId="8">#REF!</definedName>
    <definedName name="_flx250" localSheetId="11">#REF!</definedName>
    <definedName name="_flx250" localSheetId="9">#REF!</definedName>
    <definedName name="_flx250" localSheetId="18">#REF!</definedName>
    <definedName name="_flx250" localSheetId="15">#REF!</definedName>
    <definedName name="_flx250" localSheetId="7">#REF!</definedName>
    <definedName name="_flx250">#REF!</definedName>
    <definedName name="_flx300" localSheetId="12">#REF!</definedName>
    <definedName name="_flx300" localSheetId="8">#REF!</definedName>
    <definedName name="_flx300" localSheetId="11">#REF!</definedName>
    <definedName name="_flx300" localSheetId="9">#REF!</definedName>
    <definedName name="_flx300" localSheetId="18">#REF!</definedName>
    <definedName name="_flx300" localSheetId="15">#REF!</definedName>
    <definedName name="_flx300" localSheetId="7">#REF!</definedName>
    <definedName name="_flx300">#REF!</definedName>
    <definedName name="_foo1" localSheetId="12">#REF!</definedName>
    <definedName name="_foo1" localSheetId="0">#REF!</definedName>
    <definedName name="_foo1" localSheetId="1">#REF!</definedName>
    <definedName name="_foo1" localSheetId="6">#REF!</definedName>
    <definedName name="_foo1" localSheetId="5">#REF!</definedName>
    <definedName name="_foo1" localSheetId="8">#REF!</definedName>
    <definedName name="_foo1" localSheetId="11">#REF!</definedName>
    <definedName name="_foo1" localSheetId="9">#REF!</definedName>
    <definedName name="_foo1" localSheetId="13">#REF!</definedName>
    <definedName name="_foo1" localSheetId="18">#REF!</definedName>
    <definedName name="_foo1" localSheetId="15">#REF!</definedName>
    <definedName name="_foo1" localSheetId="7">#REF!</definedName>
    <definedName name="_foo1">#REF!</definedName>
    <definedName name="_foo2" localSheetId="12">#REF!</definedName>
    <definedName name="_foo2" localSheetId="0">#REF!</definedName>
    <definedName name="_foo2" localSheetId="1">#REF!</definedName>
    <definedName name="_foo2" localSheetId="6">#REF!</definedName>
    <definedName name="_foo2" localSheetId="5">#REF!</definedName>
    <definedName name="_foo2" localSheetId="8">#REF!</definedName>
    <definedName name="_foo2" localSheetId="11">#REF!</definedName>
    <definedName name="_foo2" localSheetId="9">#REF!</definedName>
    <definedName name="_foo2" localSheetId="18">#REF!</definedName>
    <definedName name="_foo2" localSheetId="15">#REF!</definedName>
    <definedName name="_foo2" localSheetId="7">#REF!</definedName>
    <definedName name="_foo2">#REF!</definedName>
    <definedName name="_foo3" localSheetId="12">#REF!</definedName>
    <definedName name="_foo3" localSheetId="0">#REF!</definedName>
    <definedName name="_foo3" localSheetId="1">#REF!</definedName>
    <definedName name="_foo3" localSheetId="8">#REF!</definedName>
    <definedName name="_foo3" localSheetId="11">#REF!</definedName>
    <definedName name="_foo3" localSheetId="9">#REF!</definedName>
    <definedName name="_foo3" localSheetId="18">#REF!</definedName>
    <definedName name="_foo3" localSheetId="15">#REF!</definedName>
    <definedName name="_foo3" localSheetId="7">#REF!</definedName>
    <definedName name="_foo3">#REF!</definedName>
    <definedName name="_FOO4" localSheetId="12">#REF!</definedName>
    <definedName name="_FOO4" localSheetId="0">#REF!</definedName>
    <definedName name="_FOO4" localSheetId="1">#REF!</definedName>
    <definedName name="_FOO4" localSheetId="8">#REF!</definedName>
    <definedName name="_FOO4" localSheetId="11">#REF!</definedName>
    <definedName name="_FOO4" localSheetId="9">#REF!</definedName>
    <definedName name="_FOO4" localSheetId="18">#REF!</definedName>
    <definedName name="_FOO4" localSheetId="15">#REF!</definedName>
    <definedName name="_FOO4" localSheetId="7">#REF!</definedName>
    <definedName name="_FOO4">#REF!</definedName>
    <definedName name="_hp10" localSheetId="12" hidden="1">{#N/A,#N/A,TRUE,"Front";#N/A,#N/A,TRUE,"Simple Letter";#N/A,#N/A,TRUE,"Inside";#N/A,#N/A,TRUE,"Contents";#N/A,#N/A,TRUE,"Basis";#N/A,#N/A,TRUE,"Inclusions";#N/A,#N/A,TRUE,"Exclusions";#N/A,#N/A,TRUE,"Areas";#N/A,#N/A,TRUE,"Summary";#N/A,#N/A,TRUE,"Detail"}</definedName>
    <definedName name="_hp10" localSheetId="6" hidden="1">{#N/A,#N/A,TRUE,"Front";#N/A,#N/A,TRUE,"Simple Letter";#N/A,#N/A,TRUE,"Inside";#N/A,#N/A,TRUE,"Contents";#N/A,#N/A,TRUE,"Basis";#N/A,#N/A,TRUE,"Inclusions";#N/A,#N/A,TRUE,"Exclusions";#N/A,#N/A,TRUE,"Areas";#N/A,#N/A,TRUE,"Summary";#N/A,#N/A,TRUE,"Detail"}</definedName>
    <definedName name="_hp10" localSheetId="5" hidden="1">{#N/A,#N/A,TRUE,"Front";#N/A,#N/A,TRUE,"Simple Letter";#N/A,#N/A,TRUE,"Inside";#N/A,#N/A,TRUE,"Contents";#N/A,#N/A,TRUE,"Basis";#N/A,#N/A,TRUE,"Inclusions";#N/A,#N/A,TRUE,"Exclusions";#N/A,#N/A,TRUE,"Areas";#N/A,#N/A,TRUE,"Summary";#N/A,#N/A,TRUE,"Detail"}</definedName>
    <definedName name="_hp10" localSheetId="8" hidden="1">{#N/A,#N/A,TRUE,"Front";#N/A,#N/A,TRUE,"Simple Letter";#N/A,#N/A,TRUE,"Inside";#N/A,#N/A,TRUE,"Contents";#N/A,#N/A,TRUE,"Basis";#N/A,#N/A,TRUE,"Inclusions";#N/A,#N/A,TRUE,"Exclusions";#N/A,#N/A,TRUE,"Areas";#N/A,#N/A,TRUE,"Summary";#N/A,#N/A,TRUE,"Detail"}</definedName>
    <definedName name="_hp10" localSheetId="11" hidden="1">{#N/A,#N/A,TRUE,"Front";#N/A,#N/A,TRUE,"Simple Letter";#N/A,#N/A,TRUE,"Inside";#N/A,#N/A,TRUE,"Contents";#N/A,#N/A,TRUE,"Basis";#N/A,#N/A,TRUE,"Inclusions";#N/A,#N/A,TRUE,"Exclusions";#N/A,#N/A,TRUE,"Areas";#N/A,#N/A,TRUE,"Summary";#N/A,#N/A,TRUE,"Detail"}</definedName>
    <definedName name="_hp10" localSheetId="9" hidden="1">{#N/A,#N/A,TRUE,"Front";#N/A,#N/A,TRUE,"Simple Letter";#N/A,#N/A,TRUE,"Inside";#N/A,#N/A,TRUE,"Contents";#N/A,#N/A,TRUE,"Basis";#N/A,#N/A,TRUE,"Inclusions";#N/A,#N/A,TRUE,"Exclusions";#N/A,#N/A,TRUE,"Areas";#N/A,#N/A,TRUE,"Summary";#N/A,#N/A,TRUE,"Detail"}</definedName>
    <definedName name="_hp10" localSheetId="13" hidden="1">{#N/A,#N/A,TRUE,"Front";#N/A,#N/A,TRUE,"Simple Letter";#N/A,#N/A,TRUE,"Inside";#N/A,#N/A,TRUE,"Contents";#N/A,#N/A,TRUE,"Basis";#N/A,#N/A,TRUE,"Inclusions";#N/A,#N/A,TRUE,"Exclusions";#N/A,#N/A,TRUE,"Areas";#N/A,#N/A,TRUE,"Summary";#N/A,#N/A,TRUE,"Detail"}</definedName>
    <definedName name="_hp10" localSheetId="18" hidden="1">{#N/A,#N/A,TRUE,"Front";#N/A,#N/A,TRUE,"Simple Letter";#N/A,#N/A,TRUE,"Inside";#N/A,#N/A,TRUE,"Contents";#N/A,#N/A,TRUE,"Basis";#N/A,#N/A,TRUE,"Inclusions";#N/A,#N/A,TRUE,"Exclusions";#N/A,#N/A,TRUE,"Areas";#N/A,#N/A,TRUE,"Summary";#N/A,#N/A,TRUE,"Detail"}</definedName>
    <definedName name="_hp10" localSheetId="15" hidden="1">{#N/A,#N/A,TRUE,"Front";#N/A,#N/A,TRUE,"Simple Letter";#N/A,#N/A,TRUE,"Inside";#N/A,#N/A,TRUE,"Contents";#N/A,#N/A,TRUE,"Basis";#N/A,#N/A,TRUE,"Inclusions";#N/A,#N/A,TRUE,"Exclusions";#N/A,#N/A,TRUE,"Areas";#N/A,#N/A,TRUE,"Summary";#N/A,#N/A,TRUE,"Detail"}</definedName>
    <definedName name="_hp10" localSheetId="7" hidden="1">{#N/A,#N/A,TRUE,"Front";#N/A,#N/A,TRUE,"Simple Letter";#N/A,#N/A,TRUE,"Inside";#N/A,#N/A,TRUE,"Contents";#N/A,#N/A,TRUE,"Basis";#N/A,#N/A,TRUE,"Inclusions";#N/A,#N/A,TRUE,"Exclusions";#N/A,#N/A,TRUE,"Areas";#N/A,#N/A,TRUE,"Summary";#N/A,#N/A,TRUE,"Detail"}</definedName>
    <definedName name="_hp10" hidden="1">{#N/A,#N/A,TRUE,"Front";#N/A,#N/A,TRUE,"Simple Letter";#N/A,#N/A,TRUE,"Inside";#N/A,#N/A,TRUE,"Contents";#N/A,#N/A,TRUE,"Basis";#N/A,#N/A,TRUE,"Inclusions";#N/A,#N/A,TRUE,"Exclusions";#N/A,#N/A,TRUE,"Areas";#N/A,#N/A,TRUE,"Summary";#N/A,#N/A,TRUE,"Detail"}</definedName>
    <definedName name="_ind1" localSheetId="12">#REF!</definedName>
    <definedName name="_ind1" localSheetId="0">#REF!</definedName>
    <definedName name="_ind1" localSheetId="1">#REF!</definedName>
    <definedName name="_ind1" localSheetId="6">#REF!</definedName>
    <definedName name="_ind1" localSheetId="5">#REF!</definedName>
    <definedName name="_ind1" localSheetId="8">#REF!</definedName>
    <definedName name="_ind1" localSheetId="11">#REF!</definedName>
    <definedName name="_ind1" localSheetId="9">#REF!</definedName>
    <definedName name="_ind1" localSheetId="18">#REF!</definedName>
    <definedName name="_ind1" localSheetId="15">#REF!</definedName>
    <definedName name="_ind1" localSheetId="7">#REF!</definedName>
    <definedName name="_ind1">#REF!</definedName>
    <definedName name="_IND11" localSheetId="12">#REF!</definedName>
    <definedName name="_IND11" localSheetId="0">#REF!</definedName>
    <definedName name="_IND11" localSheetId="1">#REF!</definedName>
    <definedName name="_IND11" localSheetId="8">#REF!</definedName>
    <definedName name="_IND11" localSheetId="11">#REF!</definedName>
    <definedName name="_IND11" localSheetId="9">#REF!</definedName>
    <definedName name="_IND11" localSheetId="18">#REF!</definedName>
    <definedName name="_IND11" localSheetId="15">#REF!</definedName>
    <definedName name="_IND11" localSheetId="7">#REF!</definedName>
    <definedName name="_IND11">#REF!</definedName>
    <definedName name="_IND31" localSheetId="12">#REF!</definedName>
    <definedName name="_IND31" localSheetId="0">#REF!</definedName>
    <definedName name="_IND31" localSheetId="1">#REF!</definedName>
    <definedName name="_IND31" localSheetId="8">#REF!</definedName>
    <definedName name="_IND31" localSheetId="11">#REF!</definedName>
    <definedName name="_IND31" localSheetId="9">#REF!</definedName>
    <definedName name="_IND31" localSheetId="18">#REF!</definedName>
    <definedName name="_IND31" localSheetId="15">#REF!</definedName>
    <definedName name="_IND31" localSheetId="7">#REF!</definedName>
    <definedName name="_IND31">#REF!</definedName>
    <definedName name="_IV65700" localSheetId="12">#REF!</definedName>
    <definedName name="_IV65700" localSheetId="8">#REF!</definedName>
    <definedName name="_IV65700" localSheetId="11">#REF!</definedName>
    <definedName name="_IV65700" localSheetId="9">#REF!</definedName>
    <definedName name="_IV65700" localSheetId="18">#REF!</definedName>
    <definedName name="_IV65700" localSheetId="15">#REF!</definedName>
    <definedName name="_IV65700" localSheetId="7">#REF!</definedName>
    <definedName name="_IV65700">#REF!</definedName>
    <definedName name="_IV66000" localSheetId="12">#REF!</definedName>
    <definedName name="_IV66000" localSheetId="8">#REF!</definedName>
    <definedName name="_IV66000" localSheetId="11">#REF!</definedName>
    <definedName name="_IV66000" localSheetId="9">#REF!</definedName>
    <definedName name="_IV66000" localSheetId="18">#REF!</definedName>
    <definedName name="_IV66000" localSheetId="15">#REF!</definedName>
    <definedName name="_IV66000" localSheetId="7">#REF!</definedName>
    <definedName name="_IV66000">#REF!</definedName>
    <definedName name="_IV67000" localSheetId="12">#REF!</definedName>
    <definedName name="_IV67000" localSheetId="8">#REF!</definedName>
    <definedName name="_IV67000" localSheetId="11">#REF!</definedName>
    <definedName name="_IV67000" localSheetId="9">#REF!</definedName>
    <definedName name="_IV67000" localSheetId="18">#REF!</definedName>
    <definedName name="_IV67000" localSheetId="15">#REF!</definedName>
    <definedName name="_IV67000" localSheetId="7">#REF!</definedName>
    <definedName name="_IV67000">#REF!</definedName>
    <definedName name="_IV70000" localSheetId="12">#REF!</definedName>
    <definedName name="_IV70000" localSheetId="8">#REF!</definedName>
    <definedName name="_IV70000" localSheetId="11">#REF!</definedName>
    <definedName name="_IV70000" localSheetId="9">#REF!</definedName>
    <definedName name="_IV70000" localSheetId="18">#REF!</definedName>
    <definedName name="_IV70000" localSheetId="15">#REF!</definedName>
    <definedName name="_IV70000" localSheetId="7">#REF!</definedName>
    <definedName name="_IV70000">#REF!</definedName>
    <definedName name="_IV99999" localSheetId="12">#REF!</definedName>
    <definedName name="_IV99999" localSheetId="8">#REF!</definedName>
    <definedName name="_IV99999" localSheetId="11">#REF!</definedName>
    <definedName name="_IV99999" localSheetId="9">#REF!</definedName>
    <definedName name="_IV99999" localSheetId="18">#REF!</definedName>
    <definedName name="_IV99999" localSheetId="15">#REF!</definedName>
    <definedName name="_IV99999" localSheetId="7">#REF!</definedName>
    <definedName name="_IV99999">#REF!</definedName>
    <definedName name="_K85167" localSheetId="12">#REF!</definedName>
    <definedName name="_K85167" localSheetId="8">#REF!</definedName>
    <definedName name="_K85167" localSheetId="11">#REF!</definedName>
    <definedName name="_K85167" localSheetId="9">#REF!</definedName>
    <definedName name="_K85167" localSheetId="18">#REF!</definedName>
    <definedName name="_K85167" localSheetId="15">#REF!</definedName>
    <definedName name="_K85167" localSheetId="7">#REF!</definedName>
    <definedName name="_K85167">#REF!</definedName>
    <definedName name="_Key1" localSheetId="12" hidden="1">#REF!</definedName>
    <definedName name="_Key1" localSheetId="8" hidden="1">#REF!</definedName>
    <definedName name="_Key1" localSheetId="11" hidden="1">#REF!</definedName>
    <definedName name="_Key1" localSheetId="9" hidden="1">#REF!</definedName>
    <definedName name="_Key1" localSheetId="18" hidden="1">#REF!</definedName>
    <definedName name="_Key1" localSheetId="15" hidden="1">#REF!</definedName>
    <definedName name="_Key1" localSheetId="7" hidden="1">#REF!</definedName>
    <definedName name="_Key1" hidden="1">#REF!</definedName>
    <definedName name="_Ki1" localSheetId="12">#REF!</definedName>
    <definedName name="_Ki1" localSheetId="8">#REF!</definedName>
    <definedName name="_Ki1" localSheetId="11">#REF!</definedName>
    <definedName name="_Ki1" localSheetId="9">#REF!</definedName>
    <definedName name="_Ki1" localSheetId="18">#REF!</definedName>
    <definedName name="_Ki1" localSheetId="15">#REF!</definedName>
    <definedName name="_Ki1" localSheetId="7">#REF!</definedName>
    <definedName name="_Ki1">#REF!</definedName>
    <definedName name="_Ki2" localSheetId="12">#REF!</definedName>
    <definedName name="_Ki2" localSheetId="8">#REF!</definedName>
    <definedName name="_Ki2" localSheetId="11">#REF!</definedName>
    <definedName name="_Ki2" localSheetId="9">#REF!</definedName>
    <definedName name="_Ki2" localSheetId="18">#REF!</definedName>
    <definedName name="_Ki2" localSheetId="15">#REF!</definedName>
    <definedName name="_Ki2" localSheetId="7">#REF!</definedName>
    <definedName name="_Ki2">#REF!</definedName>
    <definedName name="_kvs1" localSheetId="12" hidden="1">{#N/A,#N/A,FALSE,"COVER1.XLS ";#N/A,#N/A,FALSE,"RACT1.XLS";#N/A,#N/A,FALSE,"RACT2.XLS";#N/A,#N/A,FALSE,"ECCMP";#N/A,#N/A,FALSE,"WELDER.XLS"}</definedName>
    <definedName name="_kvs1" localSheetId="6" hidden="1">{#N/A,#N/A,FALSE,"COVER1.XLS ";#N/A,#N/A,FALSE,"RACT1.XLS";#N/A,#N/A,FALSE,"RACT2.XLS";#N/A,#N/A,FALSE,"ECCMP";#N/A,#N/A,FALSE,"WELDER.XLS"}</definedName>
    <definedName name="_kvs1" localSheetId="5" hidden="1">{#N/A,#N/A,FALSE,"COVER1.XLS ";#N/A,#N/A,FALSE,"RACT1.XLS";#N/A,#N/A,FALSE,"RACT2.XLS";#N/A,#N/A,FALSE,"ECCMP";#N/A,#N/A,FALSE,"WELDER.XLS"}</definedName>
    <definedName name="_kvs1" localSheetId="8" hidden="1">{#N/A,#N/A,FALSE,"COVER1.XLS ";#N/A,#N/A,FALSE,"RACT1.XLS";#N/A,#N/A,FALSE,"RACT2.XLS";#N/A,#N/A,FALSE,"ECCMP";#N/A,#N/A,FALSE,"WELDER.XLS"}</definedName>
    <definedName name="_kvs1" localSheetId="11" hidden="1">{#N/A,#N/A,FALSE,"COVER1.XLS ";#N/A,#N/A,FALSE,"RACT1.XLS";#N/A,#N/A,FALSE,"RACT2.XLS";#N/A,#N/A,FALSE,"ECCMP";#N/A,#N/A,FALSE,"WELDER.XLS"}</definedName>
    <definedName name="_kvs1" localSheetId="9" hidden="1">{#N/A,#N/A,FALSE,"COVER1.XLS ";#N/A,#N/A,FALSE,"RACT1.XLS";#N/A,#N/A,FALSE,"RACT2.XLS";#N/A,#N/A,FALSE,"ECCMP";#N/A,#N/A,FALSE,"WELDER.XLS"}</definedName>
    <definedName name="_kvs1" localSheetId="13" hidden="1">{#N/A,#N/A,FALSE,"COVER1.XLS ";#N/A,#N/A,FALSE,"RACT1.XLS";#N/A,#N/A,FALSE,"RACT2.XLS";#N/A,#N/A,FALSE,"ECCMP";#N/A,#N/A,FALSE,"WELDER.XLS"}</definedName>
    <definedName name="_kvs1" localSheetId="18" hidden="1">{#N/A,#N/A,FALSE,"COVER1.XLS ";#N/A,#N/A,FALSE,"RACT1.XLS";#N/A,#N/A,FALSE,"RACT2.XLS";#N/A,#N/A,FALSE,"ECCMP";#N/A,#N/A,FALSE,"WELDER.XLS"}</definedName>
    <definedName name="_kvs1" localSheetId="15" hidden="1">{#N/A,#N/A,FALSE,"COVER1.XLS ";#N/A,#N/A,FALSE,"RACT1.XLS";#N/A,#N/A,FALSE,"RACT2.XLS";#N/A,#N/A,FALSE,"ECCMP";#N/A,#N/A,FALSE,"WELDER.XLS"}</definedName>
    <definedName name="_kvs1" localSheetId="7" hidden="1">{#N/A,#N/A,FALSE,"COVER1.XLS ";#N/A,#N/A,FALSE,"RACT1.XLS";#N/A,#N/A,FALSE,"RACT2.XLS";#N/A,#N/A,FALSE,"ECCMP";#N/A,#N/A,FALSE,"WELDER.XLS"}</definedName>
    <definedName name="_kvs1" hidden="1">{#N/A,#N/A,FALSE,"COVER1.XLS ";#N/A,#N/A,FALSE,"RACT1.XLS";#N/A,#N/A,FALSE,"RACT2.XLS";#N/A,#N/A,FALSE,"ECCMP";#N/A,#N/A,FALSE,"WELDER.XLS"}</definedName>
    <definedName name="_kvs2" localSheetId="12" hidden="1">{#N/A,#N/A,FALSE,"COVER1.XLS ";#N/A,#N/A,FALSE,"RACT1.XLS";#N/A,#N/A,FALSE,"RACT2.XLS";#N/A,#N/A,FALSE,"ECCMP";#N/A,#N/A,FALSE,"WELDER.XLS"}</definedName>
    <definedName name="_kvs2" localSheetId="6" hidden="1">{#N/A,#N/A,FALSE,"COVER1.XLS ";#N/A,#N/A,FALSE,"RACT1.XLS";#N/A,#N/A,FALSE,"RACT2.XLS";#N/A,#N/A,FALSE,"ECCMP";#N/A,#N/A,FALSE,"WELDER.XLS"}</definedName>
    <definedName name="_kvs2" localSheetId="5" hidden="1">{#N/A,#N/A,FALSE,"COVER1.XLS ";#N/A,#N/A,FALSE,"RACT1.XLS";#N/A,#N/A,FALSE,"RACT2.XLS";#N/A,#N/A,FALSE,"ECCMP";#N/A,#N/A,FALSE,"WELDER.XLS"}</definedName>
    <definedName name="_kvs2" localSheetId="8" hidden="1">{#N/A,#N/A,FALSE,"COVER1.XLS ";#N/A,#N/A,FALSE,"RACT1.XLS";#N/A,#N/A,FALSE,"RACT2.XLS";#N/A,#N/A,FALSE,"ECCMP";#N/A,#N/A,FALSE,"WELDER.XLS"}</definedName>
    <definedName name="_kvs2" localSheetId="11" hidden="1">{#N/A,#N/A,FALSE,"COVER1.XLS ";#N/A,#N/A,FALSE,"RACT1.XLS";#N/A,#N/A,FALSE,"RACT2.XLS";#N/A,#N/A,FALSE,"ECCMP";#N/A,#N/A,FALSE,"WELDER.XLS"}</definedName>
    <definedName name="_kvs2" localSheetId="9" hidden="1">{#N/A,#N/A,FALSE,"COVER1.XLS ";#N/A,#N/A,FALSE,"RACT1.XLS";#N/A,#N/A,FALSE,"RACT2.XLS";#N/A,#N/A,FALSE,"ECCMP";#N/A,#N/A,FALSE,"WELDER.XLS"}</definedName>
    <definedName name="_kvs2" localSheetId="13" hidden="1">{#N/A,#N/A,FALSE,"COVER1.XLS ";#N/A,#N/A,FALSE,"RACT1.XLS";#N/A,#N/A,FALSE,"RACT2.XLS";#N/A,#N/A,FALSE,"ECCMP";#N/A,#N/A,FALSE,"WELDER.XLS"}</definedName>
    <definedName name="_kvs2" localSheetId="18" hidden="1">{#N/A,#N/A,FALSE,"COVER1.XLS ";#N/A,#N/A,FALSE,"RACT1.XLS";#N/A,#N/A,FALSE,"RACT2.XLS";#N/A,#N/A,FALSE,"ECCMP";#N/A,#N/A,FALSE,"WELDER.XLS"}</definedName>
    <definedName name="_kvs2" localSheetId="15" hidden="1">{#N/A,#N/A,FALSE,"COVER1.XLS ";#N/A,#N/A,FALSE,"RACT1.XLS";#N/A,#N/A,FALSE,"RACT2.XLS";#N/A,#N/A,FALSE,"ECCMP";#N/A,#N/A,FALSE,"WELDER.XLS"}</definedName>
    <definedName name="_kvs2" localSheetId="7" hidden="1">{#N/A,#N/A,FALSE,"COVER1.XLS ";#N/A,#N/A,FALSE,"RACT1.XLS";#N/A,#N/A,FALSE,"RACT2.XLS";#N/A,#N/A,FALSE,"ECCMP";#N/A,#N/A,FALSE,"WELDER.XLS"}</definedName>
    <definedName name="_kvs2" hidden="1">{#N/A,#N/A,FALSE,"COVER1.XLS ";#N/A,#N/A,FALSE,"RACT1.XLS";#N/A,#N/A,FALSE,"RACT2.XLS";#N/A,#N/A,FALSE,"ECCMP";#N/A,#N/A,FALSE,"WELDER.XLS"}</definedName>
    <definedName name="_kvs5" localSheetId="12" hidden="1">{#N/A,#N/A,FALSE,"COVER.XLS";#N/A,#N/A,FALSE,"RACT1.XLS";#N/A,#N/A,FALSE,"RACT2.XLS";#N/A,#N/A,FALSE,"ECCMP";#N/A,#N/A,FALSE,"WELDER.XLS"}</definedName>
    <definedName name="_kvs5" localSheetId="6" hidden="1">{#N/A,#N/A,FALSE,"COVER.XLS";#N/A,#N/A,FALSE,"RACT1.XLS";#N/A,#N/A,FALSE,"RACT2.XLS";#N/A,#N/A,FALSE,"ECCMP";#N/A,#N/A,FALSE,"WELDER.XLS"}</definedName>
    <definedName name="_kvs5" localSheetId="5" hidden="1">{#N/A,#N/A,FALSE,"COVER.XLS";#N/A,#N/A,FALSE,"RACT1.XLS";#N/A,#N/A,FALSE,"RACT2.XLS";#N/A,#N/A,FALSE,"ECCMP";#N/A,#N/A,FALSE,"WELDER.XLS"}</definedName>
    <definedName name="_kvs5" localSheetId="8" hidden="1">{#N/A,#N/A,FALSE,"COVER.XLS";#N/A,#N/A,FALSE,"RACT1.XLS";#N/A,#N/A,FALSE,"RACT2.XLS";#N/A,#N/A,FALSE,"ECCMP";#N/A,#N/A,FALSE,"WELDER.XLS"}</definedName>
    <definedName name="_kvs5" localSheetId="11" hidden="1">{#N/A,#N/A,FALSE,"COVER.XLS";#N/A,#N/A,FALSE,"RACT1.XLS";#N/A,#N/A,FALSE,"RACT2.XLS";#N/A,#N/A,FALSE,"ECCMP";#N/A,#N/A,FALSE,"WELDER.XLS"}</definedName>
    <definedName name="_kvs5" localSheetId="9" hidden="1">{#N/A,#N/A,FALSE,"COVER.XLS";#N/A,#N/A,FALSE,"RACT1.XLS";#N/A,#N/A,FALSE,"RACT2.XLS";#N/A,#N/A,FALSE,"ECCMP";#N/A,#N/A,FALSE,"WELDER.XLS"}</definedName>
    <definedName name="_kvs5" localSheetId="13" hidden="1">{#N/A,#N/A,FALSE,"COVER.XLS";#N/A,#N/A,FALSE,"RACT1.XLS";#N/A,#N/A,FALSE,"RACT2.XLS";#N/A,#N/A,FALSE,"ECCMP";#N/A,#N/A,FALSE,"WELDER.XLS"}</definedName>
    <definedName name="_kvs5" localSheetId="18" hidden="1">{#N/A,#N/A,FALSE,"COVER.XLS";#N/A,#N/A,FALSE,"RACT1.XLS";#N/A,#N/A,FALSE,"RACT2.XLS";#N/A,#N/A,FALSE,"ECCMP";#N/A,#N/A,FALSE,"WELDER.XLS"}</definedName>
    <definedName name="_kvs5" localSheetId="15" hidden="1">{#N/A,#N/A,FALSE,"COVER.XLS";#N/A,#N/A,FALSE,"RACT1.XLS";#N/A,#N/A,FALSE,"RACT2.XLS";#N/A,#N/A,FALSE,"ECCMP";#N/A,#N/A,FALSE,"WELDER.XLS"}</definedName>
    <definedName name="_kvs5" localSheetId="7" hidden="1">{#N/A,#N/A,FALSE,"COVER.XLS";#N/A,#N/A,FALSE,"RACT1.XLS";#N/A,#N/A,FALSE,"RACT2.XLS";#N/A,#N/A,FALSE,"ECCMP";#N/A,#N/A,FALSE,"WELDER.XLS"}</definedName>
    <definedName name="_kvs5" hidden="1">{#N/A,#N/A,FALSE,"COVER.XLS";#N/A,#N/A,FALSE,"RACT1.XLS";#N/A,#N/A,FALSE,"RACT2.XLS";#N/A,#N/A,FALSE,"ECCMP";#N/A,#N/A,FALSE,"WELDER.XLS"}</definedName>
    <definedName name="_kvs8" localSheetId="12" hidden="1">{#N/A,#N/A,FALSE,"COVER1.XLS ";#N/A,#N/A,FALSE,"RACT1.XLS";#N/A,#N/A,FALSE,"RACT2.XLS";#N/A,#N/A,FALSE,"ECCMP";#N/A,#N/A,FALSE,"WELDER.XLS"}</definedName>
    <definedName name="_kvs8" localSheetId="6" hidden="1">{#N/A,#N/A,FALSE,"COVER1.XLS ";#N/A,#N/A,FALSE,"RACT1.XLS";#N/A,#N/A,FALSE,"RACT2.XLS";#N/A,#N/A,FALSE,"ECCMP";#N/A,#N/A,FALSE,"WELDER.XLS"}</definedName>
    <definedName name="_kvs8" localSheetId="5" hidden="1">{#N/A,#N/A,FALSE,"COVER1.XLS ";#N/A,#N/A,FALSE,"RACT1.XLS";#N/A,#N/A,FALSE,"RACT2.XLS";#N/A,#N/A,FALSE,"ECCMP";#N/A,#N/A,FALSE,"WELDER.XLS"}</definedName>
    <definedName name="_kvs8" localSheetId="8" hidden="1">{#N/A,#N/A,FALSE,"COVER1.XLS ";#N/A,#N/A,FALSE,"RACT1.XLS";#N/A,#N/A,FALSE,"RACT2.XLS";#N/A,#N/A,FALSE,"ECCMP";#N/A,#N/A,FALSE,"WELDER.XLS"}</definedName>
    <definedName name="_kvs8" localSheetId="11" hidden="1">{#N/A,#N/A,FALSE,"COVER1.XLS ";#N/A,#N/A,FALSE,"RACT1.XLS";#N/A,#N/A,FALSE,"RACT2.XLS";#N/A,#N/A,FALSE,"ECCMP";#N/A,#N/A,FALSE,"WELDER.XLS"}</definedName>
    <definedName name="_kvs8" localSheetId="9" hidden="1">{#N/A,#N/A,FALSE,"COVER1.XLS ";#N/A,#N/A,FALSE,"RACT1.XLS";#N/A,#N/A,FALSE,"RACT2.XLS";#N/A,#N/A,FALSE,"ECCMP";#N/A,#N/A,FALSE,"WELDER.XLS"}</definedName>
    <definedName name="_kvs8" localSheetId="13" hidden="1">{#N/A,#N/A,FALSE,"COVER1.XLS ";#N/A,#N/A,FALSE,"RACT1.XLS";#N/A,#N/A,FALSE,"RACT2.XLS";#N/A,#N/A,FALSE,"ECCMP";#N/A,#N/A,FALSE,"WELDER.XLS"}</definedName>
    <definedName name="_kvs8" localSheetId="18" hidden="1">{#N/A,#N/A,FALSE,"COVER1.XLS ";#N/A,#N/A,FALSE,"RACT1.XLS";#N/A,#N/A,FALSE,"RACT2.XLS";#N/A,#N/A,FALSE,"ECCMP";#N/A,#N/A,FALSE,"WELDER.XLS"}</definedName>
    <definedName name="_kvs8" localSheetId="15" hidden="1">{#N/A,#N/A,FALSE,"COVER1.XLS ";#N/A,#N/A,FALSE,"RACT1.XLS";#N/A,#N/A,FALSE,"RACT2.XLS";#N/A,#N/A,FALSE,"ECCMP";#N/A,#N/A,FALSE,"WELDER.XLS"}</definedName>
    <definedName name="_kvs8" localSheetId="7" hidden="1">{#N/A,#N/A,FALSE,"COVER1.XLS ";#N/A,#N/A,FALSE,"RACT1.XLS";#N/A,#N/A,FALSE,"RACT2.XLS";#N/A,#N/A,FALSE,"ECCMP";#N/A,#N/A,FALSE,"WELDER.XLS"}</definedName>
    <definedName name="_kvs8" hidden="1">{#N/A,#N/A,FALSE,"COVER1.XLS ";#N/A,#N/A,FALSE,"RACT1.XLS";#N/A,#N/A,FALSE,"RACT2.XLS";#N/A,#N/A,FALSE,"ECCMP";#N/A,#N/A,FALSE,"WELDER.XLS"}</definedName>
    <definedName name="_lk1"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sc44" localSheetId="12">#REF!</definedName>
    <definedName name="_lsc44" localSheetId="0">#REF!</definedName>
    <definedName name="_lsc44" localSheetId="1">#REF!</definedName>
    <definedName name="_lsc44" localSheetId="6">#REF!</definedName>
    <definedName name="_lsc44" localSheetId="5">#REF!</definedName>
    <definedName name="_lsc44" localSheetId="8">#REF!</definedName>
    <definedName name="_lsc44" localSheetId="11">#REF!</definedName>
    <definedName name="_lsc44" localSheetId="9">#REF!</definedName>
    <definedName name="_lsc44" localSheetId="18">#REF!</definedName>
    <definedName name="_lsc44" localSheetId="15">#REF!</definedName>
    <definedName name="_lsc44" localSheetId="7">#REF!</definedName>
    <definedName name="_lsc44">#REF!</definedName>
    <definedName name="_M100000" localSheetId="12">#REF!</definedName>
    <definedName name="_M100000" localSheetId="6">#REF!</definedName>
    <definedName name="_M100000" localSheetId="5">#REF!</definedName>
    <definedName name="_M100000" localSheetId="8">#REF!</definedName>
    <definedName name="_M100000" localSheetId="11">#REF!</definedName>
    <definedName name="_M100000" localSheetId="9">#REF!</definedName>
    <definedName name="_M100000" localSheetId="18">#REF!</definedName>
    <definedName name="_M100000" localSheetId="15">#REF!</definedName>
    <definedName name="_M100000" localSheetId="7">#REF!</definedName>
    <definedName name="_M100000">#REF!</definedName>
    <definedName name="_MAN1" localSheetId="12">#REF!</definedName>
    <definedName name="_MAN1" localSheetId="8">#REF!</definedName>
    <definedName name="_MAN1" localSheetId="11">#REF!</definedName>
    <definedName name="_MAN1" localSheetId="9">#REF!</definedName>
    <definedName name="_MAN1" localSheetId="18">#REF!</definedName>
    <definedName name="_MAN1" localSheetId="15">#REF!</definedName>
    <definedName name="_MAN1" localSheetId="7">#REF!</definedName>
    <definedName name="_MAN1">#REF!</definedName>
    <definedName name="_mar08" localSheetId="12">#REF!</definedName>
    <definedName name="_mar08" localSheetId="8">#REF!</definedName>
    <definedName name="_mar08" localSheetId="11">#REF!</definedName>
    <definedName name="_mar08" localSheetId="9">#REF!</definedName>
    <definedName name="_mar08" localSheetId="18">#REF!</definedName>
    <definedName name="_mar08" localSheetId="15">#REF!</definedName>
    <definedName name="_mar08" localSheetId="7">#REF!</definedName>
    <definedName name="_mar08">#REF!</definedName>
    <definedName name="_ML1" localSheetId="12">#REF!</definedName>
    <definedName name="_ML1" localSheetId="8">#REF!</definedName>
    <definedName name="_ML1" localSheetId="11">#REF!</definedName>
    <definedName name="_ML1" localSheetId="9">#REF!</definedName>
    <definedName name="_ML1" localSheetId="18">#REF!</definedName>
    <definedName name="_ML1" localSheetId="15">#REF!</definedName>
    <definedName name="_ML1" localSheetId="7">#REF!</definedName>
    <definedName name="_ML1">#REF!</definedName>
    <definedName name="_ML2" localSheetId="12">#REF!</definedName>
    <definedName name="_ML2" localSheetId="8">#REF!</definedName>
    <definedName name="_ML2" localSheetId="11">#REF!</definedName>
    <definedName name="_ML2" localSheetId="9">#REF!</definedName>
    <definedName name="_ML2" localSheetId="18">#REF!</definedName>
    <definedName name="_ML2" localSheetId="15">#REF!</definedName>
    <definedName name="_ML2" localSheetId="7">#REF!</definedName>
    <definedName name="_ML2">#REF!</definedName>
    <definedName name="_mpc2" localSheetId="12" hidden="1">{"PLANT BREAKUP",#N/A,FALSE,"E"}</definedName>
    <definedName name="_mpc2" localSheetId="6" hidden="1">{"PLANT BREAKUP",#N/A,FALSE,"E"}</definedName>
    <definedName name="_mpc2" localSheetId="5" hidden="1">{"PLANT BREAKUP",#N/A,FALSE,"E"}</definedName>
    <definedName name="_mpc2" localSheetId="8" hidden="1">{"PLANT BREAKUP",#N/A,FALSE,"E"}</definedName>
    <definedName name="_mpc2" localSheetId="11" hidden="1">{"PLANT BREAKUP",#N/A,FALSE,"E"}</definedName>
    <definedName name="_mpc2" localSheetId="9" hidden="1">{"PLANT BREAKUP",#N/A,FALSE,"E"}</definedName>
    <definedName name="_mpc2" localSheetId="13" hidden="1">{"PLANT BREAKUP",#N/A,FALSE,"E"}</definedName>
    <definedName name="_mpc2" localSheetId="18" hidden="1">{"PLANT BREAKUP",#N/A,FALSE,"E"}</definedName>
    <definedName name="_mpc2" localSheetId="15" hidden="1">{"PLANT BREAKUP",#N/A,FALSE,"E"}</definedName>
    <definedName name="_mpc2" localSheetId="7" hidden="1">{"PLANT BREAKUP",#N/A,FALSE,"E"}</definedName>
    <definedName name="_mpc2" hidden="1">{"PLANT BREAKUP",#N/A,FALSE,"E"}</definedName>
    <definedName name="_MS2" localSheetId="12">#REF!</definedName>
    <definedName name="_MS2" localSheetId="6">#REF!</definedName>
    <definedName name="_MS2" localSheetId="5">#REF!</definedName>
    <definedName name="_MS2" localSheetId="8">#REF!</definedName>
    <definedName name="_MS2" localSheetId="11">#REF!</definedName>
    <definedName name="_MS2" localSheetId="9">#REF!</definedName>
    <definedName name="_MS2" localSheetId="18">#REF!</definedName>
    <definedName name="_MS2" localSheetId="15">#REF!</definedName>
    <definedName name="_MS2" localSheetId="7">#REF!</definedName>
    <definedName name="_MS2">#REF!</definedName>
    <definedName name="_n1000000" localSheetId="12">#REF!</definedName>
    <definedName name="_n1000000" localSheetId="6">#REF!</definedName>
    <definedName name="_n1000000" localSheetId="5">#REF!</definedName>
    <definedName name="_n1000000" localSheetId="8">#REF!</definedName>
    <definedName name="_n1000000" localSheetId="11">#REF!</definedName>
    <definedName name="_n1000000" localSheetId="9">#REF!</definedName>
    <definedName name="_n1000000" localSheetId="18">#REF!</definedName>
    <definedName name="_n1000000" localSheetId="15">#REF!</definedName>
    <definedName name="_n1000000" localSheetId="7">#REF!</definedName>
    <definedName name="_n1000000">#REF!</definedName>
    <definedName name="_NN1" localSheetId="12">#REF!</definedName>
    <definedName name="_NN1" localSheetId="0">#REF!</definedName>
    <definedName name="_NN1" localSheetId="1">#REF!</definedName>
    <definedName name="_NN1" localSheetId="8">#REF!</definedName>
    <definedName name="_NN1" localSheetId="11">#REF!</definedName>
    <definedName name="_NN1" localSheetId="9">#REF!</definedName>
    <definedName name="_NN1" localSheetId="18">#REF!</definedName>
    <definedName name="_NN1" localSheetId="15">#REF!</definedName>
    <definedName name="_NN1" localSheetId="7">#REF!</definedName>
    <definedName name="_NN1">#REF!</definedName>
    <definedName name="_Order1" hidden="1">255</definedName>
    <definedName name="_Order2" hidden="1">0</definedName>
    <definedName name="_p9099999" localSheetId="12">#REF!</definedName>
    <definedName name="_p9099999" localSheetId="8">#REF!</definedName>
    <definedName name="_p9099999" localSheetId="11">#REF!</definedName>
    <definedName name="_p9099999" localSheetId="9">#REF!</definedName>
    <definedName name="_p9099999" localSheetId="18">#REF!</definedName>
    <definedName name="_p9099999" localSheetId="15">#REF!</definedName>
    <definedName name="_p9099999" localSheetId="7">#REF!</definedName>
    <definedName name="_p9099999">#REF!</definedName>
    <definedName name="_pa1" localSheetId="12">#REF!</definedName>
    <definedName name="_pa1" localSheetId="8">#REF!</definedName>
    <definedName name="_pa1" localSheetId="11">#REF!</definedName>
    <definedName name="_pa1" localSheetId="9">#REF!</definedName>
    <definedName name="_pa1" localSheetId="18">#REF!</definedName>
    <definedName name="_pa1" localSheetId="15">#REF!</definedName>
    <definedName name="_pa1" localSheetId="7">#REF!</definedName>
    <definedName name="_pa1">#REF!</definedName>
    <definedName name="_pa2" localSheetId="12">#REF!</definedName>
    <definedName name="_pa2" localSheetId="8">#REF!</definedName>
    <definedName name="_pa2" localSheetId="11">#REF!</definedName>
    <definedName name="_pa2" localSheetId="9">#REF!</definedName>
    <definedName name="_pa2" localSheetId="18">#REF!</definedName>
    <definedName name="_pa2" localSheetId="15">#REF!</definedName>
    <definedName name="_pa2" localSheetId="7">#REF!</definedName>
    <definedName name="_pa2">#REF!</definedName>
    <definedName name="_PB1" localSheetId="12">#REF!</definedName>
    <definedName name="_PB1" localSheetId="8">#REF!</definedName>
    <definedName name="_PB1" localSheetId="11">#REF!</definedName>
    <definedName name="_PB1" localSheetId="9">#REF!</definedName>
    <definedName name="_PB1" localSheetId="18">#REF!</definedName>
    <definedName name="_PB1" localSheetId="15">#REF!</definedName>
    <definedName name="_PB1" localSheetId="7">#REF!</definedName>
    <definedName name="_PB1">#REF!</definedName>
    <definedName name="_pcc1" localSheetId="12">#REF!</definedName>
    <definedName name="_pcc1" localSheetId="0">#REF!</definedName>
    <definedName name="_pcc1" localSheetId="1">#REF!</definedName>
    <definedName name="_pcc1" localSheetId="8">#REF!</definedName>
    <definedName name="_pcc1" localSheetId="11">#REF!</definedName>
    <definedName name="_pcc1" localSheetId="9">#REF!</definedName>
    <definedName name="_pcc1" localSheetId="18">#REF!</definedName>
    <definedName name="_pcc1" localSheetId="15">#REF!</definedName>
    <definedName name="_pcc1" localSheetId="7">#REF!</definedName>
    <definedName name="_pcc1">#REF!</definedName>
    <definedName name="_pcc2" localSheetId="12">#REF!</definedName>
    <definedName name="_pcc2" localSheetId="0">#REF!</definedName>
    <definedName name="_pcc2" localSheetId="1">#REF!</definedName>
    <definedName name="_pcc2" localSheetId="8">#REF!</definedName>
    <definedName name="_pcc2" localSheetId="11">#REF!</definedName>
    <definedName name="_pcc2" localSheetId="9">#REF!</definedName>
    <definedName name="_pcc2" localSheetId="18">#REF!</definedName>
    <definedName name="_pcc2" localSheetId="15">#REF!</definedName>
    <definedName name="_pcc2" localSheetId="7">#REF!</definedName>
    <definedName name="_pcc2">#REF!</definedName>
    <definedName name="_pcc3" localSheetId="12">#REF!</definedName>
    <definedName name="_pcc3" localSheetId="0">#REF!</definedName>
    <definedName name="_pcc3" localSheetId="1">#REF!</definedName>
    <definedName name="_pcc3" localSheetId="8">#REF!</definedName>
    <definedName name="_pcc3" localSheetId="11">#REF!</definedName>
    <definedName name="_pcc3" localSheetId="9">#REF!</definedName>
    <definedName name="_pcc3" localSheetId="18">#REF!</definedName>
    <definedName name="_pcc3" localSheetId="15">#REF!</definedName>
    <definedName name="_pcc3" localSheetId="7">#REF!</definedName>
    <definedName name="_pcc3">#REF!</definedName>
    <definedName name="_PCC4" localSheetId="12">#REF!</definedName>
    <definedName name="_PCC4" localSheetId="0">#REF!</definedName>
    <definedName name="_PCC4" localSheetId="1">#REF!</definedName>
    <definedName name="_PCC4" localSheetId="8">#REF!</definedName>
    <definedName name="_PCC4" localSheetId="11">#REF!</definedName>
    <definedName name="_PCC4" localSheetId="9">#REF!</definedName>
    <definedName name="_PCC4" localSheetId="18">#REF!</definedName>
    <definedName name="_PCC4" localSheetId="15">#REF!</definedName>
    <definedName name="_PCC4" localSheetId="7">#REF!</definedName>
    <definedName name="_PCC4">#REF!</definedName>
    <definedName name="_plb1" localSheetId="12">#REF!</definedName>
    <definedName name="_plb1" localSheetId="0">#REF!</definedName>
    <definedName name="_plb1" localSheetId="1">#REF!</definedName>
    <definedName name="_plb1" localSheetId="8">#REF!</definedName>
    <definedName name="_plb1" localSheetId="11">#REF!</definedName>
    <definedName name="_plb1" localSheetId="9">#REF!</definedName>
    <definedName name="_plb1" localSheetId="18">#REF!</definedName>
    <definedName name="_plb1" localSheetId="15">#REF!</definedName>
    <definedName name="_plb1" localSheetId="7">#REF!</definedName>
    <definedName name="_plb1">#REF!</definedName>
    <definedName name="_plb2" localSheetId="12">#REF!</definedName>
    <definedName name="_plb2" localSheetId="0">#REF!</definedName>
    <definedName name="_plb2" localSheetId="1">#REF!</definedName>
    <definedName name="_plb2" localSheetId="8">#REF!</definedName>
    <definedName name="_plb2" localSheetId="11">#REF!</definedName>
    <definedName name="_plb2" localSheetId="9">#REF!</definedName>
    <definedName name="_plb2" localSheetId="18">#REF!</definedName>
    <definedName name="_plb2" localSheetId="15">#REF!</definedName>
    <definedName name="_plb2" localSheetId="7">#REF!</definedName>
    <definedName name="_plb2">#REF!</definedName>
    <definedName name="_plb3" localSheetId="12">#REF!</definedName>
    <definedName name="_plb3" localSheetId="0">#REF!</definedName>
    <definedName name="_plb3" localSheetId="1">#REF!</definedName>
    <definedName name="_plb3" localSheetId="8">#REF!</definedName>
    <definedName name="_plb3" localSheetId="11">#REF!</definedName>
    <definedName name="_plb3" localSheetId="9">#REF!</definedName>
    <definedName name="_plb3" localSheetId="18">#REF!</definedName>
    <definedName name="_plb3" localSheetId="15">#REF!</definedName>
    <definedName name="_plb3" localSheetId="7">#REF!</definedName>
    <definedName name="_plb3">#REF!</definedName>
    <definedName name="_plb4" localSheetId="12">#REF!</definedName>
    <definedName name="_plb4" localSheetId="0">#REF!</definedName>
    <definedName name="_plb4" localSheetId="1">#REF!</definedName>
    <definedName name="_plb4" localSheetId="8">#REF!</definedName>
    <definedName name="_plb4" localSheetId="11">#REF!</definedName>
    <definedName name="_plb4" localSheetId="9">#REF!</definedName>
    <definedName name="_plb4" localSheetId="18">#REF!</definedName>
    <definedName name="_plb4" localSheetId="15">#REF!</definedName>
    <definedName name="_plb4" localSheetId="7">#REF!</definedName>
    <definedName name="_plb4">#REF!</definedName>
    <definedName name="_PRN1" localSheetId="12" hidden="1">{#N/A,#N/A,FALSE,"COVER.XLS";#N/A,#N/A,FALSE,"RACT1.XLS";#N/A,#N/A,FALSE,"RACT2.XLS";#N/A,#N/A,FALSE,"ECCMP";#N/A,#N/A,FALSE,"WELDER.XLS"}</definedName>
    <definedName name="_PRN1" localSheetId="6" hidden="1">{#N/A,#N/A,FALSE,"COVER.XLS";#N/A,#N/A,FALSE,"RACT1.XLS";#N/A,#N/A,FALSE,"RACT2.XLS";#N/A,#N/A,FALSE,"ECCMP";#N/A,#N/A,FALSE,"WELDER.XLS"}</definedName>
    <definedName name="_PRN1" localSheetId="5" hidden="1">{#N/A,#N/A,FALSE,"COVER.XLS";#N/A,#N/A,FALSE,"RACT1.XLS";#N/A,#N/A,FALSE,"RACT2.XLS";#N/A,#N/A,FALSE,"ECCMP";#N/A,#N/A,FALSE,"WELDER.XLS"}</definedName>
    <definedName name="_PRN1" localSheetId="8" hidden="1">{#N/A,#N/A,FALSE,"COVER.XLS";#N/A,#N/A,FALSE,"RACT1.XLS";#N/A,#N/A,FALSE,"RACT2.XLS";#N/A,#N/A,FALSE,"ECCMP";#N/A,#N/A,FALSE,"WELDER.XLS"}</definedName>
    <definedName name="_PRN1" localSheetId="11" hidden="1">{#N/A,#N/A,FALSE,"COVER.XLS";#N/A,#N/A,FALSE,"RACT1.XLS";#N/A,#N/A,FALSE,"RACT2.XLS";#N/A,#N/A,FALSE,"ECCMP";#N/A,#N/A,FALSE,"WELDER.XLS"}</definedName>
    <definedName name="_PRN1" localSheetId="9" hidden="1">{#N/A,#N/A,FALSE,"COVER.XLS";#N/A,#N/A,FALSE,"RACT1.XLS";#N/A,#N/A,FALSE,"RACT2.XLS";#N/A,#N/A,FALSE,"ECCMP";#N/A,#N/A,FALSE,"WELDER.XLS"}</definedName>
    <definedName name="_PRN1" localSheetId="13" hidden="1">{#N/A,#N/A,FALSE,"COVER.XLS";#N/A,#N/A,FALSE,"RACT1.XLS";#N/A,#N/A,FALSE,"RACT2.XLS";#N/A,#N/A,FALSE,"ECCMP";#N/A,#N/A,FALSE,"WELDER.XLS"}</definedName>
    <definedName name="_PRN1" localSheetId="18" hidden="1">{#N/A,#N/A,FALSE,"COVER.XLS";#N/A,#N/A,FALSE,"RACT1.XLS";#N/A,#N/A,FALSE,"RACT2.XLS";#N/A,#N/A,FALSE,"ECCMP";#N/A,#N/A,FALSE,"WELDER.XLS"}</definedName>
    <definedName name="_PRN1" localSheetId="15" hidden="1">{#N/A,#N/A,FALSE,"COVER.XLS";#N/A,#N/A,FALSE,"RACT1.XLS";#N/A,#N/A,FALSE,"RACT2.XLS";#N/A,#N/A,FALSE,"ECCMP";#N/A,#N/A,FALSE,"WELDER.XLS"}</definedName>
    <definedName name="_PRN1" localSheetId="7" hidden="1">{#N/A,#N/A,FALSE,"COVER.XLS";#N/A,#N/A,FALSE,"RACT1.XLS";#N/A,#N/A,FALSE,"RACT2.XLS";#N/A,#N/A,FALSE,"ECCMP";#N/A,#N/A,FALSE,"WELDER.XLS"}</definedName>
    <definedName name="_PRN1" hidden="1">{#N/A,#N/A,FALSE,"COVER.XLS";#N/A,#N/A,FALSE,"RACT1.XLS";#N/A,#N/A,FALSE,"RACT2.XLS";#N/A,#N/A,FALSE,"ECCMP";#N/A,#N/A,FALSE,"WELDER.XLS"}</definedName>
    <definedName name="_rim4" localSheetId="12">#REF!</definedName>
    <definedName name="_rim4" localSheetId="0">#REF!</definedName>
    <definedName name="_rim4" localSheetId="1">#REF!</definedName>
    <definedName name="_rim4" localSheetId="6">#REF!</definedName>
    <definedName name="_rim4" localSheetId="5">#REF!</definedName>
    <definedName name="_rim4" localSheetId="8">#REF!</definedName>
    <definedName name="_rim4" localSheetId="11">#REF!</definedName>
    <definedName name="_rim4" localSheetId="9">#REF!</definedName>
    <definedName name="_rim4" localSheetId="18">#REF!</definedName>
    <definedName name="_rim4" localSheetId="15">#REF!</definedName>
    <definedName name="_rim4" localSheetId="7">#REF!</definedName>
    <definedName name="_rim4">#REF!</definedName>
    <definedName name="_rm4" localSheetId="12">#REF!</definedName>
    <definedName name="_rm4" localSheetId="6">#REF!</definedName>
    <definedName name="_rm4" localSheetId="5">#REF!</definedName>
    <definedName name="_rm4" localSheetId="8">#REF!</definedName>
    <definedName name="_rm4" localSheetId="11">#REF!</definedName>
    <definedName name="_rm4" localSheetId="9">#REF!</definedName>
    <definedName name="_rm4" localSheetId="18">#REF!</definedName>
    <definedName name="_rm4" localSheetId="15">#REF!</definedName>
    <definedName name="_rm4" localSheetId="7">#REF!</definedName>
    <definedName name="_rm4">#REF!</definedName>
    <definedName name="_S12" localSheetId="12">#REF!</definedName>
    <definedName name="_S12" localSheetId="0">#REF!</definedName>
    <definedName name="_S12" localSheetId="1">#REF!</definedName>
    <definedName name="_S12" localSheetId="8">#REF!</definedName>
    <definedName name="_S12" localSheetId="11">#REF!</definedName>
    <definedName name="_S12" localSheetId="9">#REF!</definedName>
    <definedName name="_S12" localSheetId="18">#REF!</definedName>
    <definedName name="_S12" localSheetId="15">#REF!</definedName>
    <definedName name="_S12" localSheetId="7">#REF!</definedName>
    <definedName name="_S12">#REF!</definedName>
    <definedName name="_sec1" localSheetId="12">#REF!</definedName>
    <definedName name="_sec1" localSheetId="0">#REF!</definedName>
    <definedName name="_sec1" localSheetId="1">#REF!</definedName>
    <definedName name="_sec1" localSheetId="8">#REF!</definedName>
    <definedName name="_sec1" localSheetId="11">#REF!</definedName>
    <definedName name="_sec1" localSheetId="9">#REF!</definedName>
    <definedName name="_sec1" localSheetId="18">#REF!</definedName>
    <definedName name="_sec1" localSheetId="15">#REF!</definedName>
    <definedName name="_sec1" localSheetId="7">#REF!</definedName>
    <definedName name="_sec1">#REF!</definedName>
    <definedName name="_sec111" localSheetId="12">#REF!</definedName>
    <definedName name="_sec111" localSheetId="0">#REF!</definedName>
    <definedName name="_sec111" localSheetId="1">#REF!</definedName>
    <definedName name="_sec111" localSheetId="8">#REF!</definedName>
    <definedName name="_sec111" localSheetId="11">#REF!</definedName>
    <definedName name="_sec111" localSheetId="9">#REF!</definedName>
    <definedName name="_sec111" localSheetId="18">#REF!</definedName>
    <definedName name="_sec111" localSheetId="15">#REF!</definedName>
    <definedName name="_sec111" localSheetId="7">#REF!</definedName>
    <definedName name="_sec111">#REF!</definedName>
    <definedName name="_SEC15" localSheetId="12">#REF!</definedName>
    <definedName name="_SEC15" localSheetId="0">#REF!</definedName>
    <definedName name="_SEC15" localSheetId="1">#REF!</definedName>
    <definedName name="_SEC15" localSheetId="8">#REF!</definedName>
    <definedName name="_SEC15" localSheetId="11">#REF!</definedName>
    <definedName name="_SEC15" localSheetId="9">#REF!</definedName>
    <definedName name="_SEC15" localSheetId="18">#REF!</definedName>
    <definedName name="_SEC15" localSheetId="15">#REF!</definedName>
    <definedName name="_SEC15" localSheetId="7">#REF!</definedName>
    <definedName name="_SEC15">#REF!</definedName>
    <definedName name="_Sec2" localSheetId="12">#REF!</definedName>
    <definedName name="_Sec2" localSheetId="0">#REF!</definedName>
    <definedName name="_Sec2" localSheetId="1">#REF!</definedName>
    <definedName name="_Sec2" localSheetId="8">#REF!</definedName>
    <definedName name="_Sec2" localSheetId="11">#REF!</definedName>
    <definedName name="_Sec2" localSheetId="9">#REF!</definedName>
    <definedName name="_Sec2" localSheetId="18">#REF!</definedName>
    <definedName name="_Sec2" localSheetId="15">#REF!</definedName>
    <definedName name="_Sec2" localSheetId="7">#REF!</definedName>
    <definedName name="_Sec2">#REF!</definedName>
    <definedName name="_sec22" localSheetId="12">#REF!</definedName>
    <definedName name="_sec22" localSheetId="0">#REF!</definedName>
    <definedName name="_sec22" localSheetId="1">#REF!</definedName>
    <definedName name="_sec22" localSheetId="8">#REF!</definedName>
    <definedName name="_sec22" localSheetId="11">#REF!</definedName>
    <definedName name="_sec22" localSheetId="9">#REF!</definedName>
    <definedName name="_sec22" localSheetId="18">#REF!</definedName>
    <definedName name="_sec22" localSheetId="15">#REF!</definedName>
    <definedName name="_sec22" localSheetId="7">#REF!</definedName>
    <definedName name="_sec22">#REF!</definedName>
    <definedName name="_SEC23" localSheetId="12">#REF!</definedName>
    <definedName name="_SEC23" localSheetId="0">#REF!</definedName>
    <definedName name="_SEC23" localSheetId="1">#REF!</definedName>
    <definedName name="_SEC23" localSheetId="8">#REF!</definedName>
    <definedName name="_SEC23" localSheetId="11">#REF!</definedName>
    <definedName name="_SEC23" localSheetId="9">#REF!</definedName>
    <definedName name="_SEC23" localSheetId="18">#REF!</definedName>
    <definedName name="_SEC23" localSheetId="15">#REF!</definedName>
    <definedName name="_SEC23" localSheetId="7">#REF!</definedName>
    <definedName name="_SEC23">#REF!</definedName>
    <definedName name="_SEC24" localSheetId="12">#REF!</definedName>
    <definedName name="_SEC24" localSheetId="0">#REF!</definedName>
    <definedName name="_SEC24" localSheetId="1">#REF!</definedName>
    <definedName name="_SEC24" localSheetId="8">#REF!</definedName>
    <definedName name="_SEC24" localSheetId="11">#REF!</definedName>
    <definedName name="_SEC24" localSheetId="9">#REF!</definedName>
    <definedName name="_SEC24" localSheetId="18">#REF!</definedName>
    <definedName name="_SEC24" localSheetId="15">#REF!</definedName>
    <definedName name="_SEC24" localSheetId="7">#REF!</definedName>
    <definedName name="_SEC24">#REF!</definedName>
    <definedName name="_sec3" localSheetId="12">#REF!</definedName>
    <definedName name="_sec3" localSheetId="0">#REF!</definedName>
    <definedName name="_sec3" localSheetId="1">#REF!</definedName>
    <definedName name="_sec3" localSheetId="8">#REF!</definedName>
    <definedName name="_sec3" localSheetId="11">#REF!</definedName>
    <definedName name="_sec3" localSheetId="9">#REF!</definedName>
    <definedName name="_sec3" localSheetId="18">#REF!</definedName>
    <definedName name="_sec3" localSheetId="15">#REF!</definedName>
    <definedName name="_sec3" localSheetId="7">#REF!</definedName>
    <definedName name="_sec3">#REF!</definedName>
    <definedName name="_SEC32" localSheetId="12">#REF!</definedName>
    <definedName name="_SEC32" localSheetId="0">#REF!</definedName>
    <definedName name="_SEC32" localSheetId="1">#REF!</definedName>
    <definedName name="_SEC32" localSheetId="8">#REF!</definedName>
    <definedName name="_SEC32" localSheetId="11">#REF!</definedName>
    <definedName name="_SEC32" localSheetId="9">#REF!</definedName>
    <definedName name="_SEC32" localSheetId="18">#REF!</definedName>
    <definedName name="_SEC32" localSheetId="15">#REF!</definedName>
    <definedName name="_SEC32" localSheetId="7">#REF!</definedName>
    <definedName name="_SEC32">#REF!</definedName>
    <definedName name="_sec33" localSheetId="12">#REF!</definedName>
    <definedName name="_sec33" localSheetId="0">#REF!</definedName>
    <definedName name="_sec33" localSheetId="1">#REF!</definedName>
    <definedName name="_sec33" localSheetId="8">#REF!</definedName>
    <definedName name="_sec33" localSheetId="11">#REF!</definedName>
    <definedName name="_sec33" localSheetId="9">#REF!</definedName>
    <definedName name="_sec33" localSheetId="18">#REF!</definedName>
    <definedName name="_sec33" localSheetId="15">#REF!</definedName>
    <definedName name="_sec33" localSheetId="7">#REF!</definedName>
    <definedName name="_sec33">#REF!</definedName>
    <definedName name="_Sec4" localSheetId="12">#REF!</definedName>
    <definedName name="_Sec4" localSheetId="0">#REF!</definedName>
    <definedName name="_Sec4" localSheetId="1">#REF!</definedName>
    <definedName name="_Sec4" localSheetId="8">#REF!</definedName>
    <definedName name="_Sec4" localSheetId="11">#REF!</definedName>
    <definedName name="_Sec4" localSheetId="9">#REF!</definedName>
    <definedName name="_Sec4" localSheetId="18">#REF!</definedName>
    <definedName name="_Sec4" localSheetId="15">#REF!</definedName>
    <definedName name="_Sec4" localSheetId="7">#REF!</definedName>
    <definedName name="_Sec4">#REF!</definedName>
    <definedName name="_sec45" localSheetId="12">#REF!</definedName>
    <definedName name="_sec45" localSheetId="0">#REF!</definedName>
    <definedName name="_sec45" localSheetId="1">#REF!</definedName>
    <definedName name="_sec45" localSheetId="8">#REF!</definedName>
    <definedName name="_sec45" localSheetId="11">#REF!</definedName>
    <definedName name="_sec45" localSheetId="9">#REF!</definedName>
    <definedName name="_sec45" localSheetId="18">#REF!</definedName>
    <definedName name="_sec45" localSheetId="15">#REF!</definedName>
    <definedName name="_sec45" localSheetId="7">#REF!</definedName>
    <definedName name="_sec45">#REF!</definedName>
    <definedName name="_SEC46" localSheetId="12">#REF!</definedName>
    <definedName name="_SEC46" localSheetId="0">#REF!</definedName>
    <definedName name="_SEC46" localSheetId="1">#REF!</definedName>
    <definedName name="_SEC46" localSheetId="8">#REF!</definedName>
    <definedName name="_SEC46" localSheetId="11">#REF!</definedName>
    <definedName name="_SEC46" localSheetId="9">#REF!</definedName>
    <definedName name="_SEC46" localSheetId="18">#REF!</definedName>
    <definedName name="_SEC46" localSheetId="15">#REF!</definedName>
    <definedName name="_SEC46" localSheetId="7">#REF!</definedName>
    <definedName name="_SEC46">#REF!</definedName>
    <definedName name="_sec5" localSheetId="12">#REF!</definedName>
    <definedName name="_sec5" localSheetId="0">#REF!</definedName>
    <definedName name="_sec5" localSheetId="1">#REF!</definedName>
    <definedName name="_sec5" localSheetId="8">#REF!</definedName>
    <definedName name="_sec5" localSheetId="11">#REF!</definedName>
    <definedName name="_sec5" localSheetId="9">#REF!</definedName>
    <definedName name="_sec5" localSheetId="18">#REF!</definedName>
    <definedName name="_sec5" localSheetId="15">#REF!</definedName>
    <definedName name="_sec5" localSheetId="7">#REF!</definedName>
    <definedName name="_sec5">#REF!</definedName>
    <definedName name="_sec55" localSheetId="12">#REF!</definedName>
    <definedName name="_sec55" localSheetId="0">#REF!</definedName>
    <definedName name="_sec55" localSheetId="1">#REF!</definedName>
    <definedName name="_sec55" localSheetId="8">#REF!</definedName>
    <definedName name="_sec55" localSheetId="11">#REF!</definedName>
    <definedName name="_sec55" localSheetId="9">#REF!</definedName>
    <definedName name="_sec55" localSheetId="18">#REF!</definedName>
    <definedName name="_sec55" localSheetId="15">#REF!</definedName>
    <definedName name="_sec55" localSheetId="7">#REF!</definedName>
    <definedName name="_sec55">#REF!</definedName>
    <definedName name="_SEC56" localSheetId="12">#REF!</definedName>
    <definedName name="_SEC56" localSheetId="0">#REF!</definedName>
    <definedName name="_SEC56" localSheetId="1">#REF!</definedName>
    <definedName name="_SEC56" localSheetId="8">#REF!</definedName>
    <definedName name="_SEC56" localSheetId="11">#REF!</definedName>
    <definedName name="_SEC56" localSheetId="9">#REF!</definedName>
    <definedName name="_SEC56" localSheetId="18">#REF!</definedName>
    <definedName name="_SEC56" localSheetId="15">#REF!</definedName>
    <definedName name="_SEC56" localSheetId="7">#REF!</definedName>
    <definedName name="_SEC56">#REF!</definedName>
    <definedName name="_sec6" localSheetId="12">#REF!</definedName>
    <definedName name="_sec6" localSheetId="0">#REF!</definedName>
    <definedName name="_sec6" localSheetId="1">#REF!</definedName>
    <definedName name="_sec6" localSheetId="8">#REF!</definedName>
    <definedName name="_sec6" localSheetId="11">#REF!</definedName>
    <definedName name="_sec6" localSheetId="9">#REF!</definedName>
    <definedName name="_sec6" localSheetId="18">#REF!</definedName>
    <definedName name="_sec6" localSheetId="15">#REF!</definedName>
    <definedName name="_sec6" localSheetId="7">#REF!</definedName>
    <definedName name="_sec6">#REF!</definedName>
    <definedName name="_sec66" localSheetId="12">#REF!</definedName>
    <definedName name="_sec66" localSheetId="0">#REF!</definedName>
    <definedName name="_sec66" localSheetId="1">#REF!</definedName>
    <definedName name="_sec66" localSheetId="8">#REF!</definedName>
    <definedName name="_sec66" localSheetId="11">#REF!</definedName>
    <definedName name="_sec66" localSheetId="9">#REF!</definedName>
    <definedName name="_sec66" localSheetId="18">#REF!</definedName>
    <definedName name="_sec66" localSheetId="15">#REF!</definedName>
    <definedName name="_sec66" localSheetId="7">#REF!</definedName>
    <definedName name="_sec66">#REF!</definedName>
    <definedName name="_SEC67" localSheetId="12">#REF!</definedName>
    <definedName name="_SEC67" localSheetId="0">#REF!</definedName>
    <definedName name="_SEC67" localSheetId="1">#REF!</definedName>
    <definedName name="_SEC67" localSheetId="8">#REF!</definedName>
    <definedName name="_SEC67" localSheetId="11">#REF!</definedName>
    <definedName name="_SEC67" localSheetId="9">#REF!</definedName>
    <definedName name="_SEC67" localSheetId="18">#REF!</definedName>
    <definedName name="_SEC67" localSheetId="15">#REF!</definedName>
    <definedName name="_SEC67" localSheetId="7">#REF!</definedName>
    <definedName name="_SEC67">#REF!</definedName>
    <definedName name="_sec7" localSheetId="12">#REF!</definedName>
    <definedName name="_sec7" localSheetId="0">#REF!</definedName>
    <definedName name="_sec7" localSheetId="1">#REF!</definedName>
    <definedName name="_sec7" localSheetId="8">#REF!</definedName>
    <definedName name="_sec7" localSheetId="11">#REF!</definedName>
    <definedName name="_sec7" localSheetId="9">#REF!</definedName>
    <definedName name="_sec7" localSheetId="18">#REF!</definedName>
    <definedName name="_sec7" localSheetId="15">#REF!</definedName>
    <definedName name="_sec7" localSheetId="7">#REF!</definedName>
    <definedName name="_sec7">#REF!</definedName>
    <definedName name="_sec71" localSheetId="12">#REF!</definedName>
    <definedName name="_sec71" localSheetId="0">#REF!</definedName>
    <definedName name="_sec71" localSheetId="1">#REF!</definedName>
    <definedName name="_sec71" localSheetId="8">#REF!</definedName>
    <definedName name="_sec71" localSheetId="11">#REF!</definedName>
    <definedName name="_sec71" localSheetId="9">#REF!</definedName>
    <definedName name="_sec71" localSheetId="18">#REF!</definedName>
    <definedName name="_sec71" localSheetId="15">#REF!</definedName>
    <definedName name="_sec71" localSheetId="7">#REF!</definedName>
    <definedName name="_sec71">#REF!</definedName>
    <definedName name="_SEC72" localSheetId="12">#REF!</definedName>
    <definedName name="_SEC72" localSheetId="0">#REF!</definedName>
    <definedName name="_SEC72" localSheetId="1">#REF!</definedName>
    <definedName name="_SEC72" localSheetId="8">#REF!</definedName>
    <definedName name="_SEC72" localSheetId="11">#REF!</definedName>
    <definedName name="_SEC72" localSheetId="9">#REF!</definedName>
    <definedName name="_SEC72" localSheetId="18">#REF!</definedName>
    <definedName name="_SEC72" localSheetId="15">#REF!</definedName>
    <definedName name="_SEC72" localSheetId="7">#REF!</definedName>
    <definedName name="_SEC72">#REF!</definedName>
    <definedName name="_SEC74" localSheetId="12">#REF!</definedName>
    <definedName name="_SEC74" localSheetId="0">#REF!</definedName>
    <definedName name="_SEC74" localSheetId="1">#REF!</definedName>
    <definedName name="_SEC74" localSheetId="8">#REF!</definedName>
    <definedName name="_SEC74" localSheetId="11">#REF!</definedName>
    <definedName name="_SEC74" localSheetId="9">#REF!</definedName>
    <definedName name="_SEC74" localSheetId="18">#REF!</definedName>
    <definedName name="_SEC74" localSheetId="15">#REF!</definedName>
    <definedName name="_SEC74" localSheetId="7">#REF!</definedName>
    <definedName name="_SEC74">#REF!</definedName>
    <definedName name="_SEC75" localSheetId="12">#REF!</definedName>
    <definedName name="_SEC75" localSheetId="0">#REF!</definedName>
    <definedName name="_SEC75" localSheetId="1">#REF!</definedName>
    <definedName name="_SEC75" localSheetId="8">#REF!</definedName>
    <definedName name="_SEC75" localSheetId="11">#REF!</definedName>
    <definedName name="_SEC75" localSheetId="9">#REF!</definedName>
    <definedName name="_SEC75" localSheetId="18">#REF!</definedName>
    <definedName name="_SEC75" localSheetId="15">#REF!</definedName>
    <definedName name="_SEC75" localSheetId="7">#REF!</definedName>
    <definedName name="_SEC75">#REF!</definedName>
    <definedName name="_SEC77" localSheetId="12">#REF!</definedName>
    <definedName name="_SEC77" localSheetId="0">#REF!</definedName>
    <definedName name="_SEC77" localSheetId="1">#REF!</definedName>
    <definedName name="_SEC77" localSheetId="8">#REF!</definedName>
    <definedName name="_SEC77" localSheetId="11">#REF!</definedName>
    <definedName name="_SEC77" localSheetId="9">#REF!</definedName>
    <definedName name="_SEC77" localSheetId="18">#REF!</definedName>
    <definedName name="_SEC77" localSheetId="15">#REF!</definedName>
    <definedName name="_SEC77" localSheetId="7">#REF!</definedName>
    <definedName name="_SEC77">#REF!</definedName>
    <definedName name="_sec777" localSheetId="12">#REF!</definedName>
    <definedName name="_sec777" localSheetId="0">#REF!</definedName>
    <definedName name="_sec777" localSheetId="1">#REF!</definedName>
    <definedName name="_sec777" localSheetId="8">#REF!</definedName>
    <definedName name="_sec777" localSheetId="11">#REF!</definedName>
    <definedName name="_sec777" localSheetId="9">#REF!</definedName>
    <definedName name="_sec777" localSheetId="18">#REF!</definedName>
    <definedName name="_sec777" localSheetId="15">#REF!</definedName>
    <definedName name="_sec777" localSheetId="7">#REF!</definedName>
    <definedName name="_sec777">#REF!</definedName>
    <definedName name="_sec78" localSheetId="12">#REF!</definedName>
    <definedName name="_sec78" localSheetId="0">#REF!</definedName>
    <definedName name="_sec78" localSheetId="1">#REF!</definedName>
    <definedName name="_sec78" localSheetId="8">#REF!</definedName>
    <definedName name="_sec78" localSheetId="11">#REF!</definedName>
    <definedName name="_sec78" localSheetId="9">#REF!</definedName>
    <definedName name="_sec78" localSheetId="18">#REF!</definedName>
    <definedName name="_sec78" localSheetId="15">#REF!</definedName>
    <definedName name="_sec78" localSheetId="7">#REF!</definedName>
    <definedName name="_sec78">#REF!</definedName>
    <definedName name="_sec79" localSheetId="12">#REF!</definedName>
    <definedName name="_sec79" localSheetId="0">#REF!</definedName>
    <definedName name="_sec79" localSheetId="1">#REF!</definedName>
    <definedName name="_sec79" localSheetId="8">#REF!</definedName>
    <definedName name="_sec79" localSheetId="11">#REF!</definedName>
    <definedName name="_sec79" localSheetId="9">#REF!</definedName>
    <definedName name="_sec79" localSheetId="18">#REF!</definedName>
    <definedName name="_sec79" localSheetId="15">#REF!</definedName>
    <definedName name="_sec79" localSheetId="7">#REF!</definedName>
    <definedName name="_sec79">#REF!</definedName>
    <definedName name="_sec8" localSheetId="12">#REF!</definedName>
    <definedName name="_sec8" localSheetId="0">#REF!</definedName>
    <definedName name="_sec8" localSheetId="1">#REF!</definedName>
    <definedName name="_sec8" localSheetId="8">#REF!</definedName>
    <definedName name="_sec8" localSheetId="11">#REF!</definedName>
    <definedName name="_sec8" localSheetId="9">#REF!</definedName>
    <definedName name="_sec8" localSheetId="18">#REF!</definedName>
    <definedName name="_sec8" localSheetId="15">#REF!</definedName>
    <definedName name="_sec8" localSheetId="7">#REF!</definedName>
    <definedName name="_sec8">#REF!</definedName>
    <definedName name="_sec81" localSheetId="12">#REF!</definedName>
    <definedName name="_sec81" localSheetId="0">#REF!</definedName>
    <definedName name="_sec81" localSheetId="1">#REF!</definedName>
    <definedName name="_sec81" localSheetId="8">#REF!</definedName>
    <definedName name="_sec81" localSheetId="11">#REF!</definedName>
    <definedName name="_sec81" localSheetId="9">#REF!</definedName>
    <definedName name="_sec81" localSheetId="18">#REF!</definedName>
    <definedName name="_sec81" localSheetId="15">#REF!</definedName>
    <definedName name="_sec81" localSheetId="7">#REF!</definedName>
    <definedName name="_sec81">#REF!</definedName>
    <definedName name="_SEC82" localSheetId="12">#REF!</definedName>
    <definedName name="_SEC82" localSheetId="0">#REF!</definedName>
    <definedName name="_SEC82" localSheetId="1">#REF!</definedName>
    <definedName name="_SEC82" localSheetId="8">#REF!</definedName>
    <definedName name="_SEC82" localSheetId="11">#REF!</definedName>
    <definedName name="_SEC82" localSheetId="9">#REF!</definedName>
    <definedName name="_SEC82" localSheetId="18">#REF!</definedName>
    <definedName name="_SEC82" localSheetId="15">#REF!</definedName>
    <definedName name="_SEC82" localSheetId="7">#REF!</definedName>
    <definedName name="_SEC82">#REF!</definedName>
    <definedName name="_SEC83" localSheetId="12">#REF!</definedName>
    <definedName name="_SEC83" localSheetId="0">#REF!</definedName>
    <definedName name="_SEC83" localSheetId="1">#REF!</definedName>
    <definedName name="_SEC83" localSheetId="8">#REF!</definedName>
    <definedName name="_SEC83" localSheetId="11">#REF!</definedName>
    <definedName name="_SEC83" localSheetId="9">#REF!</definedName>
    <definedName name="_SEC83" localSheetId="18">#REF!</definedName>
    <definedName name="_SEC83" localSheetId="15">#REF!</definedName>
    <definedName name="_SEC83" localSheetId="7">#REF!</definedName>
    <definedName name="_SEC83">#REF!</definedName>
    <definedName name="_SEC87" localSheetId="12">#REF!</definedName>
    <definedName name="_SEC87" localSheetId="0">#REF!</definedName>
    <definedName name="_SEC87" localSheetId="1">#REF!</definedName>
    <definedName name="_SEC87" localSheetId="8">#REF!</definedName>
    <definedName name="_SEC87" localSheetId="11">#REF!</definedName>
    <definedName name="_SEC87" localSheetId="9">#REF!</definedName>
    <definedName name="_SEC87" localSheetId="18">#REF!</definedName>
    <definedName name="_SEC87" localSheetId="15">#REF!</definedName>
    <definedName name="_SEC87" localSheetId="7">#REF!</definedName>
    <definedName name="_SEC87">#REF!</definedName>
    <definedName name="_SEC88" localSheetId="12">#REF!</definedName>
    <definedName name="_SEC88" localSheetId="0">#REF!</definedName>
    <definedName name="_SEC88" localSheetId="1">#REF!</definedName>
    <definedName name="_SEC88" localSheetId="8">#REF!</definedName>
    <definedName name="_SEC88" localSheetId="11">#REF!</definedName>
    <definedName name="_SEC88" localSheetId="9">#REF!</definedName>
    <definedName name="_SEC88" localSheetId="18">#REF!</definedName>
    <definedName name="_SEC88" localSheetId="15">#REF!</definedName>
    <definedName name="_SEC88" localSheetId="7">#REF!</definedName>
    <definedName name="_SEC88">#REF!</definedName>
    <definedName name="_sec888" localSheetId="12">#REF!</definedName>
    <definedName name="_sec888" localSheetId="0">#REF!</definedName>
    <definedName name="_sec888" localSheetId="1">#REF!</definedName>
    <definedName name="_sec888" localSheetId="8">#REF!</definedName>
    <definedName name="_sec888" localSheetId="11">#REF!</definedName>
    <definedName name="_sec888" localSheetId="9">#REF!</definedName>
    <definedName name="_sec888" localSheetId="18">#REF!</definedName>
    <definedName name="_sec888" localSheetId="15">#REF!</definedName>
    <definedName name="_sec888" localSheetId="7">#REF!</definedName>
    <definedName name="_sec888">#REF!</definedName>
    <definedName name="_sec89" localSheetId="12">#REF!</definedName>
    <definedName name="_sec89" localSheetId="0">#REF!</definedName>
    <definedName name="_sec89" localSheetId="1">#REF!</definedName>
    <definedName name="_sec89" localSheetId="8">#REF!</definedName>
    <definedName name="_sec89" localSheetId="11">#REF!</definedName>
    <definedName name="_sec89" localSheetId="9">#REF!</definedName>
    <definedName name="_sec89" localSheetId="18">#REF!</definedName>
    <definedName name="_sec89" localSheetId="15">#REF!</definedName>
    <definedName name="_sec89" localSheetId="7">#REF!</definedName>
    <definedName name="_sec89">#REF!</definedName>
    <definedName name="_sec899" localSheetId="12">#REF!</definedName>
    <definedName name="_sec899" localSheetId="0">#REF!</definedName>
    <definedName name="_sec899" localSheetId="1">#REF!</definedName>
    <definedName name="_sec899" localSheetId="8">#REF!</definedName>
    <definedName name="_sec899" localSheetId="11">#REF!</definedName>
    <definedName name="_sec899" localSheetId="9">#REF!</definedName>
    <definedName name="_sec899" localSheetId="18">#REF!</definedName>
    <definedName name="_sec899" localSheetId="15">#REF!</definedName>
    <definedName name="_sec899" localSheetId="7">#REF!</definedName>
    <definedName name="_sec899">#REF!</definedName>
    <definedName name="_SEC9" localSheetId="12">#REF!</definedName>
    <definedName name="_SEC9" localSheetId="0">#REF!</definedName>
    <definedName name="_SEC9" localSheetId="1">#REF!</definedName>
    <definedName name="_SEC9" localSheetId="8">#REF!</definedName>
    <definedName name="_SEC9" localSheetId="11">#REF!</definedName>
    <definedName name="_SEC9" localSheetId="9">#REF!</definedName>
    <definedName name="_SEC9" localSheetId="18">#REF!</definedName>
    <definedName name="_SEC9" localSheetId="15">#REF!</definedName>
    <definedName name="_SEC9" localSheetId="7">#REF!</definedName>
    <definedName name="_SEC9">#REF!</definedName>
    <definedName name="_SEC91" localSheetId="12">#REF!</definedName>
    <definedName name="_SEC91" localSheetId="0">#REF!</definedName>
    <definedName name="_SEC91" localSheetId="1">#REF!</definedName>
    <definedName name="_SEC91" localSheetId="8">#REF!</definedName>
    <definedName name="_SEC91" localSheetId="11">#REF!</definedName>
    <definedName name="_SEC91" localSheetId="9">#REF!</definedName>
    <definedName name="_SEC91" localSheetId="18">#REF!</definedName>
    <definedName name="_SEC91" localSheetId="15">#REF!</definedName>
    <definedName name="_SEC91" localSheetId="7">#REF!</definedName>
    <definedName name="_SEC91">#REF!</definedName>
    <definedName name="_sep1" localSheetId="12">#REF!</definedName>
    <definedName name="_sep1" localSheetId="8">#REF!</definedName>
    <definedName name="_sep1" localSheetId="11">#REF!</definedName>
    <definedName name="_sep1" localSheetId="9">#REF!</definedName>
    <definedName name="_sep1" localSheetId="18">#REF!</definedName>
    <definedName name="_sep1" localSheetId="15">#REF!</definedName>
    <definedName name="_sep1" localSheetId="7">#REF!</definedName>
    <definedName name="_sep1">#REF!</definedName>
    <definedName name="_SH1" localSheetId="12">#REF!</definedName>
    <definedName name="_SH1" localSheetId="8">#REF!</definedName>
    <definedName name="_SH1" localSheetId="11">#REF!</definedName>
    <definedName name="_SH1" localSheetId="9">#REF!</definedName>
    <definedName name="_SH1" localSheetId="18">#REF!</definedName>
    <definedName name="_SH1" localSheetId="15">#REF!</definedName>
    <definedName name="_SH1" localSheetId="7">#REF!</definedName>
    <definedName name="_SH1">#REF!</definedName>
    <definedName name="_SH2" localSheetId="12">#REF!</definedName>
    <definedName name="_SH2" localSheetId="8">#REF!</definedName>
    <definedName name="_SH2" localSheetId="11">#REF!</definedName>
    <definedName name="_SH2" localSheetId="9">#REF!</definedName>
    <definedName name="_SH2" localSheetId="18">#REF!</definedName>
    <definedName name="_SH2" localSheetId="15">#REF!</definedName>
    <definedName name="_SH2" localSheetId="7">#REF!</definedName>
    <definedName name="_SH2">#REF!</definedName>
    <definedName name="_SH3" localSheetId="12">#REF!</definedName>
    <definedName name="_SH3" localSheetId="8">#REF!</definedName>
    <definedName name="_SH3" localSheetId="11">#REF!</definedName>
    <definedName name="_SH3" localSheetId="9">#REF!</definedName>
    <definedName name="_SH3" localSheetId="18">#REF!</definedName>
    <definedName name="_SH3" localSheetId="15">#REF!</definedName>
    <definedName name="_SH3" localSheetId="7">#REF!</definedName>
    <definedName name="_SH3">#REF!</definedName>
    <definedName name="_SH4" localSheetId="12">#REF!</definedName>
    <definedName name="_SH4" localSheetId="8">#REF!</definedName>
    <definedName name="_SH4" localSheetId="11">#REF!</definedName>
    <definedName name="_SH4" localSheetId="9">#REF!</definedName>
    <definedName name="_SH4" localSheetId="18">#REF!</definedName>
    <definedName name="_SH4" localSheetId="15">#REF!</definedName>
    <definedName name="_SH4" localSheetId="7">#REF!</definedName>
    <definedName name="_SH4">#REF!</definedName>
    <definedName name="_SH5" localSheetId="12">#REF!</definedName>
    <definedName name="_SH5" localSheetId="8">#REF!</definedName>
    <definedName name="_SH5" localSheetId="11">#REF!</definedName>
    <definedName name="_SH5" localSheetId="9">#REF!</definedName>
    <definedName name="_SH5" localSheetId="18">#REF!</definedName>
    <definedName name="_SH5" localSheetId="15">#REF!</definedName>
    <definedName name="_SH5" localSheetId="7">#REF!</definedName>
    <definedName name="_SH5">#REF!</definedName>
    <definedName name="_Sort" localSheetId="12" hidden="1">#REF!</definedName>
    <definedName name="_Sort" localSheetId="8" hidden="1">#REF!</definedName>
    <definedName name="_Sort" localSheetId="11" hidden="1">#REF!</definedName>
    <definedName name="_Sort" localSheetId="9" hidden="1">#REF!</definedName>
    <definedName name="_Sort" localSheetId="18" hidden="1">#REF!</definedName>
    <definedName name="_Sort" localSheetId="15" hidden="1">#REF!</definedName>
    <definedName name="_Sort" localSheetId="7" hidden="1">#REF!</definedName>
    <definedName name="_Sort" hidden="1">#REF!</definedName>
    <definedName name="_SS2" localSheetId="12">#REF!</definedName>
    <definedName name="_SS2" localSheetId="0">#REF!</definedName>
    <definedName name="_SS2" localSheetId="1">#REF!</definedName>
    <definedName name="_SS2" localSheetId="8">#REF!</definedName>
    <definedName name="_SS2" localSheetId="11">#REF!</definedName>
    <definedName name="_SS2" localSheetId="9">#REF!</definedName>
    <definedName name="_SS2" localSheetId="18">#REF!</definedName>
    <definedName name="_SS2" localSheetId="15">#REF!</definedName>
    <definedName name="_SS2" localSheetId="7">#REF!</definedName>
    <definedName name="_SS2">#REF!</definedName>
    <definedName name="_TB2" localSheetId="12">#REF!</definedName>
    <definedName name="_TB2" localSheetId="8">#REF!</definedName>
    <definedName name="_TB2" localSheetId="11">#REF!</definedName>
    <definedName name="_TB2" localSheetId="9">#REF!</definedName>
    <definedName name="_TB2" localSheetId="18">#REF!</definedName>
    <definedName name="_TB2" localSheetId="15">#REF!</definedName>
    <definedName name="_TB2" localSheetId="7">#REF!</definedName>
    <definedName name="_TB2">#REF!</definedName>
    <definedName name="_tk1" localSheetId="12">#REF!</definedName>
    <definedName name="_tk1" localSheetId="0">#REF!</definedName>
    <definedName name="_tk1" localSheetId="1">#REF!</definedName>
    <definedName name="_tk1" localSheetId="8">#REF!</definedName>
    <definedName name="_tk1" localSheetId="11">#REF!</definedName>
    <definedName name="_tk1" localSheetId="9">#REF!</definedName>
    <definedName name="_tk1" localSheetId="18">#REF!</definedName>
    <definedName name="_tk1" localSheetId="15">#REF!</definedName>
    <definedName name="_tk1" localSheetId="7">#REF!</definedName>
    <definedName name="_tk1">#REF!</definedName>
    <definedName name="_tr1"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TL1" localSheetId="12">#REF!</definedName>
    <definedName name="_TTL1" localSheetId="6">#REF!</definedName>
    <definedName name="_TTL1" localSheetId="5">#REF!</definedName>
    <definedName name="_TTL1" localSheetId="8">#REF!</definedName>
    <definedName name="_TTL1" localSheetId="11">#REF!</definedName>
    <definedName name="_TTL1" localSheetId="9">#REF!</definedName>
    <definedName name="_TTL1" localSheetId="18">#REF!</definedName>
    <definedName name="_TTL1" localSheetId="15">#REF!</definedName>
    <definedName name="_TTL1" localSheetId="7">#REF!</definedName>
    <definedName name="_TTL1">#REF!</definedName>
    <definedName name="_TTL2" localSheetId="12">#REF!</definedName>
    <definedName name="_TTL2" localSheetId="6">#REF!</definedName>
    <definedName name="_TTL2" localSheetId="5">#REF!</definedName>
    <definedName name="_TTL2" localSheetId="8">#REF!</definedName>
    <definedName name="_TTL2" localSheetId="11">#REF!</definedName>
    <definedName name="_TTL2" localSheetId="9">#REF!</definedName>
    <definedName name="_TTL2" localSheetId="18">#REF!</definedName>
    <definedName name="_TTL2" localSheetId="15">#REF!</definedName>
    <definedName name="_TTL2" localSheetId="7">#REF!</definedName>
    <definedName name="_TTL2">#REF!</definedName>
    <definedName name="_TTL3" localSheetId="12">#REF!</definedName>
    <definedName name="_TTL3" localSheetId="6">#REF!</definedName>
    <definedName name="_TTL3" localSheetId="5">#REF!</definedName>
    <definedName name="_TTL3" localSheetId="8">#REF!</definedName>
    <definedName name="_TTL3" localSheetId="11">#REF!</definedName>
    <definedName name="_TTL3" localSheetId="9">#REF!</definedName>
    <definedName name="_TTL3" localSheetId="18">#REF!</definedName>
    <definedName name="_TTL3" localSheetId="15">#REF!</definedName>
    <definedName name="_TTL3" localSheetId="7">#REF!</definedName>
    <definedName name="_TTL3">#REF!</definedName>
    <definedName name="_TTL4" localSheetId="12">#REF!</definedName>
    <definedName name="_TTL4" localSheetId="8">#REF!</definedName>
    <definedName name="_TTL4" localSheetId="11">#REF!</definedName>
    <definedName name="_TTL4" localSheetId="9">#REF!</definedName>
    <definedName name="_TTL4" localSheetId="18">#REF!</definedName>
    <definedName name="_TTL4" localSheetId="15">#REF!</definedName>
    <definedName name="_TTL4" localSheetId="7">#REF!</definedName>
    <definedName name="_TTL4">#REF!</definedName>
    <definedName name="_TTL5" localSheetId="12">#REF!</definedName>
    <definedName name="_TTL5" localSheetId="8">#REF!</definedName>
    <definedName name="_TTL5" localSheetId="11">#REF!</definedName>
    <definedName name="_TTL5" localSheetId="9">#REF!</definedName>
    <definedName name="_TTL5" localSheetId="18">#REF!</definedName>
    <definedName name="_TTL5" localSheetId="15">#REF!</definedName>
    <definedName name="_TTL5" localSheetId="7">#REF!</definedName>
    <definedName name="_TTL5">#REF!</definedName>
    <definedName name="_TTL6" localSheetId="12">#REF!</definedName>
    <definedName name="_TTL6" localSheetId="8">#REF!</definedName>
    <definedName name="_TTL6" localSheetId="11">#REF!</definedName>
    <definedName name="_TTL6" localSheetId="9">#REF!</definedName>
    <definedName name="_TTL6" localSheetId="18">#REF!</definedName>
    <definedName name="_TTL6" localSheetId="15">#REF!</definedName>
    <definedName name="_TTL6" localSheetId="7">#REF!</definedName>
    <definedName name="_TTL6">#REF!</definedName>
    <definedName name="_wrn1"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2" localSheetId="12" hidden="1">{#N/A,#N/A,FALSE,"COVER1.XLS ";#N/A,#N/A,FALSE,"RACT1.XLS";#N/A,#N/A,FALSE,"RACT2.XLS";#N/A,#N/A,FALSE,"ECCMP";#N/A,#N/A,FALSE,"WELDER.XLS"}</definedName>
    <definedName name="_WRN2" localSheetId="6" hidden="1">{#N/A,#N/A,FALSE,"COVER1.XLS ";#N/A,#N/A,FALSE,"RACT1.XLS";#N/A,#N/A,FALSE,"RACT2.XLS";#N/A,#N/A,FALSE,"ECCMP";#N/A,#N/A,FALSE,"WELDER.XLS"}</definedName>
    <definedName name="_WRN2" localSheetId="5" hidden="1">{#N/A,#N/A,FALSE,"COVER1.XLS ";#N/A,#N/A,FALSE,"RACT1.XLS";#N/A,#N/A,FALSE,"RACT2.XLS";#N/A,#N/A,FALSE,"ECCMP";#N/A,#N/A,FALSE,"WELDER.XLS"}</definedName>
    <definedName name="_WRN2" localSheetId="8" hidden="1">{#N/A,#N/A,FALSE,"COVER1.XLS ";#N/A,#N/A,FALSE,"RACT1.XLS";#N/A,#N/A,FALSE,"RACT2.XLS";#N/A,#N/A,FALSE,"ECCMP";#N/A,#N/A,FALSE,"WELDER.XLS"}</definedName>
    <definedName name="_WRN2" localSheetId="11" hidden="1">{#N/A,#N/A,FALSE,"COVER1.XLS ";#N/A,#N/A,FALSE,"RACT1.XLS";#N/A,#N/A,FALSE,"RACT2.XLS";#N/A,#N/A,FALSE,"ECCMP";#N/A,#N/A,FALSE,"WELDER.XLS"}</definedName>
    <definedName name="_WRN2" localSheetId="9" hidden="1">{#N/A,#N/A,FALSE,"COVER1.XLS ";#N/A,#N/A,FALSE,"RACT1.XLS";#N/A,#N/A,FALSE,"RACT2.XLS";#N/A,#N/A,FALSE,"ECCMP";#N/A,#N/A,FALSE,"WELDER.XLS"}</definedName>
    <definedName name="_WRN2" localSheetId="13" hidden="1">{#N/A,#N/A,FALSE,"COVER1.XLS ";#N/A,#N/A,FALSE,"RACT1.XLS";#N/A,#N/A,FALSE,"RACT2.XLS";#N/A,#N/A,FALSE,"ECCMP";#N/A,#N/A,FALSE,"WELDER.XLS"}</definedName>
    <definedName name="_WRN2" localSheetId="18" hidden="1">{#N/A,#N/A,FALSE,"COVER1.XLS ";#N/A,#N/A,FALSE,"RACT1.XLS";#N/A,#N/A,FALSE,"RACT2.XLS";#N/A,#N/A,FALSE,"ECCMP";#N/A,#N/A,FALSE,"WELDER.XLS"}</definedName>
    <definedName name="_WRN2" localSheetId="15" hidden="1">{#N/A,#N/A,FALSE,"COVER1.XLS ";#N/A,#N/A,FALSE,"RACT1.XLS";#N/A,#N/A,FALSE,"RACT2.XLS";#N/A,#N/A,FALSE,"ECCMP";#N/A,#N/A,FALSE,"WELDER.XLS"}</definedName>
    <definedName name="_WRN2" localSheetId="7" hidden="1">{#N/A,#N/A,FALSE,"COVER1.XLS ";#N/A,#N/A,FALSE,"RACT1.XLS";#N/A,#N/A,FALSE,"RACT2.XLS";#N/A,#N/A,FALSE,"ECCMP";#N/A,#N/A,FALSE,"WELDER.XLS"}</definedName>
    <definedName name="_WRN2" hidden="1">{#N/A,#N/A,FALSE,"COVER1.XLS ";#N/A,#N/A,FALSE,"RACT1.XLS";#N/A,#N/A,FALSE,"RACT2.XLS";#N/A,#N/A,FALSE,"ECCMP";#N/A,#N/A,FALSE,"WELDER.XLS"}</definedName>
    <definedName name="_WRN3" localSheetId="12" hidden="1">{#N/A,#N/A,FALSE,"consu_cover";#N/A,#N/A,FALSE,"consu_strategy";#N/A,#N/A,FALSE,"consu_flow";#N/A,#N/A,FALSE,"Summary_reqmt";#N/A,#N/A,FALSE,"field_ppg";#N/A,#N/A,FALSE,"ppg_shop";#N/A,#N/A,FALSE,"strl";#N/A,#N/A,FALSE,"tankages";#N/A,#N/A,FALSE,"gases"}</definedName>
    <definedName name="_WRN3" localSheetId="6" hidden="1">{#N/A,#N/A,FALSE,"consu_cover";#N/A,#N/A,FALSE,"consu_strategy";#N/A,#N/A,FALSE,"consu_flow";#N/A,#N/A,FALSE,"Summary_reqmt";#N/A,#N/A,FALSE,"field_ppg";#N/A,#N/A,FALSE,"ppg_shop";#N/A,#N/A,FALSE,"strl";#N/A,#N/A,FALSE,"tankages";#N/A,#N/A,FALSE,"gases"}</definedName>
    <definedName name="_WRN3" localSheetId="5" hidden="1">{#N/A,#N/A,FALSE,"consu_cover";#N/A,#N/A,FALSE,"consu_strategy";#N/A,#N/A,FALSE,"consu_flow";#N/A,#N/A,FALSE,"Summary_reqmt";#N/A,#N/A,FALSE,"field_ppg";#N/A,#N/A,FALSE,"ppg_shop";#N/A,#N/A,FALSE,"strl";#N/A,#N/A,FALSE,"tankages";#N/A,#N/A,FALSE,"gases"}</definedName>
    <definedName name="_WRN3" localSheetId="8" hidden="1">{#N/A,#N/A,FALSE,"consu_cover";#N/A,#N/A,FALSE,"consu_strategy";#N/A,#N/A,FALSE,"consu_flow";#N/A,#N/A,FALSE,"Summary_reqmt";#N/A,#N/A,FALSE,"field_ppg";#N/A,#N/A,FALSE,"ppg_shop";#N/A,#N/A,FALSE,"strl";#N/A,#N/A,FALSE,"tankages";#N/A,#N/A,FALSE,"gases"}</definedName>
    <definedName name="_WRN3" localSheetId="11" hidden="1">{#N/A,#N/A,FALSE,"consu_cover";#N/A,#N/A,FALSE,"consu_strategy";#N/A,#N/A,FALSE,"consu_flow";#N/A,#N/A,FALSE,"Summary_reqmt";#N/A,#N/A,FALSE,"field_ppg";#N/A,#N/A,FALSE,"ppg_shop";#N/A,#N/A,FALSE,"strl";#N/A,#N/A,FALSE,"tankages";#N/A,#N/A,FALSE,"gases"}</definedName>
    <definedName name="_WRN3" localSheetId="9" hidden="1">{#N/A,#N/A,FALSE,"consu_cover";#N/A,#N/A,FALSE,"consu_strategy";#N/A,#N/A,FALSE,"consu_flow";#N/A,#N/A,FALSE,"Summary_reqmt";#N/A,#N/A,FALSE,"field_ppg";#N/A,#N/A,FALSE,"ppg_shop";#N/A,#N/A,FALSE,"strl";#N/A,#N/A,FALSE,"tankages";#N/A,#N/A,FALSE,"gases"}</definedName>
    <definedName name="_WRN3" localSheetId="13" hidden="1">{#N/A,#N/A,FALSE,"consu_cover";#N/A,#N/A,FALSE,"consu_strategy";#N/A,#N/A,FALSE,"consu_flow";#N/A,#N/A,FALSE,"Summary_reqmt";#N/A,#N/A,FALSE,"field_ppg";#N/A,#N/A,FALSE,"ppg_shop";#N/A,#N/A,FALSE,"strl";#N/A,#N/A,FALSE,"tankages";#N/A,#N/A,FALSE,"gases"}</definedName>
    <definedName name="_WRN3" localSheetId="18" hidden="1">{#N/A,#N/A,FALSE,"consu_cover";#N/A,#N/A,FALSE,"consu_strategy";#N/A,#N/A,FALSE,"consu_flow";#N/A,#N/A,FALSE,"Summary_reqmt";#N/A,#N/A,FALSE,"field_ppg";#N/A,#N/A,FALSE,"ppg_shop";#N/A,#N/A,FALSE,"strl";#N/A,#N/A,FALSE,"tankages";#N/A,#N/A,FALSE,"gases"}</definedName>
    <definedName name="_WRN3" localSheetId="15" hidden="1">{#N/A,#N/A,FALSE,"consu_cover";#N/A,#N/A,FALSE,"consu_strategy";#N/A,#N/A,FALSE,"consu_flow";#N/A,#N/A,FALSE,"Summary_reqmt";#N/A,#N/A,FALSE,"field_ppg";#N/A,#N/A,FALSE,"ppg_shop";#N/A,#N/A,FALSE,"strl";#N/A,#N/A,FALSE,"tankages";#N/A,#N/A,FALSE,"gases"}</definedName>
    <definedName name="_WRN3" localSheetId="7" hidden="1">{#N/A,#N/A,FALSE,"consu_cover";#N/A,#N/A,FALSE,"consu_strategy";#N/A,#N/A,FALSE,"consu_flow";#N/A,#N/A,FALSE,"Summary_reqmt";#N/A,#N/A,FALSE,"field_ppg";#N/A,#N/A,FALSE,"ppg_shop";#N/A,#N/A,FALSE,"strl";#N/A,#N/A,FALSE,"tankages";#N/A,#N/A,FALSE,"gases"}</definedName>
    <definedName name="_WRN3" hidden="1">{#N/A,#N/A,FALSE,"consu_cover";#N/A,#N/A,FALSE,"consu_strategy";#N/A,#N/A,FALSE,"consu_flow";#N/A,#N/A,FALSE,"Summary_reqmt";#N/A,#N/A,FALSE,"field_ppg";#N/A,#N/A,FALSE,"ppg_shop";#N/A,#N/A,FALSE,"strl";#N/A,#N/A,FALSE,"tankages";#N/A,#N/A,FALSE,"gases"}</definedName>
    <definedName name="A" localSheetId="12">#REF!</definedName>
    <definedName name="A" localSheetId="6">#REF!</definedName>
    <definedName name="A" localSheetId="5">#REF!</definedName>
    <definedName name="A" localSheetId="8">#REF!</definedName>
    <definedName name="A" localSheetId="11">#REF!</definedName>
    <definedName name="A" localSheetId="9">#REF!</definedName>
    <definedName name="A" localSheetId="18">#REF!</definedName>
    <definedName name="A" localSheetId="15">#REF!</definedName>
    <definedName name="A" localSheetId="7">#REF!</definedName>
    <definedName name="A">#REF!</definedName>
    <definedName name="a._Trimmer" localSheetId="12">#REF!</definedName>
    <definedName name="a._Trimmer" localSheetId="6">#REF!</definedName>
    <definedName name="a._Trimmer" localSheetId="5">#REF!</definedName>
    <definedName name="a._Trimmer" localSheetId="8">#REF!</definedName>
    <definedName name="a._Trimmer" localSheetId="11">#REF!</definedName>
    <definedName name="a._Trimmer" localSheetId="9">#REF!</definedName>
    <definedName name="a._Trimmer" localSheetId="18">#REF!</definedName>
    <definedName name="a._Trimmer" localSheetId="15">#REF!</definedName>
    <definedName name="a._Trimmer" localSheetId="7">#REF!</definedName>
    <definedName name="a._Trimmer">#REF!</definedName>
    <definedName name="a___0" localSheetId="12">#REF!</definedName>
    <definedName name="a___0" localSheetId="6">#REF!</definedName>
    <definedName name="a___0" localSheetId="5">#REF!</definedName>
    <definedName name="a___0" localSheetId="8">#REF!</definedName>
    <definedName name="a___0" localSheetId="11">#REF!</definedName>
    <definedName name="a___0" localSheetId="9">#REF!</definedName>
    <definedName name="a___0" localSheetId="18">#REF!</definedName>
    <definedName name="a___0" localSheetId="15">#REF!</definedName>
    <definedName name="a___0" localSheetId="7">#REF!</definedName>
    <definedName name="a___0">#REF!</definedName>
    <definedName name="a___13" localSheetId="12">#REF!</definedName>
    <definedName name="a___13" localSheetId="8">#REF!</definedName>
    <definedName name="a___13" localSheetId="11">#REF!</definedName>
    <definedName name="a___13" localSheetId="9">#REF!</definedName>
    <definedName name="a___13" localSheetId="18">#REF!</definedName>
    <definedName name="a___13" localSheetId="15">#REF!</definedName>
    <definedName name="a___13" localSheetId="7">#REF!</definedName>
    <definedName name="a___13">#REF!</definedName>
    <definedName name="a__Labour_charges_for_cutting_bending__welding_including_materials." localSheetId="12">#REF!</definedName>
    <definedName name="a__Labour_charges_for_cutting_bending__welding_including_materials." localSheetId="8">#REF!</definedName>
    <definedName name="a__Labour_charges_for_cutting_bending__welding_including_materials." localSheetId="11">#REF!</definedName>
    <definedName name="a__Labour_charges_for_cutting_bending__welding_including_materials." localSheetId="9">#REF!</definedName>
    <definedName name="a__Labour_charges_for_cutting_bending__welding_including_materials." localSheetId="18">#REF!</definedName>
    <definedName name="a__Labour_charges_for_cutting_bending__welding_including_materials." localSheetId="15">#REF!</definedName>
    <definedName name="a__Labour_charges_for_cutting_bending__welding_including_materials." localSheetId="7">#REF!</definedName>
    <definedName name="a__Labour_charges_for_cutting_bending__welding_including_materials.">#REF!</definedName>
    <definedName name="A0" localSheetId="12">#REF!</definedName>
    <definedName name="A0" localSheetId="8">#REF!</definedName>
    <definedName name="A0" localSheetId="11">#REF!</definedName>
    <definedName name="A0" localSheetId="9">#REF!</definedName>
    <definedName name="A0" localSheetId="18">#REF!</definedName>
    <definedName name="A0" localSheetId="15">#REF!</definedName>
    <definedName name="A0" localSheetId="7">#REF!</definedName>
    <definedName name="A0">#REF!</definedName>
    <definedName name="A1_" localSheetId="12">#REF!</definedName>
    <definedName name="A1_" localSheetId="0">#REF!</definedName>
    <definedName name="A1_" localSheetId="1">#REF!</definedName>
    <definedName name="A1_" localSheetId="8">#REF!</definedName>
    <definedName name="A1_" localSheetId="11">#REF!</definedName>
    <definedName name="A1_" localSheetId="9">#REF!</definedName>
    <definedName name="A1_" localSheetId="18">#REF!</definedName>
    <definedName name="A1_" localSheetId="15">#REF!</definedName>
    <definedName name="A1_" localSheetId="7">#REF!</definedName>
    <definedName name="A1_">#REF!</definedName>
    <definedName name="A1____0" localSheetId="12">#REF!</definedName>
    <definedName name="A1____0" localSheetId="8">#REF!</definedName>
    <definedName name="A1____0" localSheetId="11">#REF!</definedName>
    <definedName name="A1____0" localSheetId="9">#REF!</definedName>
    <definedName name="A1____0" localSheetId="18">#REF!</definedName>
    <definedName name="A1____0" localSheetId="15">#REF!</definedName>
    <definedName name="A1____0" localSheetId="7">#REF!</definedName>
    <definedName name="A1____0">#REF!</definedName>
    <definedName name="A1____13" localSheetId="12">#REF!</definedName>
    <definedName name="A1____13" localSheetId="8">#REF!</definedName>
    <definedName name="A1____13" localSheetId="11">#REF!</definedName>
    <definedName name="A1____13" localSheetId="9">#REF!</definedName>
    <definedName name="A1____13" localSheetId="18">#REF!</definedName>
    <definedName name="A1____13" localSheetId="15">#REF!</definedName>
    <definedName name="A1____13" localSheetId="7">#REF!</definedName>
    <definedName name="A1____13">#REF!</definedName>
    <definedName name="A10_" localSheetId="12">#REF!</definedName>
    <definedName name="A10_" localSheetId="0">#REF!</definedName>
    <definedName name="A10_" localSheetId="1">#REF!</definedName>
    <definedName name="A10_" localSheetId="8">#REF!</definedName>
    <definedName name="A10_" localSheetId="11">#REF!</definedName>
    <definedName name="A10_" localSheetId="9">#REF!</definedName>
    <definedName name="A10_" localSheetId="18">#REF!</definedName>
    <definedName name="A10_" localSheetId="15">#REF!</definedName>
    <definedName name="A10_" localSheetId="7">#REF!</definedName>
    <definedName name="A10_">#REF!</definedName>
    <definedName name="A10____0" localSheetId="12">#REF!</definedName>
    <definedName name="A10____0" localSheetId="8">#REF!</definedName>
    <definedName name="A10____0" localSheetId="11">#REF!</definedName>
    <definedName name="A10____0" localSheetId="9">#REF!</definedName>
    <definedName name="A10____0" localSheetId="18">#REF!</definedName>
    <definedName name="A10____0" localSheetId="15">#REF!</definedName>
    <definedName name="A10____0" localSheetId="7">#REF!</definedName>
    <definedName name="A10____0">#REF!</definedName>
    <definedName name="A10____13" localSheetId="12">#REF!</definedName>
    <definedName name="A10____13" localSheetId="8">#REF!</definedName>
    <definedName name="A10____13" localSheetId="11">#REF!</definedName>
    <definedName name="A10____13" localSheetId="9">#REF!</definedName>
    <definedName name="A10____13" localSheetId="18">#REF!</definedName>
    <definedName name="A10____13" localSheetId="15">#REF!</definedName>
    <definedName name="A10____13" localSheetId="7">#REF!</definedName>
    <definedName name="A10____13">#REF!</definedName>
    <definedName name="A13_" localSheetId="12">#REF!</definedName>
    <definedName name="A13_" localSheetId="0">#REF!</definedName>
    <definedName name="A13_" localSheetId="1">#REF!</definedName>
    <definedName name="A13_" localSheetId="8">#REF!</definedName>
    <definedName name="A13_" localSheetId="11">#REF!</definedName>
    <definedName name="A13_" localSheetId="9">#REF!</definedName>
    <definedName name="A13_" localSheetId="18">#REF!</definedName>
    <definedName name="A13_" localSheetId="15">#REF!</definedName>
    <definedName name="A13_" localSheetId="7">#REF!</definedName>
    <definedName name="A13_">#REF!</definedName>
    <definedName name="A13____0" localSheetId="12">#REF!</definedName>
    <definedName name="A13____0" localSheetId="8">#REF!</definedName>
    <definedName name="A13____0" localSheetId="11">#REF!</definedName>
    <definedName name="A13____0" localSheetId="9">#REF!</definedName>
    <definedName name="A13____0" localSheetId="18">#REF!</definedName>
    <definedName name="A13____0" localSheetId="15">#REF!</definedName>
    <definedName name="A13____0" localSheetId="7">#REF!</definedName>
    <definedName name="A13____0">#REF!</definedName>
    <definedName name="A13____13" localSheetId="12">#REF!</definedName>
    <definedName name="A13____13" localSheetId="8">#REF!</definedName>
    <definedName name="A13____13" localSheetId="11">#REF!</definedName>
    <definedName name="A13____13" localSheetId="9">#REF!</definedName>
    <definedName name="A13____13" localSheetId="18">#REF!</definedName>
    <definedName name="A13____13" localSheetId="15">#REF!</definedName>
    <definedName name="A13____13" localSheetId="7">#REF!</definedName>
    <definedName name="A13____13">#REF!</definedName>
    <definedName name="A2_" localSheetId="12">#REF!</definedName>
    <definedName name="A2_" localSheetId="0">#REF!</definedName>
    <definedName name="A2_" localSheetId="1">#REF!</definedName>
    <definedName name="A2_" localSheetId="8">#REF!</definedName>
    <definedName name="A2_" localSheetId="11">#REF!</definedName>
    <definedName name="A2_" localSheetId="9">#REF!</definedName>
    <definedName name="A2_" localSheetId="18">#REF!</definedName>
    <definedName name="A2_" localSheetId="15">#REF!</definedName>
    <definedName name="A2_" localSheetId="7">#REF!</definedName>
    <definedName name="A2_">#REF!</definedName>
    <definedName name="A2____0" localSheetId="12">#REF!</definedName>
    <definedName name="A2____0" localSheetId="8">#REF!</definedName>
    <definedName name="A2____0" localSheetId="11">#REF!</definedName>
    <definedName name="A2____0" localSheetId="9">#REF!</definedName>
    <definedName name="A2____0" localSheetId="18">#REF!</definedName>
    <definedName name="A2____0" localSheetId="15">#REF!</definedName>
    <definedName name="A2____0" localSheetId="7">#REF!</definedName>
    <definedName name="A2____0">#REF!</definedName>
    <definedName name="A2____13" localSheetId="12">#REF!</definedName>
    <definedName name="A2____13" localSheetId="8">#REF!</definedName>
    <definedName name="A2____13" localSheetId="11">#REF!</definedName>
    <definedName name="A2____13" localSheetId="9">#REF!</definedName>
    <definedName name="A2____13" localSheetId="18">#REF!</definedName>
    <definedName name="A2____13" localSheetId="15">#REF!</definedName>
    <definedName name="A2____13" localSheetId="7">#REF!</definedName>
    <definedName name="A2____13">#REF!</definedName>
    <definedName name="A3_" localSheetId="12">#REF!</definedName>
    <definedName name="A3_" localSheetId="0">#REF!</definedName>
    <definedName name="A3_" localSheetId="1">#REF!</definedName>
    <definedName name="A3_" localSheetId="8">#REF!</definedName>
    <definedName name="A3_" localSheetId="11">#REF!</definedName>
    <definedName name="A3_" localSheetId="9">#REF!</definedName>
    <definedName name="A3_" localSheetId="18">#REF!</definedName>
    <definedName name="A3_" localSheetId="15">#REF!</definedName>
    <definedName name="A3_" localSheetId="7">#REF!</definedName>
    <definedName name="A3_">#REF!</definedName>
    <definedName name="A3____0" localSheetId="12">#REF!</definedName>
    <definedName name="A3____0" localSheetId="8">#REF!</definedName>
    <definedName name="A3____0" localSheetId="11">#REF!</definedName>
    <definedName name="A3____0" localSheetId="9">#REF!</definedName>
    <definedName name="A3____0" localSheetId="18">#REF!</definedName>
    <definedName name="A3____0" localSheetId="15">#REF!</definedName>
    <definedName name="A3____0" localSheetId="7">#REF!</definedName>
    <definedName name="A3____0">#REF!</definedName>
    <definedName name="A3____13" localSheetId="12">#REF!</definedName>
    <definedName name="A3____13" localSheetId="8">#REF!</definedName>
    <definedName name="A3____13" localSheetId="11">#REF!</definedName>
    <definedName name="A3____13" localSheetId="9">#REF!</definedName>
    <definedName name="A3____13" localSheetId="18">#REF!</definedName>
    <definedName name="A3____13" localSheetId="15">#REF!</definedName>
    <definedName name="A3____13" localSheetId="7">#REF!</definedName>
    <definedName name="A3____13">#REF!</definedName>
    <definedName name="A4_" localSheetId="12">#REF!</definedName>
    <definedName name="A4_" localSheetId="0">#REF!</definedName>
    <definedName name="A4_" localSheetId="1">#REF!</definedName>
    <definedName name="A4_" localSheetId="8">#REF!</definedName>
    <definedName name="A4_" localSheetId="11">#REF!</definedName>
    <definedName name="A4_" localSheetId="9">#REF!</definedName>
    <definedName name="A4_" localSheetId="18">#REF!</definedName>
    <definedName name="A4_" localSheetId="15">#REF!</definedName>
    <definedName name="A4_" localSheetId="7">#REF!</definedName>
    <definedName name="A4_">#REF!</definedName>
    <definedName name="A4____0" localSheetId="12">#REF!</definedName>
    <definedName name="A4____0" localSheetId="8">#REF!</definedName>
    <definedName name="A4____0" localSheetId="11">#REF!</definedName>
    <definedName name="A4____0" localSheetId="9">#REF!</definedName>
    <definedName name="A4____0" localSheetId="18">#REF!</definedName>
    <definedName name="A4____0" localSheetId="15">#REF!</definedName>
    <definedName name="A4____0" localSheetId="7">#REF!</definedName>
    <definedName name="A4____0">#REF!</definedName>
    <definedName name="A4____13" localSheetId="12">#REF!</definedName>
    <definedName name="A4____13" localSheetId="8">#REF!</definedName>
    <definedName name="A4____13" localSheetId="11">#REF!</definedName>
    <definedName name="A4____13" localSheetId="9">#REF!</definedName>
    <definedName name="A4____13" localSheetId="18">#REF!</definedName>
    <definedName name="A4____13" localSheetId="15">#REF!</definedName>
    <definedName name="A4____13" localSheetId="7">#REF!</definedName>
    <definedName name="A4____13">#REF!</definedName>
    <definedName name="A5_" localSheetId="12">#REF!</definedName>
    <definedName name="A5_" localSheetId="0">#REF!</definedName>
    <definedName name="A5_" localSheetId="1">#REF!</definedName>
    <definedName name="A5_" localSheetId="8">#REF!</definedName>
    <definedName name="A5_" localSheetId="11">#REF!</definedName>
    <definedName name="A5_" localSheetId="9">#REF!</definedName>
    <definedName name="A5_" localSheetId="18">#REF!</definedName>
    <definedName name="A5_" localSheetId="15">#REF!</definedName>
    <definedName name="A5_" localSheetId="7">#REF!</definedName>
    <definedName name="A5_">#REF!</definedName>
    <definedName name="A5____0" localSheetId="12">#REF!</definedName>
    <definedName name="A5____0" localSheetId="8">#REF!</definedName>
    <definedName name="A5____0" localSheetId="11">#REF!</definedName>
    <definedName name="A5____0" localSheetId="9">#REF!</definedName>
    <definedName name="A5____0" localSheetId="18">#REF!</definedName>
    <definedName name="A5____0" localSheetId="15">#REF!</definedName>
    <definedName name="A5____0" localSheetId="7">#REF!</definedName>
    <definedName name="A5____0">#REF!</definedName>
    <definedName name="A5____13" localSheetId="12">#REF!</definedName>
    <definedName name="A5____13" localSheetId="8">#REF!</definedName>
    <definedName name="A5____13" localSheetId="11">#REF!</definedName>
    <definedName name="A5____13" localSheetId="9">#REF!</definedName>
    <definedName name="A5____13" localSheetId="18">#REF!</definedName>
    <definedName name="A5____13" localSheetId="15">#REF!</definedName>
    <definedName name="A5____13" localSheetId="7">#REF!</definedName>
    <definedName name="A5____13">#REF!</definedName>
    <definedName name="A6_" localSheetId="12">#REF!</definedName>
    <definedName name="A6_" localSheetId="0">#REF!</definedName>
    <definedName name="A6_" localSheetId="1">#REF!</definedName>
    <definedName name="A6_" localSheetId="8">#REF!</definedName>
    <definedName name="A6_" localSheetId="11">#REF!</definedName>
    <definedName name="A6_" localSheetId="9">#REF!</definedName>
    <definedName name="A6_" localSheetId="18">#REF!</definedName>
    <definedName name="A6_" localSheetId="15">#REF!</definedName>
    <definedName name="A6_" localSheetId="7">#REF!</definedName>
    <definedName name="A6_">#REF!</definedName>
    <definedName name="A6____0" localSheetId="12">#REF!</definedName>
    <definedName name="A6____0" localSheetId="8">#REF!</definedName>
    <definedName name="A6____0" localSheetId="11">#REF!</definedName>
    <definedName name="A6____0" localSheetId="9">#REF!</definedName>
    <definedName name="A6____0" localSheetId="18">#REF!</definedName>
    <definedName name="A6____0" localSheetId="15">#REF!</definedName>
    <definedName name="A6____0" localSheetId="7">#REF!</definedName>
    <definedName name="A6____0">#REF!</definedName>
    <definedName name="A6____13" localSheetId="12">#REF!</definedName>
    <definedName name="A6____13" localSheetId="8">#REF!</definedName>
    <definedName name="A6____13" localSheetId="11">#REF!</definedName>
    <definedName name="A6____13" localSheetId="9">#REF!</definedName>
    <definedName name="A6____13" localSheetId="18">#REF!</definedName>
    <definedName name="A6____13" localSheetId="15">#REF!</definedName>
    <definedName name="A6____13" localSheetId="7">#REF!</definedName>
    <definedName name="A6____13">#REF!</definedName>
    <definedName name="A7_" localSheetId="12">#REF!</definedName>
    <definedName name="A7_" localSheetId="0">#REF!</definedName>
    <definedName name="A7_" localSheetId="1">#REF!</definedName>
    <definedName name="A7_" localSheetId="8">#REF!</definedName>
    <definedName name="A7_" localSheetId="11">#REF!</definedName>
    <definedName name="A7_" localSheetId="9">#REF!</definedName>
    <definedName name="A7_" localSheetId="18">#REF!</definedName>
    <definedName name="A7_" localSheetId="15">#REF!</definedName>
    <definedName name="A7_" localSheetId="7">#REF!</definedName>
    <definedName name="A7_">#REF!</definedName>
    <definedName name="A7____0" localSheetId="12">#REF!</definedName>
    <definedName name="A7____0" localSheetId="8">#REF!</definedName>
    <definedName name="A7____0" localSheetId="11">#REF!</definedName>
    <definedName name="A7____0" localSheetId="9">#REF!</definedName>
    <definedName name="A7____0" localSheetId="18">#REF!</definedName>
    <definedName name="A7____0" localSheetId="15">#REF!</definedName>
    <definedName name="A7____0" localSheetId="7">#REF!</definedName>
    <definedName name="A7____0">#REF!</definedName>
    <definedName name="A7____13" localSheetId="12">#REF!</definedName>
    <definedName name="A7____13" localSheetId="8">#REF!</definedName>
    <definedName name="A7____13" localSheetId="11">#REF!</definedName>
    <definedName name="A7____13" localSheetId="9">#REF!</definedName>
    <definedName name="A7____13" localSheetId="18">#REF!</definedName>
    <definedName name="A7____13" localSheetId="15">#REF!</definedName>
    <definedName name="A7____13" localSheetId="7">#REF!</definedName>
    <definedName name="A7____13">#REF!</definedName>
    <definedName name="A8_" localSheetId="12">#REF!</definedName>
    <definedName name="A8_" localSheetId="0">#REF!</definedName>
    <definedName name="A8_" localSheetId="1">#REF!</definedName>
    <definedName name="A8_" localSheetId="8">#REF!</definedName>
    <definedName name="A8_" localSheetId="11">#REF!</definedName>
    <definedName name="A8_" localSheetId="9">#REF!</definedName>
    <definedName name="A8_" localSheetId="18">#REF!</definedName>
    <definedName name="A8_" localSheetId="15">#REF!</definedName>
    <definedName name="A8_" localSheetId="7">#REF!</definedName>
    <definedName name="A8_">#REF!</definedName>
    <definedName name="A8____0" localSheetId="12">#REF!</definedName>
    <definedName name="A8____0" localSheetId="8">#REF!</definedName>
    <definedName name="A8____0" localSheetId="11">#REF!</definedName>
    <definedName name="A8____0" localSheetId="9">#REF!</definedName>
    <definedName name="A8____0" localSheetId="18">#REF!</definedName>
    <definedName name="A8____0" localSheetId="15">#REF!</definedName>
    <definedName name="A8____0" localSheetId="7">#REF!</definedName>
    <definedName name="A8____0">#REF!</definedName>
    <definedName name="A8____13" localSheetId="12">#REF!</definedName>
    <definedName name="A8____13" localSheetId="8">#REF!</definedName>
    <definedName name="A8____13" localSheetId="11">#REF!</definedName>
    <definedName name="A8____13" localSheetId="9">#REF!</definedName>
    <definedName name="A8____13" localSheetId="18">#REF!</definedName>
    <definedName name="A8____13" localSheetId="15">#REF!</definedName>
    <definedName name="A8____13" localSheetId="7">#REF!</definedName>
    <definedName name="A8____13">#REF!</definedName>
    <definedName name="A9_" localSheetId="12">#REF!</definedName>
    <definedName name="A9_" localSheetId="0">#REF!</definedName>
    <definedName name="A9_" localSheetId="1">#REF!</definedName>
    <definedName name="A9_" localSheetId="8">#REF!</definedName>
    <definedName name="A9_" localSheetId="11">#REF!</definedName>
    <definedName name="A9_" localSheetId="9">#REF!</definedName>
    <definedName name="A9_" localSheetId="18">#REF!</definedName>
    <definedName name="A9_" localSheetId="15">#REF!</definedName>
    <definedName name="A9_" localSheetId="7">#REF!</definedName>
    <definedName name="A9_">#REF!</definedName>
    <definedName name="A9____0" localSheetId="12">#REF!</definedName>
    <definedName name="A9____0" localSheetId="8">#REF!</definedName>
    <definedName name="A9____0" localSheetId="11">#REF!</definedName>
    <definedName name="A9____0" localSheetId="9">#REF!</definedName>
    <definedName name="A9____0" localSheetId="18">#REF!</definedName>
    <definedName name="A9____0" localSheetId="15">#REF!</definedName>
    <definedName name="A9____0" localSheetId="7">#REF!</definedName>
    <definedName name="A9____0">#REF!</definedName>
    <definedName name="A9____13" localSheetId="12">#REF!</definedName>
    <definedName name="A9____13" localSheetId="8">#REF!</definedName>
    <definedName name="A9____13" localSheetId="11">#REF!</definedName>
    <definedName name="A9____13" localSheetId="9">#REF!</definedName>
    <definedName name="A9____13" localSheetId="18">#REF!</definedName>
    <definedName name="A9____13" localSheetId="15">#REF!</definedName>
    <definedName name="A9____13" localSheetId="7">#REF!</definedName>
    <definedName name="A9____13">#REF!</definedName>
    <definedName name="A90DSDSD" localSheetId="12">#REF!</definedName>
    <definedName name="A90DSDSD" localSheetId="8">#REF!</definedName>
    <definedName name="A90DSDSD" localSheetId="11">#REF!</definedName>
    <definedName name="A90DSDSD" localSheetId="9">#REF!</definedName>
    <definedName name="A90DSDSD" localSheetId="18">#REF!</definedName>
    <definedName name="A90DSDSD" localSheetId="15">#REF!</definedName>
    <definedName name="A90DSDSD" localSheetId="7">#REF!</definedName>
    <definedName name="A90DSDSD">#REF!</definedName>
    <definedName name="AA" localSheetId="12">#REF!</definedName>
    <definedName name="AA" localSheetId="8">#REF!</definedName>
    <definedName name="AA" localSheetId="11">#REF!</definedName>
    <definedName name="AA" localSheetId="9">#REF!</definedName>
    <definedName name="AA" localSheetId="18">#REF!</definedName>
    <definedName name="AA" localSheetId="15">#REF!</definedName>
    <definedName name="AA" localSheetId="7">#REF!</definedName>
    <definedName name="AA">#REF!</definedName>
    <definedName name="aaa" localSheetId="12">#REF!</definedName>
    <definedName name="aaa" localSheetId="0">#REF!</definedName>
    <definedName name="aaa" localSheetId="1">#REF!</definedName>
    <definedName name="aaa" localSheetId="8">#REF!</definedName>
    <definedName name="aaa" localSheetId="11">#REF!</definedName>
    <definedName name="aaa" localSheetId="9">#REF!</definedName>
    <definedName name="aaa" localSheetId="18">#REF!</definedName>
    <definedName name="aaa" localSheetId="15">#REF!</definedName>
    <definedName name="aaa" localSheetId="7">#REF!</definedName>
    <definedName name="aaa">#REF!</definedName>
    <definedName name="AAA5A" localSheetId="12">#REF!</definedName>
    <definedName name="AAA5A" localSheetId="0">#REF!</definedName>
    <definedName name="AAA5A" localSheetId="1">#REF!</definedName>
    <definedName name="AAA5A" localSheetId="8">#REF!</definedName>
    <definedName name="AAA5A" localSheetId="11">#REF!</definedName>
    <definedName name="AAA5A" localSheetId="9">#REF!</definedName>
    <definedName name="AAA5A" localSheetId="18">#REF!</definedName>
    <definedName name="AAA5A" localSheetId="15">#REF!</definedName>
    <definedName name="AAA5A" localSheetId="7">#REF!</definedName>
    <definedName name="AAA5A">#REF!</definedName>
    <definedName name="aaaa" localSheetId="12">#REF!</definedName>
    <definedName name="aaaa" localSheetId="0">#REF!</definedName>
    <definedName name="aaaa" localSheetId="1">#REF!</definedName>
    <definedName name="aaaa" localSheetId="8">#REF!</definedName>
    <definedName name="aaaa" localSheetId="11">#REF!</definedName>
    <definedName name="aaaa" localSheetId="9">#REF!</definedName>
    <definedName name="aaaa" localSheetId="18">#REF!</definedName>
    <definedName name="aaaa" localSheetId="15">#REF!</definedName>
    <definedName name="aaaa" localSheetId="7">#REF!</definedName>
    <definedName name="aaaa">#REF!</definedName>
    <definedName name="aaaa55" localSheetId="12">#REF!</definedName>
    <definedName name="aaaa55" localSheetId="0">#REF!</definedName>
    <definedName name="aaaa55" localSheetId="1">#REF!</definedName>
    <definedName name="aaaa55" localSheetId="8">#REF!</definedName>
    <definedName name="aaaa55" localSheetId="11">#REF!</definedName>
    <definedName name="aaaa55" localSheetId="9">#REF!</definedName>
    <definedName name="aaaa55" localSheetId="18">#REF!</definedName>
    <definedName name="aaaa55" localSheetId="15">#REF!</definedName>
    <definedName name="aaaa55" localSheetId="7">#REF!</definedName>
    <definedName name="aaaa55">#REF!</definedName>
    <definedName name="AAAA56" localSheetId="12">#REF!</definedName>
    <definedName name="AAAA56" localSheetId="0">#REF!</definedName>
    <definedName name="AAAA56" localSheetId="1">#REF!</definedName>
    <definedName name="AAAA56" localSheetId="8">#REF!</definedName>
    <definedName name="AAAA56" localSheetId="11">#REF!</definedName>
    <definedName name="AAAA56" localSheetId="9">#REF!</definedName>
    <definedName name="AAAA56" localSheetId="18">#REF!</definedName>
    <definedName name="AAAA56" localSheetId="15">#REF!</definedName>
    <definedName name="AAAA56" localSheetId="7">#REF!</definedName>
    <definedName name="AAAA56">#REF!</definedName>
    <definedName name="aaaa59" localSheetId="12">#REF!</definedName>
    <definedName name="aaaa59" localSheetId="0">#REF!</definedName>
    <definedName name="aaaa59" localSheetId="1">#REF!</definedName>
    <definedName name="aaaa59" localSheetId="8">#REF!</definedName>
    <definedName name="aaaa59" localSheetId="11">#REF!</definedName>
    <definedName name="aaaa59" localSheetId="9">#REF!</definedName>
    <definedName name="aaaa59" localSheetId="18">#REF!</definedName>
    <definedName name="aaaa59" localSheetId="15">#REF!</definedName>
    <definedName name="aaaa59" localSheetId="7">#REF!</definedName>
    <definedName name="aaaa59">#REF!</definedName>
    <definedName name="AAAA6" localSheetId="12">#REF!</definedName>
    <definedName name="AAAA6" localSheetId="0">#REF!</definedName>
    <definedName name="AAAA6" localSheetId="1">#REF!</definedName>
    <definedName name="AAAA6" localSheetId="8">#REF!</definedName>
    <definedName name="AAAA6" localSheetId="11">#REF!</definedName>
    <definedName name="AAAA6" localSheetId="9">#REF!</definedName>
    <definedName name="AAAA6" localSheetId="18">#REF!</definedName>
    <definedName name="AAAA6" localSheetId="15">#REF!</definedName>
    <definedName name="AAAA6" localSheetId="7">#REF!</definedName>
    <definedName name="AAAA6">#REF!</definedName>
    <definedName name="AAAAA5" localSheetId="12">#REF!</definedName>
    <definedName name="AAAAA5" localSheetId="0">#REF!</definedName>
    <definedName name="AAAAA5" localSheetId="1">#REF!</definedName>
    <definedName name="AAAAA5" localSheetId="8">#REF!</definedName>
    <definedName name="AAAAA5" localSheetId="11">#REF!</definedName>
    <definedName name="AAAAA5" localSheetId="9">#REF!</definedName>
    <definedName name="AAAAA5" localSheetId="18">#REF!</definedName>
    <definedName name="AAAAA5" localSheetId="15">#REF!</definedName>
    <definedName name="AAAAA5" localSheetId="7">#REF!</definedName>
    <definedName name="AAAAA5">#REF!</definedName>
    <definedName name="AAAAAAA" localSheetId="12">#REF!</definedName>
    <definedName name="AAAAAAA" localSheetId="8">#REF!</definedName>
    <definedName name="AAAAAAA" localSheetId="11">#REF!</definedName>
    <definedName name="AAAAAAA" localSheetId="9">#REF!</definedName>
    <definedName name="AAAAAAA" localSheetId="18">#REF!</definedName>
    <definedName name="AAAAAAA" localSheetId="15">#REF!</definedName>
    <definedName name="AAAAAAA" localSheetId="7">#REF!</definedName>
    <definedName name="AAAAAAA">#REF!</definedName>
    <definedName name="aaaaaaaaaaa" localSheetId="12">#REF!</definedName>
    <definedName name="aaaaaaaaaaa" localSheetId="8">#REF!</definedName>
    <definedName name="aaaaaaaaaaa" localSheetId="11">#REF!</definedName>
    <definedName name="aaaaaaaaaaa" localSheetId="9">#REF!</definedName>
    <definedName name="aaaaaaaaaaa" localSheetId="18">#REF!</definedName>
    <definedName name="aaaaaaaaaaa" localSheetId="15">#REF!</definedName>
    <definedName name="aaaaaaaaaaa" localSheetId="7">#REF!</definedName>
    <definedName name="aaaaaaaaaaa">#REF!</definedName>
    <definedName name="AAC_Blocks" localSheetId="12">#REF!</definedName>
    <definedName name="AAC_Blocks" localSheetId="8">#REF!</definedName>
    <definedName name="AAC_Blocks" localSheetId="11">#REF!</definedName>
    <definedName name="AAC_Blocks" localSheetId="9">#REF!</definedName>
    <definedName name="AAC_Blocks" localSheetId="18">#REF!</definedName>
    <definedName name="AAC_Blocks" localSheetId="15">#REF!</definedName>
    <definedName name="AAC_Blocks" localSheetId="7">#REF!</definedName>
    <definedName name="AAC_Blocks">#REF!</definedName>
    <definedName name="aaffa" localSheetId="12" hidden="1">{#N/A,#N/A,FALSE,"COVER.XLS";#N/A,#N/A,FALSE,"RACT1.XLS";#N/A,#N/A,FALSE,"RACT2.XLS";#N/A,#N/A,FALSE,"ECCMP";#N/A,#N/A,FALSE,"WELDER.XLS"}</definedName>
    <definedName name="aaffa" localSheetId="6" hidden="1">{#N/A,#N/A,FALSE,"COVER.XLS";#N/A,#N/A,FALSE,"RACT1.XLS";#N/A,#N/A,FALSE,"RACT2.XLS";#N/A,#N/A,FALSE,"ECCMP";#N/A,#N/A,FALSE,"WELDER.XLS"}</definedName>
    <definedName name="aaffa" localSheetId="5" hidden="1">{#N/A,#N/A,FALSE,"COVER.XLS";#N/A,#N/A,FALSE,"RACT1.XLS";#N/A,#N/A,FALSE,"RACT2.XLS";#N/A,#N/A,FALSE,"ECCMP";#N/A,#N/A,FALSE,"WELDER.XLS"}</definedName>
    <definedName name="aaffa" localSheetId="8" hidden="1">{#N/A,#N/A,FALSE,"COVER.XLS";#N/A,#N/A,FALSE,"RACT1.XLS";#N/A,#N/A,FALSE,"RACT2.XLS";#N/A,#N/A,FALSE,"ECCMP";#N/A,#N/A,FALSE,"WELDER.XLS"}</definedName>
    <definedName name="aaffa" localSheetId="11" hidden="1">{#N/A,#N/A,FALSE,"COVER.XLS";#N/A,#N/A,FALSE,"RACT1.XLS";#N/A,#N/A,FALSE,"RACT2.XLS";#N/A,#N/A,FALSE,"ECCMP";#N/A,#N/A,FALSE,"WELDER.XLS"}</definedName>
    <definedName name="aaffa" localSheetId="9" hidden="1">{#N/A,#N/A,FALSE,"COVER.XLS";#N/A,#N/A,FALSE,"RACT1.XLS";#N/A,#N/A,FALSE,"RACT2.XLS";#N/A,#N/A,FALSE,"ECCMP";#N/A,#N/A,FALSE,"WELDER.XLS"}</definedName>
    <definedName name="aaffa" localSheetId="13" hidden="1">{#N/A,#N/A,FALSE,"COVER.XLS";#N/A,#N/A,FALSE,"RACT1.XLS";#N/A,#N/A,FALSE,"RACT2.XLS";#N/A,#N/A,FALSE,"ECCMP";#N/A,#N/A,FALSE,"WELDER.XLS"}</definedName>
    <definedName name="aaffa" localSheetId="18" hidden="1">{#N/A,#N/A,FALSE,"COVER.XLS";#N/A,#N/A,FALSE,"RACT1.XLS";#N/A,#N/A,FALSE,"RACT2.XLS";#N/A,#N/A,FALSE,"ECCMP";#N/A,#N/A,FALSE,"WELDER.XLS"}</definedName>
    <definedName name="aaffa" localSheetId="15" hidden="1">{#N/A,#N/A,FALSE,"COVER.XLS";#N/A,#N/A,FALSE,"RACT1.XLS";#N/A,#N/A,FALSE,"RACT2.XLS";#N/A,#N/A,FALSE,"ECCMP";#N/A,#N/A,FALSE,"WELDER.XLS"}</definedName>
    <definedName name="aaffa" localSheetId="7" hidden="1">{#N/A,#N/A,FALSE,"COVER.XLS";#N/A,#N/A,FALSE,"RACT1.XLS";#N/A,#N/A,FALSE,"RACT2.XLS";#N/A,#N/A,FALSE,"ECCMP";#N/A,#N/A,FALSE,"WELDER.XLS"}</definedName>
    <definedName name="aaffa" hidden="1">{#N/A,#N/A,FALSE,"COVER.XLS";#N/A,#N/A,FALSE,"RACT1.XLS";#N/A,#N/A,FALSE,"RACT2.XLS";#N/A,#N/A,FALSE,"ECCMP";#N/A,#N/A,FALSE,"WELDER.XLS"}</definedName>
    <definedName name="AB" localSheetId="12">#REF!</definedName>
    <definedName name="AB" localSheetId="6">#REF!</definedName>
    <definedName name="AB" localSheetId="5">#REF!</definedName>
    <definedName name="AB" localSheetId="8">#REF!</definedName>
    <definedName name="AB" localSheetId="11">#REF!</definedName>
    <definedName name="AB" localSheetId="9">#REF!</definedName>
    <definedName name="AB" localSheetId="18">#REF!</definedName>
    <definedName name="AB" localSheetId="15">#REF!</definedName>
    <definedName name="AB" localSheetId="7">#REF!</definedName>
    <definedName name="AB">#REF!</definedName>
    <definedName name="aba" localSheetId="12" hidden="1">{#N/A,#N/A,FALSE,"COVER1.XLS ";#N/A,#N/A,FALSE,"RACT1.XLS";#N/A,#N/A,FALSE,"RACT2.XLS";#N/A,#N/A,FALSE,"ECCMP";#N/A,#N/A,FALSE,"WELDER.XLS"}</definedName>
    <definedName name="aba" localSheetId="6" hidden="1">{#N/A,#N/A,FALSE,"COVER1.XLS ";#N/A,#N/A,FALSE,"RACT1.XLS";#N/A,#N/A,FALSE,"RACT2.XLS";#N/A,#N/A,FALSE,"ECCMP";#N/A,#N/A,FALSE,"WELDER.XLS"}</definedName>
    <definedName name="aba" localSheetId="5" hidden="1">{#N/A,#N/A,FALSE,"COVER1.XLS ";#N/A,#N/A,FALSE,"RACT1.XLS";#N/A,#N/A,FALSE,"RACT2.XLS";#N/A,#N/A,FALSE,"ECCMP";#N/A,#N/A,FALSE,"WELDER.XLS"}</definedName>
    <definedName name="aba" localSheetId="8" hidden="1">{#N/A,#N/A,FALSE,"COVER1.XLS ";#N/A,#N/A,FALSE,"RACT1.XLS";#N/A,#N/A,FALSE,"RACT2.XLS";#N/A,#N/A,FALSE,"ECCMP";#N/A,#N/A,FALSE,"WELDER.XLS"}</definedName>
    <definedName name="aba" localSheetId="11" hidden="1">{#N/A,#N/A,FALSE,"COVER1.XLS ";#N/A,#N/A,FALSE,"RACT1.XLS";#N/A,#N/A,FALSE,"RACT2.XLS";#N/A,#N/A,FALSE,"ECCMP";#N/A,#N/A,FALSE,"WELDER.XLS"}</definedName>
    <definedName name="aba" localSheetId="9" hidden="1">{#N/A,#N/A,FALSE,"COVER1.XLS ";#N/A,#N/A,FALSE,"RACT1.XLS";#N/A,#N/A,FALSE,"RACT2.XLS";#N/A,#N/A,FALSE,"ECCMP";#N/A,#N/A,FALSE,"WELDER.XLS"}</definedName>
    <definedName name="aba" localSheetId="13" hidden="1">{#N/A,#N/A,FALSE,"COVER1.XLS ";#N/A,#N/A,FALSE,"RACT1.XLS";#N/A,#N/A,FALSE,"RACT2.XLS";#N/A,#N/A,FALSE,"ECCMP";#N/A,#N/A,FALSE,"WELDER.XLS"}</definedName>
    <definedName name="aba" localSheetId="18" hidden="1">{#N/A,#N/A,FALSE,"COVER1.XLS ";#N/A,#N/A,FALSE,"RACT1.XLS";#N/A,#N/A,FALSE,"RACT2.XLS";#N/A,#N/A,FALSE,"ECCMP";#N/A,#N/A,FALSE,"WELDER.XLS"}</definedName>
    <definedName name="aba" localSheetId="15" hidden="1">{#N/A,#N/A,FALSE,"COVER1.XLS ";#N/A,#N/A,FALSE,"RACT1.XLS";#N/A,#N/A,FALSE,"RACT2.XLS";#N/A,#N/A,FALSE,"ECCMP";#N/A,#N/A,FALSE,"WELDER.XLS"}</definedName>
    <definedName name="aba" localSheetId="7" hidden="1">{#N/A,#N/A,FALSE,"COVER1.XLS ";#N/A,#N/A,FALSE,"RACT1.XLS";#N/A,#N/A,FALSE,"RACT2.XLS";#N/A,#N/A,FALSE,"ECCMP";#N/A,#N/A,FALSE,"WELDER.XLS"}</definedName>
    <definedName name="aba" hidden="1">{#N/A,#N/A,FALSE,"COVER1.XLS ";#N/A,#N/A,FALSE,"RACT1.XLS";#N/A,#N/A,FALSE,"RACT2.XLS";#N/A,#N/A,FALSE,"ECCMP";#N/A,#N/A,FALSE,"WELDER.XLS"}</definedName>
    <definedName name="abc" localSheetId="12" hidden="1">{#N/A,#N/A,FALSE,"str_title";#N/A,#N/A,FALSE,"SUM";#N/A,#N/A,FALSE,"Scope";#N/A,#N/A,FALSE,"PIE-Jn";#N/A,#N/A,FALSE,"PIE-Jn_Hz";#N/A,#N/A,FALSE,"Liq_Plan";#N/A,#N/A,FALSE,"S_Curve";#N/A,#N/A,FALSE,"Liq_Prof";#N/A,#N/A,FALSE,"Man_Pwr";#N/A,#N/A,FALSE,"Man_Prof"}</definedName>
    <definedName name="abc" localSheetId="6" hidden="1">{#N/A,#N/A,FALSE,"str_title";#N/A,#N/A,FALSE,"SUM";#N/A,#N/A,FALSE,"Scope";#N/A,#N/A,FALSE,"PIE-Jn";#N/A,#N/A,FALSE,"PIE-Jn_Hz";#N/A,#N/A,FALSE,"Liq_Plan";#N/A,#N/A,FALSE,"S_Curve";#N/A,#N/A,FALSE,"Liq_Prof";#N/A,#N/A,FALSE,"Man_Pwr";#N/A,#N/A,FALSE,"Man_Prof"}</definedName>
    <definedName name="abc" localSheetId="5" hidden="1">{#N/A,#N/A,FALSE,"str_title";#N/A,#N/A,FALSE,"SUM";#N/A,#N/A,FALSE,"Scope";#N/A,#N/A,FALSE,"PIE-Jn";#N/A,#N/A,FALSE,"PIE-Jn_Hz";#N/A,#N/A,FALSE,"Liq_Plan";#N/A,#N/A,FALSE,"S_Curve";#N/A,#N/A,FALSE,"Liq_Prof";#N/A,#N/A,FALSE,"Man_Pwr";#N/A,#N/A,FALSE,"Man_Prof"}</definedName>
    <definedName name="abc" localSheetId="8" hidden="1">{#N/A,#N/A,FALSE,"str_title";#N/A,#N/A,FALSE,"SUM";#N/A,#N/A,FALSE,"Scope";#N/A,#N/A,FALSE,"PIE-Jn";#N/A,#N/A,FALSE,"PIE-Jn_Hz";#N/A,#N/A,FALSE,"Liq_Plan";#N/A,#N/A,FALSE,"S_Curve";#N/A,#N/A,FALSE,"Liq_Prof";#N/A,#N/A,FALSE,"Man_Pwr";#N/A,#N/A,FALSE,"Man_Prof"}</definedName>
    <definedName name="abc" localSheetId="11" hidden="1">{#N/A,#N/A,FALSE,"str_title";#N/A,#N/A,FALSE,"SUM";#N/A,#N/A,FALSE,"Scope";#N/A,#N/A,FALSE,"PIE-Jn";#N/A,#N/A,FALSE,"PIE-Jn_Hz";#N/A,#N/A,FALSE,"Liq_Plan";#N/A,#N/A,FALSE,"S_Curve";#N/A,#N/A,FALSE,"Liq_Prof";#N/A,#N/A,FALSE,"Man_Pwr";#N/A,#N/A,FALSE,"Man_Prof"}</definedName>
    <definedName name="abc" localSheetId="9" hidden="1">{#N/A,#N/A,FALSE,"str_title";#N/A,#N/A,FALSE,"SUM";#N/A,#N/A,FALSE,"Scope";#N/A,#N/A,FALSE,"PIE-Jn";#N/A,#N/A,FALSE,"PIE-Jn_Hz";#N/A,#N/A,FALSE,"Liq_Plan";#N/A,#N/A,FALSE,"S_Curve";#N/A,#N/A,FALSE,"Liq_Prof";#N/A,#N/A,FALSE,"Man_Pwr";#N/A,#N/A,FALSE,"Man_Prof"}</definedName>
    <definedName name="abc" localSheetId="13" hidden="1">{#N/A,#N/A,FALSE,"str_title";#N/A,#N/A,FALSE,"SUM";#N/A,#N/A,FALSE,"Scope";#N/A,#N/A,FALSE,"PIE-Jn";#N/A,#N/A,FALSE,"PIE-Jn_Hz";#N/A,#N/A,FALSE,"Liq_Plan";#N/A,#N/A,FALSE,"S_Curve";#N/A,#N/A,FALSE,"Liq_Prof";#N/A,#N/A,FALSE,"Man_Pwr";#N/A,#N/A,FALSE,"Man_Prof"}</definedName>
    <definedName name="abc" localSheetId="18" hidden="1">{#N/A,#N/A,FALSE,"str_title";#N/A,#N/A,FALSE,"SUM";#N/A,#N/A,FALSE,"Scope";#N/A,#N/A,FALSE,"PIE-Jn";#N/A,#N/A,FALSE,"PIE-Jn_Hz";#N/A,#N/A,FALSE,"Liq_Plan";#N/A,#N/A,FALSE,"S_Curve";#N/A,#N/A,FALSE,"Liq_Prof";#N/A,#N/A,FALSE,"Man_Pwr";#N/A,#N/A,FALSE,"Man_Prof"}</definedName>
    <definedName name="abc" localSheetId="15" hidden="1">{#N/A,#N/A,FALSE,"str_title";#N/A,#N/A,FALSE,"SUM";#N/A,#N/A,FALSE,"Scope";#N/A,#N/A,FALSE,"PIE-Jn";#N/A,#N/A,FALSE,"PIE-Jn_Hz";#N/A,#N/A,FALSE,"Liq_Plan";#N/A,#N/A,FALSE,"S_Curve";#N/A,#N/A,FALSE,"Liq_Prof";#N/A,#N/A,FALSE,"Man_Pwr";#N/A,#N/A,FALSE,"Man_Prof"}</definedName>
    <definedName name="abc" localSheetId="7" hidden="1">{#N/A,#N/A,FALSE,"str_title";#N/A,#N/A,FALSE,"SUM";#N/A,#N/A,FALSE,"Scope";#N/A,#N/A,FALSE,"PIE-Jn";#N/A,#N/A,FALSE,"PIE-Jn_Hz";#N/A,#N/A,FALSE,"Liq_Plan";#N/A,#N/A,FALSE,"S_Curve";#N/A,#N/A,FALSE,"Liq_Prof";#N/A,#N/A,FALSE,"Man_Pwr";#N/A,#N/A,FALSE,"Man_Prof"}</definedName>
    <definedName name="abc" hidden="1">{#N/A,#N/A,FALSE,"str_title";#N/A,#N/A,FALSE,"SUM";#N/A,#N/A,FALSE,"Scope";#N/A,#N/A,FALSE,"PIE-Jn";#N/A,#N/A,FALSE,"PIE-Jn_Hz";#N/A,#N/A,FALSE,"Liq_Plan";#N/A,#N/A,FALSE,"S_Curve";#N/A,#N/A,FALSE,"Liq_Prof";#N/A,#N/A,FALSE,"Man_Pwr";#N/A,#N/A,FALSE,"Man_Prof"}</definedName>
    <definedName name="abcd" localSheetId="12">#REF!</definedName>
    <definedName name="abcd" localSheetId="6">#REF!</definedName>
    <definedName name="abcd" localSheetId="5">#REF!</definedName>
    <definedName name="abcd" localSheetId="8">#REF!</definedName>
    <definedName name="abcd" localSheetId="11">#REF!</definedName>
    <definedName name="abcd" localSheetId="9">#REF!</definedName>
    <definedName name="abcd" localSheetId="18">#REF!</definedName>
    <definedName name="abcd" localSheetId="15">#REF!</definedName>
    <definedName name="abcd" localSheetId="7">#REF!</definedName>
    <definedName name="abcd">#REF!</definedName>
    <definedName name="ABD" comment="T12 IS USED IN MID MAIN LINKS" localSheetId="12">#REF!</definedName>
    <definedName name="ABD" comment="T12 IS USED IN MID MAIN LINKS" localSheetId="6">#REF!</definedName>
    <definedName name="ABD" comment="T12 IS USED IN MID MAIN LINKS" localSheetId="5">#REF!</definedName>
    <definedName name="ABD" comment="T12 IS USED IN MID MAIN LINKS" localSheetId="8">#REF!</definedName>
    <definedName name="ABD" comment="T12 IS USED IN MID MAIN LINKS" localSheetId="11">#REF!</definedName>
    <definedName name="ABD" comment="T12 IS USED IN MID MAIN LINKS" localSheetId="9">#REF!</definedName>
    <definedName name="ABD" comment="T12 IS USED IN MID MAIN LINKS" localSheetId="18">#REF!</definedName>
    <definedName name="ABD" comment="T12 IS USED IN MID MAIN LINKS" localSheetId="15">#REF!</definedName>
    <definedName name="ABD" comment="T12 IS USED IN MID MAIN LINKS" localSheetId="7">#REF!</definedName>
    <definedName name="ABD" comment="T12 IS USED IN MID MAIN LINKS">#REF!</definedName>
    <definedName name="ABST" localSheetId="12">#REF!</definedName>
    <definedName name="ABST" localSheetId="6">#REF!</definedName>
    <definedName name="ABST" localSheetId="5">#REF!</definedName>
    <definedName name="ABST" localSheetId="8">#REF!</definedName>
    <definedName name="ABST" localSheetId="11">#REF!</definedName>
    <definedName name="ABST" localSheetId="9">#REF!</definedName>
    <definedName name="ABST" localSheetId="18">#REF!</definedName>
    <definedName name="ABST" localSheetId="15">#REF!</definedName>
    <definedName name="ABST" localSheetId="7">#REF!</definedName>
    <definedName name="ABST">#REF!</definedName>
    <definedName name="ABSTRACT" localSheetId="12">#REF!</definedName>
    <definedName name="ABSTRACT" localSheetId="8">#REF!</definedName>
    <definedName name="ABSTRACT" localSheetId="11">#REF!</definedName>
    <definedName name="ABSTRACT" localSheetId="9">#REF!</definedName>
    <definedName name="ABSTRACT" localSheetId="18">#REF!</definedName>
    <definedName name="ABSTRACT" localSheetId="15">#REF!</definedName>
    <definedName name="ABSTRACT" localSheetId="7">#REF!</definedName>
    <definedName name="ABSTRACT">#REF!</definedName>
    <definedName name="Ac" localSheetId="12">#REF!</definedName>
    <definedName name="Ac" localSheetId="8">#REF!</definedName>
    <definedName name="Ac" localSheetId="11">#REF!</definedName>
    <definedName name="Ac" localSheetId="9">#REF!</definedName>
    <definedName name="Ac" localSheetId="18">#REF!</definedName>
    <definedName name="Ac" localSheetId="15">#REF!</definedName>
    <definedName name="Ac" localSheetId="7">#REF!</definedName>
    <definedName name="Ac">#REF!</definedName>
    <definedName name="acab" localSheetId="12">#REF!</definedName>
    <definedName name="acab" localSheetId="8">#REF!</definedName>
    <definedName name="acab" localSheetId="11">#REF!</definedName>
    <definedName name="acab" localSheetId="9">#REF!</definedName>
    <definedName name="acab" localSheetId="18">#REF!</definedName>
    <definedName name="acab" localSheetId="15">#REF!</definedName>
    <definedName name="acab" localSheetId="7">#REF!</definedName>
    <definedName name="acab">#REF!</definedName>
    <definedName name="acBridge" localSheetId="12">#REF!</definedName>
    <definedName name="acBridge" localSheetId="8">#REF!</definedName>
    <definedName name="acBridge" localSheetId="11">#REF!</definedName>
    <definedName name="acBridge" localSheetId="9">#REF!</definedName>
    <definedName name="acBridge" localSheetId="18">#REF!</definedName>
    <definedName name="acBridge" localSheetId="15">#REF!</definedName>
    <definedName name="acBridge" localSheetId="7">#REF!</definedName>
    <definedName name="acBridge">#REF!</definedName>
    <definedName name="accab" localSheetId="12">#REF!</definedName>
    <definedName name="accab" localSheetId="8">#REF!</definedName>
    <definedName name="accab" localSheetId="11">#REF!</definedName>
    <definedName name="accab" localSheetId="9">#REF!</definedName>
    <definedName name="accab" localSheetId="18">#REF!</definedName>
    <definedName name="accab" localSheetId="15">#REF!</definedName>
    <definedName name="accab" localSheetId="7">#REF!</definedName>
    <definedName name="accab">#REF!</definedName>
    <definedName name="AcctName" localSheetId="12">#REF!</definedName>
    <definedName name="AcctName" localSheetId="0">#REF!</definedName>
    <definedName name="AcctName" localSheetId="1">#REF!</definedName>
    <definedName name="AcctName" localSheetId="8">#REF!</definedName>
    <definedName name="AcctName" localSheetId="11">#REF!</definedName>
    <definedName name="AcctName" localSheetId="9">#REF!</definedName>
    <definedName name="AcctName" localSheetId="18">#REF!</definedName>
    <definedName name="AcctName" localSheetId="15">#REF!</definedName>
    <definedName name="AcctName" localSheetId="7">#REF!</definedName>
    <definedName name="AcctName">#REF!</definedName>
    <definedName name="AcctPrio" localSheetId="12">#REF!</definedName>
    <definedName name="AcctPrio" localSheetId="0">#REF!</definedName>
    <definedName name="AcctPrio" localSheetId="1">#REF!</definedName>
    <definedName name="AcctPrio" localSheetId="8">#REF!</definedName>
    <definedName name="AcctPrio" localSheetId="11">#REF!</definedName>
    <definedName name="AcctPrio" localSheetId="9">#REF!</definedName>
    <definedName name="AcctPrio" localSheetId="18">#REF!</definedName>
    <definedName name="AcctPrio" localSheetId="15">#REF!</definedName>
    <definedName name="AcctPrio" localSheetId="7">#REF!</definedName>
    <definedName name="AcctPrio">#REF!</definedName>
    <definedName name="AcctPrio_Text" localSheetId="12">#REF!</definedName>
    <definedName name="AcctPrio_Text" localSheetId="0">#REF!</definedName>
    <definedName name="AcctPrio_Text" localSheetId="1">#REF!</definedName>
    <definedName name="AcctPrio_Text" localSheetId="8">#REF!</definedName>
    <definedName name="AcctPrio_Text" localSheetId="11">#REF!</definedName>
    <definedName name="AcctPrio_Text" localSheetId="9">#REF!</definedName>
    <definedName name="AcctPrio_Text" localSheetId="18">#REF!</definedName>
    <definedName name="AcctPrio_Text" localSheetId="15">#REF!</definedName>
    <definedName name="AcctPrio_Text" localSheetId="7">#REF!</definedName>
    <definedName name="AcctPrio_Text">#REF!</definedName>
    <definedName name="acon" localSheetId="12">#REF!</definedName>
    <definedName name="acon" localSheetId="8">#REF!</definedName>
    <definedName name="acon" localSheetId="11">#REF!</definedName>
    <definedName name="acon" localSheetId="9">#REF!</definedName>
    <definedName name="acon" localSheetId="18">#REF!</definedName>
    <definedName name="acon" localSheetId="15">#REF!</definedName>
    <definedName name="acon" localSheetId="7">#REF!</definedName>
    <definedName name="acon">#REF!</definedName>
    <definedName name="Actual_Expenses" localSheetId="12">#REF!</definedName>
    <definedName name="Actual_Expenses" localSheetId="8">#REF!</definedName>
    <definedName name="Actual_Expenses" localSheetId="11">#REF!</definedName>
    <definedName name="Actual_Expenses" localSheetId="9">#REF!</definedName>
    <definedName name="Actual_Expenses" localSheetId="18">#REF!</definedName>
    <definedName name="Actual_Expenses" localSheetId="15">#REF!</definedName>
    <definedName name="Actual_Expenses" localSheetId="7">#REF!</definedName>
    <definedName name="Actual_Expenses">#REF!</definedName>
    <definedName name="Actual_Income" localSheetId="12">#REF!</definedName>
    <definedName name="Actual_Income" localSheetId="8">#REF!</definedName>
    <definedName name="Actual_Income" localSheetId="11">#REF!</definedName>
    <definedName name="Actual_Income" localSheetId="9">#REF!</definedName>
    <definedName name="Actual_Income" localSheetId="18">#REF!</definedName>
    <definedName name="Actual_Income" localSheetId="15">#REF!</definedName>
    <definedName name="Actual_Income" localSheetId="7">#REF!</definedName>
    <definedName name="Actual_Income">#REF!</definedName>
    <definedName name="acv" localSheetId="12">#REF!</definedName>
    <definedName name="acv" localSheetId="8">#REF!</definedName>
    <definedName name="acv" localSheetId="11">#REF!</definedName>
    <definedName name="acv" localSheetId="9">#REF!</definedName>
    <definedName name="acv" localSheetId="18">#REF!</definedName>
    <definedName name="acv" localSheetId="15">#REF!</definedName>
    <definedName name="acv" localSheetId="7">#REF!</definedName>
    <definedName name="acv">#REF!</definedName>
    <definedName name="AD" localSheetId="12">#REF!</definedName>
    <definedName name="AD" localSheetId="8">#REF!</definedName>
    <definedName name="AD" localSheetId="11">#REF!</definedName>
    <definedName name="AD" localSheetId="9">#REF!</definedName>
    <definedName name="AD" localSheetId="18">#REF!</definedName>
    <definedName name="AD" localSheetId="15">#REF!</definedName>
    <definedName name="AD" localSheetId="7">#REF!</definedName>
    <definedName name="AD">#REF!</definedName>
    <definedName name="ada" localSheetId="12" hidden="1">{#N/A,#N/A,FALSE,"str_title";#N/A,#N/A,FALSE,"SUM";#N/A,#N/A,FALSE,"Scope";#N/A,#N/A,FALSE,"PIE-Jn";#N/A,#N/A,FALSE,"PIE-Jn_Hz";#N/A,#N/A,FALSE,"Liq_Plan";#N/A,#N/A,FALSE,"S_Curve";#N/A,#N/A,FALSE,"Liq_Prof";#N/A,#N/A,FALSE,"Man_Pwr";#N/A,#N/A,FALSE,"Man_Prof"}</definedName>
    <definedName name="ada" localSheetId="6" hidden="1">{#N/A,#N/A,FALSE,"str_title";#N/A,#N/A,FALSE,"SUM";#N/A,#N/A,FALSE,"Scope";#N/A,#N/A,FALSE,"PIE-Jn";#N/A,#N/A,FALSE,"PIE-Jn_Hz";#N/A,#N/A,FALSE,"Liq_Plan";#N/A,#N/A,FALSE,"S_Curve";#N/A,#N/A,FALSE,"Liq_Prof";#N/A,#N/A,FALSE,"Man_Pwr";#N/A,#N/A,FALSE,"Man_Prof"}</definedName>
    <definedName name="ada" localSheetId="5" hidden="1">{#N/A,#N/A,FALSE,"str_title";#N/A,#N/A,FALSE,"SUM";#N/A,#N/A,FALSE,"Scope";#N/A,#N/A,FALSE,"PIE-Jn";#N/A,#N/A,FALSE,"PIE-Jn_Hz";#N/A,#N/A,FALSE,"Liq_Plan";#N/A,#N/A,FALSE,"S_Curve";#N/A,#N/A,FALSE,"Liq_Prof";#N/A,#N/A,FALSE,"Man_Pwr";#N/A,#N/A,FALSE,"Man_Prof"}</definedName>
    <definedName name="ada" localSheetId="8" hidden="1">{#N/A,#N/A,FALSE,"str_title";#N/A,#N/A,FALSE,"SUM";#N/A,#N/A,FALSE,"Scope";#N/A,#N/A,FALSE,"PIE-Jn";#N/A,#N/A,FALSE,"PIE-Jn_Hz";#N/A,#N/A,FALSE,"Liq_Plan";#N/A,#N/A,FALSE,"S_Curve";#N/A,#N/A,FALSE,"Liq_Prof";#N/A,#N/A,FALSE,"Man_Pwr";#N/A,#N/A,FALSE,"Man_Prof"}</definedName>
    <definedName name="ada" localSheetId="11" hidden="1">{#N/A,#N/A,FALSE,"str_title";#N/A,#N/A,FALSE,"SUM";#N/A,#N/A,FALSE,"Scope";#N/A,#N/A,FALSE,"PIE-Jn";#N/A,#N/A,FALSE,"PIE-Jn_Hz";#N/A,#N/A,FALSE,"Liq_Plan";#N/A,#N/A,FALSE,"S_Curve";#N/A,#N/A,FALSE,"Liq_Prof";#N/A,#N/A,FALSE,"Man_Pwr";#N/A,#N/A,FALSE,"Man_Prof"}</definedName>
    <definedName name="ada" localSheetId="9" hidden="1">{#N/A,#N/A,FALSE,"str_title";#N/A,#N/A,FALSE,"SUM";#N/A,#N/A,FALSE,"Scope";#N/A,#N/A,FALSE,"PIE-Jn";#N/A,#N/A,FALSE,"PIE-Jn_Hz";#N/A,#N/A,FALSE,"Liq_Plan";#N/A,#N/A,FALSE,"S_Curve";#N/A,#N/A,FALSE,"Liq_Prof";#N/A,#N/A,FALSE,"Man_Pwr";#N/A,#N/A,FALSE,"Man_Prof"}</definedName>
    <definedName name="ada" localSheetId="13" hidden="1">{#N/A,#N/A,FALSE,"str_title";#N/A,#N/A,FALSE,"SUM";#N/A,#N/A,FALSE,"Scope";#N/A,#N/A,FALSE,"PIE-Jn";#N/A,#N/A,FALSE,"PIE-Jn_Hz";#N/A,#N/A,FALSE,"Liq_Plan";#N/A,#N/A,FALSE,"S_Curve";#N/A,#N/A,FALSE,"Liq_Prof";#N/A,#N/A,FALSE,"Man_Pwr";#N/A,#N/A,FALSE,"Man_Prof"}</definedName>
    <definedName name="ada" localSheetId="18" hidden="1">{#N/A,#N/A,FALSE,"str_title";#N/A,#N/A,FALSE,"SUM";#N/A,#N/A,FALSE,"Scope";#N/A,#N/A,FALSE,"PIE-Jn";#N/A,#N/A,FALSE,"PIE-Jn_Hz";#N/A,#N/A,FALSE,"Liq_Plan";#N/A,#N/A,FALSE,"S_Curve";#N/A,#N/A,FALSE,"Liq_Prof";#N/A,#N/A,FALSE,"Man_Pwr";#N/A,#N/A,FALSE,"Man_Prof"}</definedName>
    <definedName name="ada" localSheetId="15" hidden="1">{#N/A,#N/A,FALSE,"str_title";#N/A,#N/A,FALSE,"SUM";#N/A,#N/A,FALSE,"Scope";#N/A,#N/A,FALSE,"PIE-Jn";#N/A,#N/A,FALSE,"PIE-Jn_Hz";#N/A,#N/A,FALSE,"Liq_Plan";#N/A,#N/A,FALSE,"S_Curve";#N/A,#N/A,FALSE,"Liq_Prof";#N/A,#N/A,FALSE,"Man_Pwr";#N/A,#N/A,FALSE,"Man_Prof"}</definedName>
    <definedName name="ada" localSheetId="7"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localSheetId="12" hidden="1">{#N/A,#N/A,FALSE,"COVER1.XLS ";#N/A,#N/A,FALSE,"RACT1.XLS";#N/A,#N/A,FALSE,"RACT2.XLS";#N/A,#N/A,FALSE,"ECCMP";#N/A,#N/A,FALSE,"WELDER.XLS"}</definedName>
    <definedName name="adadd" localSheetId="6" hidden="1">{#N/A,#N/A,FALSE,"COVER1.XLS ";#N/A,#N/A,FALSE,"RACT1.XLS";#N/A,#N/A,FALSE,"RACT2.XLS";#N/A,#N/A,FALSE,"ECCMP";#N/A,#N/A,FALSE,"WELDER.XLS"}</definedName>
    <definedName name="adadd" localSheetId="5" hidden="1">{#N/A,#N/A,FALSE,"COVER1.XLS ";#N/A,#N/A,FALSE,"RACT1.XLS";#N/A,#N/A,FALSE,"RACT2.XLS";#N/A,#N/A,FALSE,"ECCMP";#N/A,#N/A,FALSE,"WELDER.XLS"}</definedName>
    <definedName name="adadd" localSheetId="8" hidden="1">{#N/A,#N/A,FALSE,"COVER1.XLS ";#N/A,#N/A,FALSE,"RACT1.XLS";#N/A,#N/A,FALSE,"RACT2.XLS";#N/A,#N/A,FALSE,"ECCMP";#N/A,#N/A,FALSE,"WELDER.XLS"}</definedName>
    <definedName name="adadd" localSheetId="11" hidden="1">{#N/A,#N/A,FALSE,"COVER1.XLS ";#N/A,#N/A,FALSE,"RACT1.XLS";#N/A,#N/A,FALSE,"RACT2.XLS";#N/A,#N/A,FALSE,"ECCMP";#N/A,#N/A,FALSE,"WELDER.XLS"}</definedName>
    <definedName name="adadd" localSheetId="9" hidden="1">{#N/A,#N/A,FALSE,"COVER1.XLS ";#N/A,#N/A,FALSE,"RACT1.XLS";#N/A,#N/A,FALSE,"RACT2.XLS";#N/A,#N/A,FALSE,"ECCMP";#N/A,#N/A,FALSE,"WELDER.XLS"}</definedName>
    <definedName name="adadd" localSheetId="13" hidden="1">{#N/A,#N/A,FALSE,"COVER1.XLS ";#N/A,#N/A,FALSE,"RACT1.XLS";#N/A,#N/A,FALSE,"RACT2.XLS";#N/A,#N/A,FALSE,"ECCMP";#N/A,#N/A,FALSE,"WELDER.XLS"}</definedName>
    <definedName name="adadd" localSheetId="18" hidden="1">{#N/A,#N/A,FALSE,"COVER1.XLS ";#N/A,#N/A,FALSE,"RACT1.XLS";#N/A,#N/A,FALSE,"RACT2.XLS";#N/A,#N/A,FALSE,"ECCMP";#N/A,#N/A,FALSE,"WELDER.XLS"}</definedName>
    <definedName name="adadd" localSheetId="15" hidden="1">{#N/A,#N/A,FALSE,"COVER1.XLS ";#N/A,#N/A,FALSE,"RACT1.XLS";#N/A,#N/A,FALSE,"RACT2.XLS";#N/A,#N/A,FALSE,"ECCMP";#N/A,#N/A,FALSE,"WELDER.XLS"}</definedName>
    <definedName name="adadd" localSheetId="7" hidden="1">{#N/A,#N/A,FALSE,"COVER1.XLS ";#N/A,#N/A,FALSE,"RACT1.XLS";#N/A,#N/A,FALSE,"RACT2.XLS";#N/A,#N/A,FALSE,"ECCMP";#N/A,#N/A,FALSE,"WELDER.XLS"}</definedName>
    <definedName name="adadd" hidden="1">{#N/A,#N/A,FALSE,"COVER1.XLS ";#N/A,#N/A,FALSE,"RACT1.XLS";#N/A,#N/A,FALSE,"RACT2.XLS";#N/A,#N/A,FALSE,"ECCMP";#N/A,#N/A,FALSE,"WELDER.XLS"}</definedName>
    <definedName name="ADD" localSheetId="12">#REF!</definedName>
    <definedName name="ADD" localSheetId="6">#REF!</definedName>
    <definedName name="ADD" localSheetId="5">#REF!</definedName>
    <definedName name="ADD" localSheetId="8">#REF!</definedName>
    <definedName name="ADD" localSheetId="11">#REF!</definedName>
    <definedName name="ADD" localSheetId="9">#REF!</definedName>
    <definedName name="ADD" localSheetId="18">#REF!</definedName>
    <definedName name="ADD" localSheetId="15">#REF!</definedName>
    <definedName name="ADD" localSheetId="7">#REF!</definedName>
    <definedName name="ADD">#REF!</definedName>
    <definedName name="additional" localSheetId="12">#REF!</definedName>
    <definedName name="additional" localSheetId="0">#REF!</definedName>
    <definedName name="additional" localSheetId="1">#REF!</definedName>
    <definedName name="additional" localSheetId="6">#REF!</definedName>
    <definedName name="additional" localSheetId="5">#REF!</definedName>
    <definedName name="additional" localSheetId="8">#REF!</definedName>
    <definedName name="additional" localSheetId="11">#REF!</definedName>
    <definedName name="additional" localSheetId="9">#REF!</definedName>
    <definedName name="additional" localSheetId="18">#REF!</definedName>
    <definedName name="additional" localSheetId="15">#REF!</definedName>
    <definedName name="additional" localSheetId="7">#REF!</definedName>
    <definedName name="additional">#REF!</definedName>
    <definedName name="additional1" localSheetId="12">#REF!</definedName>
    <definedName name="additional1" localSheetId="0">#REF!</definedName>
    <definedName name="additional1" localSheetId="1">#REF!</definedName>
    <definedName name="additional1" localSheetId="8">#REF!</definedName>
    <definedName name="additional1" localSheetId="11">#REF!</definedName>
    <definedName name="additional1" localSheetId="9">#REF!</definedName>
    <definedName name="additional1" localSheetId="18">#REF!</definedName>
    <definedName name="additional1" localSheetId="15">#REF!</definedName>
    <definedName name="additional1" localSheetId="7">#REF!</definedName>
    <definedName name="additional1">#REF!</definedName>
    <definedName name="ADDITIONAL2" localSheetId="12">#REF!</definedName>
    <definedName name="ADDITIONAL2" localSheetId="0">#REF!</definedName>
    <definedName name="ADDITIONAL2" localSheetId="1">#REF!</definedName>
    <definedName name="ADDITIONAL2" localSheetId="8">#REF!</definedName>
    <definedName name="ADDITIONAL2" localSheetId="11">#REF!</definedName>
    <definedName name="ADDITIONAL2" localSheetId="9">#REF!</definedName>
    <definedName name="ADDITIONAL2" localSheetId="18">#REF!</definedName>
    <definedName name="ADDITIONAL2" localSheetId="15">#REF!</definedName>
    <definedName name="ADDITIONAL2" localSheetId="7">#REF!</definedName>
    <definedName name="ADDITIONAL2">#REF!</definedName>
    <definedName name="adf" localSheetId="12" hidden="1">{#N/A,#N/A,FALSE,"COVER1.XLS ";#N/A,#N/A,FALSE,"RACT1.XLS";#N/A,#N/A,FALSE,"RACT2.XLS";#N/A,#N/A,FALSE,"ECCMP";#N/A,#N/A,FALSE,"WELDER.XLS"}</definedName>
    <definedName name="adf" localSheetId="6" hidden="1">{#N/A,#N/A,FALSE,"COVER1.XLS ";#N/A,#N/A,FALSE,"RACT1.XLS";#N/A,#N/A,FALSE,"RACT2.XLS";#N/A,#N/A,FALSE,"ECCMP";#N/A,#N/A,FALSE,"WELDER.XLS"}</definedName>
    <definedName name="adf" localSheetId="5" hidden="1">{#N/A,#N/A,FALSE,"COVER1.XLS ";#N/A,#N/A,FALSE,"RACT1.XLS";#N/A,#N/A,FALSE,"RACT2.XLS";#N/A,#N/A,FALSE,"ECCMP";#N/A,#N/A,FALSE,"WELDER.XLS"}</definedName>
    <definedName name="adf" localSheetId="8" hidden="1">{#N/A,#N/A,FALSE,"COVER1.XLS ";#N/A,#N/A,FALSE,"RACT1.XLS";#N/A,#N/A,FALSE,"RACT2.XLS";#N/A,#N/A,FALSE,"ECCMP";#N/A,#N/A,FALSE,"WELDER.XLS"}</definedName>
    <definedName name="adf" localSheetId="11" hidden="1">{#N/A,#N/A,FALSE,"COVER1.XLS ";#N/A,#N/A,FALSE,"RACT1.XLS";#N/A,#N/A,FALSE,"RACT2.XLS";#N/A,#N/A,FALSE,"ECCMP";#N/A,#N/A,FALSE,"WELDER.XLS"}</definedName>
    <definedName name="adf" localSheetId="9" hidden="1">{#N/A,#N/A,FALSE,"COVER1.XLS ";#N/A,#N/A,FALSE,"RACT1.XLS";#N/A,#N/A,FALSE,"RACT2.XLS";#N/A,#N/A,FALSE,"ECCMP";#N/A,#N/A,FALSE,"WELDER.XLS"}</definedName>
    <definedName name="adf" localSheetId="13" hidden="1">{#N/A,#N/A,FALSE,"COVER1.XLS ";#N/A,#N/A,FALSE,"RACT1.XLS";#N/A,#N/A,FALSE,"RACT2.XLS";#N/A,#N/A,FALSE,"ECCMP";#N/A,#N/A,FALSE,"WELDER.XLS"}</definedName>
    <definedName name="adf" localSheetId="18" hidden="1">{#N/A,#N/A,FALSE,"COVER1.XLS ";#N/A,#N/A,FALSE,"RACT1.XLS";#N/A,#N/A,FALSE,"RACT2.XLS";#N/A,#N/A,FALSE,"ECCMP";#N/A,#N/A,FALSE,"WELDER.XLS"}</definedName>
    <definedName name="adf" localSheetId="15" hidden="1">{#N/A,#N/A,FALSE,"COVER1.XLS ";#N/A,#N/A,FALSE,"RACT1.XLS";#N/A,#N/A,FALSE,"RACT2.XLS";#N/A,#N/A,FALSE,"ECCMP";#N/A,#N/A,FALSE,"WELDER.XLS"}</definedName>
    <definedName name="adf" localSheetId="7" hidden="1">{#N/A,#N/A,FALSE,"COVER1.XLS ";#N/A,#N/A,FALSE,"RACT1.XLS";#N/A,#N/A,FALSE,"RACT2.XLS";#N/A,#N/A,FALSE,"ECCMP";#N/A,#N/A,FALSE,"WELDER.XLS"}</definedName>
    <definedName name="adf" hidden="1">{#N/A,#N/A,FALSE,"COVER1.XLS ";#N/A,#N/A,FALSE,"RACT1.XLS";#N/A,#N/A,FALSE,"RACT2.XLS";#N/A,#N/A,FALSE,"ECCMP";#N/A,#N/A,FALSE,"WELDER.XLS"}</definedName>
    <definedName name="adj" localSheetId="12">#REF!</definedName>
    <definedName name="adj" localSheetId="6">#REF!</definedName>
    <definedName name="adj" localSheetId="5">#REF!</definedName>
    <definedName name="adj" localSheetId="8">#REF!</definedName>
    <definedName name="adj" localSheetId="11">#REF!</definedName>
    <definedName name="adj" localSheetId="9">#REF!</definedName>
    <definedName name="adj" localSheetId="18">#REF!</definedName>
    <definedName name="adj" localSheetId="15">#REF!</definedName>
    <definedName name="adj" localSheetId="7">#REF!</definedName>
    <definedName name="adj">#REF!</definedName>
    <definedName name="Adjustable_Span_ESOSI" localSheetId="12">#REF!</definedName>
    <definedName name="Adjustable_Span_ESOSI" localSheetId="6">#REF!</definedName>
    <definedName name="Adjustable_Span_ESOSI" localSheetId="5">#REF!</definedName>
    <definedName name="Adjustable_Span_ESOSI" localSheetId="8">#REF!</definedName>
    <definedName name="Adjustable_Span_ESOSI" localSheetId="11">#REF!</definedName>
    <definedName name="Adjustable_Span_ESOSI" localSheetId="9">#REF!</definedName>
    <definedName name="Adjustable_Span_ESOSI" localSheetId="18">#REF!</definedName>
    <definedName name="Adjustable_Span_ESOSI" localSheetId="15">#REF!</definedName>
    <definedName name="Adjustable_Span_ESOSI" localSheetId="7">#REF!</definedName>
    <definedName name="Adjustable_Span_ESOSI">#REF!</definedName>
    <definedName name="Adjustable_Telescopic_prop" localSheetId="12">#REF!</definedName>
    <definedName name="Adjustable_Telescopic_prop" localSheetId="6">#REF!</definedName>
    <definedName name="Adjustable_Telescopic_prop" localSheetId="5">#REF!</definedName>
    <definedName name="Adjustable_Telescopic_prop" localSheetId="8">#REF!</definedName>
    <definedName name="Adjustable_Telescopic_prop" localSheetId="11">#REF!</definedName>
    <definedName name="Adjustable_Telescopic_prop" localSheetId="9">#REF!</definedName>
    <definedName name="Adjustable_Telescopic_prop" localSheetId="18">#REF!</definedName>
    <definedName name="Adjustable_Telescopic_prop" localSheetId="15">#REF!</definedName>
    <definedName name="Adjustable_Telescopic_prop" localSheetId="7">#REF!</definedName>
    <definedName name="Adjustable_Telescopic_prop">#REF!</definedName>
    <definedName name="admn_off" localSheetId="12">#REF!</definedName>
    <definedName name="admn_off" localSheetId="0">#REF!</definedName>
    <definedName name="admn_off" localSheetId="1">#REF!</definedName>
    <definedName name="admn_off" localSheetId="8">#REF!</definedName>
    <definedName name="admn_off" localSheetId="11">#REF!</definedName>
    <definedName name="admn_off" localSheetId="9">#REF!</definedName>
    <definedName name="admn_off" localSheetId="18">#REF!</definedName>
    <definedName name="admn_off" localSheetId="15">#REF!</definedName>
    <definedName name="admn_off" localSheetId="7">#REF!</definedName>
    <definedName name="admn_off">#REF!</definedName>
    <definedName name="admn_site" localSheetId="12">#REF!</definedName>
    <definedName name="admn_site" localSheetId="0">#REF!</definedName>
    <definedName name="admn_site" localSheetId="1">#REF!</definedName>
    <definedName name="admn_site" localSheetId="8">#REF!</definedName>
    <definedName name="admn_site" localSheetId="11">#REF!</definedName>
    <definedName name="admn_site" localSheetId="9">#REF!</definedName>
    <definedName name="admn_site" localSheetId="18">#REF!</definedName>
    <definedName name="admn_site" localSheetId="15">#REF!</definedName>
    <definedName name="admn_site" localSheetId="7">#REF!</definedName>
    <definedName name="admn_site">#REF!</definedName>
    <definedName name="ads" localSheetId="12" hidden="1">{#N/A,#N/A,FALSE,"COVER1.XLS ";#N/A,#N/A,FALSE,"RACT1.XLS";#N/A,#N/A,FALSE,"RACT2.XLS";#N/A,#N/A,FALSE,"ECCMP";#N/A,#N/A,FALSE,"WELDER.XLS"}</definedName>
    <definedName name="ads" localSheetId="6" hidden="1">{#N/A,#N/A,FALSE,"COVER1.XLS ";#N/A,#N/A,FALSE,"RACT1.XLS";#N/A,#N/A,FALSE,"RACT2.XLS";#N/A,#N/A,FALSE,"ECCMP";#N/A,#N/A,FALSE,"WELDER.XLS"}</definedName>
    <definedName name="ads" localSheetId="5" hidden="1">{#N/A,#N/A,FALSE,"COVER1.XLS ";#N/A,#N/A,FALSE,"RACT1.XLS";#N/A,#N/A,FALSE,"RACT2.XLS";#N/A,#N/A,FALSE,"ECCMP";#N/A,#N/A,FALSE,"WELDER.XLS"}</definedName>
    <definedName name="ads" localSheetId="8" hidden="1">{#N/A,#N/A,FALSE,"COVER1.XLS ";#N/A,#N/A,FALSE,"RACT1.XLS";#N/A,#N/A,FALSE,"RACT2.XLS";#N/A,#N/A,FALSE,"ECCMP";#N/A,#N/A,FALSE,"WELDER.XLS"}</definedName>
    <definedName name="ads" localSheetId="11" hidden="1">{#N/A,#N/A,FALSE,"COVER1.XLS ";#N/A,#N/A,FALSE,"RACT1.XLS";#N/A,#N/A,FALSE,"RACT2.XLS";#N/A,#N/A,FALSE,"ECCMP";#N/A,#N/A,FALSE,"WELDER.XLS"}</definedName>
    <definedName name="ads" localSheetId="9" hidden="1">{#N/A,#N/A,FALSE,"COVER1.XLS ";#N/A,#N/A,FALSE,"RACT1.XLS";#N/A,#N/A,FALSE,"RACT2.XLS";#N/A,#N/A,FALSE,"ECCMP";#N/A,#N/A,FALSE,"WELDER.XLS"}</definedName>
    <definedName name="ads" localSheetId="13" hidden="1">{#N/A,#N/A,FALSE,"COVER1.XLS ";#N/A,#N/A,FALSE,"RACT1.XLS";#N/A,#N/A,FALSE,"RACT2.XLS";#N/A,#N/A,FALSE,"ECCMP";#N/A,#N/A,FALSE,"WELDER.XLS"}</definedName>
    <definedName name="ads" localSheetId="18" hidden="1">{#N/A,#N/A,FALSE,"COVER1.XLS ";#N/A,#N/A,FALSE,"RACT1.XLS";#N/A,#N/A,FALSE,"RACT2.XLS";#N/A,#N/A,FALSE,"ECCMP";#N/A,#N/A,FALSE,"WELDER.XLS"}</definedName>
    <definedName name="ads" localSheetId="15" hidden="1">{#N/A,#N/A,FALSE,"COVER1.XLS ";#N/A,#N/A,FALSE,"RACT1.XLS";#N/A,#N/A,FALSE,"RACT2.XLS";#N/A,#N/A,FALSE,"ECCMP";#N/A,#N/A,FALSE,"WELDER.XLS"}</definedName>
    <definedName name="ads" localSheetId="7" hidden="1">{#N/A,#N/A,FALSE,"COVER1.XLS ";#N/A,#N/A,FALSE,"RACT1.XLS";#N/A,#N/A,FALSE,"RACT2.XLS";#N/A,#N/A,FALSE,"ECCMP";#N/A,#N/A,FALSE,"WELDER.XLS"}</definedName>
    <definedName name="ads" hidden="1">{#N/A,#N/A,FALSE,"COVER1.XLS ";#N/A,#N/A,FALSE,"RACT1.XLS";#N/A,#N/A,FALSE,"RACT2.XLS";#N/A,#N/A,FALSE,"ECCMP";#N/A,#N/A,FALSE,"WELDER.XLS"}</definedName>
    <definedName name="adv" localSheetId="12">#REF!</definedName>
    <definedName name="adv" localSheetId="6">#REF!</definedName>
    <definedName name="adv" localSheetId="5">#REF!</definedName>
    <definedName name="adv" localSheetId="8">#REF!</definedName>
    <definedName name="adv" localSheetId="11">#REF!</definedName>
    <definedName name="adv" localSheetId="9">#REF!</definedName>
    <definedName name="adv" localSheetId="18">#REF!</definedName>
    <definedName name="adv" localSheetId="15">#REF!</definedName>
    <definedName name="adv" localSheetId="7">#REF!</definedName>
    <definedName name="adv">#REF!</definedName>
    <definedName name="AE" localSheetId="12">#REF!</definedName>
    <definedName name="AE" localSheetId="6">#REF!</definedName>
    <definedName name="AE" localSheetId="5">#REF!</definedName>
    <definedName name="AE" localSheetId="8">#REF!</definedName>
    <definedName name="AE" localSheetId="11">#REF!</definedName>
    <definedName name="AE" localSheetId="9">#REF!</definedName>
    <definedName name="AE" localSheetId="18">#REF!</definedName>
    <definedName name="AE" localSheetId="15">#REF!</definedName>
    <definedName name="AE" localSheetId="7">#REF!</definedName>
    <definedName name="AE">#REF!</definedName>
    <definedName name="AF" localSheetId="12">#REF!</definedName>
    <definedName name="AF" localSheetId="6">#REF!</definedName>
    <definedName name="AF" localSheetId="5">#REF!</definedName>
    <definedName name="AF" localSheetId="8">#REF!</definedName>
    <definedName name="AF" localSheetId="11">#REF!</definedName>
    <definedName name="AF" localSheetId="9">#REF!</definedName>
    <definedName name="AF" localSheetId="18">#REF!</definedName>
    <definedName name="AF" localSheetId="15">#REF!</definedName>
    <definedName name="AF" localSheetId="7">#REF!</definedName>
    <definedName name="AF">#REF!</definedName>
    <definedName name="AFP" localSheetId="12">#REF!</definedName>
    <definedName name="AFP" localSheetId="8">#REF!</definedName>
    <definedName name="AFP" localSheetId="11">#REF!</definedName>
    <definedName name="AFP" localSheetId="9">#REF!</definedName>
    <definedName name="AFP" localSheetId="18">#REF!</definedName>
    <definedName name="AFP" localSheetId="15">#REF!</definedName>
    <definedName name="AFP" localSheetId="7">#REF!</definedName>
    <definedName name="AFP">#REF!</definedName>
    <definedName name="Ag" localSheetId="12">#REF!</definedName>
    <definedName name="Ag" localSheetId="8">#REF!</definedName>
    <definedName name="Ag" localSheetId="11">#REF!</definedName>
    <definedName name="Ag" localSheetId="9">#REF!</definedName>
    <definedName name="Ag" localSheetId="18">#REF!</definedName>
    <definedName name="Ag" localSheetId="15">#REF!</definedName>
    <definedName name="Ag" localSheetId="7">#REF!</definedName>
    <definedName name="Ag">#REF!</definedName>
    <definedName name="Ag___0" localSheetId="12">#REF!</definedName>
    <definedName name="Ag___0" localSheetId="8">#REF!</definedName>
    <definedName name="Ag___0" localSheetId="11">#REF!</definedName>
    <definedName name="Ag___0" localSheetId="9">#REF!</definedName>
    <definedName name="Ag___0" localSheetId="18">#REF!</definedName>
    <definedName name="Ag___0" localSheetId="15">#REF!</definedName>
    <definedName name="Ag___0" localSheetId="7">#REF!</definedName>
    <definedName name="Ag___0">#REF!</definedName>
    <definedName name="Ag___13" localSheetId="12">#REF!</definedName>
    <definedName name="Ag___13" localSheetId="8">#REF!</definedName>
    <definedName name="Ag___13" localSheetId="11">#REF!</definedName>
    <definedName name="Ag___13" localSheetId="9">#REF!</definedName>
    <definedName name="Ag___13" localSheetId="18">#REF!</definedName>
    <definedName name="Ag___13" localSheetId="15">#REF!</definedName>
    <definedName name="Ag___13" localSheetId="7">#REF!</definedName>
    <definedName name="Ag___13">#REF!</definedName>
    <definedName name="AH" localSheetId="12">#REF!</definedName>
    <definedName name="AH" localSheetId="8">#REF!</definedName>
    <definedName name="AH" localSheetId="11">#REF!</definedName>
    <definedName name="AH" localSheetId="9">#REF!</definedName>
    <definedName name="AH" localSheetId="18">#REF!</definedName>
    <definedName name="AH" localSheetId="15">#REF!</definedName>
    <definedName name="AH" localSheetId="7">#REF!</definedName>
    <definedName name="AH">#REF!</definedName>
    <definedName name="ahu" localSheetId="12">#REF!</definedName>
    <definedName name="ahu" localSheetId="0">#REF!</definedName>
    <definedName name="ahu" localSheetId="1">#REF!</definedName>
    <definedName name="ahu" localSheetId="8">#REF!</definedName>
    <definedName name="ahu" localSheetId="11">#REF!</definedName>
    <definedName name="ahu" localSheetId="9">#REF!</definedName>
    <definedName name="ahu" localSheetId="18">#REF!</definedName>
    <definedName name="ahu" localSheetId="15">#REF!</definedName>
    <definedName name="ahu" localSheetId="7">#REF!</definedName>
    <definedName name="ahu">#REF!</definedName>
    <definedName name="AI" localSheetId="12">#REF!</definedName>
    <definedName name="AI" localSheetId="8">#REF!</definedName>
    <definedName name="AI" localSheetId="11">#REF!</definedName>
    <definedName name="AI" localSheetId="9">#REF!</definedName>
    <definedName name="AI" localSheetId="18">#REF!</definedName>
    <definedName name="AI" localSheetId="15">#REF!</definedName>
    <definedName name="AI" localSheetId="7">#REF!</definedName>
    <definedName name="AI">#REF!</definedName>
    <definedName name="aiv" localSheetId="12">#REF!</definedName>
    <definedName name="aiv" localSheetId="8">#REF!</definedName>
    <definedName name="aiv" localSheetId="11">#REF!</definedName>
    <definedName name="aiv" localSheetId="9">#REF!</definedName>
    <definedName name="aiv" localSheetId="18">#REF!</definedName>
    <definedName name="aiv" localSheetId="15">#REF!</definedName>
    <definedName name="aiv" localSheetId="7">#REF!</definedName>
    <definedName name="aiv">#REF!</definedName>
    <definedName name="aiv_2" localSheetId="12">#REF!</definedName>
    <definedName name="aiv_2" localSheetId="8">#REF!</definedName>
    <definedName name="aiv_2" localSheetId="11">#REF!</definedName>
    <definedName name="aiv_2" localSheetId="9">#REF!</definedName>
    <definedName name="aiv_2" localSheetId="18">#REF!</definedName>
    <definedName name="aiv_2" localSheetId="15">#REF!</definedName>
    <definedName name="aiv_2" localSheetId="7">#REF!</definedName>
    <definedName name="aiv_2">#REF!</definedName>
    <definedName name="AJ" localSheetId="12">#REF!</definedName>
    <definedName name="AJ" localSheetId="8">#REF!</definedName>
    <definedName name="AJ" localSheetId="11">#REF!</definedName>
    <definedName name="AJ" localSheetId="9">#REF!</definedName>
    <definedName name="AJ" localSheetId="18">#REF!</definedName>
    <definedName name="AJ" localSheetId="15">#REF!</definedName>
    <definedName name="AJ" localSheetId="7">#REF!</definedName>
    <definedName name="AJ">#REF!</definedName>
    <definedName name="AK" localSheetId="12">#REF!</definedName>
    <definedName name="AK" localSheetId="8">#REF!</definedName>
    <definedName name="AK" localSheetId="11">#REF!</definedName>
    <definedName name="AK" localSheetId="9">#REF!</definedName>
    <definedName name="AK" localSheetId="18">#REF!</definedName>
    <definedName name="AK" localSheetId="15">#REF!</definedName>
    <definedName name="AK" localSheetId="7">#REF!</definedName>
    <definedName name="AK">#REF!</definedName>
    <definedName name="AL" localSheetId="12">#REF!</definedName>
    <definedName name="AL" localSheetId="8">#REF!</definedName>
    <definedName name="AL" localSheetId="11">#REF!</definedName>
    <definedName name="AL" localSheetId="9">#REF!</definedName>
    <definedName name="AL" localSheetId="18">#REF!</definedName>
    <definedName name="AL" localSheetId="15">#REF!</definedName>
    <definedName name="AL" localSheetId="7">#REF!</definedName>
    <definedName name="AL">#REF!</definedName>
    <definedName name="alpha" localSheetId="12">#REF!</definedName>
    <definedName name="alpha" localSheetId="8">#REF!</definedName>
    <definedName name="alpha" localSheetId="11">#REF!</definedName>
    <definedName name="alpha" localSheetId="9">#REF!</definedName>
    <definedName name="alpha" localSheetId="18">#REF!</definedName>
    <definedName name="alpha" localSheetId="15">#REF!</definedName>
    <definedName name="alpha" localSheetId="7">#REF!</definedName>
    <definedName name="alpha">#REF!</definedName>
    <definedName name="Alw" localSheetId="12">#REF!</definedName>
    <definedName name="Alw" localSheetId="8">#REF!</definedName>
    <definedName name="Alw" localSheetId="11">#REF!</definedName>
    <definedName name="Alw" localSheetId="9">#REF!</definedName>
    <definedName name="Alw" localSheetId="18">#REF!</definedName>
    <definedName name="Alw" localSheetId="15">#REF!</definedName>
    <definedName name="Alw" localSheetId="7">#REF!</definedName>
    <definedName name="Alw">#REF!</definedName>
    <definedName name="ann" localSheetId="12">#REF!</definedName>
    <definedName name="ann" localSheetId="8">#REF!</definedName>
    <definedName name="ann" localSheetId="11">#REF!</definedName>
    <definedName name="ann" localSheetId="9">#REF!</definedName>
    <definedName name="ann" localSheetId="18">#REF!</definedName>
    <definedName name="ann" localSheetId="15">#REF!</definedName>
    <definedName name="ann" localSheetId="7">#REF!</definedName>
    <definedName name="ann">#REF!</definedName>
    <definedName name="anne" localSheetId="12">#REF!</definedName>
    <definedName name="anne" localSheetId="8">#REF!</definedName>
    <definedName name="anne" localSheetId="11">#REF!</definedName>
    <definedName name="anne" localSheetId="9">#REF!</definedName>
    <definedName name="anne" localSheetId="18">#REF!</definedName>
    <definedName name="anne" localSheetId="15">#REF!</definedName>
    <definedName name="anne" localSheetId="7">#REF!</definedName>
    <definedName name="anne">#REF!</definedName>
    <definedName name="annealing" localSheetId="12">#REF!</definedName>
    <definedName name="annealing" localSheetId="8">#REF!</definedName>
    <definedName name="annealing" localSheetId="11">#REF!</definedName>
    <definedName name="annealing" localSheetId="9">#REF!</definedName>
    <definedName name="annealing" localSheetId="18">#REF!</definedName>
    <definedName name="annealing" localSheetId="15">#REF!</definedName>
    <definedName name="annealing" localSheetId="7">#REF!</definedName>
    <definedName name="annealing">#REF!</definedName>
    <definedName name="annealing1" localSheetId="12">#REF!</definedName>
    <definedName name="annealing1" localSheetId="8">#REF!</definedName>
    <definedName name="annealing1" localSheetId="11">#REF!</definedName>
    <definedName name="annealing1" localSheetId="9">#REF!</definedName>
    <definedName name="annealing1" localSheetId="18">#REF!</definedName>
    <definedName name="annealing1" localSheetId="15">#REF!</definedName>
    <definedName name="annealing1" localSheetId="7">#REF!</definedName>
    <definedName name="annealing1">#REF!</definedName>
    <definedName name="anscount" hidden="1">1</definedName>
    <definedName name="AP_12" localSheetId="12">#REF!</definedName>
    <definedName name="AP_12" localSheetId="6">#REF!</definedName>
    <definedName name="AP_12" localSheetId="5">#REF!</definedName>
    <definedName name="AP_12" localSheetId="8">#REF!</definedName>
    <definedName name="AP_12" localSheetId="11">#REF!</definedName>
    <definedName name="AP_12" localSheetId="9">#REF!</definedName>
    <definedName name="AP_12" localSheetId="18">#REF!</definedName>
    <definedName name="AP_12" localSheetId="15">#REF!</definedName>
    <definedName name="AP_12" localSheetId="7">#REF!</definedName>
    <definedName name="AP_12">#REF!</definedName>
    <definedName name="Approachslab" localSheetId="12">#REF!</definedName>
    <definedName name="Approachslab" localSheetId="6">#REF!</definedName>
    <definedName name="Approachslab" localSheetId="5">#REF!</definedName>
    <definedName name="Approachslab" localSheetId="8">#REF!</definedName>
    <definedName name="Approachslab" localSheetId="11">#REF!</definedName>
    <definedName name="Approachslab" localSheetId="9">#REF!</definedName>
    <definedName name="Approachslab" localSheetId="18">#REF!</definedName>
    <definedName name="Approachslab" localSheetId="15">#REF!</definedName>
    <definedName name="Approachslab" localSheetId="7">#REF!</definedName>
    <definedName name="Approachslab">#REF!</definedName>
    <definedName name="april_qty" localSheetId="12">#REF!</definedName>
    <definedName name="april_qty" localSheetId="6">#REF!</definedName>
    <definedName name="april_qty" localSheetId="5">#REF!</definedName>
    <definedName name="april_qty" localSheetId="8">#REF!</definedName>
    <definedName name="april_qty" localSheetId="11">#REF!</definedName>
    <definedName name="april_qty" localSheetId="9">#REF!</definedName>
    <definedName name="april_qty" localSheetId="18">#REF!</definedName>
    <definedName name="april_qty" localSheetId="15">#REF!</definedName>
    <definedName name="april_qty" localSheetId="7">#REF!</definedName>
    <definedName name="april_qty">#REF!</definedName>
    <definedName name="APRROVED" localSheetId="12">#REF!</definedName>
    <definedName name="APRROVED" localSheetId="8">#REF!</definedName>
    <definedName name="APRROVED" localSheetId="11">#REF!</definedName>
    <definedName name="APRROVED" localSheetId="9">#REF!</definedName>
    <definedName name="APRROVED" localSheetId="18">#REF!</definedName>
    <definedName name="APRROVED" localSheetId="15">#REF!</definedName>
    <definedName name="APRROVED" localSheetId="7">#REF!</definedName>
    <definedName name="APRROVED">#REF!</definedName>
    <definedName name="AQWE" localSheetId="12" hidden="1">{#N/A,#N/A,FALSE,"mpph1";#N/A,#N/A,FALSE,"mpmseb";#N/A,#N/A,FALSE,"mpph2"}</definedName>
    <definedName name="AQWE" localSheetId="6" hidden="1">{#N/A,#N/A,FALSE,"mpph1";#N/A,#N/A,FALSE,"mpmseb";#N/A,#N/A,FALSE,"mpph2"}</definedName>
    <definedName name="AQWE" localSheetId="5" hidden="1">{#N/A,#N/A,FALSE,"mpph1";#N/A,#N/A,FALSE,"mpmseb";#N/A,#N/A,FALSE,"mpph2"}</definedName>
    <definedName name="AQWE" localSheetId="8" hidden="1">{#N/A,#N/A,FALSE,"mpph1";#N/A,#N/A,FALSE,"mpmseb";#N/A,#N/A,FALSE,"mpph2"}</definedName>
    <definedName name="AQWE" localSheetId="11" hidden="1">{#N/A,#N/A,FALSE,"mpph1";#N/A,#N/A,FALSE,"mpmseb";#N/A,#N/A,FALSE,"mpph2"}</definedName>
    <definedName name="AQWE" localSheetId="9" hidden="1">{#N/A,#N/A,FALSE,"mpph1";#N/A,#N/A,FALSE,"mpmseb";#N/A,#N/A,FALSE,"mpph2"}</definedName>
    <definedName name="AQWE" localSheetId="13" hidden="1">{#N/A,#N/A,FALSE,"mpph1";#N/A,#N/A,FALSE,"mpmseb";#N/A,#N/A,FALSE,"mpph2"}</definedName>
    <definedName name="AQWE" localSheetId="18" hidden="1">{#N/A,#N/A,FALSE,"mpph1";#N/A,#N/A,FALSE,"mpmseb";#N/A,#N/A,FALSE,"mpph2"}</definedName>
    <definedName name="AQWE" localSheetId="15" hidden="1">{#N/A,#N/A,FALSE,"mpph1";#N/A,#N/A,FALSE,"mpmseb";#N/A,#N/A,FALSE,"mpph2"}</definedName>
    <definedName name="AQWE" localSheetId="7" hidden="1">{#N/A,#N/A,FALSE,"mpph1";#N/A,#N/A,FALSE,"mpmseb";#N/A,#N/A,FALSE,"mpph2"}</definedName>
    <definedName name="AQWE" hidden="1">{#N/A,#N/A,FALSE,"mpph1";#N/A,#N/A,FALSE,"mpmseb";#N/A,#N/A,FALSE,"mpph2"}</definedName>
    <definedName name="ARD_TEST" localSheetId="12">#REF!</definedName>
    <definedName name="ARD_TEST" localSheetId="6">#REF!</definedName>
    <definedName name="ARD_TEST" localSheetId="5">#REF!</definedName>
    <definedName name="ARD_TEST" localSheetId="8">#REF!</definedName>
    <definedName name="ARD_TEST" localSheetId="11">#REF!</definedName>
    <definedName name="ARD_TEST" localSheetId="9">#REF!</definedName>
    <definedName name="ARD_TEST" localSheetId="18">#REF!</definedName>
    <definedName name="ARD_TEST" localSheetId="15">#REF!</definedName>
    <definedName name="ARD_TEST" localSheetId="7">#REF!</definedName>
    <definedName name="ARD_TEST">#REF!</definedName>
    <definedName name="AREA" localSheetId="12">#REF!</definedName>
    <definedName name="AREA" localSheetId="6">#REF!</definedName>
    <definedName name="AREA" localSheetId="5">#REF!</definedName>
    <definedName name="AREA" localSheetId="8">#REF!</definedName>
    <definedName name="AREA" localSheetId="11">#REF!</definedName>
    <definedName name="AREA" localSheetId="9">#REF!</definedName>
    <definedName name="AREA" localSheetId="18">#REF!</definedName>
    <definedName name="AREA" localSheetId="15">#REF!</definedName>
    <definedName name="AREA" localSheetId="7">#REF!</definedName>
    <definedName name="AREA">#REF!</definedName>
    <definedName name="AREAS_CA_CANOPY__WAREHOUSE" localSheetId="12">#REF!</definedName>
    <definedName name="AREAS_CA_CANOPY__WAREHOUSE" localSheetId="6">#REF!</definedName>
    <definedName name="AREAS_CA_CANOPY__WAREHOUSE" localSheetId="5">#REF!</definedName>
    <definedName name="AREAS_CA_CANOPY__WAREHOUSE" localSheetId="8">#REF!</definedName>
    <definedName name="AREAS_CA_CANOPY__WAREHOUSE" localSheetId="11">#REF!</definedName>
    <definedName name="AREAS_CA_CANOPY__WAREHOUSE" localSheetId="9">#REF!</definedName>
    <definedName name="AREAS_CA_CANOPY__WAREHOUSE" localSheetId="18">#REF!</definedName>
    <definedName name="AREAS_CA_CANOPY__WAREHOUSE" localSheetId="15">#REF!</definedName>
    <definedName name="AREAS_CA_CANOPY__WAREHOUSE" localSheetId="7">#REF!</definedName>
    <definedName name="AREAS_CA_CANOPY__WAREHOUSE">#REF!</definedName>
    <definedName name="AREAS_CB_Canteen_Building" localSheetId="12">#REF!</definedName>
    <definedName name="AREAS_CB_Canteen_Building" localSheetId="8">#REF!</definedName>
    <definedName name="AREAS_CB_Canteen_Building" localSheetId="11">#REF!</definedName>
    <definedName name="AREAS_CB_Canteen_Building" localSheetId="9">#REF!</definedName>
    <definedName name="AREAS_CB_Canteen_Building" localSheetId="18">#REF!</definedName>
    <definedName name="AREAS_CB_Canteen_Building" localSheetId="15">#REF!</definedName>
    <definedName name="AREAS_CB_Canteen_Building" localSheetId="7">#REF!</definedName>
    <definedName name="AREAS_CB_Canteen_Building">#REF!</definedName>
    <definedName name="AREAS_CIPT_Tanker_CIP_Shed" localSheetId="12">#REF!</definedName>
    <definedName name="AREAS_CIPT_Tanker_CIP_Shed" localSheetId="8">#REF!</definedName>
    <definedName name="AREAS_CIPT_Tanker_CIP_Shed" localSheetId="11">#REF!</definedName>
    <definedName name="AREAS_CIPT_Tanker_CIP_Shed" localSheetId="9">#REF!</definedName>
    <definedName name="AREAS_CIPT_Tanker_CIP_Shed" localSheetId="18">#REF!</definedName>
    <definedName name="AREAS_CIPT_Tanker_CIP_Shed" localSheetId="15">#REF!</definedName>
    <definedName name="AREAS_CIPT_Tanker_CIP_Shed" localSheetId="7">#REF!</definedName>
    <definedName name="AREAS_CIPT_Tanker_CIP_Shed">#REF!</definedName>
    <definedName name="AREAS_CLRR_Contract_Labour_Rest_Room" localSheetId="12">#REF!</definedName>
    <definedName name="AREAS_CLRR_Contract_Labour_Rest_Room" localSheetId="8">#REF!</definedName>
    <definedName name="AREAS_CLRR_Contract_Labour_Rest_Room" localSheetId="11">#REF!</definedName>
    <definedName name="AREAS_CLRR_Contract_Labour_Rest_Room" localSheetId="9">#REF!</definedName>
    <definedName name="AREAS_CLRR_Contract_Labour_Rest_Room" localSheetId="18">#REF!</definedName>
    <definedName name="AREAS_CLRR_Contract_Labour_Rest_Room" localSheetId="15">#REF!</definedName>
    <definedName name="AREAS_CLRR_Contract_Labour_Rest_Room" localSheetId="7">#REF!</definedName>
    <definedName name="AREAS_CLRR_Contract_Labour_Rest_Room">#REF!</definedName>
    <definedName name="AREAS_CS_Chemical_Store" localSheetId="12">#REF!</definedName>
    <definedName name="AREAS_CS_Chemical_Store" localSheetId="8">#REF!</definedName>
    <definedName name="AREAS_CS_Chemical_Store" localSheetId="11">#REF!</definedName>
    <definedName name="AREAS_CS_Chemical_Store" localSheetId="9">#REF!</definedName>
    <definedName name="AREAS_CS_Chemical_Store" localSheetId="18">#REF!</definedName>
    <definedName name="AREAS_CS_Chemical_Store" localSheetId="15">#REF!</definedName>
    <definedName name="AREAS_CS_Chemical_Store" localSheetId="7">#REF!</definedName>
    <definedName name="AREAS_CS_Chemical_Store">#REF!</definedName>
    <definedName name="AREAS_ETPC_ETP_Civil_Works" localSheetId="12">#REF!</definedName>
    <definedName name="AREAS_ETPC_ETP_Civil_Works" localSheetId="8">#REF!</definedName>
    <definedName name="AREAS_ETPC_ETP_Civil_Works" localSheetId="11">#REF!</definedName>
    <definedName name="AREAS_ETPC_ETP_Civil_Works" localSheetId="9">#REF!</definedName>
    <definedName name="AREAS_ETPC_ETP_Civil_Works" localSheetId="18">#REF!</definedName>
    <definedName name="AREAS_ETPC_ETP_Civil_Works" localSheetId="15">#REF!</definedName>
    <definedName name="AREAS_ETPC_ETP_Civil_Works" localSheetId="7">#REF!</definedName>
    <definedName name="AREAS_ETPC_ETP_Civil_Works">#REF!</definedName>
    <definedName name="AREAS_EX_EXTERNAL_WORKS" localSheetId="12">#REF!</definedName>
    <definedName name="AREAS_EX_EXTERNAL_WORKS" localSheetId="8">#REF!</definedName>
    <definedName name="AREAS_EX_EXTERNAL_WORKS" localSheetId="11">#REF!</definedName>
    <definedName name="AREAS_EX_EXTERNAL_WORKS" localSheetId="9">#REF!</definedName>
    <definedName name="AREAS_EX_EXTERNAL_WORKS" localSheetId="18">#REF!</definedName>
    <definedName name="AREAS_EX_EXTERNAL_WORKS" localSheetId="15">#REF!</definedName>
    <definedName name="AREAS_EX_EXTERNAL_WORKS" localSheetId="7">#REF!</definedName>
    <definedName name="AREAS_EX_EXTERNAL_WORKS">#REF!</definedName>
    <definedName name="AREAS_FC_Farmer_s_Conference" localSheetId="12">#REF!</definedName>
    <definedName name="AREAS_FC_Farmer_s_Conference" localSheetId="8">#REF!</definedName>
    <definedName name="AREAS_FC_Farmer_s_Conference" localSheetId="11">#REF!</definedName>
    <definedName name="AREAS_FC_Farmer_s_Conference" localSheetId="9">#REF!</definedName>
    <definedName name="AREAS_FC_Farmer_s_Conference" localSheetId="18">#REF!</definedName>
    <definedName name="AREAS_FC_Farmer_s_Conference" localSheetId="15">#REF!</definedName>
    <definedName name="AREAS_FC_Farmer_s_Conference" localSheetId="7">#REF!</definedName>
    <definedName name="AREAS_FC_Farmer_s_Conference">#REF!</definedName>
    <definedName name="AREAS_FU_Fumigation" localSheetId="12">#REF!</definedName>
    <definedName name="AREAS_FU_Fumigation" localSheetId="8">#REF!</definedName>
    <definedName name="AREAS_FU_Fumigation" localSheetId="11">#REF!</definedName>
    <definedName name="AREAS_FU_Fumigation" localSheetId="9">#REF!</definedName>
    <definedName name="AREAS_FU_Fumigation" localSheetId="18">#REF!</definedName>
    <definedName name="AREAS_FU_Fumigation" localSheetId="15">#REF!</definedName>
    <definedName name="AREAS_FU_Fumigation" localSheetId="7">#REF!</definedName>
    <definedName name="AREAS_FU_Fumigation">#REF!</definedName>
    <definedName name="AREAS_GA_General_Area___Overall" localSheetId="12">#REF!</definedName>
    <definedName name="AREAS_GA_General_Area___Overall" localSheetId="8">#REF!</definedName>
    <definedName name="AREAS_GA_General_Area___Overall" localSheetId="11">#REF!</definedName>
    <definedName name="AREAS_GA_General_Area___Overall" localSheetId="9">#REF!</definedName>
    <definedName name="AREAS_GA_General_Area___Overall" localSheetId="18">#REF!</definedName>
    <definedName name="AREAS_GA_General_Area___Overall" localSheetId="15">#REF!</definedName>
    <definedName name="AREAS_GA_General_Area___Overall" localSheetId="7">#REF!</definedName>
    <definedName name="AREAS_GA_General_Area___Overall">#REF!</definedName>
    <definedName name="AREAS_GP_Guard_Posts" localSheetId="12">#REF!</definedName>
    <definedName name="AREAS_GP_Guard_Posts" localSheetId="8">#REF!</definedName>
    <definedName name="AREAS_GP_Guard_Posts" localSheetId="11">#REF!</definedName>
    <definedName name="AREAS_GP_Guard_Posts" localSheetId="9">#REF!</definedName>
    <definedName name="AREAS_GP_Guard_Posts" localSheetId="18">#REF!</definedName>
    <definedName name="AREAS_GP_Guard_Posts" localSheetId="15">#REF!</definedName>
    <definedName name="AREAS_GP_Guard_Posts" localSheetId="7">#REF!</definedName>
    <definedName name="AREAS_GP_Guard_Posts">#REF!</definedName>
    <definedName name="AREAS_LS_LubeOil_Stores" localSheetId="12">#REF!</definedName>
    <definedName name="AREAS_LS_LubeOil_Stores" localSheetId="8">#REF!</definedName>
    <definedName name="AREAS_LS_LubeOil_Stores" localSheetId="11">#REF!</definedName>
    <definedName name="AREAS_LS_LubeOil_Stores" localSheetId="9">#REF!</definedName>
    <definedName name="AREAS_LS_LubeOil_Stores" localSheetId="18">#REF!</definedName>
    <definedName name="AREAS_LS_LubeOil_Stores" localSheetId="15">#REF!</definedName>
    <definedName name="AREAS_LS_LubeOil_Stores" localSheetId="7">#REF!</definedName>
    <definedName name="AREAS_LS_LubeOil_Stores">#REF!</definedName>
    <definedName name="AREAS_MR_TB_Milk_Reception_Tanker_s_Bay" localSheetId="12">#REF!</definedName>
    <definedName name="AREAS_MR_TB_Milk_Reception_Tanker_s_Bay" localSheetId="8">#REF!</definedName>
    <definedName name="AREAS_MR_TB_Milk_Reception_Tanker_s_Bay" localSheetId="11">#REF!</definedName>
    <definedName name="AREAS_MR_TB_Milk_Reception_Tanker_s_Bay" localSheetId="9">#REF!</definedName>
    <definedName name="AREAS_MR_TB_Milk_Reception_Tanker_s_Bay" localSheetId="18">#REF!</definedName>
    <definedName name="AREAS_MR_TB_Milk_Reception_Tanker_s_Bay" localSheetId="15">#REF!</definedName>
    <definedName name="AREAS_MR_TB_Milk_Reception_Tanker_s_Bay" localSheetId="7">#REF!</definedName>
    <definedName name="AREAS_MR_TB_Milk_Reception_Tanker_s_Bay">#REF!</definedName>
    <definedName name="AREAS_MTF_Milk_Tank_Foundations" localSheetId="12">#REF!</definedName>
    <definedName name="AREAS_MTF_Milk_Tank_Foundations" localSheetId="8">#REF!</definedName>
    <definedName name="AREAS_MTF_Milk_Tank_Foundations" localSheetId="11">#REF!</definedName>
    <definedName name="AREAS_MTF_Milk_Tank_Foundations" localSheetId="9">#REF!</definedName>
    <definedName name="AREAS_MTF_Milk_Tank_Foundations" localSheetId="18">#REF!</definedName>
    <definedName name="AREAS_MTF_Milk_Tank_Foundations" localSheetId="15">#REF!</definedName>
    <definedName name="AREAS_MTF_Milk_Tank_Foundations" localSheetId="7">#REF!</definedName>
    <definedName name="AREAS_MTF_Milk_Tank_Foundations">#REF!</definedName>
    <definedName name="AREAS_PB_PROCESS_BUILDING" localSheetId="12">#REF!</definedName>
    <definedName name="AREAS_PB_PROCESS_BUILDING" localSheetId="8">#REF!</definedName>
    <definedName name="AREAS_PB_PROCESS_BUILDING" localSheetId="11">#REF!</definedName>
    <definedName name="AREAS_PB_PROCESS_BUILDING" localSheetId="9">#REF!</definedName>
    <definedName name="AREAS_PB_PROCESS_BUILDING" localSheetId="18">#REF!</definedName>
    <definedName name="AREAS_PB_PROCESS_BUILDING" localSheetId="15">#REF!</definedName>
    <definedName name="AREAS_PB_PROCESS_BUILDING" localSheetId="7">#REF!</definedName>
    <definedName name="AREAS_PB_PROCESS_BUILDING">#REF!</definedName>
    <definedName name="AREAS_PR_Pipe_Racks" localSheetId="12">#REF!</definedName>
    <definedName name="AREAS_PR_Pipe_Racks" localSheetId="8">#REF!</definedName>
    <definedName name="AREAS_PR_Pipe_Racks" localSheetId="11">#REF!</definedName>
    <definedName name="AREAS_PR_Pipe_Racks" localSheetId="9">#REF!</definedName>
    <definedName name="AREAS_PR_Pipe_Racks" localSheetId="18">#REF!</definedName>
    <definedName name="AREAS_PR_Pipe_Racks" localSheetId="15">#REF!</definedName>
    <definedName name="AREAS_PR_Pipe_Racks" localSheetId="7">#REF!</definedName>
    <definedName name="AREAS_PR_Pipe_Racks">#REF!</definedName>
    <definedName name="AREAS_SR_2_Security_Room___2" localSheetId="12">#REF!</definedName>
    <definedName name="AREAS_SR_2_Security_Room___2" localSheetId="8">#REF!</definedName>
    <definedName name="AREAS_SR_2_Security_Room___2" localSheetId="11">#REF!</definedName>
    <definedName name="AREAS_SR_2_Security_Room___2" localSheetId="9">#REF!</definedName>
    <definedName name="AREAS_SR_2_Security_Room___2" localSheetId="18">#REF!</definedName>
    <definedName name="AREAS_SR_2_Security_Room___2" localSheetId="15">#REF!</definedName>
    <definedName name="AREAS_SR_2_Security_Room___2" localSheetId="7">#REF!</definedName>
    <definedName name="AREAS_SR_2_Security_Room___2">#REF!</definedName>
    <definedName name="AREAS_SR_3_Store_Room" localSheetId="12">#REF!</definedName>
    <definedName name="AREAS_SR_3_Store_Room" localSheetId="8">#REF!</definedName>
    <definedName name="AREAS_SR_3_Store_Room" localSheetId="11">#REF!</definedName>
    <definedName name="AREAS_SR_3_Store_Room" localSheetId="9">#REF!</definedName>
    <definedName name="AREAS_SR_3_Store_Room" localSheetId="18">#REF!</definedName>
    <definedName name="AREAS_SR_3_Store_Room" localSheetId="15">#REF!</definedName>
    <definedName name="AREAS_SR_3_Store_Room" localSheetId="7">#REF!</definedName>
    <definedName name="AREAS_SR_3_Store_Room">#REF!</definedName>
    <definedName name="AREAS_ST_Stacks_near_Utility_Buildings" localSheetId="12">#REF!</definedName>
    <definedName name="AREAS_ST_Stacks_near_Utility_Buildings" localSheetId="8">#REF!</definedName>
    <definedName name="AREAS_ST_Stacks_near_Utility_Buildings" localSheetId="11">#REF!</definedName>
    <definedName name="AREAS_ST_Stacks_near_Utility_Buildings" localSheetId="9">#REF!</definedName>
    <definedName name="AREAS_ST_Stacks_near_Utility_Buildings" localSheetId="18">#REF!</definedName>
    <definedName name="AREAS_ST_Stacks_near_Utility_Buildings" localSheetId="15">#REF!</definedName>
    <definedName name="AREAS_ST_Stacks_near_Utility_Buildings" localSheetId="7">#REF!</definedName>
    <definedName name="AREAS_ST_Stacks_near_Utility_Buildings">#REF!</definedName>
    <definedName name="AREAS_SY_Scrap_Yard" localSheetId="12">#REF!</definedName>
    <definedName name="AREAS_SY_Scrap_Yard" localSheetId="8">#REF!</definedName>
    <definedName name="AREAS_SY_Scrap_Yard" localSheetId="11">#REF!</definedName>
    <definedName name="AREAS_SY_Scrap_Yard" localSheetId="9">#REF!</definedName>
    <definedName name="AREAS_SY_Scrap_Yard" localSheetId="18">#REF!</definedName>
    <definedName name="AREAS_SY_Scrap_Yard" localSheetId="15">#REF!</definedName>
    <definedName name="AREAS_SY_Scrap_Yard" localSheetId="7">#REF!</definedName>
    <definedName name="AREAS_SY_Scrap_Yard">#REF!</definedName>
    <definedName name="AREAS_TWW_Truck_Wheel_Wash" localSheetId="12">#REF!</definedName>
    <definedName name="AREAS_TWW_Truck_Wheel_Wash" localSheetId="8">#REF!</definedName>
    <definedName name="AREAS_TWW_Truck_Wheel_Wash" localSheetId="11">#REF!</definedName>
    <definedName name="AREAS_TWW_Truck_Wheel_Wash" localSheetId="9">#REF!</definedName>
    <definedName name="AREAS_TWW_Truck_Wheel_Wash" localSheetId="18">#REF!</definedName>
    <definedName name="AREAS_TWW_Truck_Wheel_Wash" localSheetId="15">#REF!</definedName>
    <definedName name="AREAS_TWW_Truck_Wheel_Wash" localSheetId="7">#REF!</definedName>
    <definedName name="AREAS_TWW_Truck_Wheel_Wash">#REF!</definedName>
    <definedName name="AREAS_TY_Transformer_Yard" localSheetId="12">#REF!</definedName>
    <definedName name="AREAS_TY_Transformer_Yard" localSheetId="8">#REF!</definedName>
    <definedName name="AREAS_TY_Transformer_Yard" localSheetId="11">#REF!</definedName>
    <definedName name="AREAS_TY_Transformer_Yard" localSheetId="9">#REF!</definedName>
    <definedName name="AREAS_TY_Transformer_Yard" localSheetId="18">#REF!</definedName>
    <definedName name="AREAS_TY_Transformer_Yard" localSheetId="15">#REF!</definedName>
    <definedName name="AREAS_TY_Transformer_Yard" localSheetId="7">#REF!</definedName>
    <definedName name="AREAS_TY_Transformer_Yard">#REF!</definedName>
    <definedName name="AREAS_UB_UTILITY_BLOCK" localSheetId="12">#REF!</definedName>
    <definedName name="AREAS_UB_UTILITY_BLOCK" localSheetId="8">#REF!</definedName>
    <definedName name="AREAS_UB_UTILITY_BLOCK" localSheetId="11">#REF!</definedName>
    <definedName name="AREAS_UB_UTILITY_BLOCK" localSheetId="9">#REF!</definedName>
    <definedName name="AREAS_UB_UTILITY_BLOCK" localSheetId="18">#REF!</definedName>
    <definedName name="AREAS_UB_UTILITY_BLOCK" localSheetId="15">#REF!</definedName>
    <definedName name="AREAS_UB_UTILITY_BLOCK" localSheetId="7">#REF!</definedName>
    <definedName name="AREAS_UB_UTILITY_BLOCK">#REF!</definedName>
    <definedName name="AREAS_WH_Ware_House_Area" localSheetId="12">#REF!</definedName>
    <definedName name="AREAS_WH_Ware_House_Area" localSheetId="8">#REF!</definedName>
    <definedName name="AREAS_WH_Ware_House_Area" localSheetId="11">#REF!</definedName>
    <definedName name="AREAS_WH_Ware_House_Area" localSheetId="9">#REF!</definedName>
    <definedName name="AREAS_WH_Ware_House_Area" localSheetId="18">#REF!</definedName>
    <definedName name="AREAS_WH_Ware_House_Area" localSheetId="15">#REF!</definedName>
    <definedName name="AREAS_WH_Ware_House_Area" localSheetId="7">#REF!</definedName>
    <definedName name="AREAS_WH_Ware_House_Area">#REF!</definedName>
    <definedName name="AS" localSheetId="12" hidden="1">{#N/A,#N/A,FALSE,"COVER.XLS";#N/A,#N/A,FALSE,"RACT1.XLS";#N/A,#N/A,FALSE,"RACT2.XLS";#N/A,#N/A,FALSE,"ECCMP";#N/A,#N/A,FALSE,"WELDER.XLS"}</definedName>
    <definedName name="AS" localSheetId="6" hidden="1">{#N/A,#N/A,FALSE,"COVER.XLS";#N/A,#N/A,FALSE,"RACT1.XLS";#N/A,#N/A,FALSE,"RACT2.XLS";#N/A,#N/A,FALSE,"ECCMP";#N/A,#N/A,FALSE,"WELDER.XLS"}</definedName>
    <definedName name="AS" localSheetId="5" hidden="1">{#N/A,#N/A,FALSE,"COVER.XLS";#N/A,#N/A,FALSE,"RACT1.XLS";#N/A,#N/A,FALSE,"RACT2.XLS";#N/A,#N/A,FALSE,"ECCMP";#N/A,#N/A,FALSE,"WELDER.XLS"}</definedName>
    <definedName name="AS" localSheetId="8" hidden="1">{#N/A,#N/A,FALSE,"COVER.XLS";#N/A,#N/A,FALSE,"RACT1.XLS";#N/A,#N/A,FALSE,"RACT2.XLS";#N/A,#N/A,FALSE,"ECCMP";#N/A,#N/A,FALSE,"WELDER.XLS"}</definedName>
    <definedName name="AS" localSheetId="11" hidden="1">{#N/A,#N/A,FALSE,"COVER.XLS";#N/A,#N/A,FALSE,"RACT1.XLS";#N/A,#N/A,FALSE,"RACT2.XLS";#N/A,#N/A,FALSE,"ECCMP";#N/A,#N/A,FALSE,"WELDER.XLS"}</definedName>
    <definedName name="AS" localSheetId="9" hidden="1">{#N/A,#N/A,FALSE,"COVER.XLS";#N/A,#N/A,FALSE,"RACT1.XLS";#N/A,#N/A,FALSE,"RACT2.XLS";#N/A,#N/A,FALSE,"ECCMP";#N/A,#N/A,FALSE,"WELDER.XLS"}</definedName>
    <definedName name="AS" localSheetId="13" hidden="1">{#N/A,#N/A,FALSE,"COVER.XLS";#N/A,#N/A,FALSE,"RACT1.XLS";#N/A,#N/A,FALSE,"RACT2.XLS";#N/A,#N/A,FALSE,"ECCMP";#N/A,#N/A,FALSE,"WELDER.XLS"}</definedName>
    <definedName name="AS" localSheetId="18" hidden="1">{#N/A,#N/A,FALSE,"COVER.XLS";#N/A,#N/A,FALSE,"RACT1.XLS";#N/A,#N/A,FALSE,"RACT2.XLS";#N/A,#N/A,FALSE,"ECCMP";#N/A,#N/A,FALSE,"WELDER.XLS"}</definedName>
    <definedName name="AS" localSheetId="15" hidden="1">{#N/A,#N/A,FALSE,"COVER.XLS";#N/A,#N/A,FALSE,"RACT1.XLS";#N/A,#N/A,FALSE,"RACT2.XLS";#N/A,#N/A,FALSE,"ECCMP";#N/A,#N/A,FALSE,"WELDER.XLS"}</definedName>
    <definedName name="AS" localSheetId="7" hidden="1">{#N/A,#N/A,FALSE,"COVER.XLS";#N/A,#N/A,FALSE,"RACT1.XLS";#N/A,#N/A,FALSE,"RACT2.XLS";#N/A,#N/A,FALSE,"ECCMP";#N/A,#N/A,FALSE,"WELDER.XLS"}</definedName>
    <definedName name="AS" hidden="1">{#N/A,#N/A,FALSE,"COVER.XLS";#N/A,#N/A,FALSE,"RACT1.XLS";#N/A,#N/A,FALSE,"RACT2.XLS";#N/A,#N/A,FALSE,"ECCMP";#N/A,#N/A,FALSE,"WELDER.XLS"}</definedName>
    <definedName name="AS2DocOpenMode" hidden="1">"AS2DocumentEdit"</definedName>
    <definedName name="asa" localSheetId="12" hidden="1">{#N/A,#N/A,FALSE,"COVER1.XLS ";#N/A,#N/A,FALSE,"RACT1.XLS";#N/A,#N/A,FALSE,"RACT2.XLS";#N/A,#N/A,FALSE,"ECCMP";#N/A,#N/A,FALSE,"WELDER.XLS"}</definedName>
    <definedName name="asa" localSheetId="6" hidden="1">{#N/A,#N/A,FALSE,"COVER1.XLS ";#N/A,#N/A,FALSE,"RACT1.XLS";#N/A,#N/A,FALSE,"RACT2.XLS";#N/A,#N/A,FALSE,"ECCMP";#N/A,#N/A,FALSE,"WELDER.XLS"}</definedName>
    <definedName name="asa" localSheetId="5" hidden="1">{#N/A,#N/A,FALSE,"COVER1.XLS ";#N/A,#N/A,FALSE,"RACT1.XLS";#N/A,#N/A,FALSE,"RACT2.XLS";#N/A,#N/A,FALSE,"ECCMP";#N/A,#N/A,FALSE,"WELDER.XLS"}</definedName>
    <definedName name="asa" localSheetId="8" hidden="1">{#N/A,#N/A,FALSE,"COVER1.XLS ";#N/A,#N/A,FALSE,"RACT1.XLS";#N/A,#N/A,FALSE,"RACT2.XLS";#N/A,#N/A,FALSE,"ECCMP";#N/A,#N/A,FALSE,"WELDER.XLS"}</definedName>
    <definedName name="asa" localSheetId="11" hidden="1">{#N/A,#N/A,FALSE,"COVER1.XLS ";#N/A,#N/A,FALSE,"RACT1.XLS";#N/A,#N/A,FALSE,"RACT2.XLS";#N/A,#N/A,FALSE,"ECCMP";#N/A,#N/A,FALSE,"WELDER.XLS"}</definedName>
    <definedName name="asa" localSheetId="9" hidden="1">{#N/A,#N/A,FALSE,"COVER1.XLS ";#N/A,#N/A,FALSE,"RACT1.XLS";#N/A,#N/A,FALSE,"RACT2.XLS";#N/A,#N/A,FALSE,"ECCMP";#N/A,#N/A,FALSE,"WELDER.XLS"}</definedName>
    <definedName name="asa" localSheetId="13" hidden="1">{#N/A,#N/A,FALSE,"COVER1.XLS ";#N/A,#N/A,FALSE,"RACT1.XLS";#N/A,#N/A,FALSE,"RACT2.XLS";#N/A,#N/A,FALSE,"ECCMP";#N/A,#N/A,FALSE,"WELDER.XLS"}</definedName>
    <definedName name="asa" localSheetId="18" hidden="1">{#N/A,#N/A,FALSE,"COVER1.XLS ";#N/A,#N/A,FALSE,"RACT1.XLS";#N/A,#N/A,FALSE,"RACT2.XLS";#N/A,#N/A,FALSE,"ECCMP";#N/A,#N/A,FALSE,"WELDER.XLS"}</definedName>
    <definedName name="asa" localSheetId="15" hidden="1">{#N/A,#N/A,FALSE,"COVER1.XLS ";#N/A,#N/A,FALSE,"RACT1.XLS";#N/A,#N/A,FALSE,"RACT2.XLS";#N/A,#N/A,FALSE,"ECCMP";#N/A,#N/A,FALSE,"WELDER.XLS"}</definedName>
    <definedName name="asa" localSheetId="7" hidden="1">{#N/A,#N/A,FALSE,"COVER1.XLS ";#N/A,#N/A,FALSE,"RACT1.XLS";#N/A,#N/A,FALSE,"RACT2.XLS";#N/A,#N/A,FALSE,"ECCMP";#N/A,#N/A,FALSE,"WELDER.XLS"}</definedName>
    <definedName name="asa" hidden="1">{#N/A,#N/A,FALSE,"COVER1.XLS ";#N/A,#N/A,FALSE,"RACT1.XLS";#N/A,#N/A,FALSE,"RACT2.XLS";#N/A,#N/A,FALSE,"ECCMP";#N/A,#N/A,FALSE,"WELDER.XLS"}</definedName>
    <definedName name="asad" localSheetId="12" hidden="1">{#N/A,#N/A,FALSE,"str_title";#N/A,#N/A,FALSE,"SUM";#N/A,#N/A,FALSE,"Scope";#N/A,#N/A,FALSE,"PIE-Jn";#N/A,#N/A,FALSE,"PIE-Jn_Hz";#N/A,#N/A,FALSE,"Liq_Plan";#N/A,#N/A,FALSE,"S_Curve";#N/A,#N/A,FALSE,"Liq_Prof";#N/A,#N/A,FALSE,"Man_Pwr";#N/A,#N/A,FALSE,"Man_Prof"}</definedName>
    <definedName name="asad" localSheetId="6" hidden="1">{#N/A,#N/A,FALSE,"str_title";#N/A,#N/A,FALSE,"SUM";#N/A,#N/A,FALSE,"Scope";#N/A,#N/A,FALSE,"PIE-Jn";#N/A,#N/A,FALSE,"PIE-Jn_Hz";#N/A,#N/A,FALSE,"Liq_Plan";#N/A,#N/A,FALSE,"S_Curve";#N/A,#N/A,FALSE,"Liq_Prof";#N/A,#N/A,FALSE,"Man_Pwr";#N/A,#N/A,FALSE,"Man_Prof"}</definedName>
    <definedName name="asad" localSheetId="5" hidden="1">{#N/A,#N/A,FALSE,"str_title";#N/A,#N/A,FALSE,"SUM";#N/A,#N/A,FALSE,"Scope";#N/A,#N/A,FALSE,"PIE-Jn";#N/A,#N/A,FALSE,"PIE-Jn_Hz";#N/A,#N/A,FALSE,"Liq_Plan";#N/A,#N/A,FALSE,"S_Curve";#N/A,#N/A,FALSE,"Liq_Prof";#N/A,#N/A,FALSE,"Man_Pwr";#N/A,#N/A,FALSE,"Man_Prof"}</definedName>
    <definedName name="asad" localSheetId="8" hidden="1">{#N/A,#N/A,FALSE,"str_title";#N/A,#N/A,FALSE,"SUM";#N/A,#N/A,FALSE,"Scope";#N/A,#N/A,FALSE,"PIE-Jn";#N/A,#N/A,FALSE,"PIE-Jn_Hz";#N/A,#N/A,FALSE,"Liq_Plan";#N/A,#N/A,FALSE,"S_Curve";#N/A,#N/A,FALSE,"Liq_Prof";#N/A,#N/A,FALSE,"Man_Pwr";#N/A,#N/A,FALSE,"Man_Prof"}</definedName>
    <definedName name="asad" localSheetId="11" hidden="1">{#N/A,#N/A,FALSE,"str_title";#N/A,#N/A,FALSE,"SUM";#N/A,#N/A,FALSE,"Scope";#N/A,#N/A,FALSE,"PIE-Jn";#N/A,#N/A,FALSE,"PIE-Jn_Hz";#N/A,#N/A,FALSE,"Liq_Plan";#N/A,#N/A,FALSE,"S_Curve";#N/A,#N/A,FALSE,"Liq_Prof";#N/A,#N/A,FALSE,"Man_Pwr";#N/A,#N/A,FALSE,"Man_Prof"}</definedName>
    <definedName name="asad" localSheetId="9" hidden="1">{#N/A,#N/A,FALSE,"str_title";#N/A,#N/A,FALSE,"SUM";#N/A,#N/A,FALSE,"Scope";#N/A,#N/A,FALSE,"PIE-Jn";#N/A,#N/A,FALSE,"PIE-Jn_Hz";#N/A,#N/A,FALSE,"Liq_Plan";#N/A,#N/A,FALSE,"S_Curve";#N/A,#N/A,FALSE,"Liq_Prof";#N/A,#N/A,FALSE,"Man_Pwr";#N/A,#N/A,FALSE,"Man_Prof"}</definedName>
    <definedName name="asad" localSheetId="13" hidden="1">{#N/A,#N/A,FALSE,"str_title";#N/A,#N/A,FALSE,"SUM";#N/A,#N/A,FALSE,"Scope";#N/A,#N/A,FALSE,"PIE-Jn";#N/A,#N/A,FALSE,"PIE-Jn_Hz";#N/A,#N/A,FALSE,"Liq_Plan";#N/A,#N/A,FALSE,"S_Curve";#N/A,#N/A,FALSE,"Liq_Prof";#N/A,#N/A,FALSE,"Man_Pwr";#N/A,#N/A,FALSE,"Man_Prof"}</definedName>
    <definedName name="asad" localSheetId="18" hidden="1">{#N/A,#N/A,FALSE,"str_title";#N/A,#N/A,FALSE,"SUM";#N/A,#N/A,FALSE,"Scope";#N/A,#N/A,FALSE,"PIE-Jn";#N/A,#N/A,FALSE,"PIE-Jn_Hz";#N/A,#N/A,FALSE,"Liq_Plan";#N/A,#N/A,FALSE,"S_Curve";#N/A,#N/A,FALSE,"Liq_Prof";#N/A,#N/A,FALSE,"Man_Pwr";#N/A,#N/A,FALSE,"Man_Prof"}</definedName>
    <definedName name="asad" localSheetId="15" hidden="1">{#N/A,#N/A,FALSE,"str_title";#N/A,#N/A,FALSE,"SUM";#N/A,#N/A,FALSE,"Scope";#N/A,#N/A,FALSE,"PIE-Jn";#N/A,#N/A,FALSE,"PIE-Jn_Hz";#N/A,#N/A,FALSE,"Liq_Plan";#N/A,#N/A,FALSE,"S_Curve";#N/A,#N/A,FALSE,"Liq_Prof";#N/A,#N/A,FALSE,"Man_Pwr";#N/A,#N/A,FALSE,"Man_Prof"}</definedName>
    <definedName name="asad" localSheetId="7" hidden="1">{#N/A,#N/A,FALSE,"str_title";#N/A,#N/A,FALSE,"SUM";#N/A,#N/A,FALSE,"Scope";#N/A,#N/A,FALSE,"PIE-Jn";#N/A,#N/A,FALSE,"PIE-Jn_Hz";#N/A,#N/A,FALSE,"Liq_Plan";#N/A,#N/A,FALSE,"S_Curve";#N/A,#N/A,FALSE,"Liq_Prof";#N/A,#N/A,FALSE,"Man_Pwr";#N/A,#N/A,FALSE,"Man_Prof"}</definedName>
    <definedName name="asad" hidden="1">{#N/A,#N/A,FALSE,"str_title";#N/A,#N/A,FALSE,"SUM";#N/A,#N/A,FALSE,"Scope";#N/A,#N/A,FALSE,"PIE-Jn";#N/A,#N/A,FALSE,"PIE-Jn_Hz";#N/A,#N/A,FALSE,"Liq_Plan";#N/A,#N/A,FALSE,"S_Curve";#N/A,#N/A,FALSE,"Liq_Prof";#N/A,#N/A,FALSE,"Man_Pwr";#N/A,#N/A,FALSE,"Man_Prof"}</definedName>
    <definedName name="asd" localSheetId="12">#REF!</definedName>
    <definedName name="asd" localSheetId="6">#REF!</definedName>
    <definedName name="asd" localSheetId="5">#REF!</definedName>
    <definedName name="asd" localSheetId="8">#REF!</definedName>
    <definedName name="asd" localSheetId="11">#REF!</definedName>
    <definedName name="asd" localSheetId="9">#REF!</definedName>
    <definedName name="asd" localSheetId="18">#REF!</definedName>
    <definedName name="asd" localSheetId="15">#REF!</definedName>
    <definedName name="asd" localSheetId="7">#REF!</definedName>
    <definedName name="asd">#REF!</definedName>
    <definedName name="asdsa" localSheetId="12">#REF!</definedName>
    <definedName name="asdsa" localSheetId="6">#REF!</definedName>
    <definedName name="asdsa" localSheetId="5">#REF!</definedName>
    <definedName name="asdsa" localSheetId="8">#REF!</definedName>
    <definedName name="asdsa" localSheetId="11">#REF!</definedName>
    <definedName name="asdsa" localSheetId="9">#REF!</definedName>
    <definedName name="asdsa" localSheetId="18">#REF!</definedName>
    <definedName name="asdsa" localSheetId="15">#REF!</definedName>
    <definedName name="asdsa" localSheetId="7">#REF!</definedName>
    <definedName name="asdsa">#REF!</definedName>
    <definedName name="ASHOKA" localSheetId="12">#REF!</definedName>
    <definedName name="ASHOKA" localSheetId="6">#REF!</definedName>
    <definedName name="ASHOKA" localSheetId="5">#REF!</definedName>
    <definedName name="ASHOKA" localSheetId="8">#REF!</definedName>
    <definedName name="ASHOKA" localSheetId="11">#REF!</definedName>
    <definedName name="ASHOKA" localSheetId="9">#REF!</definedName>
    <definedName name="ASHOKA" localSheetId="18">#REF!</definedName>
    <definedName name="ASHOKA" localSheetId="15">#REF!</definedName>
    <definedName name="ASHOKA" localSheetId="7">#REF!</definedName>
    <definedName name="ASHOKA">#REF!</definedName>
    <definedName name="assa"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1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 localSheetId="12" hidden="1">{#N/A,#N/A,TRUE,"Front";#N/A,#N/A,TRUE,"Simple Letter";#N/A,#N/A,TRUE,"Inside";#N/A,#N/A,TRUE,"Contents";#N/A,#N/A,TRUE,"Basis";#N/A,#N/A,TRUE,"Inclusions";#N/A,#N/A,TRUE,"Exclusions";#N/A,#N/A,TRUE,"Areas";#N/A,#N/A,TRUE,"Summary";#N/A,#N/A,TRUE,"Detail"}</definedName>
    <definedName name="asse" localSheetId="6" hidden="1">{#N/A,#N/A,TRUE,"Front";#N/A,#N/A,TRUE,"Simple Letter";#N/A,#N/A,TRUE,"Inside";#N/A,#N/A,TRUE,"Contents";#N/A,#N/A,TRUE,"Basis";#N/A,#N/A,TRUE,"Inclusions";#N/A,#N/A,TRUE,"Exclusions";#N/A,#N/A,TRUE,"Areas";#N/A,#N/A,TRUE,"Summary";#N/A,#N/A,TRUE,"Detail"}</definedName>
    <definedName name="asse" localSheetId="5" hidden="1">{#N/A,#N/A,TRUE,"Front";#N/A,#N/A,TRUE,"Simple Letter";#N/A,#N/A,TRUE,"Inside";#N/A,#N/A,TRUE,"Contents";#N/A,#N/A,TRUE,"Basis";#N/A,#N/A,TRUE,"Inclusions";#N/A,#N/A,TRUE,"Exclusions";#N/A,#N/A,TRUE,"Areas";#N/A,#N/A,TRUE,"Summary";#N/A,#N/A,TRUE,"Detail"}</definedName>
    <definedName name="asse" localSheetId="8" hidden="1">{#N/A,#N/A,TRUE,"Front";#N/A,#N/A,TRUE,"Simple Letter";#N/A,#N/A,TRUE,"Inside";#N/A,#N/A,TRUE,"Contents";#N/A,#N/A,TRUE,"Basis";#N/A,#N/A,TRUE,"Inclusions";#N/A,#N/A,TRUE,"Exclusions";#N/A,#N/A,TRUE,"Areas";#N/A,#N/A,TRUE,"Summary";#N/A,#N/A,TRUE,"Detail"}</definedName>
    <definedName name="asse" localSheetId="11" hidden="1">{#N/A,#N/A,TRUE,"Front";#N/A,#N/A,TRUE,"Simple Letter";#N/A,#N/A,TRUE,"Inside";#N/A,#N/A,TRUE,"Contents";#N/A,#N/A,TRUE,"Basis";#N/A,#N/A,TRUE,"Inclusions";#N/A,#N/A,TRUE,"Exclusions";#N/A,#N/A,TRUE,"Areas";#N/A,#N/A,TRUE,"Summary";#N/A,#N/A,TRUE,"Detail"}</definedName>
    <definedName name="asse" localSheetId="9" hidden="1">{#N/A,#N/A,TRUE,"Front";#N/A,#N/A,TRUE,"Simple Letter";#N/A,#N/A,TRUE,"Inside";#N/A,#N/A,TRUE,"Contents";#N/A,#N/A,TRUE,"Basis";#N/A,#N/A,TRUE,"Inclusions";#N/A,#N/A,TRUE,"Exclusions";#N/A,#N/A,TRUE,"Areas";#N/A,#N/A,TRUE,"Summary";#N/A,#N/A,TRUE,"Detail"}</definedName>
    <definedName name="asse" localSheetId="13" hidden="1">{#N/A,#N/A,TRUE,"Front";#N/A,#N/A,TRUE,"Simple Letter";#N/A,#N/A,TRUE,"Inside";#N/A,#N/A,TRUE,"Contents";#N/A,#N/A,TRUE,"Basis";#N/A,#N/A,TRUE,"Inclusions";#N/A,#N/A,TRUE,"Exclusions";#N/A,#N/A,TRUE,"Areas";#N/A,#N/A,TRUE,"Summary";#N/A,#N/A,TRUE,"Detail"}</definedName>
    <definedName name="asse" localSheetId="18" hidden="1">{#N/A,#N/A,TRUE,"Front";#N/A,#N/A,TRUE,"Simple Letter";#N/A,#N/A,TRUE,"Inside";#N/A,#N/A,TRUE,"Contents";#N/A,#N/A,TRUE,"Basis";#N/A,#N/A,TRUE,"Inclusions";#N/A,#N/A,TRUE,"Exclusions";#N/A,#N/A,TRUE,"Areas";#N/A,#N/A,TRUE,"Summary";#N/A,#N/A,TRUE,"Detail"}</definedName>
    <definedName name="asse" localSheetId="15" hidden="1">{#N/A,#N/A,TRUE,"Front";#N/A,#N/A,TRUE,"Simple Letter";#N/A,#N/A,TRUE,"Inside";#N/A,#N/A,TRUE,"Contents";#N/A,#N/A,TRUE,"Basis";#N/A,#N/A,TRUE,"Inclusions";#N/A,#N/A,TRUE,"Exclusions";#N/A,#N/A,TRUE,"Areas";#N/A,#N/A,TRUE,"Summary";#N/A,#N/A,TRUE,"Detail"}</definedName>
    <definedName name="asse" localSheetId="7" hidden="1">{#N/A,#N/A,TRUE,"Front";#N/A,#N/A,TRUE,"Simple Letter";#N/A,#N/A,TRUE,"Inside";#N/A,#N/A,TRUE,"Contents";#N/A,#N/A,TRUE,"Basis";#N/A,#N/A,TRUE,"Inclusions";#N/A,#N/A,TRUE,"Exclusions";#N/A,#N/A,TRUE,"Areas";#N/A,#N/A,TRUE,"Summary";#N/A,#N/A,TRUE,"Detail"}</definedName>
    <definedName name="asse" hidden="1">{#N/A,#N/A,TRUE,"Front";#N/A,#N/A,TRUE,"Simple Letter";#N/A,#N/A,TRUE,"Inside";#N/A,#N/A,TRUE,"Contents";#N/A,#N/A,TRUE,"Basis";#N/A,#N/A,TRUE,"Inclusions";#N/A,#N/A,TRUE,"Exclusions";#N/A,#N/A,TRUE,"Areas";#N/A,#N/A,TRUE,"Summary";#N/A,#N/A,TRUE,"Detail"}</definedName>
    <definedName name="B" localSheetId="12">#REF!</definedName>
    <definedName name="B" localSheetId="0">#REF!</definedName>
    <definedName name="B" localSheetId="1">#REF!</definedName>
    <definedName name="B" localSheetId="6">#REF!</definedName>
    <definedName name="B" localSheetId="5">#REF!</definedName>
    <definedName name="B" localSheetId="8">#REF!</definedName>
    <definedName name="B" localSheetId="11">#REF!</definedName>
    <definedName name="B" localSheetId="9">#REF!</definedName>
    <definedName name="B" localSheetId="18">#REF!</definedName>
    <definedName name="B" localSheetId="15">#REF!</definedName>
    <definedName name="B" localSheetId="7">#REF!</definedName>
    <definedName name="B">#REF!</definedName>
    <definedName name="B___0" localSheetId="12">#REF!</definedName>
    <definedName name="B___0" localSheetId="6">#REF!</definedName>
    <definedName name="B___0" localSheetId="5">#REF!</definedName>
    <definedName name="B___0" localSheetId="8">#REF!</definedName>
    <definedName name="B___0" localSheetId="11">#REF!</definedName>
    <definedName name="B___0" localSheetId="9">#REF!</definedName>
    <definedName name="B___0" localSheetId="18">#REF!</definedName>
    <definedName name="B___0" localSheetId="15">#REF!</definedName>
    <definedName name="B___0" localSheetId="7">#REF!</definedName>
    <definedName name="B___0">#REF!</definedName>
    <definedName name="B___13" localSheetId="12">#REF!</definedName>
    <definedName name="B___13" localSheetId="8">#REF!</definedName>
    <definedName name="B___13" localSheetId="11">#REF!</definedName>
    <definedName name="B___13" localSheetId="9">#REF!</definedName>
    <definedName name="B___13" localSheetId="18">#REF!</definedName>
    <definedName name="B___13" localSheetId="15">#REF!</definedName>
    <definedName name="B___13" localSheetId="7">#REF!</definedName>
    <definedName name="B___13">#REF!</definedName>
    <definedName name="b100000000000000" localSheetId="12">#REF!</definedName>
    <definedName name="b100000000000000" localSheetId="8">#REF!</definedName>
    <definedName name="b100000000000000" localSheetId="11">#REF!</definedName>
    <definedName name="b100000000000000" localSheetId="9">#REF!</definedName>
    <definedName name="b100000000000000" localSheetId="18">#REF!</definedName>
    <definedName name="b100000000000000" localSheetId="15">#REF!</definedName>
    <definedName name="b100000000000000" localSheetId="7">#REF!</definedName>
    <definedName name="b100000000000000">#REF!</definedName>
    <definedName name="b6fv6fd" localSheetId="12">#REF!</definedName>
    <definedName name="b6fv6fd" localSheetId="8">#REF!</definedName>
    <definedName name="b6fv6fd" localSheetId="11">#REF!</definedName>
    <definedName name="b6fv6fd" localSheetId="9">#REF!</definedName>
    <definedName name="b6fv6fd" localSheetId="18">#REF!</definedName>
    <definedName name="b6fv6fd" localSheetId="15">#REF!</definedName>
    <definedName name="b6fv6fd" localSheetId="7">#REF!</definedName>
    <definedName name="b6fv6fd">#REF!</definedName>
    <definedName name="BADWE" localSheetId="12" hidden="1">{#N/A,#N/A,FALSE,"mpph1";#N/A,#N/A,FALSE,"mpmseb";#N/A,#N/A,FALSE,"mpph2"}</definedName>
    <definedName name="BADWE" localSheetId="6" hidden="1">{#N/A,#N/A,FALSE,"mpph1";#N/A,#N/A,FALSE,"mpmseb";#N/A,#N/A,FALSE,"mpph2"}</definedName>
    <definedName name="BADWE" localSheetId="5" hidden="1">{#N/A,#N/A,FALSE,"mpph1";#N/A,#N/A,FALSE,"mpmseb";#N/A,#N/A,FALSE,"mpph2"}</definedName>
    <definedName name="BADWE" localSheetId="8" hidden="1">{#N/A,#N/A,FALSE,"mpph1";#N/A,#N/A,FALSE,"mpmseb";#N/A,#N/A,FALSE,"mpph2"}</definedName>
    <definedName name="BADWE" localSheetId="11" hidden="1">{#N/A,#N/A,FALSE,"mpph1";#N/A,#N/A,FALSE,"mpmseb";#N/A,#N/A,FALSE,"mpph2"}</definedName>
    <definedName name="BADWE" localSheetId="9" hidden="1">{#N/A,#N/A,FALSE,"mpph1";#N/A,#N/A,FALSE,"mpmseb";#N/A,#N/A,FALSE,"mpph2"}</definedName>
    <definedName name="BADWE" localSheetId="13" hidden="1">{#N/A,#N/A,FALSE,"mpph1";#N/A,#N/A,FALSE,"mpmseb";#N/A,#N/A,FALSE,"mpph2"}</definedName>
    <definedName name="BADWE" localSheetId="18" hidden="1">{#N/A,#N/A,FALSE,"mpph1";#N/A,#N/A,FALSE,"mpmseb";#N/A,#N/A,FALSE,"mpph2"}</definedName>
    <definedName name="BADWE" localSheetId="15" hidden="1">{#N/A,#N/A,FALSE,"mpph1";#N/A,#N/A,FALSE,"mpmseb";#N/A,#N/A,FALSE,"mpph2"}</definedName>
    <definedName name="BADWE" localSheetId="7" hidden="1">{#N/A,#N/A,FALSE,"mpph1";#N/A,#N/A,FALSE,"mpmseb";#N/A,#N/A,FALSE,"mpph2"}</definedName>
    <definedName name="BADWE" hidden="1">{#N/A,#N/A,FALSE,"mpph1";#N/A,#N/A,FALSE,"mpmseb";#N/A,#N/A,FALSE,"mpph2"}</definedName>
    <definedName name="BAND" localSheetId="12">#REF!</definedName>
    <definedName name="BAND" localSheetId="6">#REF!</definedName>
    <definedName name="BAND" localSheetId="5">#REF!</definedName>
    <definedName name="BAND" localSheetId="8">#REF!</definedName>
    <definedName name="BAND" localSheetId="11">#REF!</definedName>
    <definedName name="BAND" localSheetId="9">#REF!</definedName>
    <definedName name="BAND" localSheetId="18">#REF!</definedName>
    <definedName name="BAND" localSheetId="15">#REF!</definedName>
    <definedName name="BAND" localSheetId="7">#REF!</definedName>
    <definedName name="BAND">#REF!</definedName>
    <definedName name="bat" localSheetId="12">#REF!</definedName>
    <definedName name="bat" localSheetId="6">#REF!</definedName>
    <definedName name="bat" localSheetId="5">#REF!</definedName>
    <definedName name="bat" localSheetId="8">#REF!</definedName>
    <definedName name="bat" localSheetId="11">#REF!</definedName>
    <definedName name="bat" localSheetId="9">#REF!</definedName>
    <definedName name="bat" localSheetId="18">#REF!</definedName>
    <definedName name="bat" localSheetId="15">#REF!</definedName>
    <definedName name="bat" localSheetId="7">#REF!</definedName>
    <definedName name="bat">#REF!</definedName>
    <definedName name="Batching_hot_mix_plant" localSheetId="12">#REF!</definedName>
    <definedName name="Batching_hot_mix_plant" localSheetId="6">#REF!</definedName>
    <definedName name="Batching_hot_mix_plant" localSheetId="5">#REF!</definedName>
    <definedName name="Batching_hot_mix_plant" localSheetId="8">#REF!</definedName>
    <definedName name="Batching_hot_mix_plant" localSheetId="11">#REF!</definedName>
    <definedName name="Batching_hot_mix_plant" localSheetId="9">#REF!</definedName>
    <definedName name="Batching_hot_mix_plant" localSheetId="18">#REF!</definedName>
    <definedName name="Batching_hot_mix_plant" localSheetId="15">#REF!</definedName>
    <definedName name="Batching_hot_mix_plant" localSheetId="7">#REF!</definedName>
    <definedName name="Batching_hot_mix_plant">#REF!</definedName>
    <definedName name="BB" localSheetId="12" hidden="1">#REF!</definedName>
    <definedName name="BB" localSheetId="8" hidden="1">#REF!</definedName>
    <definedName name="BB" localSheetId="11" hidden="1">#REF!</definedName>
    <definedName name="BB" localSheetId="9" hidden="1">#REF!</definedName>
    <definedName name="BB" localSheetId="18" hidden="1">#REF!</definedName>
    <definedName name="BB" localSheetId="15" hidden="1">#REF!</definedName>
    <definedName name="BB" localSheetId="7" hidden="1">#REF!</definedName>
    <definedName name="BB" hidden="1">#REF!</definedName>
    <definedName name="bbb" localSheetId="12" hidden="1">{#N/A,#N/A,FALSE,"COVER.XLS";#N/A,#N/A,FALSE,"RACT1.XLS";#N/A,#N/A,FALSE,"RACT2.XLS";#N/A,#N/A,FALSE,"ECCMP";#N/A,#N/A,FALSE,"WELDER.XLS"}</definedName>
    <definedName name="bbb" localSheetId="6" hidden="1">{#N/A,#N/A,FALSE,"COVER.XLS";#N/A,#N/A,FALSE,"RACT1.XLS";#N/A,#N/A,FALSE,"RACT2.XLS";#N/A,#N/A,FALSE,"ECCMP";#N/A,#N/A,FALSE,"WELDER.XLS"}</definedName>
    <definedName name="bbb" localSheetId="5" hidden="1">{#N/A,#N/A,FALSE,"COVER.XLS";#N/A,#N/A,FALSE,"RACT1.XLS";#N/A,#N/A,FALSE,"RACT2.XLS";#N/A,#N/A,FALSE,"ECCMP";#N/A,#N/A,FALSE,"WELDER.XLS"}</definedName>
    <definedName name="bbb" localSheetId="8" hidden="1">{#N/A,#N/A,FALSE,"COVER.XLS";#N/A,#N/A,FALSE,"RACT1.XLS";#N/A,#N/A,FALSE,"RACT2.XLS";#N/A,#N/A,FALSE,"ECCMP";#N/A,#N/A,FALSE,"WELDER.XLS"}</definedName>
    <definedName name="bbb" localSheetId="11" hidden="1">{#N/A,#N/A,FALSE,"COVER.XLS";#N/A,#N/A,FALSE,"RACT1.XLS";#N/A,#N/A,FALSE,"RACT2.XLS";#N/A,#N/A,FALSE,"ECCMP";#N/A,#N/A,FALSE,"WELDER.XLS"}</definedName>
    <definedName name="bbb" localSheetId="9" hidden="1">{#N/A,#N/A,FALSE,"COVER.XLS";#N/A,#N/A,FALSE,"RACT1.XLS";#N/A,#N/A,FALSE,"RACT2.XLS";#N/A,#N/A,FALSE,"ECCMP";#N/A,#N/A,FALSE,"WELDER.XLS"}</definedName>
    <definedName name="bbb" localSheetId="13" hidden="1">{#N/A,#N/A,FALSE,"COVER.XLS";#N/A,#N/A,FALSE,"RACT1.XLS";#N/A,#N/A,FALSE,"RACT2.XLS";#N/A,#N/A,FALSE,"ECCMP";#N/A,#N/A,FALSE,"WELDER.XLS"}</definedName>
    <definedName name="bbb" localSheetId="18" hidden="1">{#N/A,#N/A,FALSE,"COVER.XLS";#N/A,#N/A,FALSE,"RACT1.XLS";#N/A,#N/A,FALSE,"RACT2.XLS";#N/A,#N/A,FALSE,"ECCMP";#N/A,#N/A,FALSE,"WELDER.XLS"}</definedName>
    <definedName name="bbb" localSheetId="15" hidden="1">{#N/A,#N/A,FALSE,"COVER.XLS";#N/A,#N/A,FALSE,"RACT1.XLS";#N/A,#N/A,FALSE,"RACT2.XLS";#N/A,#N/A,FALSE,"ECCMP";#N/A,#N/A,FALSE,"WELDER.XLS"}</definedName>
    <definedName name="bbb" localSheetId="7" hidden="1">{#N/A,#N/A,FALSE,"COVER.XLS";#N/A,#N/A,FALSE,"RACT1.XLS";#N/A,#N/A,FALSE,"RACT2.XLS";#N/A,#N/A,FALSE,"ECCMP";#N/A,#N/A,FALSE,"WELDER.XLS"}</definedName>
    <definedName name="bbb" hidden="1">{#N/A,#N/A,FALSE,"COVER.XLS";#N/A,#N/A,FALSE,"RACT1.XLS";#N/A,#N/A,FALSE,"RACT2.XLS";#N/A,#N/A,FALSE,"ECCMP";#N/A,#N/A,FALSE,"WELDER.XLS"}</definedName>
    <definedName name="bbbbbbbbb" localSheetId="12">#REF!</definedName>
    <definedName name="bbbbbbbbb" localSheetId="6">#REF!</definedName>
    <definedName name="bbbbbbbbb" localSheetId="5">#REF!</definedName>
    <definedName name="bbbbbbbbb" localSheetId="8">#REF!</definedName>
    <definedName name="bbbbbbbbb" localSheetId="11">#REF!</definedName>
    <definedName name="bbbbbbbbb" localSheetId="9">#REF!</definedName>
    <definedName name="bbbbbbbbb" localSheetId="18">#REF!</definedName>
    <definedName name="bbbbbbbbb" localSheetId="15">#REF!</definedName>
    <definedName name="bbbbbbbbb" localSheetId="7">#REF!</definedName>
    <definedName name="bbbbbbbbb">#REF!</definedName>
    <definedName name="BC" localSheetId="12" hidden="1">#REF!</definedName>
    <definedName name="BC" localSheetId="6" hidden="1">#REF!</definedName>
    <definedName name="BC" localSheetId="5" hidden="1">#REF!</definedName>
    <definedName name="BC" localSheetId="8" hidden="1">#REF!</definedName>
    <definedName name="BC" localSheetId="11" hidden="1">#REF!</definedName>
    <definedName name="BC" localSheetId="9" hidden="1">#REF!</definedName>
    <definedName name="BC" localSheetId="18" hidden="1">#REF!</definedName>
    <definedName name="BC" localSheetId="15" hidden="1">#REF!</definedName>
    <definedName name="BC" localSheetId="7" hidden="1">#REF!</definedName>
    <definedName name="BC" hidden="1">#REF!</definedName>
    <definedName name="BD" localSheetId="12" hidden="1">#REF!</definedName>
    <definedName name="BD" localSheetId="6" hidden="1">#REF!</definedName>
    <definedName name="BD" localSheetId="5" hidden="1">#REF!</definedName>
    <definedName name="BD" localSheetId="8" hidden="1">#REF!</definedName>
    <definedName name="BD" localSheetId="11" hidden="1">#REF!</definedName>
    <definedName name="BD" localSheetId="9" hidden="1">#REF!</definedName>
    <definedName name="BD" localSheetId="18" hidden="1">#REF!</definedName>
    <definedName name="BD" localSheetId="15" hidden="1">#REF!</definedName>
    <definedName name="BD" localSheetId="7" hidden="1">#REF!</definedName>
    <definedName name="BD" hidden="1">#REF!</definedName>
    <definedName name="BE" localSheetId="12" hidden="1">#REF!</definedName>
    <definedName name="BE" localSheetId="8" hidden="1">#REF!</definedName>
    <definedName name="BE" localSheetId="11" hidden="1">#REF!</definedName>
    <definedName name="BE" localSheetId="9" hidden="1">#REF!</definedName>
    <definedName name="BE" localSheetId="18" hidden="1">#REF!</definedName>
    <definedName name="BE" localSheetId="15" hidden="1">#REF!</definedName>
    <definedName name="BE" localSheetId="7" hidden="1">#REF!</definedName>
    <definedName name="BE" hidden="1">#REF!</definedName>
    <definedName name="beam" localSheetId="12">#REF!</definedName>
    <definedName name="beam" localSheetId="0">#REF!</definedName>
    <definedName name="beam" localSheetId="1">#REF!</definedName>
    <definedName name="beam" localSheetId="8">#REF!</definedName>
    <definedName name="beam" localSheetId="11">#REF!</definedName>
    <definedName name="beam" localSheetId="9">#REF!</definedName>
    <definedName name="beam" localSheetId="18">#REF!</definedName>
    <definedName name="beam" localSheetId="15">#REF!</definedName>
    <definedName name="beam" localSheetId="7">#REF!</definedName>
    <definedName name="beam">#REF!</definedName>
    <definedName name="Beam_Clamp" localSheetId="12">#REF!</definedName>
    <definedName name="Beam_Clamp" localSheetId="8">#REF!</definedName>
    <definedName name="Beam_Clamp" localSheetId="11">#REF!</definedName>
    <definedName name="Beam_Clamp" localSheetId="9">#REF!</definedName>
    <definedName name="Beam_Clamp" localSheetId="18">#REF!</definedName>
    <definedName name="Beam_Clamp" localSheetId="15">#REF!</definedName>
    <definedName name="Beam_Clamp" localSheetId="7">#REF!</definedName>
    <definedName name="Beam_Clamp">#REF!</definedName>
    <definedName name="beam1" localSheetId="12">#REF!</definedName>
    <definedName name="beam1" localSheetId="0">#REF!</definedName>
    <definedName name="beam1" localSheetId="1">#REF!</definedName>
    <definedName name="beam1" localSheetId="8">#REF!</definedName>
    <definedName name="beam1" localSheetId="11">#REF!</definedName>
    <definedName name="beam1" localSheetId="9">#REF!</definedName>
    <definedName name="beam1" localSheetId="18">#REF!</definedName>
    <definedName name="beam1" localSheetId="15">#REF!</definedName>
    <definedName name="beam1" localSheetId="7">#REF!</definedName>
    <definedName name="beam1">#REF!</definedName>
    <definedName name="beam11" localSheetId="12">#REF!</definedName>
    <definedName name="beam11" localSheetId="0">#REF!</definedName>
    <definedName name="beam11" localSheetId="1">#REF!</definedName>
    <definedName name="beam11" localSheetId="8">#REF!</definedName>
    <definedName name="beam11" localSheetId="11">#REF!</definedName>
    <definedName name="beam11" localSheetId="9">#REF!</definedName>
    <definedName name="beam11" localSheetId="18">#REF!</definedName>
    <definedName name="beam11" localSheetId="15">#REF!</definedName>
    <definedName name="beam11" localSheetId="7">#REF!</definedName>
    <definedName name="beam11">#REF!</definedName>
    <definedName name="beam2" localSheetId="12">#REF!</definedName>
    <definedName name="beam2" localSheetId="0">#REF!</definedName>
    <definedName name="beam2" localSheetId="1">#REF!</definedName>
    <definedName name="beam2" localSheetId="8">#REF!</definedName>
    <definedName name="beam2" localSheetId="11">#REF!</definedName>
    <definedName name="beam2" localSheetId="9">#REF!</definedName>
    <definedName name="beam2" localSheetId="18">#REF!</definedName>
    <definedName name="beam2" localSheetId="15">#REF!</definedName>
    <definedName name="beam2" localSheetId="7">#REF!</definedName>
    <definedName name="beam2">#REF!</definedName>
    <definedName name="BEAM3" localSheetId="12">#REF!</definedName>
    <definedName name="BEAM3" localSheetId="0">#REF!</definedName>
    <definedName name="BEAM3" localSheetId="1">#REF!</definedName>
    <definedName name="BEAM3" localSheetId="8">#REF!</definedName>
    <definedName name="BEAM3" localSheetId="11">#REF!</definedName>
    <definedName name="BEAM3" localSheetId="9">#REF!</definedName>
    <definedName name="BEAM3" localSheetId="18">#REF!</definedName>
    <definedName name="BEAM3" localSheetId="15">#REF!</definedName>
    <definedName name="BEAM3" localSheetId="7">#REF!</definedName>
    <definedName name="BEAM3">#REF!</definedName>
    <definedName name="BEAM5" localSheetId="12">#REF!</definedName>
    <definedName name="BEAM5" localSheetId="0">#REF!</definedName>
    <definedName name="BEAM5" localSheetId="1">#REF!</definedName>
    <definedName name="BEAM5" localSheetId="8">#REF!</definedName>
    <definedName name="BEAM5" localSheetId="11">#REF!</definedName>
    <definedName name="BEAM5" localSheetId="9">#REF!</definedName>
    <definedName name="BEAM5" localSheetId="18">#REF!</definedName>
    <definedName name="BEAM5" localSheetId="15">#REF!</definedName>
    <definedName name="BEAM5" localSheetId="7">#REF!</definedName>
    <definedName name="BEAM5">#REF!</definedName>
    <definedName name="BEAMS" localSheetId="12">#REF!</definedName>
    <definedName name="BEAMS" localSheetId="0">#REF!</definedName>
    <definedName name="BEAMS" localSheetId="1">#REF!</definedName>
    <definedName name="BEAMS" localSheetId="8">#REF!</definedName>
    <definedName name="BEAMS" localSheetId="11">#REF!</definedName>
    <definedName name="BEAMS" localSheetId="9">#REF!</definedName>
    <definedName name="BEAMS" localSheetId="18">#REF!</definedName>
    <definedName name="BEAMS" localSheetId="15">#REF!</definedName>
    <definedName name="BEAMS" localSheetId="7">#REF!</definedName>
    <definedName name="BEAMS">#REF!</definedName>
    <definedName name="BEL" localSheetId="12">#REF!</definedName>
    <definedName name="BEL" localSheetId="8">#REF!</definedName>
    <definedName name="BEL" localSheetId="11">#REF!</definedName>
    <definedName name="BEL" localSheetId="9">#REF!</definedName>
    <definedName name="BEL" localSheetId="18">#REF!</definedName>
    <definedName name="BEL" localSheetId="15">#REF!</definedName>
    <definedName name="BEL" localSheetId="7">#REF!</definedName>
    <definedName name="BEL">#REF!</definedName>
    <definedName name="bend1" localSheetId="8">#REF!</definedName>
    <definedName name="bend1" localSheetId="9">#REF!</definedName>
    <definedName name="bend1" localSheetId="18">#REF!</definedName>
    <definedName name="bend1" localSheetId="15">#REF!</definedName>
    <definedName name="bend1" localSheetId="7">#REF!</definedName>
    <definedName name="bend1">#REF!</definedName>
    <definedName name="bend2" localSheetId="8">#REF!</definedName>
    <definedName name="bend2" localSheetId="9">#REF!</definedName>
    <definedName name="bend2" localSheetId="18">#REF!</definedName>
    <definedName name="bend2" localSheetId="15">#REF!</definedName>
    <definedName name="bend2" localSheetId="7">#REF!</definedName>
    <definedName name="bend2">#REF!</definedName>
    <definedName name="bend3" localSheetId="8">#REF!</definedName>
    <definedName name="bend3" localSheetId="9">#REF!</definedName>
    <definedName name="bend3" localSheetId="18">#REF!</definedName>
    <definedName name="bend3" localSheetId="15">#REF!</definedName>
    <definedName name="bend3" localSheetId="7">#REF!</definedName>
    <definedName name="bend3">#REF!</definedName>
    <definedName name="bent" localSheetId="12">#REF!</definedName>
    <definedName name="bent" localSheetId="8">#REF!</definedName>
    <definedName name="bent" localSheetId="11">#REF!</definedName>
    <definedName name="bent" localSheetId="9">#REF!</definedName>
    <definedName name="bent" localSheetId="18">#REF!</definedName>
    <definedName name="bent" localSheetId="15">#REF!</definedName>
    <definedName name="bent" localSheetId="7">#REF!</definedName>
    <definedName name="bent">#REF!</definedName>
    <definedName name="beta" localSheetId="12">#REF!</definedName>
    <definedName name="beta" localSheetId="8">#REF!</definedName>
    <definedName name="beta" localSheetId="11">#REF!</definedName>
    <definedName name="beta" localSheetId="9">#REF!</definedName>
    <definedName name="beta" localSheetId="18">#REF!</definedName>
    <definedName name="beta" localSheetId="15">#REF!</definedName>
    <definedName name="beta" localSheetId="7">#REF!</definedName>
    <definedName name="beta">#REF!</definedName>
    <definedName name="BF" localSheetId="12" hidden="1">#REF!</definedName>
    <definedName name="BF" localSheetId="8" hidden="1">#REF!</definedName>
    <definedName name="BF" localSheetId="11" hidden="1">#REF!</definedName>
    <definedName name="BF" localSheetId="9" hidden="1">#REF!</definedName>
    <definedName name="BF" localSheetId="18" hidden="1">#REF!</definedName>
    <definedName name="BF" localSheetId="15" hidden="1">#REF!</definedName>
    <definedName name="BF" localSheetId="7" hidden="1">#REF!</definedName>
    <definedName name="BF" hidden="1">#REF!</definedName>
    <definedName name="BG" localSheetId="12" hidden="1">#REF!</definedName>
    <definedName name="BG" localSheetId="8" hidden="1">#REF!</definedName>
    <definedName name="BG" localSheetId="11" hidden="1">#REF!</definedName>
    <definedName name="BG" localSheetId="9" hidden="1">#REF!</definedName>
    <definedName name="BG" localSheetId="18" hidden="1">#REF!</definedName>
    <definedName name="BG" localSheetId="15" hidden="1">#REF!</definedName>
    <definedName name="BG" localSheetId="7" hidden="1">#REF!</definedName>
    <definedName name="BG" hidden="1">#REF!</definedName>
    <definedName name="BH" localSheetId="12" hidden="1">#REF!</definedName>
    <definedName name="BH" localSheetId="8" hidden="1">#REF!</definedName>
    <definedName name="BH" localSheetId="11" hidden="1">#REF!</definedName>
    <definedName name="BH" localSheetId="9" hidden="1">#REF!</definedName>
    <definedName name="BH" localSheetId="18" hidden="1">#REF!</definedName>
    <definedName name="BH" localSheetId="15" hidden="1">#REF!</definedName>
    <definedName name="BH" localSheetId="7" hidden="1">#REF!</definedName>
    <definedName name="BH" hidden="1">#REF!</definedName>
    <definedName name="BHIST" localSheetId="12">#REF!</definedName>
    <definedName name="BHIST" localSheetId="8">#REF!</definedName>
    <definedName name="BHIST" localSheetId="11">#REF!</definedName>
    <definedName name="BHIST" localSheetId="9">#REF!</definedName>
    <definedName name="BHIST" localSheetId="18">#REF!</definedName>
    <definedName name="BHIST" localSheetId="15">#REF!</definedName>
    <definedName name="BHIST" localSheetId="7">#REF!</definedName>
    <definedName name="BHIST">#REF!</definedName>
    <definedName name="BidClass" localSheetId="12">#REF!</definedName>
    <definedName name="BidClass" localSheetId="0">#REF!</definedName>
    <definedName name="BidClass" localSheetId="1">#REF!</definedName>
    <definedName name="BidClass" localSheetId="8">#REF!</definedName>
    <definedName name="BidClass" localSheetId="11">#REF!</definedName>
    <definedName name="BidClass" localSheetId="9">#REF!</definedName>
    <definedName name="BidClass" localSheetId="18">#REF!</definedName>
    <definedName name="BidClass" localSheetId="15">#REF!</definedName>
    <definedName name="BidClass" localSheetId="7">#REF!</definedName>
    <definedName name="BidClass">#REF!</definedName>
    <definedName name="BidClass_Text" localSheetId="12">#REF!</definedName>
    <definedName name="BidClass_Text" localSheetId="0">#REF!</definedName>
    <definedName name="BidClass_Text" localSheetId="1">#REF!</definedName>
    <definedName name="BidClass_Text" localSheetId="8">#REF!</definedName>
    <definedName name="BidClass_Text" localSheetId="11">#REF!</definedName>
    <definedName name="BidClass_Text" localSheetId="9">#REF!</definedName>
    <definedName name="BidClass_Text" localSheetId="18">#REF!</definedName>
    <definedName name="BidClass_Text" localSheetId="15">#REF!</definedName>
    <definedName name="BidClass_Text" localSheetId="7">#REF!</definedName>
    <definedName name="BidClass_Text">#REF!</definedName>
    <definedName name="BillingFreq" localSheetId="12">#REF!</definedName>
    <definedName name="BillingFreq" localSheetId="0">#REF!</definedName>
    <definedName name="BillingFreq" localSheetId="1">#REF!</definedName>
    <definedName name="BillingFreq" localSheetId="8">#REF!</definedName>
    <definedName name="BillingFreq" localSheetId="11">#REF!</definedName>
    <definedName name="BillingFreq" localSheetId="9">#REF!</definedName>
    <definedName name="BillingFreq" localSheetId="18">#REF!</definedName>
    <definedName name="BillingFreq" localSheetId="15">#REF!</definedName>
    <definedName name="BillingFreq" localSheetId="7">#REF!</definedName>
    <definedName name="BillingFreq">#REF!</definedName>
    <definedName name="BillingTiming" localSheetId="12">#REF!</definedName>
    <definedName name="BillingTiming" localSheetId="0">#REF!</definedName>
    <definedName name="BillingTiming" localSheetId="1">#REF!</definedName>
    <definedName name="BillingTiming" localSheetId="8">#REF!</definedName>
    <definedName name="BillingTiming" localSheetId="11">#REF!</definedName>
    <definedName name="BillingTiming" localSheetId="9">#REF!</definedName>
    <definedName name="BillingTiming" localSheetId="18">#REF!</definedName>
    <definedName name="BillingTiming" localSheetId="15">#REF!</definedName>
    <definedName name="BillingTiming" localSheetId="7">#REF!</definedName>
    <definedName name="BillingTiming">#REF!</definedName>
    <definedName name="BJ" localSheetId="12" hidden="1">#REF!</definedName>
    <definedName name="BJ" localSheetId="8" hidden="1">#REF!</definedName>
    <definedName name="BJ" localSheetId="11" hidden="1">#REF!</definedName>
    <definedName name="BJ" localSheetId="9" hidden="1">#REF!</definedName>
    <definedName name="BJ" localSheetId="18" hidden="1">#REF!</definedName>
    <definedName name="BJ" localSheetId="15" hidden="1">#REF!</definedName>
    <definedName name="BJ" localSheetId="7" hidden="1">#REF!</definedName>
    <definedName name="BJ" hidden="1">#REF!</definedName>
    <definedName name="bjlc" localSheetId="12">#REF!</definedName>
    <definedName name="bjlc" localSheetId="0">#REF!</definedName>
    <definedName name="bjlc" localSheetId="1">#REF!</definedName>
    <definedName name="bjlc" localSheetId="8">#REF!</definedName>
    <definedName name="bjlc" localSheetId="11">#REF!</definedName>
    <definedName name="bjlc" localSheetId="9">#REF!</definedName>
    <definedName name="bjlc" localSheetId="18">#REF!</definedName>
    <definedName name="bjlc" localSheetId="15">#REF!</definedName>
    <definedName name="bjlc" localSheetId="7">#REF!</definedName>
    <definedName name="bjlc">#REF!</definedName>
    <definedName name="bjn" localSheetId="12">#REF!</definedName>
    <definedName name="bjn" localSheetId="0">#REF!</definedName>
    <definedName name="bjn" localSheetId="1">#REF!</definedName>
    <definedName name="bjn" localSheetId="8">#REF!</definedName>
    <definedName name="bjn" localSheetId="11">#REF!</definedName>
    <definedName name="bjn" localSheetId="9">#REF!</definedName>
    <definedName name="bjn" localSheetId="18">#REF!</definedName>
    <definedName name="bjn" localSheetId="15">#REF!</definedName>
    <definedName name="bjn" localSheetId="7">#REF!</definedName>
    <definedName name="bjn">#REF!</definedName>
    <definedName name="BldgQty" localSheetId="12">#REF!</definedName>
    <definedName name="BldgQty" localSheetId="8">#REF!</definedName>
    <definedName name="BldgQty" localSheetId="11">#REF!</definedName>
    <definedName name="BldgQty" localSheetId="9">#REF!</definedName>
    <definedName name="BldgQty" localSheetId="18">#REF!</definedName>
    <definedName name="BldgQty" localSheetId="15">#REF!</definedName>
    <definedName name="BldgQty" localSheetId="7">#REF!</definedName>
    <definedName name="BldgQty">#REF!</definedName>
    <definedName name="blv_100" localSheetId="12">#REF!</definedName>
    <definedName name="blv_100" localSheetId="8">#REF!</definedName>
    <definedName name="blv_100" localSheetId="11">#REF!</definedName>
    <definedName name="blv_100" localSheetId="9">#REF!</definedName>
    <definedName name="blv_100" localSheetId="18">#REF!</definedName>
    <definedName name="blv_100" localSheetId="15">#REF!</definedName>
    <definedName name="blv_100" localSheetId="7">#REF!</definedName>
    <definedName name="blv_100">#REF!</definedName>
    <definedName name="blv_150" localSheetId="12">#REF!</definedName>
    <definedName name="blv_150" localSheetId="8">#REF!</definedName>
    <definedName name="blv_150" localSheetId="11">#REF!</definedName>
    <definedName name="blv_150" localSheetId="9">#REF!</definedName>
    <definedName name="blv_150" localSheetId="18">#REF!</definedName>
    <definedName name="blv_150" localSheetId="15">#REF!</definedName>
    <definedName name="blv_150" localSheetId="7">#REF!</definedName>
    <definedName name="blv_150">#REF!</definedName>
    <definedName name="blv_200" localSheetId="12">#REF!</definedName>
    <definedName name="blv_200" localSheetId="8">#REF!</definedName>
    <definedName name="blv_200" localSheetId="11">#REF!</definedName>
    <definedName name="blv_200" localSheetId="9">#REF!</definedName>
    <definedName name="blv_200" localSheetId="18">#REF!</definedName>
    <definedName name="blv_200" localSheetId="15">#REF!</definedName>
    <definedName name="blv_200" localSheetId="7">#REF!</definedName>
    <definedName name="blv_200">#REF!</definedName>
    <definedName name="blv_25" localSheetId="12">#REF!</definedName>
    <definedName name="blv_25" localSheetId="8">#REF!</definedName>
    <definedName name="blv_25" localSheetId="11">#REF!</definedName>
    <definedName name="blv_25" localSheetId="9">#REF!</definedName>
    <definedName name="blv_25" localSheetId="18">#REF!</definedName>
    <definedName name="blv_25" localSheetId="15">#REF!</definedName>
    <definedName name="blv_25" localSheetId="7">#REF!</definedName>
    <definedName name="blv_25">#REF!</definedName>
    <definedName name="blv_250" localSheetId="12">#REF!</definedName>
    <definedName name="blv_250" localSheetId="8">#REF!</definedName>
    <definedName name="blv_250" localSheetId="11">#REF!</definedName>
    <definedName name="blv_250" localSheetId="9">#REF!</definedName>
    <definedName name="blv_250" localSheetId="18">#REF!</definedName>
    <definedName name="blv_250" localSheetId="15">#REF!</definedName>
    <definedName name="blv_250" localSheetId="7">#REF!</definedName>
    <definedName name="blv_250">#REF!</definedName>
    <definedName name="blv_300" localSheetId="12">#REF!</definedName>
    <definedName name="blv_300" localSheetId="8">#REF!</definedName>
    <definedName name="blv_300" localSheetId="11">#REF!</definedName>
    <definedName name="blv_300" localSheetId="9">#REF!</definedName>
    <definedName name="blv_300" localSheetId="18">#REF!</definedName>
    <definedName name="blv_300" localSheetId="15">#REF!</definedName>
    <definedName name="blv_300" localSheetId="7">#REF!</definedName>
    <definedName name="blv_300">#REF!</definedName>
    <definedName name="blv_32" localSheetId="12">#REF!</definedName>
    <definedName name="blv_32" localSheetId="8">#REF!</definedName>
    <definedName name="blv_32" localSheetId="11">#REF!</definedName>
    <definedName name="blv_32" localSheetId="9">#REF!</definedName>
    <definedName name="blv_32" localSheetId="18">#REF!</definedName>
    <definedName name="blv_32" localSheetId="15">#REF!</definedName>
    <definedName name="blv_32" localSheetId="7">#REF!</definedName>
    <definedName name="blv_32">#REF!</definedName>
    <definedName name="blv_40" localSheetId="12">#REF!</definedName>
    <definedName name="blv_40" localSheetId="8">#REF!</definedName>
    <definedName name="blv_40" localSheetId="11">#REF!</definedName>
    <definedName name="blv_40" localSheetId="9">#REF!</definedName>
    <definedName name="blv_40" localSheetId="18">#REF!</definedName>
    <definedName name="blv_40" localSheetId="15">#REF!</definedName>
    <definedName name="blv_40" localSheetId="7">#REF!</definedName>
    <definedName name="blv_40">#REF!</definedName>
    <definedName name="blv_400" localSheetId="12">#REF!</definedName>
    <definedName name="blv_400" localSheetId="8">#REF!</definedName>
    <definedName name="blv_400" localSheetId="11">#REF!</definedName>
    <definedName name="blv_400" localSheetId="9">#REF!</definedName>
    <definedName name="blv_400" localSheetId="18">#REF!</definedName>
    <definedName name="blv_400" localSheetId="15">#REF!</definedName>
    <definedName name="blv_400" localSheetId="7">#REF!</definedName>
    <definedName name="blv_400">#REF!</definedName>
    <definedName name="blv_50" localSheetId="12">#REF!</definedName>
    <definedName name="blv_50" localSheetId="8">#REF!</definedName>
    <definedName name="blv_50" localSheetId="11">#REF!</definedName>
    <definedName name="blv_50" localSheetId="9">#REF!</definedName>
    <definedName name="blv_50" localSheetId="18">#REF!</definedName>
    <definedName name="blv_50" localSheetId="15">#REF!</definedName>
    <definedName name="blv_50" localSheetId="7">#REF!</definedName>
    <definedName name="blv_50">#REF!</definedName>
    <definedName name="blv_500" localSheetId="12">#REF!</definedName>
    <definedName name="blv_500" localSheetId="8">#REF!</definedName>
    <definedName name="blv_500" localSheetId="11">#REF!</definedName>
    <definedName name="blv_500" localSheetId="9">#REF!</definedName>
    <definedName name="blv_500" localSheetId="18">#REF!</definedName>
    <definedName name="blv_500" localSheetId="15">#REF!</definedName>
    <definedName name="blv_500" localSheetId="7">#REF!</definedName>
    <definedName name="blv_500">#REF!</definedName>
    <definedName name="blv_65" localSheetId="12">#REF!</definedName>
    <definedName name="blv_65" localSheetId="8">#REF!</definedName>
    <definedName name="blv_65" localSheetId="11">#REF!</definedName>
    <definedName name="blv_65" localSheetId="9">#REF!</definedName>
    <definedName name="blv_65" localSheetId="18">#REF!</definedName>
    <definedName name="blv_65" localSheetId="15">#REF!</definedName>
    <definedName name="blv_65" localSheetId="7">#REF!</definedName>
    <definedName name="blv_65">#REF!</definedName>
    <definedName name="blv_80" localSheetId="12">#REF!</definedName>
    <definedName name="blv_80" localSheetId="8">#REF!</definedName>
    <definedName name="blv_80" localSheetId="11">#REF!</definedName>
    <definedName name="blv_80" localSheetId="9">#REF!</definedName>
    <definedName name="blv_80" localSheetId="18">#REF!</definedName>
    <definedName name="blv_80" localSheetId="15">#REF!</definedName>
    <definedName name="blv_80" localSheetId="7">#REF!</definedName>
    <definedName name="blv_80">#REF!</definedName>
    <definedName name="bnnn" localSheetId="12" hidden="1">{"SUMMARY",#N/A,FALSE,"C"}</definedName>
    <definedName name="bnnn" localSheetId="6" hidden="1">{"SUMMARY",#N/A,FALSE,"C"}</definedName>
    <definedName name="bnnn" localSheetId="5" hidden="1">{"SUMMARY",#N/A,FALSE,"C"}</definedName>
    <definedName name="bnnn" localSheetId="8" hidden="1">{"SUMMARY",#N/A,FALSE,"C"}</definedName>
    <definedName name="bnnn" localSheetId="11" hidden="1">{"SUMMARY",#N/A,FALSE,"C"}</definedName>
    <definedName name="bnnn" localSheetId="9" hidden="1">{"SUMMARY",#N/A,FALSE,"C"}</definedName>
    <definedName name="bnnn" localSheetId="13" hidden="1">{"SUMMARY",#N/A,FALSE,"C"}</definedName>
    <definedName name="bnnn" localSheetId="18" hidden="1">{"SUMMARY",#N/A,FALSE,"C"}</definedName>
    <definedName name="bnnn" localSheetId="15" hidden="1">{"SUMMARY",#N/A,FALSE,"C"}</definedName>
    <definedName name="bnnn" localSheetId="7" hidden="1">{"SUMMARY",#N/A,FALSE,"C"}</definedName>
    <definedName name="bnnn" hidden="1">{"SUMMARY",#N/A,FALSE,"C"}</definedName>
    <definedName name="BOC" localSheetId="12">#REF!</definedName>
    <definedName name="BOC" localSheetId="6">#REF!</definedName>
    <definedName name="BOC" localSheetId="5">#REF!</definedName>
    <definedName name="BOC" localSheetId="8">#REF!</definedName>
    <definedName name="BOC" localSheetId="11">#REF!</definedName>
    <definedName name="BOC" localSheetId="9">#REF!</definedName>
    <definedName name="BOC" localSheetId="18">#REF!</definedName>
    <definedName name="BOC" localSheetId="15">#REF!</definedName>
    <definedName name="BOC" localSheetId="7">#REF!</definedName>
    <definedName name="BOC">#REF!</definedName>
    <definedName name="bol" localSheetId="12">#REF!</definedName>
    <definedName name="bol" localSheetId="0">#REF!</definedName>
    <definedName name="bol" localSheetId="1">#REF!</definedName>
    <definedName name="bol" localSheetId="6">#REF!</definedName>
    <definedName name="bol" localSheetId="5">#REF!</definedName>
    <definedName name="bol" localSheetId="8">#REF!</definedName>
    <definedName name="bol" localSheetId="11">#REF!</definedName>
    <definedName name="bol" localSheetId="9">#REF!</definedName>
    <definedName name="bol" localSheetId="18">#REF!</definedName>
    <definedName name="bol" localSheetId="15">#REF!</definedName>
    <definedName name="bol" localSheetId="7">#REF!</definedName>
    <definedName name="bol">#REF!</definedName>
    <definedName name="boml" localSheetId="12">#REF!</definedName>
    <definedName name="boml" localSheetId="0">#REF!</definedName>
    <definedName name="boml" localSheetId="1">#REF!</definedName>
    <definedName name="boml" localSheetId="8">#REF!</definedName>
    <definedName name="boml" localSheetId="11">#REF!</definedName>
    <definedName name="boml" localSheetId="9">#REF!</definedName>
    <definedName name="boml" localSheetId="18">#REF!</definedName>
    <definedName name="boml" localSheetId="15">#REF!</definedName>
    <definedName name="boml" localSheetId="7">#REF!</definedName>
    <definedName name="boml">#REF!</definedName>
    <definedName name="boml1" localSheetId="12">#REF!</definedName>
    <definedName name="boml1" localSheetId="8">#REF!</definedName>
    <definedName name="boml1" localSheetId="11">#REF!</definedName>
    <definedName name="boml1" localSheetId="9">#REF!</definedName>
    <definedName name="boml1" localSheetId="18">#REF!</definedName>
    <definedName name="boml1" localSheetId="15">#REF!</definedName>
    <definedName name="boml1" localSheetId="7">#REF!</definedName>
    <definedName name="boml1">#REF!</definedName>
    <definedName name="BOQ" localSheetId="12">#REF!</definedName>
    <definedName name="BOQ" localSheetId="8">#REF!</definedName>
    <definedName name="BOQ" localSheetId="11">#REF!</definedName>
    <definedName name="BOQ" localSheetId="9">#REF!</definedName>
    <definedName name="BOQ" localSheetId="18">#REF!</definedName>
    <definedName name="BOQ" localSheetId="15">#REF!</definedName>
    <definedName name="BOQ" localSheetId="7">#REF!</definedName>
    <definedName name="BOQ">#REF!</definedName>
    <definedName name="botl" localSheetId="12">#REF!</definedName>
    <definedName name="botl" localSheetId="0">#REF!</definedName>
    <definedName name="botl" localSheetId="1">#REF!</definedName>
    <definedName name="botl" localSheetId="8">#REF!</definedName>
    <definedName name="botl" localSheetId="11">#REF!</definedName>
    <definedName name="botl" localSheetId="9">#REF!</definedName>
    <definedName name="botl" localSheetId="18">#REF!</definedName>
    <definedName name="botl" localSheetId="15">#REF!</definedName>
    <definedName name="botl" localSheetId="7">#REF!</definedName>
    <definedName name="botl">#REF!</definedName>
    <definedName name="botl1" localSheetId="12">#REF!</definedName>
    <definedName name="botl1" localSheetId="8">#REF!</definedName>
    <definedName name="botl1" localSheetId="11">#REF!</definedName>
    <definedName name="botl1" localSheetId="9">#REF!</definedName>
    <definedName name="botl1" localSheetId="18">#REF!</definedName>
    <definedName name="botl1" localSheetId="15">#REF!</definedName>
    <definedName name="botl1" localSheetId="7">#REF!</definedName>
    <definedName name="botl1">#REF!</definedName>
    <definedName name="botn" localSheetId="12">#REF!</definedName>
    <definedName name="botn" localSheetId="0">#REF!</definedName>
    <definedName name="botn" localSheetId="1">#REF!</definedName>
    <definedName name="botn" localSheetId="8">#REF!</definedName>
    <definedName name="botn" localSheetId="11">#REF!</definedName>
    <definedName name="botn" localSheetId="9">#REF!</definedName>
    <definedName name="botn" localSheetId="18">#REF!</definedName>
    <definedName name="botn" localSheetId="15">#REF!</definedName>
    <definedName name="botn" localSheetId="7">#REF!</definedName>
    <definedName name="botn">#REF!</definedName>
    <definedName name="boulder" localSheetId="12">#REF!</definedName>
    <definedName name="boulder" localSheetId="8">#REF!</definedName>
    <definedName name="boulder" localSheetId="11">#REF!</definedName>
    <definedName name="boulder" localSheetId="9">#REF!</definedName>
    <definedName name="boulder" localSheetId="18">#REF!</definedName>
    <definedName name="boulder" localSheetId="15">#REF!</definedName>
    <definedName name="boulder" localSheetId="7">#REF!</definedName>
    <definedName name="boulder">#REF!</definedName>
    <definedName name="break" localSheetId="12" hidden="1">{"form-D1",#N/A,FALSE,"FORM-D1";"form-D1_amt",#N/A,FALSE,"FORM-D1"}</definedName>
    <definedName name="break" localSheetId="6" hidden="1">{"form-D1",#N/A,FALSE,"FORM-D1";"form-D1_amt",#N/A,FALSE,"FORM-D1"}</definedName>
    <definedName name="break" localSheetId="5" hidden="1">{"form-D1",#N/A,FALSE,"FORM-D1";"form-D1_amt",#N/A,FALSE,"FORM-D1"}</definedName>
    <definedName name="break" localSheetId="8" hidden="1">{"form-D1",#N/A,FALSE,"FORM-D1";"form-D1_amt",#N/A,FALSE,"FORM-D1"}</definedName>
    <definedName name="break" localSheetId="11" hidden="1">{"form-D1",#N/A,FALSE,"FORM-D1";"form-D1_amt",#N/A,FALSE,"FORM-D1"}</definedName>
    <definedName name="break" localSheetId="9" hidden="1">{"form-D1",#N/A,FALSE,"FORM-D1";"form-D1_amt",#N/A,FALSE,"FORM-D1"}</definedName>
    <definedName name="break" localSheetId="13" hidden="1">{"form-D1",#N/A,FALSE,"FORM-D1";"form-D1_amt",#N/A,FALSE,"FORM-D1"}</definedName>
    <definedName name="break" localSheetId="18" hidden="1">{"form-D1",#N/A,FALSE,"FORM-D1";"form-D1_amt",#N/A,FALSE,"FORM-D1"}</definedName>
    <definedName name="break" localSheetId="15" hidden="1">{"form-D1",#N/A,FALSE,"FORM-D1";"form-D1_amt",#N/A,FALSE,"FORM-D1"}</definedName>
    <definedName name="break" localSheetId="7" hidden="1">{"form-D1",#N/A,FALSE,"FORM-D1";"form-D1_amt",#N/A,FALSE,"FORM-D1"}</definedName>
    <definedName name="break" hidden="1">{"form-D1",#N/A,FALSE,"FORM-D1";"form-D1_amt",#N/A,FALSE,"FORM-D1"}</definedName>
    <definedName name="Breaks" localSheetId="12">#REF!</definedName>
    <definedName name="Breaks" localSheetId="0">#REF!</definedName>
    <definedName name="Breaks" localSheetId="1">#REF!</definedName>
    <definedName name="Breaks" localSheetId="6">#REF!</definedName>
    <definedName name="Breaks" localSheetId="5">#REF!</definedName>
    <definedName name="Breaks" localSheetId="8">#REF!</definedName>
    <definedName name="Breaks" localSheetId="11">#REF!</definedName>
    <definedName name="Breaks" localSheetId="9">#REF!</definedName>
    <definedName name="Breaks" localSheetId="18">#REF!</definedName>
    <definedName name="Breaks" localSheetId="15">#REF!</definedName>
    <definedName name="Breaks" localSheetId="7">#REF!</definedName>
    <definedName name="Breaks">#REF!</definedName>
    <definedName name="Brick_Aggregate" localSheetId="12">#REF!</definedName>
    <definedName name="Brick_Aggregate" localSheetId="6">#REF!</definedName>
    <definedName name="Brick_Aggregate" localSheetId="5">#REF!</definedName>
    <definedName name="Brick_Aggregate" localSheetId="8">#REF!</definedName>
    <definedName name="Brick_Aggregate" localSheetId="11">#REF!</definedName>
    <definedName name="Brick_Aggregate" localSheetId="9">#REF!</definedName>
    <definedName name="Brick_Aggregate" localSheetId="18">#REF!</definedName>
    <definedName name="Brick_Aggregate" localSheetId="15">#REF!</definedName>
    <definedName name="Brick_Aggregate" localSheetId="7">#REF!</definedName>
    <definedName name="Brick_Aggregate">#REF!</definedName>
    <definedName name="Brick_Size" localSheetId="12">#REF!</definedName>
    <definedName name="Brick_Size" localSheetId="8">#REF!</definedName>
    <definedName name="Brick_Size" localSheetId="11">#REF!</definedName>
    <definedName name="Brick_Size" localSheetId="9">#REF!</definedName>
    <definedName name="Brick_Size" localSheetId="18">#REF!</definedName>
    <definedName name="Brick_Size" localSheetId="15">#REF!</definedName>
    <definedName name="Brick_Size" localSheetId="7">#REF!</definedName>
    <definedName name="Brick_Size">#REF!</definedName>
    <definedName name="Bricks" localSheetId="12">#REF!</definedName>
    <definedName name="Bricks" localSheetId="8">#REF!</definedName>
    <definedName name="Bricks" localSheetId="11">#REF!</definedName>
    <definedName name="Bricks" localSheetId="9">#REF!</definedName>
    <definedName name="Bricks" localSheetId="18">#REF!</definedName>
    <definedName name="Bricks" localSheetId="15">#REF!</definedName>
    <definedName name="Bricks" localSheetId="7">#REF!</definedName>
    <definedName name="Bricks">#REF!</definedName>
    <definedName name="bsec1" localSheetId="12">#REF!</definedName>
    <definedName name="bsec1" localSheetId="0">#REF!</definedName>
    <definedName name="bsec1" localSheetId="1">#REF!</definedName>
    <definedName name="bsec1" localSheetId="8">#REF!</definedName>
    <definedName name="bsec1" localSheetId="11">#REF!</definedName>
    <definedName name="bsec1" localSheetId="9">#REF!</definedName>
    <definedName name="bsec1" localSheetId="18">#REF!</definedName>
    <definedName name="bsec1" localSheetId="15">#REF!</definedName>
    <definedName name="bsec1" localSheetId="7">#REF!</definedName>
    <definedName name="bsec1">#REF!</definedName>
    <definedName name="BSEC11" localSheetId="12">#REF!</definedName>
    <definedName name="BSEC11" localSheetId="0">#REF!</definedName>
    <definedName name="BSEC11" localSheetId="1">#REF!</definedName>
    <definedName name="BSEC11" localSheetId="8">#REF!</definedName>
    <definedName name="BSEC11" localSheetId="11">#REF!</definedName>
    <definedName name="BSEC11" localSheetId="9">#REF!</definedName>
    <definedName name="BSEC11" localSheetId="18">#REF!</definedName>
    <definedName name="BSEC11" localSheetId="15">#REF!</definedName>
    <definedName name="BSEC11" localSheetId="7">#REF!</definedName>
    <definedName name="BSEC11">#REF!</definedName>
    <definedName name="BSEC12" localSheetId="12">#REF!</definedName>
    <definedName name="BSEC12" localSheetId="0">#REF!</definedName>
    <definedName name="BSEC12" localSheetId="1">#REF!</definedName>
    <definedName name="BSEC12" localSheetId="8">#REF!</definedName>
    <definedName name="BSEC12" localSheetId="11">#REF!</definedName>
    <definedName name="BSEC12" localSheetId="9">#REF!</definedName>
    <definedName name="BSEC12" localSheetId="18">#REF!</definedName>
    <definedName name="BSEC12" localSheetId="15">#REF!</definedName>
    <definedName name="BSEC12" localSheetId="7">#REF!</definedName>
    <definedName name="BSEC12">#REF!</definedName>
    <definedName name="bsec2" localSheetId="12">#REF!</definedName>
    <definedName name="bsec2" localSheetId="0">#REF!</definedName>
    <definedName name="bsec2" localSheetId="1">#REF!</definedName>
    <definedName name="bsec2" localSheetId="8">#REF!</definedName>
    <definedName name="bsec2" localSheetId="11">#REF!</definedName>
    <definedName name="bsec2" localSheetId="9">#REF!</definedName>
    <definedName name="bsec2" localSheetId="18">#REF!</definedName>
    <definedName name="bsec2" localSheetId="15">#REF!</definedName>
    <definedName name="bsec2" localSheetId="7">#REF!</definedName>
    <definedName name="bsec2">#REF!</definedName>
    <definedName name="bsec22" localSheetId="12">#REF!</definedName>
    <definedName name="bsec22" localSheetId="0">#REF!</definedName>
    <definedName name="bsec22" localSheetId="1">#REF!</definedName>
    <definedName name="bsec22" localSheetId="8">#REF!</definedName>
    <definedName name="bsec22" localSheetId="11">#REF!</definedName>
    <definedName name="bsec22" localSheetId="9">#REF!</definedName>
    <definedName name="bsec22" localSheetId="18">#REF!</definedName>
    <definedName name="bsec22" localSheetId="15">#REF!</definedName>
    <definedName name="bsec22" localSheetId="7">#REF!</definedName>
    <definedName name="bsec22">#REF!</definedName>
    <definedName name="bsec3" localSheetId="12">#REF!</definedName>
    <definedName name="bsec3" localSheetId="0">#REF!</definedName>
    <definedName name="bsec3" localSheetId="1">#REF!</definedName>
    <definedName name="bsec3" localSheetId="8">#REF!</definedName>
    <definedName name="bsec3" localSheetId="11">#REF!</definedName>
    <definedName name="bsec3" localSheetId="9">#REF!</definedName>
    <definedName name="bsec3" localSheetId="18">#REF!</definedName>
    <definedName name="bsec3" localSheetId="15">#REF!</definedName>
    <definedName name="bsec3" localSheetId="7">#REF!</definedName>
    <definedName name="bsec3">#REF!</definedName>
    <definedName name="BSEC31" localSheetId="12">#REF!</definedName>
    <definedName name="BSEC31" localSheetId="0">#REF!</definedName>
    <definedName name="BSEC31" localSheetId="1">#REF!</definedName>
    <definedName name="BSEC31" localSheetId="8">#REF!</definedName>
    <definedName name="BSEC31" localSheetId="11">#REF!</definedName>
    <definedName name="BSEC31" localSheetId="9">#REF!</definedName>
    <definedName name="BSEC31" localSheetId="18">#REF!</definedName>
    <definedName name="BSEC31" localSheetId="15">#REF!</definedName>
    <definedName name="BSEC31" localSheetId="7">#REF!</definedName>
    <definedName name="BSEC31">#REF!</definedName>
    <definedName name="bsec33" localSheetId="12">#REF!</definedName>
    <definedName name="bsec33" localSheetId="0">#REF!</definedName>
    <definedName name="bsec33" localSheetId="1">#REF!</definedName>
    <definedName name="bsec33" localSheetId="8">#REF!</definedName>
    <definedName name="bsec33" localSheetId="11">#REF!</definedName>
    <definedName name="bsec33" localSheetId="9">#REF!</definedName>
    <definedName name="bsec33" localSheetId="18">#REF!</definedName>
    <definedName name="bsec33" localSheetId="15">#REF!</definedName>
    <definedName name="bsec33" localSheetId="7">#REF!</definedName>
    <definedName name="bsec33">#REF!</definedName>
    <definedName name="bsec35" localSheetId="12">#REF!</definedName>
    <definedName name="bsec35" localSheetId="0">#REF!</definedName>
    <definedName name="bsec35" localSheetId="1">#REF!</definedName>
    <definedName name="bsec35" localSheetId="8">#REF!</definedName>
    <definedName name="bsec35" localSheetId="11">#REF!</definedName>
    <definedName name="bsec35" localSheetId="9">#REF!</definedName>
    <definedName name="bsec35" localSheetId="18">#REF!</definedName>
    <definedName name="bsec35" localSheetId="15">#REF!</definedName>
    <definedName name="bsec35" localSheetId="7">#REF!</definedName>
    <definedName name="bsec35">#REF!</definedName>
    <definedName name="bsec4" localSheetId="12">#REF!</definedName>
    <definedName name="bsec4" localSheetId="0">#REF!</definedName>
    <definedName name="bsec4" localSheetId="1">#REF!</definedName>
    <definedName name="bsec4" localSheetId="8">#REF!</definedName>
    <definedName name="bsec4" localSheetId="11">#REF!</definedName>
    <definedName name="bsec4" localSheetId="9">#REF!</definedName>
    <definedName name="bsec4" localSheetId="18">#REF!</definedName>
    <definedName name="bsec4" localSheetId="15">#REF!</definedName>
    <definedName name="bsec4" localSheetId="7">#REF!</definedName>
    <definedName name="bsec4">#REF!</definedName>
    <definedName name="bsec44" localSheetId="12">#REF!</definedName>
    <definedName name="bsec44" localSheetId="0">#REF!</definedName>
    <definedName name="bsec44" localSheetId="1">#REF!</definedName>
    <definedName name="bsec44" localSheetId="8">#REF!</definedName>
    <definedName name="bsec44" localSheetId="11">#REF!</definedName>
    <definedName name="bsec44" localSheetId="9">#REF!</definedName>
    <definedName name="bsec44" localSheetId="18">#REF!</definedName>
    <definedName name="bsec44" localSheetId="15">#REF!</definedName>
    <definedName name="bsec44" localSheetId="7">#REF!</definedName>
    <definedName name="bsec44">#REF!</definedName>
    <definedName name="bsec45" localSheetId="12">#REF!</definedName>
    <definedName name="bsec45" localSheetId="0">#REF!</definedName>
    <definedName name="bsec45" localSheetId="1">#REF!</definedName>
    <definedName name="bsec45" localSheetId="8">#REF!</definedName>
    <definedName name="bsec45" localSheetId="11">#REF!</definedName>
    <definedName name="bsec45" localSheetId="9">#REF!</definedName>
    <definedName name="bsec45" localSheetId="18">#REF!</definedName>
    <definedName name="bsec45" localSheetId="15">#REF!</definedName>
    <definedName name="bsec45" localSheetId="7">#REF!</definedName>
    <definedName name="bsec45">#REF!</definedName>
    <definedName name="bsec5" localSheetId="12">#REF!</definedName>
    <definedName name="bsec5" localSheetId="0">#REF!</definedName>
    <definedName name="bsec5" localSheetId="1">#REF!</definedName>
    <definedName name="bsec5" localSheetId="8">#REF!</definedName>
    <definedName name="bsec5" localSheetId="11">#REF!</definedName>
    <definedName name="bsec5" localSheetId="9">#REF!</definedName>
    <definedName name="bsec5" localSheetId="18">#REF!</definedName>
    <definedName name="bsec5" localSheetId="15">#REF!</definedName>
    <definedName name="bsec5" localSheetId="7">#REF!</definedName>
    <definedName name="bsec5">#REF!</definedName>
    <definedName name="BSEC56" localSheetId="12">#REF!</definedName>
    <definedName name="BSEC56" localSheetId="0">#REF!</definedName>
    <definedName name="BSEC56" localSheetId="1">#REF!</definedName>
    <definedName name="BSEC56" localSheetId="8">#REF!</definedName>
    <definedName name="BSEC56" localSheetId="11">#REF!</definedName>
    <definedName name="BSEC56" localSheetId="9">#REF!</definedName>
    <definedName name="BSEC56" localSheetId="18">#REF!</definedName>
    <definedName name="BSEC56" localSheetId="15">#REF!</definedName>
    <definedName name="BSEC56" localSheetId="7">#REF!</definedName>
    <definedName name="BSEC56">#REF!</definedName>
    <definedName name="bsec6" localSheetId="12">#REF!</definedName>
    <definedName name="bsec6" localSheetId="0">#REF!</definedName>
    <definedName name="bsec6" localSheetId="1">#REF!</definedName>
    <definedName name="bsec6" localSheetId="8">#REF!</definedName>
    <definedName name="bsec6" localSheetId="11">#REF!</definedName>
    <definedName name="bsec6" localSheetId="9">#REF!</definedName>
    <definedName name="bsec6" localSheetId="18">#REF!</definedName>
    <definedName name="bsec6" localSheetId="15">#REF!</definedName>
    <definedName name="bsec6" localSheetId="7">#REF!</definedName>
    <definedName name="bsec6">#REF!</definedName>
    <definedName name="bsec66" localSheetId="12">#REF!</definedName>
    <definedName name="bsec66" localSheetId="0">#REF!</definedName>
    <definedName name="bsec66" localSheetId="1">#REF!</definedName>
    <definedName name="bsec66" localSheetId="8">#REF!</definedName>
    <definedName name="bsec66" localSheetId="11">#REF!</definedName>
    <definedName name="bsec66" localSheetId="9">#REF!</definedName>
    <definedName name="bsec66" localSheetId="18">#REF!</definedName>
    <definedName name="bsec66" localSheetId="15">#REF!</definedName>
    <definedName name="bsec66" localSheetId="7">#REF!</definedName>
    <definedName name="bsec66">#REF!</definedName>
    <definedName name="BSEC67" localSheetId="12">#REF!</definedName>
    <definedName name="BSEC67" localSheetId="0">#REF!</definedName>
    <definedName name="BSEC67" localSheetId="1">#REF!</definedName>
    <definedName name="BSEC67" localSheetId="8">#REF!</definedName>
    <definedName name="BSEC67" localSheetId="11">#REF!</definedName>
    <definedName name="BSEC67" localSheetId="9">#REF!</definedName>
    <definedName name="BSEC67" localSheetId="18">#REF!</definedName>
    <definedName name="BSEC67" localSheetId="15">#REF!</definedName>
    <definedName name="BSEC67" localSheetId="7">#REF!</definedName>
    <definedName name="BSEC67">#REF!</definedName>
    <definedName name="BSEC7" localSheetId="12">#REF!</definedName>
    <definedName name="BSEC7" localSheetId="0">#REF!</definedName>
    <definedName name="BSEC7" localSheetId="1">#REF!</definedName>
    <definedName name="BSEC7" localSheetId="8">#REF!</definedName>
    <definedName name="BSEC7" localSheetId="11">#REF!</definedName>
    <definedName name="BSEC7" localSheetId="9">#REF!</definedName>
    <definedName name="BSEC7" localSheetId="18">#REF!</definedName>
    <definedName name="BSEC7" localSheetId="15">#REF!</definedName>
    <definedName name="BSEC7" localSheetId="7">#REF!</definedName>
    <definedName name="BSEC7">#REF!</definedName>
    <definedName name="bua" localSheetId="12">#REF!</definedName>
    <definedName name="bua" localSheetId="0">#REF!</definedName>
    <definedName name="bua" localSheetId="1">#REF!</definedName>
    <definedName name="bua" localSheetId="8">#REF!</definedName>
    <definedName name="bua" localSheetId="11">#REF!</definedName>
    <definedName name="bua" localSheetId="9">#REF!</definedName>
    <definedName name="bua" localSheetId="18">#REF!</definedName>
    <definedName name="bua" localSheetId="15">#REF!</definedName>
    <definedName name="bua" localSheetId="7">#REF!</definedName>
    <definedName name="bua">#REF!</definedName>
    <definedName name="BUDDHA" localSheetId="12">#REF!</definedName>
    <definedName name="BUDDHA" localSheetId="8">#REF!</definedName>
    <definedName name="BUDDHA" localSheetId="11">#REF!</definedName>
    <definedName name="BUDDHA" localSheetId="9">#REF!</definedName>
    <definedName name="BUDDHA" localSheetId="18">#REF!</definedName>
    <definedName name="BUDDHA" localSheetId="15">#REF!</definedName>
    <definedName name="BUDDHA" localSheetId="7">#REF!</definedName>
    <definedName name="BUDDHA">#REF!</definedName>
    <definedName name="building" localSheetId="12">#REF!</definedName>
    <definedName name="building" localSheetId="8">#REF!</definedName>
    <definedName name="building" localSheetId="11">#REF!</definedName>
    <definedName name="building" localSheetId="9">#REF!</definedName>
    <definedName name="building" localSheetId="18">#REF!</definedName>
    <definedName name="building" localSheetId="15">#REF!</definedName>
    <definedName name="building" localSheetId="7">#REF!</definedName>
    <definedName name="building">#REF!</definedName>
    <definedName name="building___0" localSheetId="12">#REF!</definedName>
    <definedName name="building___0" localSheetId="8">#REF!</definedName>
    <definedName name="building___0" localSheetId="11">#REF!</definedName>
    <definedName name="building___0" localSheetId="9">#REF!</definedName>
    <definedName name="building___0" localSheetId="18">#REF!</definedName>
    <definedName name="building___0" localSheetId="15">#REF!</definedName>
    <definedName name="building___0" localSheetId="7">#REF!</definedName>
    <definedName name="building___0">#REF!</definedName>
    <definedName name="building___11" localSheetId="12">#REF!</definedName>
    <definedName name="building___11" localSheetId="8">#REF!</definedName>
    <definedName name="building___11" localSheetId="11">#REF!</definedName>
    <definedName name="building___11" localSheetId="9">#REF!</definedName>
    <definedName name="building___11" localSheetId="18">#REF!</definedName>
    <definedName name="building___11" localSheetId="15">#REF!</definedName>
    <definedName name="building___11" localSheetId="7">#REF!</definedName>
    <definedName name="building___11">#REF!</definedName>
    <definedName name="building___12" localSheetId="12">#REF!</definedName>
    <definedName name="building___12" localSheetId="8">#REF!</definedName>
    <definedName name="building___12" localSheetId="11">#REF!</definedName>
    <definedName name="building___12" localSheetId="9">#REF!</definedName>
    <definedName name="building___12" localSheetId="18">#REF!</definedName>
    <definedName name="building___12" localSheetId="15">#REF!</definedName>
    <definedName name="building___12" localSheetId="7">#REF!</definedName>
    <definedName name="building___12">#REF!</definedName>
    <definedName name="BuiltIn_Print_Area" localSheetId="12">#REF!</definedName>
    <definedName name="BuiltIn_Print_Area" localSheetId="8">#REF!</definedName>
    <definedName name="BuiltIn_Print_Area" localSheetId="11">#REF!</definedName>
    <definedName name="BuiltIn_Print_Area" localSheetId="9">#REF!</definedName>
    <definedName name="BuiltIn_Print_Area" localSheetId="18">#REF!</definedName>
    <definedName name="BuiltIn_Print_Area" localSheetId="15">#REF!</definedName>
    <definedName name="BuiltIn_Print_Area" localSheetId="7">#REF!</definedName>
    <definedName name="BuiltIn_Print_Area">#REF!</definedName>
    <definedName name="BuiltIn_Print_Area___0" localSheetId="12">#REF!</definedName>
    <definedName name="BuiltIn_Print_Area___0" localSheetId="8">#REF!</definedName>
    <definedName name="BuiltIn_Print_Area___0" localSheetId="11">#REF!</definedName>
    <definedName name="BuiltIn_Print_Area___0" localSheetId="9">#REF!</definedName>
    <definedName name="BuiltIn_Print_Area___0" localSheetId="18">#REF!</definedName>
    <definedName name="BuiltIn_Print_Area___0" localSheetId="15">#REF!</definedName>
    <definedName name="BuiltIn_Print_Area___0" localSheetId="7">#REF!</definedName>
    <definedName name="BuiltIn_Print_Area___0">#REF!</definedName>
    <definedName name="BuiltIn_Print_Titles" localSheetId="12">#REF!</definedName>
    <definedName name="BuiltIn_Print_Titles" localSheetId="0">#REF!</definedName>
    <definedName name="BuiltIn_Print_Titles" localSheetId="1">#REF!</definedName>
    <definedName name="BuiltIn_Print_Titles" localSheetId="8">#REF!</definedName>
    <definedName name="BuiltIn_Print_Titles" localSheetId="11">#REF!</definedName>
    <definedName name="BuiltIn_Print_Titles" localSheetId="9">#REF!</definedName>
    <definedName name="BuiltIn_Print_Titles" localSheetId="18">#REF!</definedName>
    <definedName name="BuiltIn_Print_Titles" localSheetId="15">#REF!</definedName>
    <definedName name="BuiltIn_Print_Titles" localSheetId="7">#REF!</definedName>
    <definedName name="BuiltIn_Print_Titles">#REF!</definedName>
    <definedName name="BuiltIn_Print_Titles___0">#N/A</definedName>
    <definedName name="BusType" localSheetId="12">#REF!</definedName>
    <definedName name="BusType" localSheetId="0">#REF!</definedName>
    <definedName name="BusType" localSheetId="1">#REF!</definedName>
    <definedName name="BusType" localSheetId="6">#REF!</definedName>
    <definedName name="BusType" localSheetId="5">#REF!</definedName>
    <definedName name="BusType" localSheetId="8">#REF!</definedName>
    <definedName name="BusType" localSheetId="11">#REF!</definedName>
    <definedName name="BusType" localSheetId="9">#REF!</definedName>
    <definedName name="BusType" localSheetId="18">#REF!</definedName>
    <definedName name="BusType" localSheetId="15">#REF!</definedName>
    <definedName name="BusType" localSheetId="7">#REF!</definedName>
    <definedName name="BusType">#REF!</definedName>
    <definedName name="BusType_Text" localSheetId="12">#REF!</definedName>
    <definedName name="BusType_Text" localSheetId="0">#REF!</definedName>
    <definedName name="BusType_Text" localSheetId="1">#REF!</definedName>
    <definedName name="BusType_Text" localSheetId="8">#REF!</definedName>
    <definedName name="BusType_Text" localSheetId="11">#REF!</definedName>
    <definedName name="BusType_Text" localSheetId="9">#REF!</definedName>
    <definedName name="BusType_Text" localSheetId="18">#REF!</definedName>
    <definedName name="BusType_Text" localSheetId="15">#REF!</definedName>
    <definedName name="BusType_Text" localSheetId="7">#REF!</definedName>
    <definedName name="BusType_Text">#REF!</definedName>
    <definedName name="Bx" localSheetId="12">#REF!</definedName>
    <definedName name="Bx" localSheetId="8">#REF!</definedName>
    <definedName name="Bx" localSheetId="11">#REF!</definedName>
    <definedName name="Bx" localSheetId="9">#REF!</definedName>
    <definedName name="Bx" localSheetId="18">#REF!</definedName>
    <definedName name="Bx" localSheetId="15">#REF!</definedName>
    <definedName name="Bx" localSheetId="7">#REF!</definedName>
    <definedName name="Bx">#REF!</definedName>
    <definedName name="Bx___0" localSheetId="12">#REF!</definedName>
    <definedName name="Bx___0" localSheetId="8">#REF!</definedName>
    <definedName name="Bx___0" localSheetId="11">#REF!</definedName>
    <definedName name="Bx___0" localSheetId="9">#REF!</definedName>
    <definedName name="Bx___0" localSheetId="18">#REF!</definedName>
    <definedName name="Bx___0" localSheetId="15">#REF!</definedName>
    <definedName name="Bx___0" localSheetId="7">#REF!</definedName>
    <definedName name="Bx___0">#REF!</definedName>
    <definedName name="Bx___13" localSheetId="12">#REF!</definedName>
    <definedName name="Bx___13" localSheetId="8">#REF!</definedName>
    <definedName name="Bx___13" localSheetId="11">#REF!</definedName>
    <definedName name="Bx___13" localSheetId="9">#REF!</definedName>
    <definedName name="Bx___13" localSheetId="18">#REF!</definedName>
    <definedName name="Bx___13" localSheetId="15">#REF!</definedName>
    <definedName name="Bx___13" localSheetId="7">#REF!</definedName>
    <definedName name="Bx___13">#REF!</definedName>
    <definedName name="bxevxed" localSheetId="12">#REF!</definedName>
    <definedName name="bxevxed" localSheetId="8">#REF!</definedName>
    <definedName name="bxevxed" localSheetId="11">#REF!</definedName>
    <definedName name="bxevxed" localSheetId="9">#REF!</definedName>
    <definedName name="bxevxed" localSheetId="18">#REF!</definedName>
    <definedName name="bxevxed" localSheetId="15">#REF!</definedName>
    <definedName name="bxevxed" localSheetId="7">#REF!</definedName>
    <definedName name="bxevxed">#REF!</definedName>
    <definedName name="bxnvxnd" localSheetId="12">#REF!</definedName>
    <definedName name="bxnvxnd" localSheetId="8">#REF!</definedName>
    <definedName name="bxnvxnd" localSheetId="11">#REF!</definedName>
    <definedName name="bxnvxnd" localSheetId="9">#REF!</definedName>
    <definedName name="bxnvxnd" localSheetId="18">#REF!</definedName>
    <definedName name="bxnvxnd" localSheetId="15">#REF!</definedName>
    <definedName name="bxnvxnd" localSheetId="7">#REF!</definedName>
    <definedName name="bxnvxnd">#REF!</definedName>
    <definedName name="C.L.WALL" localSheetId="12">#REF!</definedName>
    <definedName name="C.L.WALL" localSheetId="0">#REF!</definedName>
    <definedName name="C.L.WALL" localSheetId="1">#REF!</definedName>
    <definedName name="C.L.WALL" localSheetId="8">#REF!</definedName>
    <definedName name="C.L.WALL" localSheetId="11">#REF!</definedName>
    <definedName name="C.L.WALL" localSheetId="9">#REF!</definedName>
    <definedName name="C.L.WALL" localSheetId="18">#REF!</definedName>
    <definedName name="C.L.WALL" localSheetId="15">#REF!</definedName>
    <definedName name="C.L.WALL" localSheetId="7">#REF!</definedName>
    <definedName name="C.L.WALL">#REF!</definedName>
    <definedName name="C.L.WALL1" localSheetId="12">#REF!</definedName>
    <definedName name="C.L.WALL1" localSheetId="0">#REF!</definedName>
    <definedName name="C.L.WALL1" localSheetId="1">#REF!</definedName>
    <definedName name="C.L.WALL1" localSheetId="8">#REF!</definedName>
    <definedName name="C.L.WALL1" localSheetId="11">#REF!</definedName>
    <definedName name="C.L.WALL1" localSheetId="9">#REF!</definedName>
    <definedName name="C.L.WALL1" localSheetId="18">#REF!</definedName>
    <definedName name="C.L.WALL1" localSheetId="15">#REF!</definedName>
    <definedName name="C.L.WALL1" localSheetId="7">#REF!</definedName>
    <definedName name="C.L.WALL1">#REF!</definedName>
    <definedName name="C.S.WALL" localSheetId="12">#REF!</definedName>
    <definedName name="C.S.WALL" localSheetId="0">#REF!</definedName>
    <definedName name="C.S.WALL" localSheetId="1">#REF!</definedName>
    <definedName name="C.S.WALL" localSheetId="8">#REF!</definedName>
    <definedName name="C.S.WALL" localSheetId="11">#REF!</definedName>
    <definedName name="C.S.WALL" localSheetId="9">#REF!</definedName>
    <definedName name="C.S.WALL" localSheetId="18">#REF!</definedName>
    <definedName name="C.S.WALL" localSheetId="15">#REF!</definedName>
    <definedName name="C.S.WALL" localSheetId="7">#REF!</definedName>
    <definedName name="C.S.WALL">#REF!</definedName>
    <definedName name="c_" localSheetId="12">#REF!</definedName>
    <definedName name="c_" localSheetId="8">#REF!</definedName>
    <definedName name="c_" localSheetId="11">#REF!</definedName>
    <definedName name="c_" localSheetId="9">#REF!</definedName>
    <definedName name="c_" localSheetId="18">#REF!</definedName>
    <definedName name="c_" localSheetId="15">#REF!</definedName>
    <definedName name="c_" localSheetId="7">#REF!</definedName>
    <definedName name="c_">#REF!</definedName>
    <definedName name="ca1boq" localSheetId="12">#REF!</definedName>
    <definedName name="ca1boq" localSheetId="0">#REF!</definedName>
    <definedName name="ca1boq" localSheetId="1">#REF!</definedName>
    <definedName name="ca1boq" localSheetId="8">#REF!</definedName>
    <definedName name="ca1boq" localSheetId="11">#REF!</definedName>
    <definedName name="ca1boq" localSheetId="9">#REF!</definedName>
    <definedName name="ca1boq" localSheetId="18">#REF!</definedName>
    <definedName name="ca1boq" localSheetId="15">#REF!</definedName>
    <definedName name="ca1boq" localSheetId="7">#REF!</definedName>
    <definedName name="ca1boq">#REF!</definedName>
    <definedName name="cab21.5tp" localSheetId="12">#REF!</definedName>
    <definedName name="cab21.5tp" localSheetId="0">#REF!</definedName>
    <definedName name="cab21.5tp" localSheetId="1">#REF!</definedName>
    <definedName name="cab21.5tp" localSheetId="8">#REF!</definedName>
    <definedName name="cab21.5tp" localSheetId="11">#REF!</definedName>
    <definedName name="cab21.5tp" localSheetId="9">#REF!</definedName>
    <definedName name="cab21.5tp" localSheetId="18">#REF!</definedName>
    <definedName name="cab21.5tp" localSheetId="15">#REF!</definedName>
    <definedName name="cab21.5tp" localSheetId="7">#REF!</definedName>
    <definedName name="cab21.5tp">#REF!</definedName>
    <definedName name="cab21s" localSheetId="12">#REF!</definedName>
    <definedName name="cab21s" localSheetId="0">#REF!</definedName>
    <definedName name="cab21s" localSheetId="1">#REF!</definedName>
    <definedName name="cab21s" localSheetId="8">#REF!</definedName>
    <definedName name="cab21s" localSheetId="11">#REF!</definedName>
    <definedName name="cab21s" localSheetId="9">#REF!</definedName>
    <definedName name="cab21s" localSheetId="18">#REF!</definedName>
    <definedName name="cab21s" localSheetId="15">#REF!</definedName>
    <definedName name="cab21s" localSheetId="7">#REF!</definedName>
    <definedName name="cab21s">#REF!</definedName>
    <definedName name="cab21us" localSheetId="12">#REF!</definedName>
    <definedName name="cab21us" localSheetId="0">#REF!</definedName>
    <definedName name="cab21us" localSheetId="1">#REF!</definedName>
    <definedName name="cab21us" localSheetId="8">#REF!</definedName>
    <definedName name="cab21us" localSheetId="11">#REF!</definedName>
    <definedName name="cab21us" localSheetId="9">#REF!</definedName>
    <definedName name="cab21us" localSheetId="18">#REF!</definedName>
    <definedName name="cab21us" localSheetId="15">#REF!</definedName>
    <definedName name="cab21us" localSheetId="7">#REF!</definedName>
    <definedName name="cab21us">#REF!</definedName>
    <definedName name="cab31s" localSheetId="12">#REF!</definedName>
    <definedName name="cab31s" localSheetId="0">#REF!</definedName>
    <definedName name="cab31s" localSheetId="1">#REF!</definedName>
    <definedName name="cab31s" localSheetId="8">#REF!</definedName>
    <definedName name="cab31s" localSheetId="11">#REF!</definedName>
    <definedName name="cab31s" localSheetId="9">#REF!</definedName>
    <definedName name="cab31s" localSheetId="18">#REF!</definedName>
    <definedName name="cab31s" localSheetId="15">#REF!</definedName>
    <definedName name="cab31s" localSheetId="7">#REF!</definedName>
    <definedName name="cab31s">#REF!</definedName>
    <definedName name="cab31us" localSheetId="12">#REF!</definedName>
    <definedName name="cab31us" localSheetId="0">#REF!</definedName>
    <definedName name="cab31us" localSheetId="1">#REF!</definedName>
    <definedName name="cab31us" localSheetId="8">#REF!</definedName>
    <definedName name="cab31us" localSheetId="11">#REF!</definedName>
    <definedName name="cab31us" localSheetId="9">#REF!</definedName>
    <definedName name="cab31us" localSheetId="18">#REF!</definedName>
    <definedName name="cab31us" localSheetId="15">#REF!</definedName>
    <definedName name="cab31us" localSheetId="7">#REF!</definedName>
    <definedName name="cab31us">#REF!</definedName>
    <definedName name="cab41s" localSheetId="12">#REF!</definedName>
    <definedName name="cab41s" localSheetId="0">#REF!</definedName>
    <definedName name="cab41s" localSheetId="1">#REF!</definedName>
    <definedName name="cab41s" localSheetId="8">#REF!</definedName>
    <definedName name="cab41s" localSheetId="11">#REF!</definedName>
    <definedName name="cab41s" localSheetId="9">#REF!</definedName>
    <definedName name="cab41s" localSheetId="18">#REF!</definedName>
    <definedName name="cab41s" localSheetId="15">#REF!</definedName>
    <definedName name="cab41s" localSheetId="7">#REF!</definedName>
    <definedName name="cab41s">#REF!</definedName>
    <definedName name="cab41us" localSheetId="12">#REF!</definedName>
    <definedName name="cab41us" localSheetId="0">#REF!</definedName>
    <definedName name="cab41us" localSheetId="1">#REF!</definedName>
    <definedName name="cab41us" localSheetId="8">#REF!</definedName>
    <definedName name="cab41us" localSheetId="11">#REF!</definedName>
    <definedName name="cab41us" localSheetId="9">#REF!</definedName>
    <definedName name="cab41us" localSheetId="18">#REF!</definedName>
    <definedName name="cab41us" localSheetId="15">#REF!</definedName>
    <definedName name="cab41us" localSheetId="7">#REF!</definedName>
    <definedName name="cab41us">#REF!</definedName>
    <definedName name="cabd" localSheetId="12">#REF!</definedName>
    <definedName name="cabd" localSheetId="8">#REF!</definedName>
    <definedName name="cabd" localSheetId="11">#REF!</definedName>
    <definedName name="cabd" localSheetId="9">#REF!</definedName>
    <definedName name="cabd" localSheetId="18">#REF!</definedName>
    <definedName name="cabd" localSheetId="15">#REF!</definedName>
    <definedName name="cabd" localSheetId="7">#REF!</definedName>
    <definedName name="cabd">#REF!</definedName>
    <definedName name="cabf" localSheetId="12">#REF!</definedName>
    <definedName name="cabf" localSheetId="0">#REF!</definedName>
    <definedName name="cabf" localSheetId="1">#REF!</definedName>
    <definedName name="cabf" localSheetId="8">#REF!</definedName>
    <definedName name="cabf" localSheetId="11">#REF!</definedName>
    <definedName name="cabf" localSheetId="9">#REF!</definedName>
    <definedName name="cabf" localSheetId="18">#REF!</definedName>
    <definedName name="cabf" localSheetId="15">#REF!</definedName>
    <definedName name="cabf" localSheetId="7">#REF!</definedName>
    <definedName name="cabf">#REF!</definedName>
    <definedName name="CABLE" localSheetId="12">#REF!</definedName>
    <definedName name="CABLE" localSheetId="0">#REF!</definedName>
    <definedName name="CABLE" localSheetId="1">#REF!</definedName>
    <definedName name="CABLE" localSheetId="8">#REF!</definedName>
    <definedName name="CABLE" localSheetId="11">#REF!</definedName>
    <definedName name="CABLE" localSheetId="9">#REF!</definedName>
    <definedName name="CABLE" localSheetId="18">#REF!</definedName>
    <definedName name="CABLE" localSheetId="15">#REF!</definedName>
    <definedName name="CABLE" localSheetId="7">#REF!</definedName>
    <definedName name="CABLE">#REF!</definedName>
    <definedName name="cald" localSheetId="12">#REF!</definedName>
    <definedName name="cald" localSheetId="8">#REF!</definedName>
    <definedName name="cald" localSheetId="11">#REF!</definedName>
    <definedName name="cald" localSheetId="9">#REF!</definedName>
    <definedName name="cald" localSheetId="18">#REF!</definedName>
    <definedName name="cald" localSheetId="15">#REF!</definedName>
    <definedName name="cald" localSheetId="7">#REF!</definedName>
    <definedName name="cald">#REF!</definedName>
    <definedName name="CALf" localSheetId="12">#REF!</definedName>
    <definedName name="CALf" localSheetId="0">#REF!</definedName>
    <definedName name="CALf" localSheetId="1">#REF!</definedName>
    <definedName name="CALf" localSheetId="8">#REF!</definedName>
    <definedName name="CALf" localSheetId="11">#REF!</definedName>
    <definedName name="CALf" localSheetId="9">#REF!</definedName>
    <definedName name="CALf" localSheetId="18">#REF!</definedName>
    <definedName name="CALf" localSheetId="15">#REF!</definedName>
    <definedName name="CALf" localSheetId="7">#REF!</definedName>
    <definedName name="CALf">#REF!</definedName>
    <definedName name="CALIMP" localSheetId="12">#REF!</definedName>
    <definedName name="CALIMP" localSheetId="8">#REF!</definedName>
    <definedName name="CALIMP" localSheetId="11">#REF!</definedName>
    <definedName name="CALIMP" localSheetId="9">#REF!</definedName>
    <definedName name="CALIMP" localSheetId="18">#REF!</definedName>
    <definedName name="CALIMP" localSheetId="15">#REF!</definedName>
    <definedName name="CALIMP" localSheetId="7">#REF!</definedName>
    <definedName name="CALIMP">#REF!</definedName>
    <definedName name="cant" localSheetId="12">#REF!</definedName>
    <definedName name="cant" localSheetId="8">#REF!</definedName>
    <definedName name="cant" localSheetId="11">#REF!</definedName>
    <definedName name="cant" localSheetId="9">#REF!</definedName>
    <definedName name="cant" localSheetId="18">#REF!</definedName>
    <definedName name="cant" localSheetId="15">#REF!</definedName>
    <definedName name="cant" localSheetId="7">#REF!</definedName>
    <definedName name="cant">#REF!</definedName>
    <definedName name="capital" localSheetId="12">#REF!</definedName>
    <definedName name="capital" localSheetId="0">#REF!</definedName>
    <definedName name="capital" localSheetId="1">#REF!</definedName>
    <definedName name="capital" localSheetId="8">#REF!</definedName>
    <definedName name="capital" localSheetId="11">#REF!</definedName>
    <definedName name="capital" localSheetId="9">#REF!</definedName>
    <definedName name="capital" localSheetId="18">#REF!</definedName>
    <definedName name="capital" localSheetId="15">#REF!</definedName>
    <definedName name="capital" localSheetId="7">#REF!</definedName>
    <definedName name="capital">#REF!</definedName>
    <definedName name="CAR_AND_CARDOOR" localSheetId="12">#REF!</definedName>
    <definedName name="CAR_AND_CARDOOR" localSheetId="8">#REF!</definedName>
    <definedName name="CAR_AND_CARDOOR" localSheetId="11">#REF!</definedName>
    <definedName name="CAR_AND_CARDOOR" localSheetId="9">#REF!</definedName>
    <definedName name="CAR_AND_CARDOOR" localSheetId="18">#REF!</definedName>
    <definedName name="CAR_AND_CARDOOR" localSheetId="15">#REF!</definedName>
    <definedName name="CAR_AND_CARDOOR" localSheetId="7">#REF!</definedName>
    <definedName name="CAR_AND_CARDOOR">#REF!</definedName>
    <definedName name="CARP" localSheetId="12">#REF!</definedName>
    <definedName name="CARP" localSheetId="8">#REF!</definedName>
    <definedName name="CARP" localSheetId="11">#REF!</definedName>
    <definedName name="CARP" localSheetId="9">#REF!</definedName>
    <definedName name="CARP" localSheetId="18">#REF!</definedName>
    <definedName name="CARP" localSheetId="15">#REF!</definedName>
    <definedName name="CARP" localSheetId="7">#REF!</definedName>
    <definedName name="CARP">#REF!</definedName>
    <definedName name="CARP1" localSheetId="12">#REF!</definedName>
    <definedName name="CARP1" localSheetId="8">#REF!</definedName>
    <definedName name="CARP1" localSheetId="11">#REF!</definedName>
    <definedName name="CARP1" localSheetId="9">#REF!</definedName>
    <definedName name="CARP1" localSheetId="18">#REF!</definedName>
    <definedName name="CARP1" localSheetId="15">#REF!</definedName>
    <definedName name="CARP1" localSheetId="7">#REF!</definedName>
    <definedName name="CARP1">#REF!</definedName>
    <definedName name="CARP2" localSheetId="12">#REF!</definedName>
    <definedName name="CARP2" localSheetId="8">#REF!</definedName>
    <definedName name="CARP2" localSheetId="11">#REF!</definedName>
    <definedName name="CARP2" localSheetId="9">#REF!</definedName>
    <definedName name="CARP2" localSheetId="18">#REF!</definedName>
    <definedName name="CARP2" localSheetId="15">#REF!</definedName>
    <definedName name="CARP2" localSheetId="7">#REF!</definedName>
    <definedName name="CARP2">#REF!</definedName>
    <definedName name="carpet" localSheetId="12">#REF!</definedName>
    <definedName name="carpet" localSheetId="8">#REF!</definedName>
    <definedName name="carpet" localSheetId="11">#REF!</definedName>
    <definedName name="carpet" localSheetId="9">#REF!</definedName>
    <definedName name="carpet" localSheetId="18">#REF!</definedName>
    <definedName name="carpet" localSheetId="15">#REF!</definedName>
    <definedName name="carpet" localSheetId="7">#REF!</definedName>
    <definedName name="carpet">#REF!</definedName>
    <definedName name="carpet___0" localSheetId="12">#REF!</definedName>
    <definedName name="carpet___0" localSheetId="8">#REF!</definedName>
    <definedName name="carpet___0" localSheetId="11">#REF!</definedName>
    <definedName name="carpet___0" localSheetId="9">#REF!</definedName>
    <definedName name="carpet___0" localSheetId="18">#REF!</definedName>
    <definedName name="carpet___0" localSheetId="15">#REF!</definedName>
    <definedName name="carpet___0" localSheetId="7">#REF!</definedName>
    <definedName name="carpet___0">#REF!</definedName>
    <definedName name="carpet___11" localSheetId="12">#REF!</definedName>
    <definedName name="carpet___11" localSheetId="8">#REF!</definedName>
    <definedName name="carpet___11" localSheetId="11">#REF!</definedName>
    <definedName name="carpet___11" localSheetId="9">#REF!</definedName>
    <definedName name="carpet___11" localSheetId="18">#REF!</definedName>
    <definedName name="carpet___11" localSheetId="15">#REF!</definedName>
    <definedName name="carpet___11" localSheetId="7">#REF!</definedName>
    <definedName name="carpet___11">#REF!</definedName>
    <definedName name="carpet___12" localSheetId="12">#REF!</definedName>
    <definedName name="carpet___12" localSheetId="8">#REF!</definedName>
    <definedName name="carpet___12" localSheetId="11">#REF!</definedName>
    <definedName name="carpet___12" localSheetId="9">#REF!</definedName>
    <definedName name="carpet___12" localSheetId="18">#REF!</definedName>
    <definedName name="carpet___12" localSheetId="15">#REF!</definedName>
    <definedName name="carpet___12" localSheetId="7">#REF!</definedName>
    <definedName name="carpet___12">#REF!</definedName>
    <definedName name="CARPI" localSheetId="12">#REF!</definedName>
    <definedName name="CARPI" localSheetId="8">#REF!</definedName>
    <definedName name="CARPI" localSheetId="11">#REF!</definedName>
    <definedName name="CARPI" localSheetId="9">#REF!</definedName>
    <definedName name="CARPI" localSheetId="18">#REF!</definedName>
    <definedName name="CARPI" localSheetId="15">#REF!</definedName>
    <definedName name="CARPI" localSheetId="7">#REF!</definedName>
    <definedName name="CARPI">#REF!</definedName>
    <definedName name="Carriage" localSheetId="12">#REF!</definedName>
    <definedName name="Carriage" localSheetId="8">#REF!</definedName>
    <definedName name="Carriage" localSheetId="11">#REF!</definedName>
    <definedName name="Carriage" localSheetId="9">#REF!</definedName>
    <definedName name="Carriage" localSheetId="18">#REF!</definedName>
    <definedName name="Carriage" localSheetId="15">#REF!</definedName>
    <definedName name="Carriage" localSheetId="7">#REF!</definedName>
    <definedName name="Carriage">#REF!</definedName>
    <definedName name="Carriage_AAC" localSheetId="12">#REF!</definedName>
    <definedName name="Carriage_AAC" localSheetId="8">#REF!</definedName>
    <definedName name="Carriage_AAC" localSheetId="11">#REF!</definedName>
    <definedName name="Carriage_AAC" localSheetId="9">#REF!</definedName>
    <definedName name="Carriage_AAC" localSheetId="18">#REF!</definedName>
    <definedName name="Carriage_AAC" localSheetId="15">#REF!</definedName>
    <definedName name="Carriage_AAC" localSheetId="7">#REF!</definedName>
    <definedName name="Carriage_AAC">#REF!</definedName>
    <definedName name="Carriage_Aggregate" localSheetId="12">#REF!</definedName>
    <definedName name="Carriage_Aggregate" localSheetId="8">#REF!</definedName>
    <definedName name="Carriage_Aggregate" localSheetId="11">#REF!</definedName>
    <definedName name="Carriage_Aggregate" localSheetId="9">#REF!</definedName>
    <definedName name="Carriage_Aggregate" localSheetId="18">#REF!</definedName>
    <definedName name="Carriage_Aggregate" localSheetId="15">#REF!</definedName>
    <definedName name="Carriage_Aggregate" localSheetId="7">#REF!</definedName>
    <definedName name="Carriage_Aggregate">#REF!</definedName>
    <definedName name="Carriage_Aggregate_20" localSheetId="12">#REF!</definedName>
    <definedName name="Carriage_Aggregate_20" localSheetId="8">#REF!</definedName>
    <definedName name="Carriage_Aggregate_20" localSheetId="11">#REF!</definedName>
    <definedName name="Carriage_Aggregate_20" localSheetId="9">#REF!</definedName>
    <definedName name="Carriage_Aggregate_20" localSheetId="18">#REF!</definedName>
    <definedName name="Carriage_Aggregate_20" localSheetId="15">#REF!</definedName>
    <definedName name="Carriage_Aggregate_20" localSheetId="7">#REF!</definedName>
    <definedName name="Carriage_Aggregate_20">#REF!</definedName>
    <definedName name="Carriage_Aggregate40" localSheetId="12">#REF!</definedName>
    <definedName name="Carriage_Aggregate40" localSheetId="8">#REF!</definedName>
    <definedName name="Carriage_Aggregate40" localSheetId="11">#REF!</definedName>
    <definedName name="Carriage_Aggregate40" localSheetId="9">#REF!</definedName>
    <definedName name="Carriage_Aggregate40" localSheetId="18">#REF!</definedName>
    <definedName name="Carriage_Aggregate40" localSheetId="15">#REF!</definedName>
    <definedName name="Carriage_Aggregate40" localSheetId="7">#REF!</definedName>
    <definedName name="Carriage_Aggregate40">#REF!</definedName>
    <definedName name="Carriage_Bitumen" localSheetId="12">#REF!</definedName>
    <definedName name="Carriage_Bitumen" localSheetId="8">#REF!</definedName>
    <definedName name="Carriage_Bitumen" localSheetId="11">#REF!</definedName>
    <definedName name="Carriage_Bitumen" localSheetId="9">#REF!</definedName>
    <definedName name="Carriage_Bitumen" localSheetId="18">#REF!</definedName>
    <definedName name="Carriage_Bitumen" localSheetId="15">#REF!</definedName>
    <definedName name="Carriage_Bitumen" localSheetId="7">#REF!</definedName>
    <definedName name="Carriage_Bitumen">#REF!</definedName>
    <definedName name="Carriage_Bricks" localSheetId="12">#REF!</definedName>
    <definedName name="Carriage_Bricks" localSheetId="8">#REF!</definedName>
    <definedName name="Carriage_Bricks" localSheetId="11">#REF!</definedName>
    <definedName name="Carriage_Bricks" localSheetId="9">#REF!</definedName>
    <definedName name="Carriage_Bricks" localSheetId="18">#REF!</definedName>
    <definedName name="Carriage_Bricks" localSheetId="15">#REF!</definedName>
    <definedName name="Carriage_Bricks" localSheetId="7">#REF!</definedName>
    <definedName name="Carriage_Bricks">#REF!</definedName>
    <definedName name="Carriage_cement" localSheetId="12">#REF!</definedName>
    <definedName name="Carriage_cement" localSheetId="8">#REF!</definedName>
    <definedName name="Carriage_cement" localSheetId="11">#REF!</definedName>
    <definedName name="Carriage_cement" localSheetId="9">#REF!</definedName>
    <definedName name="Carriage_cement" localSheetId="18">#REF!</definedName>
    <definedName name="Carriage_cement" localSheetId="15">#REF!</definedName>
    <definedName name="Carriage_cement" localSheetId="7">#REF!</definedName>
    <definedName name="Carriage_cement">#REF!</definedName>
    <definedName name="Carriage_Marble" localSheetId="12">#REF!</definedName>
    <definedName name="Carriage_Marble" localSheetId="8">#REF!</definedName>
    <definedName name="Carriage_Marble" localSheetId="11">#REF!</definedName>
    <definedName name="Carriage_Marble" localSheetId="9">#REF!</definedName>
    <definedName name="Carriage_Marble" localSheetId="18">#REF!</definedName>
    <definedName name="Carriage_Marble" localSheetId="15">#REF!</definedName>
    <definedName name="Carriage_Marble" localSheetId="7">#REF!</definedName>
    <definedName name="Carriage_Marble">#REF!</definedName>
    <definedName name="Carriage_MS_bar_6mm" localSheetId="12">#REF!</definedName>
    <definedName name="Carriage_MS_bar_6mm" localSheetId="8">#REF!</definedName>
    <definedName name="Carriage_MS_bar_6mm" localSheetId="11">#REF!</definedName>
    <definedName name="Carriage_MS_bar_6mm" localSheetId="9">#REF!</definedName>
    <definedName name="Carriage_MS_bar_6mm" localSheetId="18">#REF!</definedName>
    <definedName name="Carriage_MS_bar_6mm" localSheetId="15">#REF!</definedName>
    <definedName name="Carriage_MS_bar_6mm" localSheetId="7">#REF!</definedName>
    <definedName name="Carriage_MS_bar_6mm">#REF!</definedName>
    <definedName name="Carriage_of_Brick_Agg" localSheetId="12">#REF!</definedName>
    <definedName name="Carriage_of_Brick_Agg" localSheetId="8">#REF!</definedName>
    <definedName name="Carriage_of_Brick_Agg" localSheetId="11">#REF!</definedName>
    <definedName name="Carriage_of_Brick_Agg" localSheetId="9">#REF!</definedName>
    <definedName name="Carriage_of_Brick_Agg" localSheetId="18">#REF!</definedName>
    <definedName name="Carriage_of_Brick_Agg" localSheetId="15">#REF!</definedName>
    <definedName name="Carriage_of_Brick_Agg" localSheetId="7">#REF!</definedName>
    <definedName name="Carriage_of_Brick_Agg">#REF!</definedName>
    <definedName name="Carriage_RMC" localSheetId="12">#REF!</definedName>
    <definedName name="Carriage_RMC" localSheetId="8">#REF!</definedName>
    <definedName name="Carriage_RMC" localSheetId="11">#REF!</definedName>
    <definedName name="Carriage_RMC" localSheetId="9">#REF!</definedName>
    <definedName name="Carriage_RMC" localSheetId="18">#REF!</definedName>
    <definedName name="Carriage_RMC" localSheetId="15">#REF!</definedName>
    <definedName name="Carriage_RMC" localSheetId="7">#REF!</definedName>
    <definedName name="Carriage_RMC">#REF!</definedName>
    <definedName name="Carriage_Sand" localSheetId="12">#REF!</definedName>
    <definedName name="Carriage_Sand" localSheetId="8">#REF!</definedName>
    <definedName name="Carriage_Sand" localSheetId="11">#REF!</definedName>
    <definedName name="Carriage_Sand" localSheetId="9">#REF!</definedName>
    <definedName name="Carriage_Sand" localSheetId="18">#REF!</definedName>
    <definedName name="Carriage_Sand" localSheetId="15">#REF!</definedName>
    <definedName name="Carriage_Sand" localSheetId="7">#REF!</definedName>
    <definedName name="Carriage_Sand">#REF!</definedName>
    <definedName name="Carriage_Steel" localSheetId="12">#REF!</definedName>
    <definedName name="Carriage_Steel" localSheetId="8">#REF!</definedName>
    <definedName name="Carriage_Steel" localSheetId="11">#REF!</definedName>
    <definedName name="Carriage_Steel" localSheetId="9">#REF!</definedName>
    <definedName name="Carriage_Steel" localSheetId="18">#REF!</definedName>
    <definedName name="Carriage_Steel" localSheetId="15">#REF!</definedName>
    <definedName name="Carriage_Steel" localSheetId="7">#REF!</definedName>
    <definedName name="Carriage_Steel">#REF!</definedName>
    <definedName name="Carriage_tile" localSheetId="12">#REF!</definedName>
    <definedName name="Carriage_tile" localSheetId="8">#REF!</definedName>
    <definedName name="Carriage_tile" localSheetId="11">#REF!</definedName>
    <definedName name="Carriage_tile" localSheetId="9">#REF!</definedName>
    <definedName name="Carriage_tile" localSheetId="18">#REF!</definedName>
    <definedName name="Carriage_tile" localSheetId="15">#REF!</definedName>
    <definedName name="Carriage_tile" localSheetId="7">#REF!</definedName>
    <definedName name="Carriage_tile">#REF!</definedName>
    <definedName name="Carriage_Water_proof" localSheetId="12">#REF!</definedName>
    <definedName name="Carriage_Water_proof" localSheetId="8">#REF!</definedName>
    <definedName name="Carriage_Water_proof" localSheetId="11">#REF!</definedName>
    <definedName name="Carriage_Water_proof" localSheetId="9">#REF!</definedName>
    <definedName name="Carriage_Water_proof" localSheetId="18">#REF!</definedName>
    <definedName name="Carriage_Water_proof" localSheetId="15">#REF!</definedName>
    <definedName name="Carriage_Water_proof" localSheetId="7">#REF!</definedName>
    <definedName name="Carriage_Water_proof">#REF!</definedName>
    <definedName name="cash_bank" localSheetId="12">#REF!</definedName>
    <definedName name="cash_bank" localSheetId="0">#REF!</definedName>
    <definedName name="cash_bank" localSheetId="1">#REF!</definedName>
    <definedName name="cash_bank" localSheetId="8">#REF!</definedName>
    <definedName name="cash_bank" localSheetId="11">#REF!</definedName>
    <definedName name="cash_bank" localSheetId="9">#REF!</definedName>
    <definedName name="cash_bank" localSheetId="18">#REF!</definedName>
    <definedName name="cash_bank" localSheetId="15">#REF!</definedName>
    <definedName name="cash_bank" localSheetId="7">#REF!</definedName>
    <definedName name="cash_bank">#REF!</definedName>
    <definedName name="CASH_OUT" localSheetId="12">#REF!</definedName>
    <definedName name="CASH_OUT" localSheetId="0">#REF!</definedName>
    <definedName name="CASH_OUT" localSheetId="1">#REF!</definedName>
    <definedName name="CASH_OUT" localSheetId="8">#REF!</definedName>
    <definedName name="CASH_OUT" localSheetId="11">#REF!</definedName>
    <definedName name="CASH_OUT" localSheetId="9">#REF!</definedName>
    <definedName name="CASH_OUT" localSheetId="18">#REF!</definedName>
    <definedName name="CASH_OUT" localSheetId="15">#REF!</definedName>
    <definedName name="CASH_OUT" localSheetId="7">#REF!</definedName>
    <definedName name="CASH_OUT">#REF!</definedName>
    <definedName name="cbgl1" localSheetId="12">#REF!</definedName>
    <definedName name="cbgl1" localSheetId="0">#REF!</definedName>
    <definedName name="cbgl1" localSheetId="1">#REF!</definedName>
    <definedName name="cbgl1" localSheetId="8">#REF!</definedName>
    <definedName name="cbgl1" localSheetId="11">#REF!</definedName>
    <definedName name="cbgl1" localSheetId="9">#REF!</definedName>
    <definedName name="cbgl1" localSheetId="18">#REF!</definedName>
    <definedName name="cbgl1" localSheetId="15">#REF!</definedName>
    <definedName name="cbgl1" localSheetId="7">#REF!</definedName>
    <definedName name="cbgl1">#REF!</definedName>
    <definedName name="cbgl2" localSheetId="12">#REF!</definedName>
    <definedName name="cbgl2" localSheetId="0">#REF!</definedName>
    <definedName name="cbgl2" localSheetId="1">#REF!</definedName>
    <definedName name="cbgl2" localSheetId="8">#REF!</definedName>
    <definedName name="cbgl2" localSheetId="11">#REF!</definedName>
    <definedName name="cbgl2" localSheetId="9">#REF!</definedName>
    <definedName name="cbgl2" localSheetId="18">#REF!</definedName>
    <definedName name="cbgl2" localSheetId="15">#REF!</definedName>
    <definedName name="cbgl2" localSheetId="7">#REF!</definedName>
    <definedName name="cbgl2">#REF!</definedName>
    <definedName name="cbgl3" localSheetId="12">#REF!</definedName>
    <definedName name="cbgl3" localSheetId="0">#REF!</definedName>
    <definedName name="cbgl3" localSheetId="1">#REF!</definedName>
    <definedName name="cbgl3" localSheetId="8">#REF!</definedName>
    <definedName name="cbgl3" localSheetId="11">#REF!</definedName>
    <definedName name="cbgl3" localSheetId="9">#REF!</definedName>
    <definedName name="cbgl3" localSheetId="18">#REF!</definedName>
    <definedName name="cbgl3" localSheetId="15">#REF!</definedName>
    <definedName name="cbgl3" localSheetId="7">#REF!</definedName>
    <definedName name="cbgl3">#REF!</definedName>
    <definedName name="cbgl4" localSheetId="12">#REF!</definedName>
    <definedName name="cbgl4" localSheetId="0">#REF!</definedName>
    <definedName name="cbgl4" localSheetId="1">#REF!</definedName>
    <definedName name="cbgl4" localSheetId="8">#REF!</definedName>
    <definedName name="cbgl4" localSheetId="11">#REF!</definedName>
    <definedName name="cbgl4" localSheetId="9">#REF!</definedName>
    <definedName name="cbgl4" localSheetId="18">#REF!</definedName>
    <definedName name="cbgl4" localSheetId="15">#REF!</definedName>
    <definedName name="cbgl4" localSheetId="7">#REF!</definedName>
    <definedName name="cbgl4">#REF!</definedName>
    <definedName name="cc" localSheetId="12">#REF!</definedName>
    <definedName name="cc" localSheetId="8">#REF!</definedName>
    <definedName name="cc" localSheetId="11">#REF!</definedName>
    <definedName name="cc" localSheetId="9">#REF!</definedName>
    <definedName name="cc" localSheetId="18">#REF!</definedName>
    <definedName name="cc" localSheetId="15">#REF!</definedName>
    <definedName name="cc" localSheetId="7">#REF!</definedName>
    <definedName name="cc">#REF!</definedName>
    <definedName name="CCC" localSheetId="12">#REF!</definedName>
    <definedName name="CCC" localSheetId="8">#REF!</definedName>
    <definedName name="CCC" localSheetId="11">#REF!</definedName>
    <definedName name="CCC" localSheetId="9">#REF!</definedName>
    <definedName name="CCC" localSheetId="18">#REF!</definedName>
    <definedName name="CCC" localSheetId="15">#REF!</definedName>
    <definedName name="CCC" localSheetId="7">#REF!</definedName>
    <definedName name="CCC">#REF!</definedName>
    <definedName name="cccc" localSheetId="12">#REF!</definedName>
    <definedName name="cccc" localSheetId="8">#REF!</definedName>
    <definedName name="cccc" localSheetId="11">#REF!</definedName>
    <definedName name="cccc" localSheetId="9">#REF!</definedName>
    <definedName name="cccc" localSheetId="18">#REF!</definedName>
    <definedName name="cccc" localSheetId="15">#REF!</definedName>
    <definedName name="cccc" localSheetId="7">#REF!</definedName>
    <definedName name="cccc">#REF!</definedName>
    <definedName name="ccccc" localSheetId="12" hidden="1">{#N/A,#N/A,FALSE,"mpph1";#N/A,#N/A,FALSE,"mpmseb";#N/A,#N/A,FALSE,"mpph2"}</definedName>
    <definedName name="ccccc" localSheetId="6" hidden="1">{#N/A,#N/A,FALSE,"mpph1";#N/A,#N/A,FALSE,"mpmseb";#N/A,#N/A,FALSE,"mpph2"}</definedName>
    <definedName name="ccccc" localSheetId="5" hidden="1">{#N/A,#N/A,FALSE,"mpph1";#N/A,#N/A,FALSE,"mpmseb";#N/A,#N/A,FALSE,"mpph2"}</definedName>
    <definedName name="ccccc" localSheetId="8" hidden="1">{#N/A,#N/A,FALSE,"mpph1";#N/A,#N/A,FALSE,"mpmseb";#N/A,#N/A,FALSE,"mpph2"}</definedName>
    <definedName name="ccccc" localSheetId="11" hidden="1">{#N/A,#N/A,FALSE,"mpph1";#N/A,#N/A,FALSE,"mpmseb";#N/A,#N/A,FALSE,"mpph2"}</definedName>
    <definedName name="ccccc" localSheetId="9" hidden="1">{#N/A,#N/A,FALSE,"mpph1";#N/A,#N/A,FALSE,"mpmseb";#N/A,#N/A,FALSE,"mpph2"}</definedName>
    <definedName name="ccccc" localSheetId="13" hidden="1">{#N/A,#N/A,FALSE,"mpph1";#N/A,#N/A,FALSE,"mpmseb";#N/A,#N/A,FALSE,"mpph2"}</definedName>
    <definedName name="ccccc" localSheetId="18" hidden="1">{#N/A,#N/A,FALSE,"mpph1";#N/A,#N/A,FALSE,"mpmseb";#N/A,#N/A,FALSE,"mpph2"}</definedName>
    <definedName name="ccccc" localSheetId="15" hidden="1">{#N/A,#N/A,FALSE,"mpph1";#N/A,#N/A,FALSE,"mpmseb";#N/A,#N/A,FALSE,"mpph2"}</definedName>
    <definedName name="ccccc" localSheetId="7" hidden="1">{#N/A,#N/A,FALSE,"mpph1";#N/A,#N/A,FALSE,"mpmseb";#N/A,#N/A,FALSE,"mpph2"}</definedName>
    <definedName name="ccccc" hidden="1">{#N/A,#N/A,FALSE,"mpph1";#N/A,#N/A,FALSE,"mpmseb";#N/A,#N/A,FALSE,"mpph2"}</definedName>
    <definedName name="cccccccc" localSheetId="12">#REF!</definedName>
    <definedName name="cccccccc" localSheetId="6">#REF!</definedName>
    <definedName name="cccccccc" localSheetId="5">#REF!</definedName>
    <definedName name="cccccccc" localSheetId="8">#REF!</definedName>
    <definedName name="cccccccc" localSheetId="11">#REF!</definedName>
    <definedName name="cccccccc" localSheetId="9">#REF!</definedName>
    <definedName name="cccccccc" localSheetId="18">#REF!</definedName>
    <definedName name="cccccccc" localSheetId="15">#REF!</definedName>
    <definedName name="cccccccc" localSheetId="7">#REF!</definedName>
    <definedName name="cccccccc">#REF!</definedName>
    <definedName name="CCCCCCCCCCCCCCCC" localSheetId="12">#REF!</definedName>
    <definedName name="CCCCCCCCCCCCCCCC" localSheetId="6">#REF!</definedName>
    <definedName name="CCCCCCCCCCCCCCCC" localSheetId="5">#REF!</definedName>
    <definedName name="CCCCCCCCCCCCCCCC" localSheetId="8">#REF!</definedName>
    <definedName name="CCCCCCCCCCCCCCCC" localSheetId="11">#REF!</definedName>
    <definedName name="CCCCCCCCCCCCCCCC" localSheetId="9">#REF!</definedName>
    <definedName name="CCCCCCCCCCCCCCCC" localSheetId="18">#REF!</definedName>
    <definedName name="CCCCCCCCCCCCCCCC" localSheetId="15">#REF!</definedName>
    <definedName name="CCCCCCCCCCCCCCCC" localSheetId="7">#REF!</definedName>
    <definedName name="CCCCCCCCCCCCCCCC">#REF!</definedName>
    <definedName name="ccolagl" localSheetId="12">#REF!</definedName>
    <definedName name="ccolagl" localSheetId="0">#REF!</definedName>
    <definedName name="ccolagl" localSheetId="1">#REF!</definedName>
    <definedName name="ccolagl" localSheetId="8">#REF!</definedName>
    <definedName name="ccolagl" localSheetId="11">#REF!</definedName>
    <definedName name="ccolagl" localSheetId="9">#REF!</definedName>
    <definedName name="ccolagl" localSheetId="18">#REF!</definedName>
    <definedName name="ccolagl" localSheetId="15">#REF!</definedName>
    <definedName name="ccolagl" localSheetId="7">#REF!</definedName>
    <definedName name="ccolagl">#REF!</definedName>
    <definedName name="ccv" localSheetId="12">#REF!</definedName>
    <definedName name="ccv" localSheetId="8">#REF!</definedName>
    <definedName name="ccv" localSheetId="11">#REF!</definedName>
    <definedName name="ccv" localSheetId="9">#REF!</definedName>
    <definedName name="ccv" localSheetId="18">#REF!</definedName>
    <definedName name="ccv" localSheetId="15">#REF!</definedName>
    <definedName name="ccv" localSheetId="7">#REF!</definedName>
    <definedName name="ccv">#REF!</definedName>
    <definedName name="cd"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cf_matl" localSheetId="12">#REF!</definedName>
    <definedName name="cdcf_matl" localSheetId="6">#REF!</definedName>
    <definedName name="cdcf_matl" localSheetId="5">#REF!</definedName>
    <definedName name="cdcf_matl" localSheetId="8">#REF!</definedName>
    <definedName name="cdcf_matl" localSheetId="11">#REF!</definedName>
    <definedName name="cdcf_matl" localSheetId="9">#REF!</definedName>
    <definedName name="cdcf_matl" localSheetId="18">#REF!</definedName>
    <definedName name="cdcf_matl" localSheetId="15">#REF!</definedName>
    <definedName name="cdcf_matl" localSheetId="7">#REF!</definedName>
    <definedName name="cdcf_matl">#REF!</definedName>
    <definedName name="cdu" localSheetId="12" hidden="1">{#N/A,#N/A,FALSE,"COVER.XLS";#N/A,#N/A,FALSE,"RACT1.XLS";#N/A,#N/A,FALSE,"RACT2.XLS";#N/A,#N/A,FALSE,"ECCMP";#N/A,#N/A,FALSE,"WELDER.XLS"}</definedName>
    <definedName name="cdu" localSheetId="6" hidden="1">{#N/A,#N/A,FALSE,"COVER.XLS";#N/A,#N/A,FALSE,"RACT1.XLS";#N/A,#N/A,FALSE,"RACT2.XLS";#N/A,#N/A,FALSE,"ECCMP";#N/A,#N/A,FALSE,"WELDER.XLS"}</definedName>
    <definedName name="cdu" localSheetId="5" hidden="1">{#N/A,#N/A,FALSE,"COVER.XLS";#N/A,#N/A,FALSE,"RACT1.XLS";#N/A,#N/A,FALSE,"RACT2.XLS";#N/A,#N/A,FALSE,"ECCMP";#N/A,#N/A,FALSE,"WELDER.XLS"}</definedName>
    <definedName name="cdu" localSheetId="8" hidden="1">{#N/A,#N/A,FALSE,"COVER.XLS";#N/A,#N/A,FALSE,"RACT1.XLS";#N/A,#N/A,FALSE,"RACT2.XLS";#N/A,#N/A,FALSE,"ECCMP";#N/A,#N/A,FALSE,"WELDER.XLS"}</definedName>
    <definedName name="cdu" localSheetId="11" hidden="1">{#N/A,#N/A,FALSE,"COVER.XLS";#N/A,#N/A,FALSE,"RACT1.XLS";#N/A,#N/A,FALSE,"RACT2.XLS";#N/A,#N/A,FALSE,"ECCMP";#N/A,#N/A,FALSE,"WELDER.XLS"}</definedName>
    <definedName name="cdu" localSheetId="9" hidden="1">{#N/A,#N/A,FALSE,"COVER.XLS";#N/A,#N/A,FALSE,"RACT1.XLS";#N/A,#N/A,FALSE,"RACT2.XLS";#N/A,#N/A,FALSE,"ECCMP";#N/A,#N/A,FALSE,"WELDER.XLS"}</definedName>
    <definedName name="cdu" localSheetId="13" hidden="1">{#N/A,#N/A,FALSE,"COVER.XLS";#N/A,#N/A,FALSE,"RACT1.XLS";#N/A,#N/A,FALSE,"RACT2.XLS";#N/A,#N/A,FALSE,"ECCMP";#N/A,#N/A,FALSE,"WELDER.XLS"}</definedName>
    <definedName name="cdu" localSheetId="18" hidden="1">{#N/A,#N/A,FALSE,"COVER.XLS";#N/A,#N/A,FALSE,"RACT1.XLS";#N/A,#N/A,FALSE,"RACT2.XLS";#N/A,#N/A,FALSE,"ECCMP";#N/A,#N/A,FALSE,"WELDER.XLS"}</definedName>
    <definedName name="cdu" localSheetId="15" hidden="1">{#N/A,#N/A,FALSE,"COVER.XLS";#N/A,#N/A,FALSE,"RACT1.XLS";#N/A,#N/A,FALSE,"RACT2.XLS";#N/A,#N/A,FALSE,"ECCMP";#N/A,#N/A,FALSE,"WELDER.XLS"}</definedName>
    <definedName name="cdu" localSheetId="7" hidden="1">{#N/A,#N/A,FALSE,"COVER.XLS";#N/A,#N/A,FALSE,"RACT1.XLS";#N/A,#N/A,FALSE,"RACT2.XLS";#N/A,#N/A,FALSE,"ECCMP";#N/A,#N/A,FALSE,"WELDER.XLS"}</definedName>
    <definedName name="cdu" hidden="1">{#N/A,#N/A,FALSE,"COVER.XLS";#N/A,#N/A,FALSE,"RACT1.XLS";#N/A,#N/A,FALSE,"RACT2.XLS";#N/A,#N/A,FALSE,"ECCMP";#N/A,#N/A,FALSE,"WELDER.XLS"}</definedName>
    <definedName name="cem" localSheetId="12">#REF!</definedName>
    <definedName name="cem" localSheetId="6">#REF!</definedName>
    <definedName name="cem" localSheetId="5">#REF!</definedName>
    <definedName name="cem" localSheetId="8">#REF!</definedName>
    <definedName name="cem" localSheetId="11">#REF!</definedName>
    <definedName name="cem" localSheetId="9">#REF!</definedName>
    <definedName name="cem" localSheetId="18">#REF!</definedName>
    <definedName name="cem" localSheetId="15">#REF!</definedName>
    <definedName name="cem" localSheetId="7">#REF!</definedName>
    <definedName name="cem">#REF!</definedName>
    <definedName name="Cement" localSheetId="12">#REF!</definedName>
    <definedName name="Cement" localSheetId="6">#REF!</definedName>
    <definedName name="Cement" localSheetId="5">#REF!</definedName>
    <definedName name="Cement" localSheetId="8">#REF!</definedName>
    <definedName name="Cement" localSheetId="11">#REF!</definedName>
    <definedName name="Cement" localSheetId="9">#REF!</definedName>
    <definedName name="Cement" localSheetId="18">#REF!</definedName>
    <definedName name="Cement" localSheetId="15">#REF!</definedName>
    <definedName name="Cement" localSheetId="7">#REF!</definedName>
    <definedName name="Cement">#REF!</definedName>
    <definedName name="cf" localSheetId="12">#REF!</definedName>
    <definedName name="cf" localSheetId="6">#REF!</definedName>
    <definedName name="cf" localSheetId="5">#REF!</definedName>
    <definedName name="cf" localSheetId="8">#REF!</definedName>
    <definedName name="cf" localSheetId="11">#REF!</definedName>
    <definedName name="cf" localSheetId="9">#REF!</definedName>
    <definedName name="cf" localSheetId="18">#REF!</definedName>
    <definedName name="cf" localSheetId="15">#REF!</definedName>
    <definedName name="cf" localSheetId="7">#REF!</definedName>
    <definedName name="cf">#REF!</definedName>
    <definedName name="cfb" localSheetId="12">#REF!</definedName>
    <definedName name="cfb" localSheetId="0">#REF!</definedName>
    <definedName name="cfb" localSheetId="1">#REF!</definedName>
    <definedName name="cfb" localSheetId="8">#REF!</definedName>
    <definedName name="cfb" localSheetId="11">#REF!</definedName>
    <definedName name="cfb" localSheetId="9">#REF!</definedName>
    <definedName name="cfb" localSheetId="18">#REF!</definedName>
    <definedName name="cfb" localSheetId="15">#REF!</definedName>
    <definedName name="cfb" localSheetId="7">#REF!</definedName>
    <definedName name="cfb">#REF!</definedName>
    <definedName name="cfbeams" localSheetId="12">#REF!</definedName>
    <definedName name="cfbeams" localSheetId="0">#REF!</definedName>
    <definedName name="cfbeams" localSheetId="1">#REF!</definedName>
    <definedName name="cfbeams" localSheetId="8">#REF!</definedName>
    <definedName name="cfbeams" localSheetId="11">#REF!</definedName>
    <definedName name="cfbeams" localSheetId="9">#REF!</definedName>
    <definedName name="cfbeams" localSheetId="18">#REF!</definedName>
    <definedName name="cfbeams" localSheetId="15">#REF!</definedName>
    <definedName name="cfbeams" localSheetId="7">#REF!</definedName>
    <definedName name="cfbeams">#REF!</definedName>
    <definedName name="cflo" localSheetId="12" hidden="1">{"CASH FLOW",#N/A,FALSE,"A"}</definedName>
    <definedName name="cflo" localSheetId="6" hidden="1">{"CASH FLOW",#N/A,FALSE,"A"}</definedName>
    <definedName name="cflo" localSheetId="5" hidden="1">{"CASH FLOW",#N/A,FALSE,"A"}</definedName>
    <definedName name="cflo" localSheetId="8" hidden="1">{"CASH FLOW",#N/A,FALSE,"A"}</definedName>
    <definedName name="cflo" localSheetId="11" hidden="1">{"CASH FLOW",#N/A,FALSE,"A"}</definedName>
    <definedName name="cflo" localSheetId="9" hidden="1">{"CASH FLOW",#N/A,FALSE,"A"}</definedName>
    <definedName name="cflo" localSheetId="13" hidden="1">{"CASH FLOW",#N/A,FALSE,"A"}</definedName>
    <definedName name="cflo" localSheetId="18" hidden="1">{"CASH FLOW",#N/A,FALSE,"A"}</definedName>
    <definedName name="cflo" localSheetId="15" hidden="1">{"CASH FLOW",#N/A,FALSE,"A"}</definedName>
    <definedName name="cflo" localSheetId="7" hidden="1">{"CASH FLOW",#N/A,FALSE,"A"}</definedName>
    <definedName name="cflo" hidden="1">{"CASH FLOW",#N/A,FALSE,"A"}</definedName>
    <definedName name="cfsalb" localSheetId="12">#REF!</definedName>
    <definedName name="cfsalb" localSheetId="0">#REF!</definedName>
    <definedName name="cfsalb" localSheetId="1">#REF!</definedName>
    <definedName name="cfsalb" localSheetId="6">#REF!</definedName>
    <definedName name="cfsalb" localSheetId="5">#REF!</definedName>
    <definedName name="cfsalb" localSheetId="8">#REF!</definedName>
    <definedName name="cfsalb" localSheetId="11">#REF!</definedName>
    <definedName name="cfsalb" localSheetId="9">#REF!</definedName>
    <definedName name="cfsalb" localSheetId="18">#REF!</definedName>
    <definedName name="cfsalb" localSheetId="15">#REF!</definedName>
    <definedName name="cfsalb" localSheetId="7">#REF!</definedName>
    <definedName name="cfsalb">#REF!</definedName>
    <definedName name="cfslab" localSheetId="12">#REF!</definedName>
    <definedName name="cfslab" localSheetId="0">#REF!</definedName>
    <definedName name="cfslab" localSheetId="1">#REF!</definedName>
    <definedName name="cfslab" localSheetId="8">#REF!</definedName>
    <definedName name="cfslab" localSheetId="11">#REF!</definedName>
    <definedName name="cfslab" localSheetId="9">#REF!</definedName>
    <definedName name="cfslab" localSheetId="18">#REF!</definedName>
    <definedName name="cfslab" localSheetId="15">#REF!</definedName>
    <definedName name="cfslab" localSheetId="7">#REF!</definedName>
    <definedName name="cfslab">#REF!</definedName>
    <definedName name="CFVDF" localSheetId="12">#REF!</definedName>
    <definedName name="CFVDF" localSheetId="8">#REF!</definedName>
    <definedName name="CFVDF" localSheetId="11">#REF!</definedName>
    <definedName name="CFVDF" localSheetId="9">#REF!</definedName>
    <definedName name="CFVDF" localSheetId="18">#REF!</definedName>
    <definedName name="CFVDF" localSheetId="15">#REF!</definedName>
    <definedName name="CFVDF" localSheetId="7">#REF!</definedName>
    <definedName name="CFVDF">#REF!</definedName>
    <definedName name="ChangeBy" localSheetId="12">#REF!</definedName>
    <definedName name="ChangeBy" localSheetId="0">#REF!</definedName>
    <definedName name="ChangeBy" localSheetId="1">#REF!</definedName>
    <definedName name="ChangeBy" localSheetId="8">#REF!</definedName>
    <definedName name="ChangeBy" localSheetId="11">#REF!</definedName>
    <definedName name="ChangeBy" localSheetId="9">#REF!</definedName>
    <definedName name="ChangeBy" localSheetId="18">#REF!</definedName>
    <definedName name="ChangeBy" localSheetId="15">#REF!</definedName>
    <definedName name="ChangeBy" localSheetId="7">#REF!</definedName>
    <definedName name="ChangeBy">#REF!</definedName>
    <definedName name="ChangeDate" localSheetId="12">#REF!</definedName>
    <definedName name="ChangeDate" localSheetId="0">#REF!</definedName>
    <definedName name="ChangeDate" localSheetId="1">#REF!</definedName>
    <definedName name="ChangeDate" localSheetId="8">#REF!</definedName>
    <definedName name="ChangeDate" localSheetId="11">#REF!</definedName>
    <definedName name="ChangeDate" localSheetId="9">#REF!</definedName>
    <definedName name="ChangeDate" localSheetId="18">#REF!</definedName>
    <definedName name="ChangeDate" localSheetId="15">#REF!</definedName>
    <definedName name="ChangeDate" localSheetId="7">#REF!</definedName>
    <definedName name="ChangeDate">#REF!</definedName>
    <definedName name="Channel_Shoulders" localSheetId="12">#REF!</definedName>
    <definedName name="Channel_Shoulders" localSheetId="8">#REF!</definedName>
    <definedName name="Channel_Shoulders" localSheetId="11">#REF!</definedName>
    <definedName name="Channel_Shoulders" localSheetId="9">#REF!</definedName>
    <definedName name="Channel_Shoulders" localSheetId="18">#REF!</definedName>
    <definedName name="Channel_Shoulders" localSheetId="15">#REF!</definedName>
    <definedName name="Channel_Shoulders" localSheetId="7">#REF!</definedName>
    <definedName name="Channel_Shoulders">#REF!</definedName>
    <definedName name="Charges_of_road_roller" localSheetId="12">#REF!</definedName>
    <definedName name="Charges_of_road_roller" localSheetId="8">#REF!</definedName>
    <definedName name="Charges_of_road_roller" localSheetId="11">#REF!</definedName>
    <definedName name="Charges_of_road_roller" localSheetId="9">#REF!</definedName>
    <definedName name="Charges_of_road_roller" localSheetId="18">#REF!</definedName>
    <definedName name="Charges_of_road_roller" localSheetId="15">#REF!</definedName>
    <definedName name="Charges_of_road_roller" localSheetId="7">#REF!</definedName>
    <definedName name="Charges_of_road_roller">#REF!</definedName>
    <definedName name="check" localSheetId="12">#REF!</definedName>
    <definedName name="check" localSheetId="0">#REF!</definedName>
    <definedName name="check" localSheetId="1">#REF!</definedName>
    <definedName name="check" localSheetId="8">#REF!</definedName>
    <definedName name="check" localSheetId="11">#REF!</definedName>
    <definedName name="check" localSheetId="9">#REF!</definedName>
    <definedName name="check" localSheetId="18">#REF!</definedName>
    <definedName name="check" localSheetId="15">#REF!</definedName>
    <definedName name="check" localSheetId="7">#REF!</definedName>
    <definedName name="check">#REF!</definedName>
    <definedName name="CHECK12" localSheetId="12">#REF!</definedName>
    <definedName name="CHECK12" localSheetId="0">#REF!</definedName>
    <definedName name="CHECK12" localSheetId="1">#REF!</definedName>
    <definedName name="CHECK12" localSheetId="8">#REF!</definedName>
    <definedName name="CHECK12" localSheetId="11">#REF!</definedName>
    <definedName name="CHECK12" localSheetId="9">#REF!</definedName>
    <definedName name="CHECK12" localSheetId="18">#REF!</definedName>
    <definedName name="CHECK12" localSheetId="15">#REF!</definedName>
    <definedName name="CHECK12" localSheetId="7">#REF!</definedName>
    <definedName name="CHECK12">#REF!</definedName>
    <definedName name="checked" localSheetId="12">#REF!</definedName>
    <definedName name="checked" localSheetId="8">#REF!</definedName>
    <definedName name="checked" localSheetId="11">#REF!</definedName>
    <definedName name="checked" localSheetId="9">#REF!</definedName>
    <definedName name="checked" localSheetId="18">#REF!</definedName>
    <definedName name="checked" localSheetId="15">#REF!</definedName>
    <definedName name="checked" localSheetId="7">#REF!</definedName>
    <definedName name="checked">#REF!</definedName>
    <definedName name="CHI" localSheetId="12">#REF!</definedName>
    <definedName name="CHI" localSheetId="8">#REF!</definedName>
    <definedName name="CHI" localSheetId="11">#REF!</definedName>
    <definedName name="CHI" localSheetId="9">#REF!</definedName>
    <definedName name="CHI" localSheetId="18">#REF!</definedName>
    <definedName name="CHI" localSheetId="15">#REF!</definedName>
    <definedName name="CHI" localSheetId="7">#REF!</definedName>
    <definedName name="CHI">#REF!</definedName>
    <definedName name="chiller" localSheetId="12">#REF!</definedName>
    <definedName name="chiller" localSheetId="8">#REF!</definedName>
    <definedName name="chiller" localSheetId="11">#REF!</definedName>
    <definedName name="chiller" localSheetId="9">#REF!</definedName>
    <definedName name="chiller" localSheetId="18">#REF!</definedName>
    <definedName name="chiller" localSheetId="15">#REF!</definedName>
    <definedName name="chiller" localSheetId="7">#REF!</definedName>
    <definedName name="chiller">#REF!</definedName>
    <definedName name="CHOW" localSheetId="12">#REF!</definedName>
    <definedName name="CHOW" localSheetId="8">#REF!</definedName>
    <definedName name="CHOW" localSheetId="11">#REF!</definedName>
    <definedName name="CHOW" localSheetId="9">#REF!</definedName>
    <definedName name="CHOW" localSheetId="18">#REF!</definedName>
    <definedName name="CHOW" localSheetId="15">#REF!</definedName>
    <definedName name="CHOW" localSheetId="7">#REF!</definedName>
    <definedName name="CHOW">#REF!</definedName>
    <definedName name="CI" localSheetId="12">#REF!</definedName>
    <definedName name="CI" localSheetId="8">#REF!</definedName>
    <definedName name="CI" localSheetId="11">#REF!</definedName>
    <definedName name="CI" localSheetId="9">#REF!</definedName>
    <definedName name="CI" localSheetId="18">#REF!</definedName>
    <definedName name="CI" localSheetId="15">#REF!</definedName>
    <definedName name="CI" localSheetId="7">#REF!</definedName>
    <definedName name="CI">#REF!</definedName>
    <definedName name="cict_labor" localSheetId="12">#REF!</definedName>
    <definedName name="cict_labor" localSheetId="8">#REF!</definedName>
    <definedName name="cict_labor" localSheetId="11">#REF!</definedName>
    <definedName name="cict_labor" localSheetId="9">#REF!</definedName>
    <definedName name="cict_labor" localSheetId="18">#REF!</definedName>
    <definedName name="cict_labor" localSheetId="15">#REF!</definedName>
    <definedName name="cict_labor" localSheetId="7">#REF!</definedName>
    <definedName name="cict_labor">#REF!</definedName>
    <definedName name="cict_matl" localSheetId="12">#REF!</definedName>
    <definedName name="cict_matl" localSheetId="8">#REF!</definedName>
    <definedName name="cict_matl" localSheetId="11">#REF!</definedName>
    <definedName name="cict_matl" localSheetId="9">#REF!</definedName>
    <definedName name="cict_matl" localSheetId="18">#REF!</definedName>
    <definedName name="cict_matl" localSheetId="15">#REF!</definedName>
    <definedName name="cict_matl" localSheetId="7">#REF!</definedName>
    <definedName name="cict_matl">#REF!</definedName>
    <definedName name="City">#NAME?</definedName>
    <definedName name="CIVIL_WORKS" localSheetId="12">#REF!</definedName>
    <definedName name="CIVIL_WORKS" localSheetId="6">#REF!</definedName>
    <definedName name="CIVIL_WORKS" localSheetId="5">#REF!</definedName>
    <definedName name="CIVIL_WORKS" localSheetId="8">#REF!</definedName>
    <definedName name="CIVIL_WORKS" localSheetId="11">#REF!</definedName>
    <definedName name="CIVIL_WORKS" localSheetId="9">#REF!</definedName>
    <definedName name="CIVIL_WORKS" localSheetId="18">#REF!</definedName>
    <definedName name="CIVIL_WORKS" localSheetId="15">#REF!</definedName>
    <definedName name="CIVIL_WORKS" localSheetId="7">#REF!</definedName>
    <definedName name="CIVIL_WORKS">#REF!</definedName>
    <definedName name="ckeck1" localSheetId="12">#REF!</definedName>
    <definedName name="ckeck1" localSheetId="0">#REF!</definedName>
    <definedName name="ckeck1" localSheetId="1">#REF!</definedName>
    <definedName name="ckeck1" localSheetId="6">#REF!</definedName>
    <definedName name="ckeck1" localSheetId="5">#REF!</definedName>
    <definedName name="ckeck1" localSheetId="8">#REF!</definedName>
    <definedName name="ckeck1" localSheetId="11">#REF!</definedName>
    <definedName name="ckeck1" localSheetId="9">#REF!</definedName>
    <definedName name="ckeck1" localSheetId="18">#REF!</definedName>
    <definedName name="ckeck1" localSheetId="15">#REF!</definedName>
    <definedName name="ckeck1" localSheetId="7">#REF!</definedName>
    <definedName name="ckeck1">#REF!</definedName>
    <definedName name="CKECK112" localSheetId="12">#REF!</definedName>
    <definedName name="CKECK112" localSheetId="0">#REF!</definedName>
    <definedName name="CKECK112" localSheetId="1">#REF!</definedName>
    <definedName name="CKECK112" localSheetId="8">#REF!</definedName>
    <definedName name="CKECK112" localSheetId="11">#REF!</definedName>
    <definedName name="CKECK112" localSheetId="9">#REF!</definedName>
    <definedName name="CKECK112" localSheetId="18">#REF!</definedName>
    <definedName name="CKECK112" localSheetId="15">#REF!</definedName>
    <definedName name="CKECK112" localSheetId="7">#REF!</definedName>
    <definedName name="CKECK112">#REF!</definedName>
    <definedName name="ClientAddress1" localSheetId="12">#REF!</definedName>
    <definedName name="ClientAddress1" localSheetId="8">#REF!</definedName>
    <definedName name="ClientAddress1" localSheetId="11">#REF!</definedName>
    <definedName name="ClientAddress1" localSheetId="9">#REF!</definedName>
    <definedName name="ClientAddress1" localSheetId="18">#REF!</definedName>
    <definedName name="ClientAddress1" localSheetId="15">#REF!</definedName>
    <definedName name="ClientAddress1" localSheetId="7">#REF!</definedName>
    <definedName name="ClientAddress1">#REF!</definedName>
    <definedName name="ClientAddress2" localSheetId="12">#REF!</definedName>
    <definedName name="ClientAddress2" localSheetId="8">#REF!</definedName>
    <definedName name="ClientAddress2" localSheetId="11">#REF!</definedName>
    <definedName name="ClientAddress2" localSheetId="9">#REF!</definedName>
    <definedName name="ClientAddress2" localSheetId="18">#REF!</definedName>
    <definedName name="ClientAddress2" localSheetId="15">#REF!</definedName>
    <definedName name="ClientAddress2" localSheetId="7">#REF!</definedName>
    <definedName name="ClientAddress2">#REF!</definedName>
    <definedName name="ClientCity" localSheetId="12">#REF!</definedName>
    <definedName name="ClientCity" localSheetId="8">#REF!</definedName>
    <definedName name="ClientCity" localSheetId="11">#REF!</definedName>
    <definedName name="ClientCity" localSheetId="9">#REF!</definedName>
    <definedName name="ClientCity" localSheetId="18">#REF!</definedName>
    <definedName name="ClientCity" localSheetId="15">#REF!</definedName>
    <definedName name="ClientCity" localSheetId="7">#REF!</definedName>
    <definedName name="ClientCity">#REF!</definedName>
    <definedName name="ClientCountry" localSheetId="12">#REF!</definedName>
    <definedName name="ClientCountry" localSheetId="8">#REF!</definedName>
    <definedName name="ClientCountry" localSheetId="11">#REF!</definedName>
    <definedName name="ClientCountry" localSheetId="9">#REF!</definedName>
    <definedName name="ClientCountry" localSheetId="18">#REF!</definedName>
    <definedName name="ClientCountry" localSheetId="15">#REF!</definedName>
    <definedName name="ClientCountry" localSheetId="7">#REF!</definedName>
    <definedName name="ClientCountry">#REF!</definedName>
    <definedName name="ClientEmail" localSheetId="12">#REF!</definedName>
    <definedName name="ClientEmail" localSheetId="8">#REF!</definedName>
    <definedName name="ClientEmail" localSheetId="11">#REF!</definedName>
    <definedName name="ClientEmail" localSheetId="9">#REF!</definedName>
    <definedName name="ClientEmail" localSheetId="18">#REF!</definedName>
    <definedName name="ClientEmail" localSheetId="15">#REF!</definedName>
    <definedName name="ClientEmail" localSheetId="7">#REF!</definedName>
    <definedName name="ClientEmail">#REF!</definedName>
    <definedName name="ClientFax" localSheetId="12">#REF!</definedName>
    <definedName name="ClientFax" localSheetId="8">#REF!</definedName>
    <definedName name="ClientFax" localSheetId="11">#REF!</definedName>
    <definedName name="ClientFax" localSheetId="9">#REF!</definedName>
    <definedName name="ClientFax" localSheetId="18">#REF!</definedName>
    <definedName name="ClientFax" localSheetId="15">#REF!</definedName>
    <definedName name="ClientFax" localSheetId="7">#REF!</definedName>
    <definedName name="ClientFax">#REF!</definedName>
    <definedName name="ClientPhone" localSheetId="12">#REF!</definedName>
    <definedName name="ClientPhone" localSheetId="8">#REF!</definedName>
    <definedName name="ClientPhone" localSheetId="11">#REF!</definedName>
    <definedName name="ClientPhone" localSheetId="9">#REF!</definedName>
    <definedName name="ClientPhone" localSheetId="18">#REF!</definedName>
    <definedName name="ClientPhone" localSheetId="15">#REF!</definedName>
    <definedName name="ClientPhone" localSheetId="7">#REF!</definedName>
    <definedName name="ClientPhone">#REF!</definedName>
    <definedName name="ClientState" localSheetId="12">#REF!</definedName>
    <definedName name="ClientState" localSheetId="8">#REF!</definedName>
    <definedName name="ClientState" localSheetId="11">#REF!</definedName>
    <definedName name="ClientState" localSheetId="9">#REF!</definedName>
    <definedName name="ClientState" localSheetId="18">#REF!</definedName>
    <definedName name="ClientState" localSheetId="15">#REF!</definedName>
    <definedName name="ClientState" localSheetId="7">#REF!</definedName>
    <definedName name="ClientState">#REF!</definedName>
    <definedName name="ClientZip" localSheetId="12">#REF!</definedName>
    <definedName name="ClientZip" localSheetId="8">#REF!</definedName>
    <definedName name="ClientZip" localSheetId="11">#REF!</definedName>
    <definedName name="ClientZip" localSheetId="9">#REF!</definedName>
    <definedName name="ClientZip" localSheetId="18">#REF!</definedName>
    <definedName name="ClientZip" localSheetId="15">#REF!</definedName>
    <definedName name="ClientZip" localSheetId="7">#REF!</definedName>
    <definedName name="ClientZip">#REF!</definedName>
    <definedName name="clintels" localSheetId="12">#REF!</definedName>
    <definedName name="clintels" localSheetId="0">#REF!</definedName>
    <definedName name="clintels" localSheetId="1">#REF!</definedName>
    <definedName name="clintels" localSheetId="8">#REF!</definedName>
    <definedName name="clintels" localSheetId="11">#REF!</definedName>
    <definedName name="clintels" localSheetId="9">#REF!</definedName>
    <definedName name="clintels" localSheetId="18">#REF!</definedName>
    <definedName name="clintels" localSheetId="15">#REF!</definedName>
    <definedName name="clintels" localSheetId="7">#REF!</definedName>
    <definedName name="clintels">#REF!</definedName>
    <definedName name="CM_Ratio" localSheetId="12">#REF!</definedName>
    <definedName name="CM_Ratio" localSheetId="8">#REF!</definedName>
    <definedName name="CM_Ratio" localSheetId="11">#REF!</definedName>
    <definedName name="CM_Ratio" localSheetId="9">#REF!</definedName>
    <definedName name="CM_Ratio" localSheetId="18">#REF!</definedName>
    <definedName name="CM_Ratio" localSheetId="15">#REF!</definedName>
    <definedName name="CM_Ratio" localSheetId="7">#REF!</definedName>
    <definedName name="CM_Ratio">#REF!</definedName>
    <definedName name="co" comment="T12 IS USED IN MID MAIN LINKS" localSheetId="12">#REF!</definedName>
    <definedName name="co" comment="T12 IS USED IN MID MAIN LINKS" localSheetId="8">#REF!</definedName>
    <definedName name="co" comment="T12 IS USED IN MID MAIN LINKS" localSheetId="11">#REF!</definedName>
    <definedName name="co" comment="T12 IS USED IN MID MAIN LINKS" localSheetId="9">#REF!</definedName>
    <definedName name="co" comment="T12 IS USED IN MID MAIN LINKS" localSheetId="18">#REF!</definedName>
    <definedName name="co" comment="T12 IS USED IN MID MAIN LINKS" localSheetId="15">#REF!</definedName>
    <definedName name="co" comment="T12 IS USED IN MID MAIN LINKS" localSheetId="7">#REF!</definedName>
    <definedName name="co" comment="T12 IS USED IN MID MAIN LINKS">#REF!</definedName>
    <definedName name="coalsp" localSheetId="12">#REF!</definedName>
    <definedName name="coalsp" localSheetId="8">#REF!</definedName>
    <definedName name="coalsp" localSheetId="11">#REF!</definedName>
    <definedName name="coalsp" localSheetId="9">#REF!</definedName>
    <definedName name="coalsp" localSheetId="18">#REF!</definedName>
    <definedName name="coalsp" localSheetId="15">#REF!</definedName>
    <definedName name="coalsp" localSheetId="7">#REF!</definedName>
    <definedName name="coalsp">#REF!</definedName>
    <definedName name="Coarse_Sand" localSheetId="12">#REF!</definedName>
    <definedName name="Coarse_Sand" localSheetId="8">#REF!</definedName>
    <definedName name="Coarse_Sand" localSheetId="11">#REF!</definedName>
    <definedName name="Coarse_Sand" localSheetId="9">#REF!</definedName>
    <definedName name="Coarse_Sand" localSheetId="18">#REF!</definedName>
    <definedName name="Coarse_Sand" localSheetId="15">#REF!</definedName>
    <definedName name="Coarse_Sand" localSheetId="7">#REF!</definedName>
    <definedName name="Coarse_Sand">#REF!</definedName>
    <definedName name="cobo" localSheetId="12">#REF!</definedName>
    <definedName name="cobo" localSheetId="8">#REF!</definedName>
    <definedName name="cobo" localSheetId="11">#REF!</definedName>
    <definedName name="cobo" localSheetId="9">#REF!</definedName>
    <definedName name="cobo" localSheetId="18">#REF!</definedName>
    <definedName name="cobo" localSheetId="15">#REF!</definedName>
    <definedName name="cobo" localSheetId="7">#REF!</definedName>
    <definedName name="cobo">#REF!</definedName>
    <definedName name="CODE" localSheetId="12">#REF!</definedName>
    <definedName name="CODE" localSheetId="8">#REF!</definedName>
    <definedName name="CODE" localSheetId="11">#REF!</definedName>
    <definedName name="CODE" localSheetId="9">#REF!</definedName>
    <definedName name="CODE" localSheetId="18">#REF!</definedName>
    <definedName name="CODE" localSheetId="15">#REF!</definedName>
    <definedName name="CODE" localSheetId="7">#REF!</definedName>
    <definedName name="CODE">#REF!</definedName>
    <definedName name="coimbatore" localSheetId="12">#REF!</definedName>
    <definedName name="coimbatore" localSheetId="0">#REF!</definedName>
    <definedName name="coimbatore" localSheetId="1">#REF!</definedName>
    <definedName name="coimbatore" localSheetId="8">#REF!</definedName>
    <definedName name="coimbatore" localSheetId="11">#REF!</definedName>
    <definedName name="coimbatore" localSheetId="9">#REF!</definedName>
    <definedName name="coimbatore" localSheetId="18">#REF!</definedName>
    <definedName name="coimbatore" localSheetId="15">#REF!</definedName>
    <definedName name="coimbatore" localSheetId="7">#REF!</definedName>
    <definedName name="coimbatore">#REF!</definedName>
    <definedName name="col" localSheetId="12">#REF!</definedName>
    <definedName name="col" localSheetId="8">#REF!</definedName>
    <definedName name="col" localSheetId="11">#REF!</definedName>
    <definedName name="col" localSheetId="9">#REF!</definedName>
    <definedName name="col" localSheetId="18">#REF!</definedName>
    <definedName name="col" localSheetId="15">#REF!</definedName>
    <definedName name="col" localSheetId="7">#REF!</definedName>
    <definedName name="col">#REF!</definedName>
    <definedName name="col___0" localSheetId="12">#REF!</definedName>
    <definedName name="col___0" localSheetId="8">#REF!</definedName>
    <definedName name="col___0" localSheetId="11">#REF!</definedName>
    <definedName name="col___0" localSheetId="9">#REF!</definedName>
    <definedName name="col___0" localSheetId="18">#REF!</definedName>
    <definedName name="col___0" localSheetId="15">#REF!</definedName>
    <definedName name="col___0" localSheetId="7">#REF!</definedName>
    <definedName name="col___0">#REF!</definedName>
    <definedName name="col___11" localSheetId="12">#REF!</definedName>
    <definedName name="col___11" localSheetId="8">#REF!</definedName>
    <definedName name="col___11" localSheetId="11">#REF!</definedName>
    <definedName name="col___11" localSheetId="9">#REF!</definedName>
    <definedName name="col___11" localSheetId="18">#REF!</definedName>
    <definedName name="col___11" localSheetId="15">#REF!</definedName>
    <definedName name="col___11" localSheetId="7">#REF!</definedName>
    <definedName name="col___11">#REF!</definedName>
    <definedName name="col___12" localSheetId="12">#REF!</definedName>
    <definedName name="col___12" localSheetId="8">#REF!</definedName>
    <definedName name="col___12" localSheetId="11">#REF!</definedName>
    <definedName name="col___12" localSheetId="9">#REF!</definedName>
    <definedName name="col___12" localSheetId="18">#REF!</definedName>
    <definedName name="col___12" localSheetId="15">#REF!</definedName>
    <definedName name="col___12" localSheetId="7">#REF!</definedName>
    <definedName name="col___12">#REF!</definedName>
    <definedName name="ColBBS" comment="T12 IS USED IN MID MAIN LINKS" localSheetId="12">#REF!</definedName>
    <definedName name="ColBBS" comment="T12 IS USED IN MID MAIN LINKS" localSheetId="8">#REF!</definedName>
    <definedName name="ColBBS" comment="T12 IS USED IN MID MAIN LINKS" localSheetId="11">#REF!</definedName>
    <definedName name="ColBBS" comment="T12 IS USED IN MID MAIN LINKS" localSheetId="9">#REF!</definedName>
    <definedName name="ColBBS" comment="T12 IS USED IN MID MAIN LINKS" localSheetId="18">#REF!</definedName>
    <definedName name="ColBBS" comment="T12 IS USED IN MID MAIN LINKS" localSheetId="15">#REF!</definedName>
    <definedName name="ColBBS" comment="T12 IS USED IN MID MAIN LINKS" localSheetId="7">#REF!</definedName>
    <definedName name="ColBBS" comment="T12 IS USED IN MID MAIN LINKS">#REF!</definedName>
    <definedName name="Colbgl" localSheetId="12">#REF!</definedName>
    <definedName name="Colbgl" localSheetId="0">#REF!</definedName>
    <definedName name="Colbgl" localSheetId="1">#REF!</definedName>
    <definedName name="Colbgl" localSheetId="8">#REF!</definedName>
    <definedName name="Colbgl" localSheetId="11">#REF!</definedName>
    <definedName name="Colbgl" localSheetId="9">#REF!</definedName>
    <definedName name="Colbgl" localSheetId="18">#REF!</definedName>
    <definedName name="Colbgl" localSheetId="15">#REF!</definedName>
    <definedName name="Colbgl" localSheetId="7">#REF!</definedName>
    <definedName name="Colbgl">#REF!</definedName>
    <definedName name="colbgl2" localSheetId="12">#REF!</definedName>
    <definedName name="colbgl2" localSheetId="0">#REF!</definedName>
    <definedName name="colbgl2" localSheetId="1">#REF!</definedName>
    <definedName name="colbgl2" localSheetId="8">#REF!</definedName>
    <definedName name="colbgl2" localSheetId="11">#REF!</definedName>
    <definedName name="colbgl2" localSheetId="9">#REF!</definedName>
    <definedName name="colbgl2" localSheetId="18">#REF!</definedName>
    <definedName name="colbgl2" localSheetId="15">#REF!</definedName>
    <definedName name="colbgl2" localSheetId="7">#REF!</definedName>
    <definedName name="colbgl2">#REF!</definedName>
    <definedName name="Cold_twisted_steel_bars___TMT" localSheetId="12">#REF!</definedName>
    <definedName name="Cold_twisted_steel_bars___TMT" localSheetId="8">#REF!</definedName>
    <definedName name="Cold_twisted_steel_bars___TMT" localSheetId="11">#REF!</definedName>
    <definedName name="Cold_twisted_steel_bars___TMT" localSheetId="9">#REF!</definedName>
    <definedName name="Cold_twisted_steel_bars___TMT" localSheetId="18">#REF!</definedName>
    <definedName name="Cold_twisted_steel_bars___TMT" localSheetId="15">#REF!</definedName>
    <definedName name="Cold_twisted_steel_bars___TMT" localSheetId="7">#REF!</definedName>
    <definedName name="Cold_twisted_steel_bars___TMT">#REF!</definedName>
    <definedName name="COLSK10" localSheetId="12">#REF!</definedName>
    <definedName name="COLSK10" localSheetId="0">#REF!</definedName>
    <definedName name="COLSK10" localSheetId="1">#REF!</definedName>
    <definedName name="COLSK10" localSheetId="8">#REF!</definedName>
    <definedName name="COLSK10" localSheetId="11">#REF!</definedName>
    <definedName name="COLSK10" localSheetId="9">#REF!</definedName>
    <definedName name="COLSK10" localSheetId="18">#REF!</definedName>
    <definedName name="COLSK10" localSheetId="15">#REF!</definedName>
    <definedName name="COLSK10" localSheetId="7">#REF!</definedName>
    <definedName name="COLSK10">#REF!</definedName>
    <definedName name="COLSK11" localSheetId="12">#REF!</definedName>
    <definedName name="COLSK11" localSheetId="0">#REF!</definedName>
    <definedName name="COLSK11" localSheetId="1">#REF!</definedName>
    <definedName name="COLSK11" localSheetId="8">#REF!</definedName>
    <definedName name="COLSK11" localSheetId="11">#REF!</definedName>
    <definedName name="COLSK11" localSheetId="9">#REF!</definedName>
    <definedName name="COLSK11" localSheetId="18">#REF!</definedName>
    <definedName name="COLSK11" localSheetId="15">#REF!</definedName>
    <definedName name="COLSK11" localSheetId="7">#REF!</definedName>
    <definedName name="COLSK11">#REF!</definedName>
    <definedName name="COLSK16" localSheetId="12">#REF!</definedName>
    <definedName name="COLSK16" localSheetId="0">#REF!</definedName>
    <definedName name="COLSK16" localSheetId="1">#REF!</definedName>
    <definedName name="COLSK16" localSheetId="8">#REF!</definedName>
    <definedName name="COLSK16" localSheetId="11">#REF!</definedName>
    <definedName name="COLSK16" localSheetId="9">#REF!</definedName>
    <definedName name="COLSK16" localSheetId="18">#REF!</definedName>
    <definedName name="COLSK16" localSheetId="15">#REF!</definedName>
    <definedName name="COLSK16" localSheetId="7">#REF!</definedName>
    <definedName name="COLSK16">#REF!</definedName>
    <definedName name="Column_Clamp" localSheetId="12">#REF!</definedName>
    <definedName name="Column_Clamp" localSheetId="8">#REF!</definedName>
    <definedName name="Column_Clamp" localSheetId="11">#REF!</definedName>
    <definedName name="Column_Clamp" localSheetId="9">#REF!</definedName>
    <definedName name="Column_Clamp" localSheetId="18">#REF!</definedName>
    <definedName name="Column_Clamp" localSheetId="15">#REF!</definedName>
    <definedName name="Column_Clamp" localSheetId="7">#REF!</definedName>
    <definedName name="Column_Clamp">#REF!</definedName>
    <definedName name="Columns" localSheetId="12">#REF!</definedName>
    <definedName name="Columns" localSheetId="0">#REF!</definedName>
    <definedName name="Columns" localSheetId="1">#REF!</definedName>
    <definedName name="Columns" localSheetId="8">#REF!</definedName>
    <definedName name="Columns" localSheetId="11">#REF!</definedName>
    <definedName name="Columns" localSheetId="9">#REF!</definedName>
    <definedName name="Columns" localSheetId="18">#REF!</definedName>
    <definedName name="Columns" localSheetId="15">#REF!</definedName>
    <definedName name="Columns" localSheetId="7">#REF!</definedName>
    <definedName name="Columns">#REF!</definedName>
    <definedName name="com" localSheetId="12" hidden="1">{#N/A,#N/A,FALSE,"mpph1";#N/A,#N/A,FALSE,"mpmseb";#N/A,#N/A,FALSE,"mpph2"}</definedName>
    <definedName name="com" localSheetId="6" hidden="1">{#N/A,#N/A,FALSE,"mpph1";#N/A,#N/A,FALSE,"mpmseb";#N/A,#N/A,FALSE,"mpph2"}</definedName>
    <definedName name="com" localSheetId="5" hidden="1">{#N/A,#N/A,FALSE,"mpph1";#N/A,#N/A,FALSE,"mpmseb";#N/A,#N/A,FALSE,"mpph2"}</definedName>
    <definedName name="com" localSheetId="8" hidden="1">{#N/A,#N/A,FALSE,"mpph1";#N/A,#N/A,FALSE,"mpmseb";#N/A,#N/A,FALSE,"mpph2"}</definedName>
    <definedName name="com" localSheetId="11" hidden="1">{#N/A,#N/A,FALSE,"mpph1";#N/A,#N/A,FALSE,"mpmseb";#N/A,#N/A,FALSE,"mpph2"}</definedName>
    <definedName name="com" localSheetId="9" hidden="1">{#N/A,#N/A,FALSE,"mpph1";#N/A,#N/A,FALSE,"mpmseb";#N/A,#N/A,FALSE,"mpph2"}</definedName>
    <definedName name="com" localSheetId="13" hidden="1">{#N/A,#N/A,FALSE,"mpph1";#N/A,#N/A,FALSE,"mpmseb";#N/A,#N/A,FALSE,"mpph2"}</definedName>
    <definedName name="com" localSheetId="18" hidden="1">{#N/A,#N/A,FALSE,"mpph1";#N/A,#N/A,FALSE,"mpmseb";#N/A,#N/A,FALSE,"mpph2"}</definedName>
    <definedName name="com" localSheetId="15" hidden="1">{#N/A,#N/A,FALSE,"mpph1";#N/A,#N/A,FALSE,"mpmseb";#N/A,#N/A,FALSE,"mpph2"}</definedName>
    <definedName name="com" localSheetId="7" hidden="1">{#N/A,#N/A,FALSE,"mpph1";#N/A,#N/A,FALSE,"mpmseb";#N/A,#N/A,FALSE,"mpph2"}</definedName>
    <definedName name="com" hidden="1">{#N/A,#N/A,FALSE,"mpph1";#N/A,#N/A,FALSE,"mpmseb";#N/A,#N/A,FALSE,"mpph2"}</definedName>
    <definedName name="commission" localSheetId="12">#REF!</definedName>
    <definedName name="commission" localSheetId="6">#REF!</definedName>
    <definedName name="commission" localSheetId="5">#REF!</definedName>
    <definedName name="commission" localSheetId="8">#REF!</definedName>
    <definedName name="commission" localSheetId="11">#REF!</definedName>
    <definedName name="commission" localSheetId="9">#REF!</definedName>
    <definedName name="commission" localSheetId="18">#REF!</definedName>
    <definedName name="commission" localSheetId="15">#REF!</definedName>
    <definedName name="commission" localSheetId="7">#REF!</definedName>
    <definedName name="commission">#REF!</definedName>
    <definedName name="commission_labor" localSheetId="12">#REF!</definedName>
    <definedName name="commission_labor" localSheetId="6">#REF!</definedName>
    <definedName name="commission_labor" localSheetId="5">#REF!</definedName>
    <definedName name="commission_labor" localSheetId="8">#REF!</definedName>
    <definedName name="commission_labor" localSheetId="11">#REF!</definedName>
    <definedName name="commission_labor" localSheetId="9">#REF!</definedName>
    <definedName name="commission_labor" localSheetId="18">#REF!</definedName>
    <definedName name="commission_labor" localSheetId="15">#REF!</definedName>
    <definedName name="commission_labor" localSheetId="7">#REF!</definedName>
    <definedName name="commission_labor">#REF!</definedName>
    <definedName name="Company" localSheetId="12">#REF!</definedName>
    <definedName name="Company" localSheetId="6">#REF!</definedName>
    <definedName name="Company" localSheetId="5">#REF!</definedName>
    <definedName name="Company" localSheetId="8">#REF!</definedName>
    <definedName name="Company" localSheetId="11">#REF!</definedName>
    <definedName name="Company" localSheetId="9">#REF!</definedName>
    <definedName name="Company" localSheetId="18">#REF!</definedName>
    <definedName name="Company" localSheetId="15">#REF!</definedName>
    <definedName name="Company" localSheetId="7">#REF!</definedName>
    <definedName name="Company">#REF!</definedName>
    <definedName name="COMPARISON" localSheetId="12" hidden="1">{#N/A,#N/A,FALSE,"mpph1";#N/A,#N/A,FALSE,"mpmseb";#N/A,#N/A,FALSE,"mpph2"}</definedName>
    <definedName name="COMPARISON" localSheetId="6" hidden="1">{#N/A,#N/A,FALSE,"mpph1";#N/A,#N/A,FALSE,"mpmseb";#N/A,#N/A,FALSE,"mpph2"}</definedName>
    <definedName name="COMPARISON" localSheetId="5" hidden="1">{#N/A,#N/A,FALSE,"mpph1";#N/A,#N/A,FALSE,"mpmseb";#N/A,#N/A,FALSE,"mpph2"}</definedName>
    <definedName name="COMPARISON" localSheetId="8" hidden="1">{#N/A,#N/A,FALSE,"mpph1";#N/A,#N/A,FALSE,"mpmseb";#N/A,#N/A,FALSE,"mpph2"}</definedName>
    <definedName name="COMPARISON" localSheetId="11" hidden="1">{#N/A,#N/A,FALSE,"mpph1";#N/A,#N/A,FALSE,"mpmseb";#N/A,#N/A,FALSE,"mpph2"}</definedName>
    <definedName name="COMPARISON" localSheetId="9" hidden="1">{#N/A,#N/A,FALSE,"mpph1";#N/A,#N/A,FALSE,"mpmseb";#N/A,#N/A,FALSE,"mpph2"}</definedName>
    <definedName name="COMPARISON" localSheetId="13" hidden="1">{#N/A,#N/A,FALSE,"mpph1";#N/A,#N/A,FALSE,"mpmseb";#N/A,#N/A,FALSE,"mpph2"}</definedName>
    <definedName name="COMPARISON" localSheetId="18" hidden="1">{#N/A,#N/A,FALSE,"mpph1";#N/A,#N/A,FALSE,"mpmseb";#N/A,#N/A,FALSE,"mpph2"}</definedName>
    <definedName name="COMPARISON" localSheetId="15" hidden="1">{#N/A,#N/A,FALSE,"mpph1";#N/A,#N/A,FALSE,"mpmseb";#N/A,#N/A,FALSE,"mpph2"}</definedName>
    <definedName name="COMPARISON" localSheetId="7" hidden="1">{#N/A,#N/A,FALSE,"mpph1";#N/A,#N/A,FALSE,"mpmseb";#N/A,#N/A,FALSE,"mpph2"}</definedName>
    <definedName name="COMPARISON" hidden="1">{#N/A,#N/A,FALSE,"mpph1";#N/A,#N/A,FALSE,"mpmseb";#N/A,#N/A,FALSE,"mpph2"}</definedName>
    <definedName name="CompDate" localSheetId="12">#REF!</definedName>
    <definedName name="CompDate" localSheetId="0">#REF!</definedName>
    <definedName name="CompDate" localSheetId="1">#REF!</definedName>
    <definedName name="CompDate" localSheetId="6">#REF!</definedName>
    <definedName name="CompDate" localSheetId="5">#REF!</definedName>
    <definedName name="CompDate" localSheetId="8">#REF!</definedName>
    <definedName name="CompDate" localSheetId="11">#REF!</definedName>
    <definedName name="CompDate" localSheetId="9">#REF!</definedName>
    <definedName name="CompDate" localSheetId="18">#REF!</definedName>
    <definedName name="CompDate" localSheetId="15">#REF!</definedName>
    <definedName name="CompDate" localSheetId="7">#REF!</definedName>
    <definedName name="CompDate">#REF!</definedName>
    <definedName name="Con">0.03</definedName>
    <definedName name="cond" localSheetId="12">#REF!</definedName>
    <definedName name="cond" localSheetId="6">#REF!</definedName>
    <definedName name="cond" localSheetId="5">#REF!</definedName>
    <definedName name="cond" localSheetId="8">#REF!</definedName>
    <definedName name="cond" localSheetId="11">#REF!</definedName>
    <definedName name="cond" localSheetId="9">#REF!</definedName>
    <definedName name="cond" localSheetId="18">#REF!</definedName>
    <definedName name="cond" localSheetId="15">#REF!</definedName>
    <definedName name="cond" localSheetId="7">#REF!</definedName>
    <definedName name="cond">#REF!</definedName>
    <definedName name="condf" localSheetId="12">#REF!</definedName>
    <definedName name="condf" localSheetId="6">#REF!</definedName>
    <definedName name="condf" localSheetId="5">#REF!</definedName>
    <definedName name="condf" localSheetId="8">#REF!</definedName>
    <definedName name="condf" localSheetId="11">#REF!</definedName>
    <definedName name="condf" localSheetId="9">#REF!</definedName>
    <definedName name="condf" localSheetId="18">#REF!</definedName>
    <definedName name="condf" localSheetId="15">#REF!</definedName>
    <definedName name="condf" localSheetId="7">#REF!</definedName>
    <definedName name="condf">#REF!</definedName>
    <definedName name="conf" localSheetId="12">#REF!</definedName>
    <definedName name="conf" localSheetId="0">#REF!</definedName>
    <definedName name="conf" localSheetId="1">#REF!</definedName>
    <definedName name="conf" localSheetId="8">#REF!</definedName>
    <definedName name="conf" localSheetId="11">#REF!</definedName>
    <definedName name="conf" localSheetId="9">#REF!</definedName>
    <definedName name="conf" localSheetId="18">#REF!</definedName>
    <definedName name="conf" localSheetId="15">#REF!</definedName>
    <definedName name="conf" localSheetId="7">#REF!</definedName>
    <definedName name="conf">#REF!</definedName>
    <definedName name="config" localSheetId="12">#REF!</definedName>
    <definedName name="config" localSheetId="8">#REF!</definedName>
    <definedName name="config" localSheetId="11">#REF!</definedName>
    <definedName name="config" localSheetId="9">#REF!</definedName>
    <definedName name="config" localSheetId="18">#REF!</definedName>
    <definedName name="config" localSheetId="15">#REF!</definedName>
    <definedName name="config" localSheetId="7">#REF!</definedName>
    <definedName name="config">#REF!</definedName>
    <definedName name="conm" localSheetId="12">#REF!</definedName>
    <definedName name="conm" localSheetId="8">#REF!</definedName>
    <definedName name="conm" localSheetId="11">#REF!</definedName>
    <definedName name="conm" localSheetId="9">#REF!</definedName>
    <definedName name="conm" localSheetId="18">#REF!</definedName>
    <definedName name="conm" localSheetId="15">#REF!</definedName>
    <definedName name="conm" localSheetId="7">#REF!</definedName>
    <definedName name="conm">#REF!</definedName>
    <definedName name="conmsf" localSheetId="12">#REF!</definedName>
    <definedName name="conmsf" localSheetId="8">#REF!</definedName>
    <definedName name="conmsf" localSheetId="11">#REF!</definedName>
    <definedName name="conmsf" localSheetId="9">#REF!</definedName>
    <definedName name="conmsf" localSheetId="18">#REF!</definedName>
    <definedName name="conmsf" localSheetId="15">#REF!</definedName>
    <definedName name="conmsf" localSheetId="7">#REF!</definedName>
    <definedName name="conmsf">#REF!</definedName>
    <definedName name="conpmp" localSheetId="12">#REF!</definedName>
    <definedName name="conpmp" localSheetId="8">#REF!</definedName>
    <definedName name="conpmp" localSheetId="11">#REF!</definedName>
    <definedName name="conpmp" localSheetId="9">#REF!</definedName>
    <definedName name="conpmp" localSheetId="18">#REF!</definedName>
    <definedName name="conpmp" localSheetId="15">#REF!</definedName>
    <definedName name="conpmp" localSheetId="7">#REF!</definedName>
    <definedName name="conpmp">#REF!</definedName>
    <definedName name="constrn" localSheetId="12">#REF!</definedName>
    <definedName name="constrn" localSheetId="0">#REF!</definedName>
    <definedName name="constrn" localSheetId="1">#REF!</definedName>
    <definedName name="constrn" localSheetId="8">#REF!</definedName>
    <definedName name="constrn" localSheetId="11">#REF!</definedName>
    <definedName name="constrn" localSheetId="9">#REF!</definedName>
    <definedName name="constrn" localSheetId="18">#REF!</definedName>
    <definedName name="constrn" localSheetId="15">#REF!</definedName>
    <definedName name="constrn" localSheetId="7">#REF!</definedName>
    <definedName name="constrn">#REF!</definedName>
    <definedName name="Construction_Period" localSheetId="12">#REF!</definedName>
    <definedName name="Construction_Period" localSheetId="8">#REF!</definedName>
    <definedName name="Construction_Period" localSheetId="11">#REF!</definedName>
    <definedName name="Construction_Period" localSheetId="9">#REF!</definedName>
    <definedName name="Construction_Period" localSheetId="18">#REF!</definedName>
    <definedName name="Construction_Period" localSheetId="15">#REF!</definedName>
    <definedName name="Construction_Period" localSheetId="7">#REF!</definedName>
    <definedName name="Construction_Period">#REF!</definedName>
    <definedName name="Contact" localSheetId="12">#REF!</definedName>
    <definedName name="Contact" localSheetId="8">#REF!</definedName>
    <definedName name="Contact" localSheetId="11">#REF!</definedName>
    <definedName name="Contact" localSheetId="9">#REF!</definedName>
    <definedName name="Contact" localSheetId="18">#REF!</definedName>
    <definedName name="Contact" localSheetId="15">#REF!</definedName>
    <definedName name="Contact" localSheetId="7">#REF!</definedName>
    <definedName name="Contact">#REF!</definedName>
    <definedName name="ContAmt" localSheetId="12">#REF!</definedName>
    <definedName name="ContAmt" localSheetId="0">#REF!</definedName>
    <definedName name="ContAmt" localSheetId="1">#REF!</definedName>
    <definedName name="ContAmt" localSheetId="8">#REF!</definedName>
    <definedName name="ContAmt" localSheetId="11">#REF!</definedName>
    <definedName name="ContAmt" localSheetId="9">#REF!</definedName>
    <definedName name="ContAmt" localSheetId="18">#REF!</definedName>
    <definedName name="ContAmt" localSheetId="15">#REF!</definedName>
    <definedName name="ContAmt" localSheetId="7">#REF!</definedName>
    <definedName name="ContAmt">#REF!</definedName>
    <definedName name="ContWithAcct" localSheetId="12">#REF!</definedName>
    <definedName name="ContWithAcct" localSheetId="0">#REF!</definedName>
    <definedName name="ContWithAcct" localSheetId="1">#REF!</definedName>
    <definedName name="ContWithAcct" localSheetId="8">#REF!</definedName>
    <definedName name="ContWithAcct" localSheetId="11">#REF!</definedName>
    <definedName name="ContWithAcct" localSheetId="9">#REF!</definedName>
    <definedName name="ContWithAcct" localSheetId="18">#REF!</definedName>
    <definedName name="ContWithAcct" localSheetId="15">#REF!</definedName>
    <definedName name="ContWithAcct" localSheetId="7">#REF!</definedName>
    <definedName name="ContWithAcct">#REF!</definedName>
    <definedName name="ContWithName" localSheetId="12">#REF!</definedName>
    <definedName name="ContWithName" localSheetId="0">#REF!</definedName>
    <definedName name="ContWithName" localSheetId="1">#REF!</definedName>
    <definedName name="ContWithName" localSheetId="8">#REF!</definedName>
    <definedName name="ContWithName" localSheetId="11">#REF!</definedName>
    <definedName name="ContWithName" localSheetId="9">#REF!</definedName>
    <definedName name="ContWithName" localSheetId="18">#REF!</definedName>
    <definedName name="ContWithName" localSheetId="15">#REF!</definedName>
    <definedName name="ContWithName" localSheetId="7">#REF!</definedName>
    <definedName name="ContWithName">#REF!</definedName>
    <definedName name="ContWithPrio" localSheetId="12">#REF!</definedName>
    <definedName name="ContWithPrio" localSheetId="0">#REF!</definedName>
    <definedName name="ContWithPrio" localSheetId="1">#REF!</definedName>
    <definedName name="ContWithPrio" localSheetId="8">#REF!</definedName>
    <definedName name="ContWithPrio" localSheetId="11">#REF!</definedName>
    <definedName name="ContWithPrio" localSheetId="9">#REF!</definedName>
    <definedName name="ContWithPrio" localSheetId="18">#REF!</definedName>
    <definedName name="ContWithPrio" localSheetId="15">#REF!</definedName>
    <definedName name="ContWithPrio" localSheetId="7">#REF!</definedName>
    <definedName name="ContWithPrio">#REF!</definedName>
    <definedName name="ContWithPrio_Text" localSheetId="12">#REF!</definedName>
    <definedName name="ContWithPrio_Text" localSheetId="0">#REF!</definedName>
    <definedName name="ContWithPrio_Text" localSheetId="1">#REF!</definedName>
    <definedName name="ContWithPrio_Text" localSheetId="8">#REF!</definedName>
    <definedName name="ContWithPrio_Text" localSheetId="11">#REF!</definedName>
    <definedName name="ContWithPrio_Text" localSheetId="9">#REF!</definedName>
    <definedName name="ContWithPrio_Text" localSheetId="18">#REF!</definedName>
    <definedName name="ContWithPrio_Text" localSheetId="15">#REF!</definedName>
    <definedName name="ContWithPrio_Text" localSheetId="7">#REF!</definedName>
    <definedName name="ContWithPrio_Text">#REF!</definedName>
    <definedName name="CONum" localSheetId="12">#REF!</definedName>
    <definedName name="CONum" localSheetId="0">#REF!</definedName>
    <definedName name="CONum" localSheetId="1">#REF!</definedName>
    <definedName name="CONum" localSheetId="8">#REF!</definedName>
    <definedName name="CONum" localSheetId="11">#REF!</definedName>
    <definedName name="CONum" localSheetId="9">#REF!</definedName>
    <definedName name="CONum" localSheetId="18">#REF!</definedName>
    <definedName name="CONum" localSheetId="15">#REF!</definedName>
    <definedName name="CONum" localSheetId="7">#REF!</definedName>
    <definedName name="CONum">#REF!</definedName>
    <definedName name="cook" localSheetId="12">#REF!</definedName>
    <definedName name="cook" localSheetId="8">#REF!</definedName>
    <definedName name="cook" localSheetId="11">#REF!</definedName>
    <definedName name="cook" localSheetId="9">#REF!</definedName>
    <definedName name="cook" localSheetId="18">#REF!</definedName>
    <definedName name="cook" localSheetId="15">#REF!</definedName>
    <definedName name="cook" localSheetId="7">#REF!</definedName>
    <definedName name="cook">#REF!</definedName>
    <definedName name="COOL" localSheetId="12">#REF!</definedName>
    <definedName name="COOL" localSheetId="8">#REF!</definedName>
    <definedName name="COOL" localSheetId="11">#REF!</definedName>
    <definedName name="COOL" localSheetId="9">#REF!</definedName>
    <definedName name="COOL" localSheetId="18">#REF!</definedName>
    <definedName name="COOL" localSheetId="15">#REF!</definedName>
    <definedName name="COOL" localSheetId="7">#REF!</definedName>
    <definedName name="COOL">#REF!</definedName>
    <definedName name="cord" localSheetId="12">#REF!</definedName>
    <definedName name="cord" localSheetId="8">#REF!</definedName>
    <definedName name="cord" localSheetId="11">#REF!</definedName>
    <definedName name="cord" localSheetId="9">#REF!</definedName>
    <definedName name="cord" localSheetId="18">#REF!</definedName>
    <definedName name="cord" localSheetId="15">#REF!</definedName>
    <definedName name="cord" localSheetId="7">#REF!</definedName>
    <definedName name="cord">#REF!</definedName>
    <definedName name="Corner_Ange_2.5m" localSheetId="12">#REF!</definedName>
    <definedName name="Corner_Ange_2.5m" localSheetId="8">#REF!</definedName>
    <definedName name="Corner_Ange_2.5m" localSheetId="11">#REF!</definedName>
    <definedName name="Corner_Ange_2.5m" localSheetId="9">#REF!</definedName>
    <definedName name="Corner_Ange_2.5m" localSheetId="18">#REF!</definedName>
    <definedName name="Corner_Ange_2.5m" localSheetId="15">#REF!</definedName>
    <definedName name="Corner_Ange_2.5m" localSheetId="7">#REF!</definedName>
    <definedName name="Corner_Ange_2.5m">#REF!</definedName>
    <definedName name="Corner_Angel" localSheetId="12">#REF!</definedName>
    <definedName name="Corner_Angel" localSheetId="8">#REF!</definedName>
    <definedName name="Corner_Angel" localSheetId="11">#REF!</definedName>
    <definedName name="Corner_Angel" localSheetId="9">#REF!</definedName>
    <definedName name="Corner_Angel" localSheetId="18">#REF!</definedName>
    <definedName name="Corner_Angel" localSheetId="15">#REF!</definedName>
    <definedName name="Corner_Angel" localSheetId="7">#REF!</definedName>
    <definedName name="Corner_Angel">#REF!</definedName>
    <definedName name="Corner_Angel_1.5m" localSheetId="12">#REF!</definedName>
    <definedName name="Corner_Angel_1.5m" localSheetId="8">#REF!</definedName>
    <definedName name="Corner_Angel_1.5m" localSheetId="11">#REF!</definedName>
    <definedName name="Corner_Angel_1.5m" localSheetId="9">#REF!</definedName>
    <definedName name="Corner_Angel_1.5m" localSheetId="18">#REF!</definedName>
    <definedName name="Corner_Angel_1.5m" localSheetId="15">#REF!</definedName>
    <definedName name="Corner_Angel_1.5m" localSheetId="7">#REF!</definedName>
    <definedName name="Corner_Angel_1.5m">#REF!</definedName>
    <definedName name="CorpClient" localSheetId="12">#REF!</definedName>
    <definedName name="CorpClient" localSheetId="0">#REF!</definedName>
    <definedName name="CorpClient" localSheetId="1">#REF!</definedName>
    <definedName name="CorpClient" localSheetId="8">#REF!</definedName>
    <definedName name="CorpClient" localSheetId="11">#REF!</definedName>
    <definedName name="CorpClient" localSheetId="9">#REF!</definedName>
    <definedName name="CorpClient" localSheetId="18">#REF!</definedName>
    <definedName name="CorpClient" localSheetId="15">#REF!</definedName>
    <definedName name="CorpClient" localSheetId="7">#REF!</definedName>
    <definedName name="CorpClient">#REF!</definedName>
    <definedName name="CorpClient_Text" localSheetId="12">#REF!</definedName>
    <definedName name="CorpClient_Text" localSheetId="0">#REF!</definedName>
    <definedName name="CorpClient_Text" localSheetId="1">#REF!</definedName>
    <definedName name="CorpClient_Text" localSheetId="8">#REF!</definedName>
    <definedName name="CorpClient_Text" localSheetId="11">#REF!</definedName>
    <definedName name="CorpClient_Text" localSheetId="9">#REF!</definedName>
    <definedName name="CorpClient_Text" localSheetId="18">#REF!</definedName>
    <definedName name="CorpClient_Text" localSheetId="15">#REF!</definedName>
    <definedName name="CorpClient_Text" localSheetId="7">#REF!</definedName>
    <definedName name="CorpClient_Text">#REF!</definedName>
    <definedName name="Cost_for_10_Hp_Hr." localSheetId="12">#REF!</definedName>
    <definedName name="Cost_for_10_Hp_Hr." localSheetId="8">#REF!</definedName>
    <definedName name="Cost_for_10_Hp_Hr." localSheetId="11">#REF!</definedName>
    <definedName name="Cost_for_10_Hp_Hr." localSheetId="9">#REF!</definedName>
    <definedName name="Cost_for_10_Hp_Hr." localSheetId="18">#REF!</definedName>
    <definedName name="Cost_for_10_Hp_Hr." localSheetId="15">#REF!</definedName>
    <definedName name="Cost_for_10_Hp_Hr." localSheetId="7">#REF!</definedName>
    <definedName name="Cost_for_10_Hp_Hr.">#REF!</definedName>
    <definedName name="Cost_of_water_including_filling_the_tanker" localSheetId="12">#REF!</definedName>
    <definedName name="Cost_of_water_including_filling_the_tanker" localSheetId="8">#REF!</definedName>
    <definedName name="Cost_of_water_including_filling_the_tanker" localSheetId="11">#REF!</definedName>
    <definedName name="Cost_of_water_including_filling_the_tanker" localSheetId="9">#REF!</definedName>
    <definedName name="Cost_of_water_including_filling_the_tanker" localSheetId="18">#REF!</definedName>
    <definedName name="Cost_of_water_including_filling_the_tanker" localSheetId="15">#REF!</definedName>
    <definedName name="Cost_of_water_including_filling_the_tanker" localSheetId="7">#REF!</definedName>
    <definedName name="Cost_of_water_including_filling_the_tanker">#REF!</definedName>
    <definedName name="COU" localSheetId="12">#REF!</definedName>
    <definedName name="COU" localSheetId="8">#REF!</definedName>
    <definedName name="COU" localSheetId="11">#REF!</definedName>
    <definedName name="COU" localSheetId="9">#REF!</definedName>
    <definedName name="COU" localSheetId="18">#REF!</definedName>
    <definedName name="COU" localSheetId="15">#REF!</definedName>
    <definedName name="COU" localSheetId="7">#REF!</definedName>
    <definedName name="COU">#REF!</definedName>
    <definedName name="COU___0" localSheetId="12">#REF!</definedName>
    <definedName name="COU___0" localSheetId="8">#REF!</definedName>
    <definedName name="COU___0" localSheetId="11">#REF!</definedName>
    <definedName name="COU___0" localSheetId="9">#REF!</definedName>
    <definedName name="COU___0" localSheetId="18">#REF!</definedName>
    <definedName name="COU___0" localSheetId="15">#REF!</definedName>
    <definedName name="COU___0" localSheetId="7">#REF!</definedName>
    <definedName name="COU___0">#REF!</definedName>
    <definedName name="COU___13" localSheetId="12">#REF!</definedName>
    <definedName name="COU___13" localSheetId="8">#REF!</definedName>
    <definedName name="COU___13" localSheetId="11">#REF!</definedName>
    <definedName name="COU___13" localSheetId="9">#REF!</definedName>
    <definedName name="COU___13" localSheetId="18">#REF!</definedName>
    <definedName name="COU___13" localSheetId="15">#REF!</definedName>
    <definedName name="COU___13" localSheetId="7">#REF!</definedName>
    <definedName name="COU___13">#REF!</definedName>
    <definedName name="cover" localSheetId="12">#REF!</definedName>
    <definedName name="cover" localSheetId="8">#REF!</definedName>
    <definedName name="cover" localSheetId="11">#REF!</definedName>
    <definedName name="cover" localSheetId="9">#REF!</definedName>
    <definedName name="cover" localSheetId="18">#REF!</definedName>
    <definedName name="cover" localSheetId="15">#REF!</definedName>
    <definedName name="cover" localSheetId="7">#REF!</definedName>
    <definedName name="cover">#REF!</definedName>
    <definedName name="Cover_blocks" localSheetId="12">#REF!</definedName>
    <definedName name="Cover_blocks" localSheetId="8">#REF!</definedName>
    <definedName name="Cover_blocks" localSheetId="11">#REF!</definedName>
    <definedName name="Cover_blocks" localSheetId="9">#REF!</definedName>
    <definedName name="Cover_blocks" localSheetId="18">#REF!</definedName>
    <definedName name="Cover_blocks" localSheetId="15">#REF!</definedName>
    <definedName name="Cover_blocks" localSheetId="7">#REF!</definedName>
    <definedName name="Cover_blocks">#REF!</definedName>
    <definedName name="cran20" localSheetId="12">#REF!</definedName>
    <definedName name="cran20" localSheetId="8">#REF!</definedName>
    <definedName name="cran20" localSheetId="11">#REF!</definedName>
    <definedName name="cran20" localSheetId="9">#REF!</definedName>
    <definedName name="cran20" localSheetId="18">#REF!</definedName>
    <definedName name="cran20" localSheetId="15">#REF!</definedName>
    <definedName name="cran20" localSheetId="7">#REF!</definedName>
    <definedName name="cran20">#REF!</definedName>
    <definedName name="crane" localSheetId="12">#REF!</definedName>
    <definedName name="crane" localSheetId="8">#REF!</definedName>
    <definedName name="crane" localSheetId="11">#REF!</definedName>
    <definedName name="crane" localSheetId="9">#REF!</definedName>
    <definedName name="crane" localSheetId="18">#REF!</definedName>
    <definedName name="crane" localSheetId="15">#REF!</definedName>
    <definedName name="crane" localSheetId="7">#REF!</definedName>
    <definedName name="crane">#REF!</definedName>
    <definedName name="CRIT" localSheetId="12" hidden="1">{#N/A,#N/A,FALSE,"consu_cover";#N/A,#N/A,FALSE,"consu_strategy";#N/A,#N/A,FALSE,"consu_flow";#N/A,#N/A,FALSE,"Summary_reqmt";#N/A,#N/A,FALSE,"field_ppg";#N/A,#N/A,FALSE,"ppg_shop";#N/A,#N/A,FALSE,"strl";#N/A,#N/A,FALSE,"tankages";#N/A,#N/A,FALSE,"gases"}</definedName>
    <definedName name="CRIT" localSheetId="6" hidden="1">{#N/A,#N/A,FALSE,"consu_cover";#N/A,#N/A,FALSE,"consu_strategy";#N/A,#N/A,FALSE,"consu_flow";#N/A,#N/A,FALSE,"Summary_reqmt";#N/A,#N/A,FALSE,"field_ppg";#N/A,#N/A,FALSE,"ppg_shop";#N/A,#N/A,FALSE,"strl";#N/A,#N/A,FALSE,"tankages";#N/A,#N/A,FALSE,"gases"}</definedName>
    <definedName name="CRIT" localSheetId="5" hidden="1">{#N/A,#N/A,FALSE,"consu_cover";#N/A,#N/A,FALSE,"consu_strategy";#N/A,#N/A,FALSE,"consu_flow";#N/A,#N/A,FALSE,"Summary_reqmt";#N/A,#N/A,FALSE,"field_ppg";#N/A,#N/A,FALSE,"ppg_shop";#N/A,#N/A,FALSE,"strl";#N/A,#N/A,FALSE,"tankages";#N/A,#N/A,FALSE,"gases"}</definedName>
    <definedName name="CRIT" localSheetId="8" hidden="1">{#N/A,#N/A,FALSE,"consu_cover";#N/A,#N/A,FALSE,"consu_strategy";#N/A,#N/A,FALSE,"consu_flow";#N/A,#N/A,FALSE,"Summary_reqmt";#N/A,#N/A,FALSE,"field_ppg";#N/A,#N/A,FALSE,"ppg_shop";#N/A,#N/A,FALSE,"strl";#N/A,#N/A,FALSE,"tankages";#N/A,#N/A,FALSE,"gases"}</definedName>
    <definedName name="CRIT" localSheetId="11" hidden="1">{#N/A,#N/A,FALSE,"consu_cover";#N/A,#N/A,FALSE,"consu_strategy";#N/A,#N/A,FALSE,"consu_flow";#N/A,#N/A,FALSE,"Summary_reqmt";#N/A,#N/A,FALSE,"field_ppg";#N/A,#N/A,FALSE,"ppg_shop";#N/A,#N/A,FALSE,"strl";#N/A,#N/A,FALSE,"tankages";#N/A,#N/A,FALSE,"gases"}</definedName>
    <definedName name="CRIT" localSheetId="9" hidden="1">{#N/A,#N/A,FALSE,"consu_cover";#N/A,#N/A,FALSE,"consu_strategy";#N/A,#N/A,FALSE,"consu_flow";#N/A,#N/A,FALSE,"Summary_reqmt";#N/A,#N/A,FALSE,"field_ppg";#N/A,#N/A,FALSE,"ppg_shop";#N/A,#N/A,FALSE,"strl";#N/A,#N/A,FALSE,"tankages";#N/A,#N/A,FALSE,"gases"}</definedName>
    <definedName name="CRIT" localSheetId="13" hidden="1">{#N/A,#N/A,FALSE,"consu_cover";#N/A,#N/A,FALSE,"consu_strategy";#N/A,#N/A,FALSE,"consu_flow";#N/A,#N/A,FALSE,"Summary_reqmt";#N/A,#N/A,FALSE,"field_ppg";#N/A,#N/A,FALSE,"ppg_shop";#N/A,#N/A,FALSE,"strl";#N/A,#N/A,FALSE,"tankages";#N/A,#N/A,FALSE,"gases"}</definedName>
    <definedName name="CRIT" localSheetId="18" hidden="1">{#N/A,#N/A,FALSE,"consu_cover";#N/A,#N/A,FALSE,"consu_strategy";#N/A,#N/A,FALSE,"consu_flow";#N/A,#N/A,FALSE,"Summary_reqmt";#N/A,#N/A,FALSE,"field_ppg";#N/A,#N/A,FALSE,"ppg_shop";#N/A,#N/A,FALSE,"strl";#N/A,#N/A,FALSE,"tankages";#N/A,#N/A,FALSE,"gases"}</definedName>
    <definedName name="CRIT" localSheetId="15" hidden="1">{#N/A,#N/A,FALSE,"consu_cover";#N/A,#N/A,FALSE,"consu_strategy";#N/A,#N/A,FALSE,"consu_flow";#N/A,#N/A,FALSE,"Summary_reqmt";#N/A,#N/A,FALSE,"field_ppg";#N/A,#N/A,FALSE,"ppg_shop";#N/A,#N/A,FALSE,"strl";#N/A,#N/A,FALSE,"tankages";#N/A,#N/A,FALSE,"gases"}</definedName>
    <definedName name="CRIT" localSheetId="7" hidden="1">{#N/A,#N/A,FALSE,"consu_cover";#N/A,#N/A,FALSE,"consu_strategy";#N/A,#N/A,FALSE,"consu_flow";#N/A,#N/A,FALSE,"Summary_reqmt";#N/A,#N/A,FALSE,"field_ppg";#N/A,#N/A,FALSE,"ppg_shop";#N/A,#N/A,FALSE,"strl";#N/A,#N/A,FALSE,"tankages";#N/A,#N/A,FALSE,"gases"}</definedName>
    <definedName name="CRIT" hidden="1">{#N/A,#N/A,FALSE,"consu_cover";#N/A,#N/A,FALSE,"consu_strategy";#N/A,#N/A,FALSE,"consu_flow";#N/A,#N/A,FALSE,"Summary_reqmt";#N/A,#N/A,FALSE,"field_ppg";#N/A,#N/A,FALSE,"ppg_shop";#N/A,#N/A,FALSE,"strl";#N/A,#N/A,FALSE,"tankages";#N/A,#N/A,FALSE,"gases"}</definedName>
    <definedName name="CRITICAL" localSheetId="12" hidden="1">{#N/A,#N/A,FALSE,"consu_cover";#N/A,#N/A,FALSE,"consu_strategy";#N/A,#N/A,FALSE,"consu_flow";#N/A,#N/A,FALSE,"Summary_reqmt";#N/A,#N/A,FALSE,"field_ppg";#N/A,#N/A,FALSE,"ppg_shop";#N/A,#N/A,FALSE,"strl";#N/A,#N/A,FALSE,"tankages";#N/A,#N/A,FALSE,"gases"}</definedName>
    <definedName name="CRITICAL" localSheetId="6" hidden="1">{#N/A,#N/A,FALSE,"consu_cover";#N/A,#N/A,FALSE,"consu_strategy";#N/A,#N/A,FALSE,"consu_flow";#N/A,#N/A,FALSE,"Summary_reqmt";#N/A,#N/A,FALSE,"field_ppg";#N/A,#N/A,FALSE,"ppg_shop";#N/A,#N/A,FALSE,"strl";#N/A,#N/A,FALSE,"tankages";#N/A,#N/A,FALSE,"gases"}</definedName>
    <definedName name="CRITICAL" localSheetId="5" hidden="1">{#N/A,#N/A,FALSE,"consu_cover";#N/A,#N/A,FALSE,"consu_strategy";#N/A,#N/A,FALSE,"consu_flow";#N/A,#N/A,FALSE,"Summary_reqmt";#N/A,#N/A,FALSE,"field_ppg";#N/A,#N/A,FALSE,"ppg_shop";#N/A,#N/A,FALSE,"strl";#N/A,#N/A,FALSE,"tankages";#N/A,#N/A,FALSE,"gases"}</definedName>
    <definedName name="CRITICAL" localSheetId="8" hidden="1">{#N/A,#N/A,FALSE,"consu_cover";#N/A,#N/A,FALSE,"consu_strategy";#N/A,#N/A,FALSE,"consu_flow";#N/A,#N/A,FALSE,"Summary_reqmt";#N/A,#N/A,FALSE,"field_ppg";#N/A,#N/A,FALSE,"ppg_shop";#N/A,#N/A,FALSE,"strl";#N/A,#N/A,FALSE,"tankages";#N/A,#N/A,FALSE,"gases"}</definedName>
    <definedName name="CRITICAL" localSheetId="11" hidden="1">{#N/A,#N/A,FALSE,"consu_cover";#N/A,#N/A,FALSE,"consu_strategy";#N/A,#N/A,FALSE,"consu_flow";#N/A,#N/A,FALSE,"Summary_reqmt";#N/A,#N/A,FALSE,"field_ppg";#N/A,#N/A,FALSE,"ppg_shop";#N/A,#N/A,FALSE,"strl";#N/A,#N/A,FALSE,"tankages";#N/A,#N/A,FALSE,"gases"}</definedName>
    <definedName name="CRITICAL" localSheetId="9" hidden="1">{#N/A,#N/A,FALSE,"consu_cover";#N/A,#N/A,FALSE,"consu_strategy";#N/A,#N/A,FALSE,"consu_flow";#N/A,#N/A,FALSE,"Summary_reqmt";#N/A,#N/A,FALSE,"field_ppg";#N/A,#N/A,FALSE,"ppg_shop";#N/A,#N/A,FALSE,"strl";#N/A,#N/A,FALSE,"tankages";#N/A,#N/A,FALSE,"gases"}</definedName>
    <definedName name="CRITICAL" localSheetId="13" hidden="1">{#N/A,#N/A,FALSE,"consu_cover";#N/A,#N/A,FALSE,"consu_strategy";#N/A,#N/A,FALSE,"consu_flow";#N/A,#N/A,FALSE,"Summary_reqmt";#N/A,#N/A,FALSE,"field_ppg";#N/A,#N/A,FALSE,"ppg_shop";#N/A,#N/A,FALSE,"strl";#N/A,#N/A,FALSE,"tankages";#N/A,#N/A,FALSE,"gases"}</definedName>
    <definedName name="CRITICAL" localSheetId="18" hidden="1">{#N/A,#N/A,FALSE,"consu_cover";#N/A,#N/A,FALSE,"consu_strategy";#N/A,#N/A,FALSE,"consu_flow";#N/A,#N/A,FALSE,"Summary_reqmt";#N/A,#N/A,FALSE,"field_ppg";#N/A,#N/A,FALSE,"ppg_shop";#N/A,#N/A,FALSE,"strl";#N/A,#N/A,FALSE,"tankages";#N/A,#N/A,FALSE,"gases"}</definedName>
    <definedName name="CRITICAL" localSheetId="15" hidden="1">{#N/A,#N/A,FALSE,"consu_cover";#N/A,#N/A,FALSE,"consu_strategy";#N/A,#N/A,FALSE,"consu_flow";#N/A,#N/A,FALSE,"Summary_reqmt";#N/A,#N/A,FALSE,"field_ppg";#N/A,#N/A,FALSE,"ppg_shop";#N/A,#N/A,FALSE,"strl";#N/A,#N/A,FALSE,"tankages";#N/A,#N/A,FALSE,"gases"}</definedName>
    <definedName name="CRITICAL" localSheetId="7" hidden="1">{#N/A,#N/A,FALSE,"consu_cover";#N/A,#N/A,FALSE,"consu_strategy";#N/A,#N/A,FALSE,"consu_flow";#N/A,#N/A,FALSE,"Summary_reqmt";#N/A,#N/A,FALSE,"field_ppg";#N/A,#N/A,FALSE,"ppg_shop";#N/A,#N/A,FALSE,"strl";#N/A,#N/A,FALSE,"tankages";#N/A,#N/A,FALSE,"gases"}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rsobpl" localSheetId="12">#REF!</definedName>
    <definedName name="crsobpl" localSheetId="6">#REF!</definedName>
    <definedName name="crsobpl" localSheetId="5">#REF!</definedName>
    <definedName name="crsobpl" localSheetId="8">#REF!</definedName>
    <definedName name="crsobpl" localSheetId="11">#REF!</definedName>
    <definedName name="crsobpl" localSheetId="9">#REF!</definedName>
    <definedName name="crsobpl" localSheetId="18">#REF!</definedName>
    <definedName name="crsobpl" localSheetId="15">#REF!</definedName>
    <definedName name="crsobpl" localSheetId="7">#REF!</definedName>
    <definedName name="crsobpl">#REF!</definedName>
    <definedName name="crsr" localSheetId="12" hidden="1">#REF!</definedName>
    <definedName name="crsr" localSheetId="6" hidden="1">#REF!</definedName>
    <definedName name="crsr" localSheetId="5" hidden="1">#REF!</definedName>
    <definedName name="crsr" localSheetId="8" hidden="1">#REF!</definedName>
    <definedName name="crsr" localSheetId="11" hidden="1">#REF!</definedName>
    <definedName name="crsr" localSheetId="9" hidden="1">#REF!</definedName>
    <definedName name="crsr" localSheetId="18" hidden="1">#REF!</definedName>
    <definedName name="crsr" localSheetId="15" hidden="1">#REF!</definedName>
    <definedName name="crsr" localSheetId="7" hidden="1">#REF!</definedName>
    <definedName name="crsr" hidden="1">#REF!</definedName>
    <definedName name="crsr1" localSheetId="12" hidden="1">#REF!</definedName>
    <definedName name="crsr1" localSheetId="6" hidden="1">#REF!</definedName>
    <definedName name="crsr1" localSheetId="5" hidden="1">#REF!</definedName>
    <definedName name="crsr1" localSheetId="8" hidden="1">#REF!</definedName>
    <definedName name="crsr1" localSheetId="11" hidden="1">#REF!</definedName>
    <definedName name="crsr1" localSheetId="9" hidden="1">#REF!</definedName>
    <definedName name="crsr1" localSheetId="18" hidden="1">#REF!</definedName>
    <definedName name="crsr1" localSheetId="15" hidden="1">#REF!</definedName>
    <definedName name="crsr1" localSheetId="7" hidden="1">#REF!</definedName>
    <definedName name="crsr1" hidden="1">#REF!</definedName>
    <definedName name="crsr2" localSheetId="12" hidden="1">#REF!</definedName>
    <definedName name="crsr2" localSheetId="8" hidden="1">#REF!</definedName>
    <definedName name="crsr2" localSheetId="11" hidden="1">#REF!</definedName>
    <definedName name="crsr2" localSheetId="9" hidden="1">#REF!</definedName>
    <definedName name="crsr2" localSheetId="18" hidden="1">#REF!</definedName>
    <definedName name="crsr2" localSheetId="15" hidden="1">#REF!</definedName>
    <definedName name="crsr2" localSheetId="7" hidden="1">#REF!</definedName>
    <definedName name="crsr2" hidden="1">#REF!</definedName>
    <definedName name="crsr3" localSheetId="12" hidden="1">#REF!</definedName>
    <definedName name="crsr3" localSheetId="8" hidden="1">#REF!</definedName>
    <definedName name="crsr3" localSheetId="11" hidden="1">#REF!</definedName>
    <definedName name="crsr3" localSheetId="9" hidden="1">#REF!</definedName>
    <definedName name="crsr3" localSheetId="18" hidden="1">#REF!</definedName>
    <definedName name="crsr3" localSheetId="15" hidden="1">#REF!</definedName>
    <definedName name="crsr3" localSheetId="7" hidden="1">#REF!</definedName>
    <definedName name="crsr3" hidden="1">#REF!</definedName>
    <definedName name="Cs" localSheetId="12">#REF!</definedName>
    <definedName name="Cs" localSheetId="8">#REF!</definedName>
    <definedName name="Cs" localSheetId="11">#REF!</definedName>
    <definedName name="Cs" localSheetId="9">#REF!</definedName>
    <definedName name="Cs" localSheetId="18">#REF!</definedName>
    <definedName name="Cs" localSheetId="15">#REF!</definedName>
    <definedName name="Cs" localSheetId="7">#REF!</definedName>
    <definedName name="Cs">#REF!</definedName>
    <definedName name="Cs___0" localSheetId="12">#REF!</definedName>
    <definedName name="Cs___0" localSheetId="8">#REF!</definedName>
    <definedName name="Cs___0" localSheetId="11">#REF!</definedName>
    <definedName name="Cs___0" localSheetId="9">#REF!</definedName>
    <definedName name="Cs___0" localSheetId="18">#REF!</definedName>
    <definedName name="Cs___0" localSheetId="15">#REF!</definedName>
    <definedName name="Cs___0" localSheetId="7">#REF!</definedName>
    <definedName name="Cs___0">#REF!</definedName>
    <definedName name="Cs___13" localSheetId="12">#REF!</definedName>
    <definedName name="Cs___13" localSheetId="8">#REF!</definedName>
    <definedName name="Cs___13" localSheetId="11">#REF!</definedName>
    <definedName name="Cs___13" localSheetId="9">#REF!</definedName>
    <definedName name="Cs___13" localSheetId="18">#REF!</definedName>
    <definedName name="Cs___13" localSheetId="15">#REF!</definedName>
    <definedName name="Cs___13" localSheetId="7">#REF!</definedName>
    <definedName name="Cs___13">#REF!</definedName>
    <definedName name="cscsd" localSheetId="12">#REF!</definedName>
    <definedName name="cscsd" localSheetId="8">#REF!</definedName>
    <definedName name="cscsd" localSheetId="11">#REF!</definedName>
    <definedName name="cscsd" localSheetId="9">#REF!</definedName>
    <definedName name="cscsd" localSheetId="18">#REF!</definedName>
    <definedName name="cscsd" localSheetId="15">#REF!</definedName>
    <definedName name="cscsd" localSheetId="7">#REF!</definedName>
    <definedName name="cscsd">#REF!</definedName>
    <definedName name="CSDCSDSAS" localSheetId="12" hidden="1">#REF!</definedName>
    <definedName name="CSDCSDSAS" localSheetId="8" hidden="1">#REF!</definedName>
    <definedName name="CSDCSDSAS" localSheetId="11" hidden="1">#REF!</definedName>
    <definedName name="CSDCSDSAS" localSheetId="9" hidden="1">#REF!</definedName>
    <definedName name="CSDCSDSAS" localSheetId="18" hidden="1">#REF!</definedName>
    <definedName name="CSDCSDSAS" localSheetId="15" hidden="1">#REF!</definedName>
    <definedName name="CSDCSDSAS" localSheetId="7" hidden="1">#REF!</definedName>
    <definedName name="CSDCSDSAS" hidden="1">#REF!</definedName>
    <definedName name="csshade" localSheetId="12">#REF!</definedName>
    <definedName name="csshade" localSheetId="0">#REF!</definedName>
    <definedName name="csshade" localSheetId="1">#REF!</definedName>
    <definedName name="csshade" localSheetId="8">#REF!</definedName>
    <definedName name="csshade" localSheetId="11">#REF!</definedName>
    <definedName name="csshade" localSheetId="9">#REF!</definedName>
    <definedName name="csshade" localSheetId="18">#REF!</definedName>
    <definedName name="csshade" localSheetId="15">#REF!</definedName>
    <definedName name="csshade" localSheetId="7">#REF!</definedName>
    <definedName name="csshade">#REF!</definedName>
    <definedName name="cst" localSheetId="12">#REF!</definedName>
    <definedName name="cst" localSheetId="0">#REF!</definedName>
    <definedName name="cst" localSheetId="1">#REF!</definedName>
    <definedName name="cst" localSheetId="8">#REF!</definedName>
    <definedName name="cst" localSheetId="11">#REF!</definedName>
    <definedName name="cst" localSheetId="9">#REF!</definedName>
    <definedName name="cst" localSheetId="18">#REF!</definedName>
    <definedName name="cst" localSheetId="15">#REF!</definedName>
    <definedName name="cst" localSheetId="7">#REF!</definedName>
    <definedName name="cst">#REF!</definedName>
    <definedName name="cummeas_may1006" localSheetId="12">#REF!</definedName>
    <definedName name="cummeas_may1006" localSheetId="8">#REF!</definedName>
    <definedName name="cummeas_may1006" localSheetId="11">#REF!</definedName>
    <definedName name="cummeas_may1006" localSheetId="9">#REF!</definedName>
    <definedName name="cummeas_may1006" localSheetId="18">#REF!</definedName>
    <definedName name="cummeas_may1006" localSheetId="15">#REF!</definedName>
    <definedName name="cummeas_may1006" localSheetId="7">#REF!</definedName>
    <definedName name="cummeas_may1006">#REF!</definedName>
    <definedName name="cummeas_up_to_mar" localSheetId="12">#REF!</definedName>
    <definedName name="cummeas_up_to_mar" localSheetId="8">#REF!</definedName>
    <definedName name="cummeas_up_to_mar" localSheetId="11">#REF!</definedName>
    <definedName name="cummeas_up_to_mar" localSheetId="9">#REF!</definedName>
    <definedName name="cummeas_up_to_mar" localSheetId="18">#REF!</definedName>
    <definedName name="cummeas_up_to_mar" localSheetId="15">#REF!</definedName>
    <definedName name="cummeas_up_to_mar" localSheetId="7">#REF!</definedName>
    <definedName name="cummeas_up_to_mar">#REF!</definedName>
    <definedName name="curr_liab_prov" localSheetId="12">#REF!</definedName>
    <definedName name="curr_liab_prov" localSheetId="0">#REF!</definedName>
    <definedName name="curr_liab_prov" localSheetId="1">#REF!</definedName>
    <definedName name="curr_liab_prov" localSheetId="8">#REF!</definedName>
    <definedName name="curr_liab_prov" localSheetId="11">#REF!</definedName>
    <definedName name="curr_liab_prov" localSheetId="9">#REF!</definedName>
    <definedName name="curr_liab_prov" localSheetId="18">#REF!</definedName>
    <definedName name="curr_liab_prov" localSheetId="15">#REF!</definedName>
    <definedName name="curr_liab_prov" localSheetId="7">#REF!</definedName>
    <definedName name="curr_liab_prov">#REF!</definedName>
    <definedName name="CurrencyRate" localSheetId="12">#REF!</definedName>
    <definedName name="CurrencyRate" localSheetId="0">#REF!</definedName>
    <definedName name="CurrencyRate" localSheetId="1">#REF!</definedName>
    <definedName name="CurrencyRate" localSheetId="8">#REF!</definedName>
    <definedName name="CurrencyRate" localSheetId="11">#REF!</definedName>
    <definedName name="CurrencyRate" localSheetId="9">#REF!</definedName>
    <definedName name="CurrencyRate" localSheetId="18">#REF!</definedName>
    <definedName name="CurrencyRate" localSheetId="15">#REF!</definedName>
    <definedName name="CurrencyRate" localSheetId="7">#REF!</definedName>
    <definedName name="CurrencyRate">#REF!</definedName>
    <definedName name="current1" localSheetId="12">#REF!</definedName>
    <definedName name="current1" localSheetId="8">#REF!</definedName>
    <definedName name="current1" localSheetId="11">#REF!</definedName>
    <definedName name="current1" localSheetId="9">#REF!</definedName>
    <definedName name="current1" localSheetId="18">#REF!</definedName>
    <definedName name="current1" localSheetId="15">#REF!</definedName>
    <definedName name="current1" localSheetId="7">#REF!</definedName>
    <definedName name="current1">#REF!</definedName>
    <definedName name="current2" localSheetId="12">#REF!</definedName>
    <definedName name="current2" localSheetId="8">#REF!</definedName>
    <definedName name="current2" localSheetId="11">#REF!</definedName>
    <definedName name="current2" localSheetId="9">#REF!</definedName>
    <definedName name="current2" localSheetId="18">#REF!</definedName>
    <definedName name="current2" localSheetId="15">#REF!</definedName>
    <definedName name="current2" localSheetId="7">#REF!</definedName>
    <definedName name="current2">#REF!</definedName>
    <definedName name="current3" localSheetId="12">#REF!</definedName>
    <definedName name="current3" localSheetId="8">#REF!</definedName>
    <definedName name="current3" localSheetId="11">#REF!</definedName>
    <definedName name="current3" localSheetId="9">#REF!</definedName>
    <definedName name="current3" localSheetId="18">#REF!</definedName>
    <definedName name="current3" localSheetId="15">#REF!</definedName>
    <definedName name="current3" localSheetId="7">#REF!</definedName>
    <definedName name="current3">#REF!</definedName>
    <definedName name="current4" localSheetId="12">#REF!</definedName>
    <definedName name="current4" localSheetId="8">#REF!</definedName>
    <definedName name="current4" localSheetId="11">#REF!</definedName>
    <definedName name="current4" localSheetId="9">#REF!</definedName>
    <definedName name="current4" localSheetId="18">#REF!</definedName>
    <definedName name="current4" localSheetId="15">#REF!</definedName>
    <definedName name="current4" localSheetId="7">#REF!</definedName>
    <definedName name="current4">#REF!</definedName>
    <definedName name="current5" localSheetId="12">#REF!</definedName>
    <definedName name="current5" localSheetId="8">#REF!</definedName>
    <definedName name="current5" localSheetId="11">#REF!</definedName>
    <definedName name="current5" localSheetId="9">#REF!</definedName>
    <definedName name="current5" localSheetId="18">#REF!</definedName>
    <definedName name="current5" localSheetId="15">#REF!</definedName>
    <definedName name="current5" localSheetId="7">#REF!</definedName>
    <definedName name="current5">#REF!</definedName>
    <definedName name="CURVE" localSheetId="12" hidden="1">{#N/A,#N/A,FALSE,"COVER1.XLS ";#N/A,#N/A,FALSE,"RACT1.XLS";#N/A,#N/A,FALSE,"RACT2.XLS";#N/A,#N/A,FALSE,"ECCMP";#N/A,#N/A,FALSE,"WELDER.XLS"}</definedName>
    <definedName name="CURVE" localSheetId="6" hidden="1">{#N/A,#N/A,FALSE,"COVER1.XLS ";#N/A,#N/A,FALSE,"RACT1.XLS";#N/A,#N/A,FALSE,"RACT2.XLS";#N/A,#N/A,FALSE,"ECCMP";#N/A,#N/A,FALSE,"WELDER.XLS"}</definedName>
    <definedName name="CURVE" localSheetId="5" hidden="1">{#N/A,#N/A,FALSE,"COVER1.XLS ";#N/A,#N/A,FALSE,"RACT1.XLS";#N/A,#N/A,FALSE,"RACT2.XLS";#N/A,#N/A,FALSE,"ECCMP";#N/A,#N/A,FALSE,"WELDER.XLS"}</definedName>
    <definedName name="CURVE" localSheetId="8" hidden="1">{#N/A,#N/A,FALSE,"COVER1.XLS ";#N/A,#N/A,FALSE,"RACT1.XLS";#N/A,#N/A,FALSE,"RACT2.XLS";#N/A,#N/A,FALSE,"ECCMP";#N/A,#N/A,FALSE,"WELDER.XLS"}</definedName>
    <definedName name="CURVE" localSheetId="11" hidden="1">{#N/A,#N/A,FALSE,"COVER1.XLS ";#N/A,#N/A,FALSE,"RACT1.XLS";#N/A,#N/A,FALSE,"RACT2.XLS";#N/A,#N/A,FALSE,"ECCMP";#N/A,#N/A,FALSE,"WELDER.XLS"}</definedName>
    <definedName name="CURVE" localSheetId="9" hidden="1">{#N/A,#N/A,FALSE,"COVER1.XLS ";#N/A,#N/A,FALSE,"RACT1.XLS";#N/A,#N/A,FALSE,"RACT2.XLS";#N/A,#N/A,FALSE,"ECCMP";#N/A,#N/A,FALSE,"WELDER.XLS"}</definedName>
    <definedName name="CURVE" localSheetId="13" hidden="1">{#N/A,#N/A,FALSE,"COVER1.XLS ";#N/A,#N/A,FALSE,"RACT1.XLS";#N/A,#N/A,FALSE,"RACT2.XLS";#N/A,#N/A,FALSE,"ECCMP";#N/A,#N/A,FALSE,"WELDER.XLS"}</definedName>
    <definedName name="CURVE" localSheetId="18" hidden="1">{#N/A,#N/A,FALSE,"COVER1.XLS ";#N/A,#N/A,FALSE,"RACT1.XLS";#N/A,#N/A,FALSE,"RACT2.XLS";#N/A,#N/A,FALSE,"ECCMP";#N/A,#N/A,FALSE,"WELDER.XLS"}</definedName>
    <definedName name="CURVE" localSheetId="15" hidden="1">{#N/A,#N/A,FALSE,"COVER1.XLS ";#N/A,#N/A,FALSE,"RACT1.XLS";#N/A,#N/A,FALSE,"RACT2.XLS";#N/A,#N/A,FALSE,"ECCMP";#N/A,#N/A,FALSE,"WELDER.XLS"}</definedName>
    <definedName name="CURVE" localSheetId="7" hidden="1">{#N/A,#N/A,FALSE,"COVER1.XLS ";#N/A,#N/A,FALSE,"RACT1.XLS";#N/A,#N/A,FALSE,"RACT2.XLS";#N/A,#N/A,FALSE,"ECCMP";#N/A,#N/A,FALSE,"WELDER.XLS"}</definedName>
    <definedName name="CURVE" hidden="1">{#N/A,#N/A,FALSE,"COVER1.XLS ";#N/A,#N/A,FALSE,"RACT1.XLS";#N/A,#N/A,FALSE,"RACT2.XLS";#N/A,#N/A,FALSE,"ECCMP";#N/A,#N/A,FALSE,"WELDER.XLS"}</definedName>
    <definedName name="cutoffwall" localSheetId="12">#REF!</definedName>
    <definedName name="cutoffwall" localSheetId="6">#REF!</definedName>
    <definedName name="cutoffwall" localSheetId="5">#REF!</definedName>
    <definedName name="cutoffwall" localSheetId="8">#REF!</definedName>
    <definedName name="cutoffwall" localSheetId="11">#REF!</definedName>
    <definedName name="cutoffwall" localSheetId="9">#REF!</definedName>
    <definedName name="cutoffwall" localSheetId="18">#REF!</definedName>
    <definedName name="cutoffwall" localSheetId="15">#REF!</definedName>
    <definedName name="cutoffwall" localSheetId="7">#REF!</definedName>
    <definedName name="cutoffwall">#REF!</definedName>
    <definedName name="CV" hidden="1">#NAME?</definedName>
    <definedName name="cv_100" localSheetId="12">#REF!</definedName>
    <definedName name="cv_100" localSheetId="6">#REF!</definedName>
    <definedName name="cv_100" localSheetId="5">#REF!</definedName>
    <definedName name="cv_100" localSheetId="8">#REF!</definedName>
    <definedName name="cv_100" localSheetId="11">#REF!</definedName>
    <definedName name="cv_100" localSheetId="9">#REF!</definedName>
    <definedName name="cv_100" localSheetId="18">#REF!</definedName>
    <definedName name="cv_100" localSheetId="15">#REF!</definedName>
    <definedName name="cv_100" localSheetId="7">#REF!</definedName>
    <definedName name="cv_100">#REF!</definedName>
    <definedName name="cv_150" localSheetId="12">#REF!</definedName>
    <definedName name="cv_150" localSheetId="6">#REF!</definedName>
    <definedName name="cv_150" localSheetId="5">#REF!</definedName>
    <definedName name="cv_150" localSheetId="8">#REF!</definedName>
    <definedName name="cv_150" localSheetId="11">#REF!</definedName>
    <definedName name="cv_150" localSheetId="9">#REF!</definedName>
    <definedName name="cv_150" localSheetId="18">#REF!</definedName>
    <definedName name="cv_150" localSheetId="15">#REF!</definedName>
    <definedName name="cv_150" localSheetId="7">#REF!</definedName>
    <definedName name="cv_150">#REF!</definedName>
    <definedName name="cv_200" localSheetId="12">#REF!</definedName>
    <definedName name="cv_200" localSheetId="6">#REF!</definedName>
    <definedName name="cv_200" localSheetId="5">#REF!</definedName>
    <definedName name="cv_200" localSheetId="8">#REF!</definedName>
    <definedName name="cv_200" localSheetId="11">#REF!</definedName>
    <definedName name="cv_200" localSheetId="9">#REF!</definedName>
    <definedName name="cv_200" localSheetId="18">#REF!</definedName>
    <definedName name="cv_200" localSheetId="15">#REF!</definedName>
    <definedName name="cv_200" localSheetId="7">#REF!</definedName>
    <definedName name="cv_200">#REF!</definedName>
    <definedName name="cv_25" localSheetId="12">#REF!</definedName>
    <definedName name="cv_25" localSheetId="8">#REF!</definedName>
    <definedName name="cv_25" localSheetId="11">#REF!</definedName>
    <definedName name="cv_25" localSheetId="9">#REF!</definedName>
    <definedName name="cv_25" localSheetId="18">#REF!</definedName>
    <definedName name="cv_25" localSheetId="15">#REF!</definedName>
    <definedName name="cv_25" localSheetId="7">#REF!</definedName>
    <definedName name="cv_25">#REF!</definedName>
    <definedName name="cv_250" localSheetId="12">#REF!</definedName>
    <definedName name="cv_250" localSheetId="8">#REF!</definedName>
    <definedName name="cv_250" localSheetId="11">#REF!</definedName>
    <definedName name="cv_250" localSheetId="9">#REF!</definedName>
    <definedName name="cv_250" localSheetId="18">#REF!</definedName>
    <definedName name="cv_250" localSheetId="15">#REF!</definedName>
    <definedName name="cv_250" localSheetId="7">#REF!</definedName>
    <definedName name="cv_250">#REF!</definedName>
    <definedName name="cv_300" localSheetId="12">#REF!</definedName>
    <definedName name="cv_300" localSheetId="8">#REF!</definedName>
    <definedName name="cv_300" localSheetId="11">#REF!</definedName>
    <definedName name="cv_300" localSheetId="9">#REF!</definedName>
    <definedName name="cv_300" localSheetId="18">#REF!</definedName>
    <definedName name="cv_300" localSheetId="15">#REF!</definedName>
    <definedName name="cv_300" localSheetId="7">#REF!</definedName>
    <definedName name="cv_300">#REF!</definedName>
    <definedName name="cv_32" localSheetId="12">#REF!</definedName>
    <definedName name="cv_32" localSheetId="8">#REF!</definedName>
    <definedName name="cv_32" localSheetId="11">#REF!</definedName>
    <definedName name="cv_32" localSheetId="9">#REF!</definedName>
    <definedName name="cv_32" localSheetId="18">#REF!</definedName>
    <definedName name="cv_32" localSheetId="15">#REF!</definedName>
    <definedName name="cv_32" localSheetId="7">#REF!</definedName>
    <definedName name="cv_32">#REF!</definedName>
    <definedName name="cv_40" localSheetId="12">#REF!</definedName>
    <definedName name="cv_40" localSheetId="8">#REF!</definedName>
    <definedName name="cv_40" localSheetId="11">#REF!</definedName>
    <definedName name="cv_40" localSheetId="9">#REF!</definedName>
    <definedName name="cv_40" localSheetId="18">#REF!</definedName>
    <definedName name="cv_40" localSheetId="15">#REF!</definedName>
    <definedName name="cv_40" localSheetId="7">#REF!</definedName>
    <definedName name="cv_40">#REF!</definedName>
    <definedName name="cv_400" localSheetId="12">#REF!</definedName>
    <definedName name="cv_400" localSheetId="8">#REF!</definedName>
    <definedName name="cv_400" localSheetId="11">#REF!</definedName>
    <definedName name="cv_400" localSheetId="9">#REF!</definedName>
    <definedName name="cv_400" localSheetId="18">#REF!</definedName>
    <definedName name="cv_400" localSheetId="15">#REF!</definedName>
    <definedName name="cv_400" localSheetId="7">#REF!</definedName>
    <definedName name="cv_400">#REF!</definedName>
    <definedName name="cv_50" localSheetId="12">#REF!</definedName>
    <definedName name="cv_50" localSheetId="8">#REF!</definedName>
    <definedName name="cv_50" localSheetId="11">#REF!</definedName>
    <definedName name="cv_50" localSheetId="9">#REF!</definedName>
    <definedName name="cv_50" localSheetId="18">#REF!</definedName>
    <definedName name="cv_50" localSheetId="15">#REF!</definedName>
    <definedName name="cv_50" localSheetId="7">#REF!</definedName>
    <definedName name="cv_50">#REF!</definedName>
    <definedName name="cv_500" localSheetId="12">#REF!</definedName>
    <definedName name="cv_500" localSheetId="8">#REF!</definedName>
    <definedName name="cv_500" localSheetId="11">#REF!</definedName>
    <definedName name="cv_500" localSheetId="9">#REF!</definedName>
    <definedName name="cv_500" localSheetId="18">#REF!</definedName>
    <definedName name="cv_500" localSheetId="15">#REF!</definedName>
    <definedName name="cv_500" localSheetId="7">#REF!</definedName>
    <definedName name="cv_500">#REF!</definedName>
    <definedName name="cv_65" localSheetId="12">#REF!</definedName>
    <definedName name="cv_65" localSheetId="8">#REF!</definedName>
    <definedName name="cv_65" localSheetId="11">#REF!</definedName>
    <definedName name="cv_65" localSheetId="9">#REF!</definedName>
    <definedName name="cv_65" localSheetId="18">#REF!</definedName>
    <definedName name="cv_65" localSheetId="15">#REF!</definedName>
    <definedName name="cv_65" localSheetId="7">#REF!</definedName>
    <definedName name="cv_65">#REF!</definedName>
    <definedName name="cv_80" localSheetId="12">#REF!</definedName>
    <definedName name="cv_80" localSheetId="8">#REF!</definedName>
    <definedName name="cv_80" localSheetId="11">#REF!</definedName>
    <definedName name="cv_80" localSheetId="9">#REF!</definedName>
    <definedName name="cv_80" localSheetId="18">#REF!</definedName>
    <definedName name="cv_80" localSheetId="15">#REF!</definedName>
    <definedName name="cv_80" localSheetId="7">#REF!</definedName>
    <definedName name="cv_80">#REF!</definedName>
    <definedName name="CVC" localSheetId="12" hidden="1">#REF!</definedName>
    <definedName name="CVC" localSheetId="8" hidden="1">#REF!</definedName>
    <definedName name="CVC" localSheetId="11" hidden="1">#REF!</definedName>
    <definedName name="CVC" localSheetId="9" hidden="1">#REF!</definedName>
    <definedName name="CVC" localSheetId="18" hidden="1">#REF!</definedName>
    <definedName name="CVC" localSheetId="15" hidden="1">#REF!</definedName>
    <definedName name="CVC" localSheetId="7" hidden="1">#REF!</definedName>
    <definedName name="CVC" hidden="1">#REF!</definedName>
    <definedName name="cwm" localSheetId="12">#REF!</definedName>
    <definedName name="cwm" localSheetId="8">#REF!</definedName>
    <definedName name="cwm" localSheetId="11">#REF!</definedName>
    <definedName name="cwm" localSheetId="9">#REF!</definedName>
    <definedName name="cwm" localSheetId="18">#REF!</definedName>
    <definedName name="cwm" localSheetId="15">#REF!</definedName>
    <definedName name="cwm" localSheetId="7">#REF!</definedName>
    <definedName name="cwm">#REF!</definedName>
    <definedName name="D" localSheetId="12">#REF!</definedName>
    <definedName name="D" localSheetId="8">#REF!</definedName>
    <definedName name="D" localSheetId="11">#REF!</definedName>
    <definedName name="D" localSheetId="9">#REF!</definedName>
    <definedName name="D" localSheetId="18">#REF!</definedName>
    <definedName name="D" localSheetId="15">#REF!</definedName>
    <definedName name="D" localSheetId="7">#REF!</definedName>
    <definedName name="D">#REF!</definedName>
    <definedName name="d._Staging_to_keep_deflactometer___hire_charges_of_deflectometer" localSheetId="12">#REF!</definedName>
    <definedName name="d._Staging_to_keep_deflactometer___hire_charges_of_deflectometer" localSheetId="8">#REF!</definedName>
    <definedName name="d._Staging_to_keep_deflactometer___hire_charges_of_deflectometer" localSheetId="11">#REF!</definedName>
    <definedName name="d._Staging_to_keep_deflactometer___hire_charges_of_deflectometer" localSheetId="9">#REF!</definedName>
    <definedName name="d._Staging_to_keep_deflactometer___hire_charges_of_deflectometer" localSheetId="18">#REF!</definedName>
    <definedName name="d._Staging_to_keep_deflactometer___hire_charges_of_deflectometer" localSheetId="15">#REF!</definedName>
    <definedName name="d._Staging_to_keep_deflactometer___hire_charges_of_deflectometer" localSheetId="7">#REF!</definedName>
    <definedName name="d._Staging_to_keep_deflactometer___hire_charges_of_deflectometer">#REF!</definedName>
    <definedName name="d___0" localSheetId="12">#REF!</definedName>
    <definedName name="d___0" localSheetId="8">#REF!</definedName>
    <definedName name="d___0" localSheetId="11">#REF!</definedName>
    <definedName name="d___0" localSheetId="9">#REF!</definedName>
    <definedName name="d___0" localSheetId="18">#REF!</definedName>
    <definedName name="d___0" localSheetId="15">#REF!</definedName>
    <definedName name="d___0" localSheetId="7">#REF!</definedName>
    <definedName name="d___0">#REF!</definedName>
    <definedName name="d___13" localSheetId="12">#REF!</definedName>
    <definedName name="d___13" localSheetId="8">#REF!</definedName>
    <definedName name="d___13" localSheetId="11">#REF!</definedName>
    <definedName name="d___13" localSheetId="9">#REF!</definedName>
    <definedName name="d___13" localSheetId="18">#REF!</definedName>
    <definedName name="d___13" localSheetId="15">#REF!</definedName>
    <definedName name="d___13" localSheetId="7">#REF!</definedName>
    <definedName name="d___13">#REF!</definedName>
    <definedName name="DAK" localSheetId="12">#REF!</definedName>
    <definedName name="DAK" localSheetId="0">#REF!</definedName>
    <definedName name="DAK" localSheetId="1">#REF!</definedName>
    <definedName name="DAK" localSheetId="8">#REF!</definedName>
    <definedName name="DAK" localSheetId="11">#REF!</definedName>
    <definedName name="DAK" localSheetId="9">#REF!</definedName>
    <definedName name="DAK" localSheetId="18">#REF!</definedName>
    <definedName name="DAK" localSheetId="15">#REF!</definedName>
    <definedName name="DAK" localSheetId="7">#REF!</definedName>
    <definedName name="DAK">#REF!</definedName>
    <definedName name="DAKS" localSheetId="12">#REF!</definedName>
    <definedName name="DAKS" localSheetId="0">#REF!</definedName>
    <definedName name="DAKS" localSheetId="1">#REF!</definedName>
    <definedName name="DAKS" localSheetId="8">#REF!</definedName>
    <definedName name="DAKS" localSheetId="11">#REF!</definedName>
    <definedName name="DAKS" localSheetId="9">#REF!</definedName>
    <definedName name="DAKS" localSheetId="18">#REF!</definedName>
    <definedName name="DAKS" localSheetId="15">#REF!</definedName>
    <definedName name="DAKS" localSheetId="7">#REF!</definedName>
    <definedName name="DAKS">#REF!</definedName>
    <definedName name="DAKSH" localSheetId="12">#REF!</definedName>
    <definedName name="DAKSH" localSheetId="0">#REF!</definedName>
    <definedName name="DAKSH" localSheetId="1">#REF!</definedName>
    <definedName name="DAKSH" localSheetId="8">#REF!</definedName>
    <definedName name="DAKSH" localSheetId="11">#REF!</definedName>
    <definedName name="DAKSH" localSheetId="9">#REF!</definedName>
    <definedName name="DAKSH" localSheetId="18">#REF!</definedName>
    <definedName name="DAKSH" localSheetId="15">#REF!</definedName>
    <definedName name="DAKSH" localSheetId="7">#REF!</definedName>
    <definedName name="DAKSH">#REF!</definedName>
    <definedName name="DATA1" localSheetId="12">#REF!</definedName>
    <definedName name="DATA1" localSheetId="8">#REF!</definedName>
    <definedName name="DATA1" localSheetId="11">#REF!</definedName>
    <definedName name="DATA1" localSheetId="9">#REF!</definedName>
    <definedName name="DATA1" localSheetId="18">#REF!</definedName>
    <definedName name="DATA1" localSheetId="15">#REF!</definedName>
    <definedName name="DATA1" localSheetId="7">#REF!</definedName>
    <definedName name="DATA1">#REF!</definedName>
    <definedName name="DATA10" localSheetId="12">#REF!</definedName>
    <definedName name="DATA10" localSheetId="8">#REF!</definedName>
    <definedName name="DATA10" localSheetId="11">#REF!</definedName>
    <definedName name="DATA10" localSheetId="9">#REF!</definedName>
    <definedName name="DATA10" localSheetId="18">#REF!</definedName>
    <definedName name="DATA10" localSheetId="15">#REF!</definedName>
    <definedName name="DATA10" localSheetId="7">#REF!</definedName>
    <definedName name="DATA10">#REF!</definedName>
    <definedName name="DATA100" localSheetId="12">#REF!</definedName>
    <definedName name="DATA100" localSheetId="8">#REF!</definedName>
    <definedName name="DATA100" localSheetId="11">#REF!</definedName>
    <definedName name="DATA100" localSheetId="9">#REF!</definedName>
    <definedName name="DATA100" localSheetId="18">#REF!</definedName>
    <definedName name="DATA100" localSheetId="15">#REF!</definedName>
    <definedName name="DATA100" localSheetId="7">#REF!</definedName>
    <definedName name="DATA100">#REF!</definedName>
    <definedName name="DATA1011" localSheetId="12">#REF!</definedName>
    <definedName name="DATA1011" localSheetId="8">#REF!</definedName>
    <definedName name="DATA1011" localSheetId="11">#REF!</definedName>
    <definedName name="DATA1011" localSheetId="9">#REF!</definedName>
    <definedName name="DATA1011" localSheetId="18">#REF!</definedName>
    <definedName name="DATA1011" localSheetId="15">#REF!</definedName>
    <definedName name="DATA1011" localSheetId="7">#REF!</definedName>
    <definedName name="DATA1011">#REF!</definedName>
    <definedName name="DATA1012" localSheetId="12">#REF!</definedName>
    <definedName name="DATA1012" localSheetId="8">#REF!</definedName>
    <definedName name="DATA1012" localSheetId="11">#REF!</definedName>
    <definedName name="DATA1012" localSheetId="9">#REF!</definedName>
    <definedName name="DATA1012" localSheetId="18">#REF!</definedName>
    <definedName name="DATA1012" localSheetId="15">#REF!</definedName>
    <definedName name="DATA1012" localSheetId="7">#REF!</definedName>
    <definedName name="DATA1012">#REF!</definedName>
    <definedName name="DATA1013" localSheetId="12">#REF!</definedName>
    <definedName name="DATA1013" localSheetId="8">#REF!</definedName>
    <definedName name="DATA1013" localSheetId="11">#REF!</definedName>
    <definedName name="DATA1013" localSheetId="9">#REF!</definedName>
    <definedName name="DATA1013" localSheetId="18">#REF!</definedName>
    <definedName name="DATA1013" localSheetId="15">#REF!</definedName>
    <definedName name="DATA1013" localSheetId="7">#REF!</definedName>
    <definedName name="DATA1013">#REF!</definedName>
    <definedName name="DATA1014" localSheetId="12">#REF!</definedName>
    <definedName name="DATA1014" localSheetId="8">#REF!</definedName>
    <definedName name="DATA1014" localSheetId="11">#REF!</definedName>
    <definedName name="DATA1014" localSheetId="9">#REF!</definedName>
    <definedName name="DATA1014" localSheetId="18">#REF!</definedName>
    <definedName name="DATA1014" localSheetId="15">#REF!</definedName>
    <definedName name="DATA1014" localSheetId="7">#REF!</definedName>
    <definedName name="DATA1014">#REF!</definedName>
    <definedName name="DATA1015" localSheetId="12">#REF!</definedName>
    <definedName name="DATA1015" localSheetId="8">#REF!</definedName>
    <definedName name="DATA1015" localSheetId="11">#REF!</definedName>
    <definedName name="DATA1015" localSheetId="9">#REF!</definedName>
    <definedName name="DATA1015" localSheetId="18">#REF!</definedName>
    <definedName name="DATA1015" localSheetId="15">#REF!</definedName>
    <definedName name="DATA1015" localSheetId="7">#REF!</definedName>
    <definedName name="DATA1015">#REF!</definedName>
    <definedName name="DATA102" localSheetId="12">#REF!</definedName>
    <definedName name="DATA102" localSheetId="8">#REF!</definedName>
    <definedName name="DATA102" localSheetId="11">#REF!</definedName>
    <definedName name="DATA102" localSheetId="9">#REF!</definedName>
    <definedName name="DATA102" localSheetId="18">#REF!</definedName>
    <definedName name="DATA102" localSheetId="15">#REF!</definedName>
    <definedName name="DATA102" localSheetId="7">#REF!</definedName>
    <definedName name="DATA102">#REF!</definedName>
    <definedName name="DATA103" localSheetId="12">#REF!</definedName>
    <definedName name="DATA103" localSheetId="8">#REF!</definedName>
    <definedName name="DATA103" localSheetId="11">#REF!</definedName>
    <definedName name="DATA103" localSheetId="9">#REF!</definedName>
    <definedName name="DATA103" localSheetId="18">#REF!</definedName>
    <definedName name="DATA103" localSheetId="15">#REF!</definedName>
    <definedName name="DATA103" localSheetId="7">#REF!</definedName>
    <definedName name="DATA103">#REF!</definedName>
    <definedName name="DATA104" localSheetId="12">#REF!</definedName>
    <definedName name="DATA104" localSheetId="8">#REF!</definedName>
    <definedName name="DATA104" localSheetId="11">#REF!</definedName>
    <definedName name="DATA104" localSheetId="9">#REF!</definedName>
    <definedName name="DATA104" localSheetId="18">#REF!</definedName>
    <definedName name="DATA104" localSheetId="15">#REF!</definedName>
    <definedName name="DATA104" localSheetId="7">#REF!</definedName>
    <definedName name="DATA104">#REF!</definedName>
    <definedName name="DATA105" localSheetId="12">#REF!</definedName>
    <definedName name="DATA105" localSheetId="8">#REF!</definedName>
    <definedName name="DATA105" localSheetId="11">#REF!</definedName>
    <definedName name="DATA105" localSheetId="9">#REF!</definedName>
    <definedName name="DATA105" localSheetId="18">#REF!</definedName>
    <definedName name="DATA105" localSheetId="15">#REF!</definedName>
    <definedName name="DATA105" localSheetId="7">#REF!</definedName>
    <definedName name="DATA105">#REF!</definedName>
    <definedName name="DATA106" localSheetId="12">#REF!</definedName>
    <definedName name="DATA106" localSheetId="8">#REF!</definedName>
    <definedName name="DATA106" localSheetId="11">#REF!</definedName>
    <definedName name="DATA106" localSheetId="9">#REF!</definedName>
    <definedName name="DATA106" localSheetId="18">#REF!</definedName>
    <definedName name="DATA106" localSheetId="15">#REF!</definedName>
    <definedName name="DATA106" localSheetId="7">#REF!</definedName>
    <definedName name="DATA106">#REF!</definedName>
    <definedName name="DATA107A" localSheetId="12">#REF!</definedName>
    <definedName name="DATA107A" localSheetId="8">#REF!</definedName>
    <definedName name="DATA107A" localSheetId="11">#REF!</definedName>
    <definedName name="DATA107A" localSheetId="9">#REF!</definedName>
    <definedName name="DATA107A" localSheetId="18">#REF!</definedName>
    <definedName name="DATA107A" localSheetId="15">#REF!</definedName>
    <definedName name="DATA107A" localSheetId="7">#REF!</definedName>
    <definedName name="DATA107A">#REF!</definedName>
    <definedName name="DATA107B" localSheetId="12">#REF!</definedName>
    <definedName name="DATA107B" localSheetId="8">#REF!</definedName>
    <definedName name="DATA107B" localSheetId="11">#REF!</definedName>
    <definedName name="DATA107B" localSheetId="9">#REF!</definedName>
    <definedName name="DATA107B" localSheetId="18">#REF!</definedName>
    <definedName name="DATA107B" localSheetId="15">#REF!</definedName>
    <definedName name="DATA107B" localSheetId="7">#REF!</definedName>
    <definedName name="DATA107B">#REF!</definedName>
    <definedName name="DATA107C" localSheetId="12">#REF!</definedName>
    <definedName name="DATA107C" localSheetId="8">#REF!</definedName>
    <definedName name="DATA107C" localSheetId="11">#REF!</definedName>
    <definedName name="DATA107C" localSheetId="9">#REF!</definedName>
    <definedName name="DATA107C" localSheetId="18">#REF!</definedName>
    <definedName name="DATA107C" localSheetId="15">#REF!</definedName>
    <definedName name="DATA107C" localSheetId="7">#REF!</definedName>
    <definedName name="DATA107C">#REF!</definedName>
    <definedName name="DATA107D" localSheetId="12">#REF!</definedName>
    <definedName name="DATA107D" localSheetId="8">#REF!</definedName>
    <definedName name="DATA107D" localSheetId="11">#REF!</definedName>
    <definedName name="DATA107D" localSheetId="9">#REF!</definedName>
    <definedName name="DATA107D" localSheetId="18">#REF!</definedName>
    <definedName name="DATA107D" localSheetId="15">#REF!</definedName>
    <definedName name="DATA107D" localSheetId="7">#REF!</definedName>
    <definedName name="DATA107D">#REF!</definedName>
    <definedName name="DATA107E" localSheetId="12">#REF!</definedName>
    <definedName name="DATA107E" localSheetId="8">#REF!</definedName>
    <definedName name="DATA107E" localSheetId="11">#REF!</definedName>
    <definedName name="DATA107E" localSheetId="9">#REF!</definedName>
    <definedName name="DATA107E" localSheetId="18">#REF!</definedName>
    <definedName name="DATA107E" localSheetId="15">#REF!</definedName>
    <definedName name="DATA107E" localSheetId="7">#REF!</definedName>
    <definedName name="DATA107E">#REF!</definedName>
    <definedName name="DATA107F" localSheetId="12">#REF!</definedName>
    <definedName name="DATA107F" localSheetId="8">#REF!</definedName>
    <definedName name="DATA107F" localSheetId="11">#REF!</definedName>
    <definedName name="DATA107F" localSheetId="9">#REF!</definedName>
    <definedName name="DATA107F" localSheetId="18">#REF!</definedName>
    <definedName name="DATA107F" localSheetId="15">#REF!</definedName>
    <definedName name="DATA107F" localSheetId="7">#REF!</definedName>
    <definedName name="DATA107F">#REF!</definedName>
    <definedName name="DATA107G" localSheetId="12">#REF!</definedName>
    <definedName name="DATA107G" localSheetId="8">#REF!</definedName>
    <definedName name="DATA107G" localSheetId="11">#REF!</definedName>
    <definedName name="DATA107G" localSheetId="9">#REF!</definedName>
    <definedName name="DATA107G" localSheetId="18">#REF!</definedName>
    <definedName name="DATA107G" localSheetId="15">#REF!</definedName>
    <definedName name="DATA107G" localSheetId="7">#REF!</definedName>
    <definedName name="DATA107G">#REF!</definedName>
    <definedName name="DATA108A" localSheetId="12">#REF!</definedName>
    <definedName name="DATA108A" localSheetId="8">#REF!</definedName>
    <definedName name="DATA108A" localSheetId="11">#REF!</definedName>
    <definedName name="DATA108A" localSheetId="9">#REF!</definedName>
    <definedName name="DATA108A" localSheetId="18">#REF!</definedName>
    <definedName name="DATA108A" localSheetId="15">#REF!</definedName>
    <definedName name="DATA108A" localSheetId="7">#REF!</definedName>
    <definedName name="DATA108A">#REF!</definedName>
    <definedName name="DATA108B" localSheetId="12">#REF!</definedName>
    <definedName name="DATA108B" localSheetId="8">#REF!</definedName>
    <definedName name="DATA108B" localSheetId="11">#REF!</definedName>
    <definedName name="DATA108B" localSheetId="9">#REF!</definedName>
    <definedName name="DATA108B" localSheetId="18">#REF!</definedName>
    <definedName name="DATA108B" localSheetId="15">#REF!</definedName>
    <definedName name="DATA108B" localSheetId="7">#REF!</definedName>
    <definedName name="DATA108B">#REF!</definedName>
    <definedName name="DATA108C" localSheetId="12">#REF!</definedName>
    <definedName name="DATA108C" localSheetId="8">#REF!</definedName>
    <definedName name="DATA108C" localSheetId="11">#REF!</definedName>
    <definedName name="DATA108C" localSheetId="9">#REF!</definedName>
    <definedName name="DATA108C" localSheetId="18">#REF!</definedName>
    <definedName name="DATA108C" localSheetId="15">#REF!</definedName>
    <definedName name="DATA108C" localSheetId="7">#REF!</definedName>
    <definedName name="DATA108C">#REF!</definedName>
    <definedName name="DATA108D" localSheetId="12">#REF!</definedName>
    <definedName name="DATA108D" localSheetId="8">#REF!</definedName>
    <definedName name="DATA108D" localSheetId="11">#REF!</definedName>
    <definedName name="DATA108D" localSheetId="9">#REF!</definedName>
    <definedName name="DATA108D" localSheetId="18">#REF!</definedName>
    <definedName name="DATA108D" localSheetId="15">#REF!</definedName>
    <definedName name="DATA108D" localSheetId="7">#REF!</definedName>
    <definedName name="DATA108D">#REF!</definedName>
    <definedName name="DATA108E" localSheetId="12">#REF!</definedName>
    <definedName name="DATA108E" localSheetId="8">#REF!</definedName>
    <definedName name="DATA108E" localSheetId="11">#REF!</definedName>
    <definedName name="DATA108E" localSheetId="9">#REF!</definedName>
    <definedName name="DATA108E" localSheetId="18">#REF!</definedName>
    <definedName name="DATA108E" localSheetId="15">#REF!</definedName>
    <definedName name="DATA108E" localSheetId="7">#REF!</definedName>
    <definedName name="DATA108E">#REF!</definedName>
    <definedName name="DATA108F" localSheetId="12">#REF!</definedName>
    <definedName name="DATA108F" localSheetId="8">#REF!</definedName>
    <definedName name="DATA108F" localSheetId="11">#REF!</definedName>
    <definedName name="DATA108F" localSheetId="9">#REF!</definedName>
    <definedName name="DATA108F" localSheetId="18">#REF!</definedName>
    <definedName name="DATA108F" localSheetId="15">#REF!</definedName>
    <definedName name="DATA108F" localSheetId="7">#REF!</definedName>
    <definedName name="DATA108F">#REF!</definedName>
    <definedName name="DATA108G" localSheetId="12">#REF!</definedName>
    <definedName name="DATA108G" localSheetId="8">#REF!</definedName>
    <definedName name="DATA108G" localSheetId="11">#REF!</definedName>
    <definedName name="DATA108G" localSheetId="9">#REF!</definedName>
    <definedName name="DATA108G" localSheetId="18">#REF!</definedName>
    <definedName name="DATA108G" localSheetId="15">#REF!</definedName>
    <definedName name="DATA108G" localSheetId="7">#REF!</definedName>
    <definedName name="DATA108G">#REF!</definedName>
    <definedName name="DATA108H" localSheetId="12">#REF!</definedName>
    <definedName name="DATA108H" localSheetId="8">#REF!</definedName>
    <definedName name="DATA108H" localSheetId="11">#REF!</definedName>
    <definedName name="DATA108H" localSheetId="9">#REF!</definedName>
    <definedName name="DATA108H" localSheetId="18">#REF!</definedName>
    <definedName name="DATA108H" localSheetId="15">#REF!</definedName>
    <definedName name="DATA108H" localSheetId="7">#REF!</definedName>
    <definedName name="DATA108H">#REF!</definedName>
    <definedName name="DATA108I" localSheetId="12">#REF!</definedName>
    <definedName name="DATA108I" localSheetId="8">#REF!</definedName>
    <definedName name="DATA108I" localSheetId="11">#REF!</definedName>
    <definedName name="DATA108I" localSheetId="9">#REF!</definedName>
    <definedName name="DATA108I" localSheetId="18">#REF!</definedName>
    <definedName name="DATA108I" localSheetId="15">#REF!</definedName>
    <definedName name="DATA108I" localSheetId="7">#REF!</definedName>
    <definedName name="DATA108I">#REF!</definedName>
    <definedName name="DATA108J" localSheetId="12">#REF!</definedName>
    <definedName name="DATA108J" localSheetId="8">#REF!</definedName>
    <definedName name="DATA108J" localSheetId="11">#REF!</definedName>
    <definedName name="DATA108J" localSheetId="9">#REF!</definedName>
    <definedName name="DATA108J" localSheetId="18">#REF!</definedName>
    <definedName name="DATA108J" localSheetId="15">#REF!</definedName>
    <definedName name="DATA108J" localSheetId="7">#REF!</definedName>
    <definedName name="DATA108J">#REF!</definedName>
    <definedName name="DATA108K" localSheetId="12">#REF!</definedName>
    <definedName name="DATA108K" localSheetId="8">#REF!</definedName>
    <definedName name="DATA108K" localSheetId="11">#REF!</definedName>
    <definedName name="DATA108K" localSheetId="9">#REF!</definedName>
    <definedName name="DATA108K" localSheetId="18">#REF!</definedName>
    <definedName name="DATA108K" localSheetId="15">#REF!</definedName>
    <definedName name="DATA108K" localSheetId="7">#REF!</definedName>
    <definedName name="DATA108K">#REF!</definedName>
    <definedName name="DATA108L" localSheetId="12">#REF!</definedName>
    <definedName name="DATA108L" localSheetId="8">#REF!</definedName>
    <definedName name="DATA108L" localSheetId="11">#REF!</definedName>
    <definedName name="DATA108L" localSheetId="9">#REF!</definedName>
    <definedName name="DATA108L" localSheetId="18">#REF!</definedName>
    <definedName name="DATA108L" localSheetId="15">#REF!</definedName>
    <definedName name="DATA108L" localSheetId="7">#REF!</definedName>
    <definedName name="DATA108L">#REF!</definedName>
    <definedName name="DATA108M" localSheetId="12">#REF!</definedName>
    <definedName name="DATA108M" localSheetId="8">#REF!</definedName>
    <definedName name="DATA108M" localSheetId="11">#REF!</definedName>
    <definedName name="DATA108M" localSheetId="9">#REF!</definedName>
    <definedName name="DATA108M" localSheetId="18">#REF!</definedName>
    <definedName name="DATA108M" localSheetId="15">#REF!</definedName>
    <definedName name="DATA108M" localSheetId="7">#REF!</definedName>
    <definedName name="DATA108M">#REF!</definedName>
    <definedName name="DATA108N" localSheetId="12">#REF!</definedName>
    <definedName name="DATA108N" localSheetId="8">#REF!</definedName>
    <definedName name="DATA108N" localSheetId="11">#REF!</definedName>
    <definedName name="DATA108N" localSheetId="9">#REF!</definedName>
    <definedName name="DATA108N" localSheetId="18">#REF!</definedName>
    <definedName name="DATA108N" localSheetId="15">#REF!</definedName>
    <definedName name="DATA108N" localSheetId="7">#REF!</definedName>
    <definedName name="DATA108N">#REF!</definedName>
    <definedName name="DATA108O" localSheetId="12">#REF!</definedName>
    <definedName name="DATA108O" localSheetId="8">#REF!</definedName>
    <definedName name="DATA108O" localSheetId="11">#REF!</definedName>
    <definedName name="DATA108O" localSheetId="9">#REF!</definedName>
    <definedName name="DATA108O" localSheetId="18">#REF!</definedName>
    <definedName name="DATA108O" localSheetId="15">#REF!</definedName>
    <definedName name="DATA108O" localSheetId="7">#REF!</definedName>
    <definedName name="DATA108O">#REF!</definedName>
    <definedName name="DATA108P" localSheetId="12">#REF!</definedName>
    <definedName name="DATA108P" localSheetId="8">#REF!</definedName>
    <definedName name="DATA108P" localSheetId="11">#REF!</definedName>
    <definedName name="DATA108P" localSheetId="9">#REF!</definedName>
    <definedName name="DATA108P" localSheetId="18">#REF!</definedName>
    <definedName name="DATA108P" localSheetId="15">#REF!</definedName>
    <definedName name="DATA108P" localSheetId="7">#REF!</definedName>
    <definedName name="DATA108P">#REF!</definedName>
    <definedName name="DATA109A" localSheetId="12">#REF!</definedName>
    <definedName name="DATA109A" localSheetId="8">#REF!</definedName>
    <definedName name="DATA109A" localSheetId="11">#REF!</definedName>
    <definedName name="DATA109A" localSheetId="9">#REF!</definedName>
    <definedName name="DATA109A" localSheetId="18">#REF!</definedName>
    <definedName name="DATA109A" localSheetId="15">#REF!</definedName>
    <definedName name="DATA109A" localSheetId="7">#REF!</definedName>
    <definedName name="DATA109A">#REF!</definedName>
    <definedName name="DATA109B" localSheetId="12">#REF!</definedName>
    <definedName name="DATA109B" localSheetId="8">#REF!</definedName>
    <definedName name="DATA109B" localSheetId="11">#REF!</definedName>
    <definedName name="DATA109B" localSheetId="9">#REF!</definedName>
    <definedName name="DATA109B" localSheetId="18">#REF!</definedName>
    <definedName name="DATA109B" localSheetId="15">#REF!</definedName>
    <definedName name="DATA109B" localSheetId="7">#REF!</definedName>
    <definedName name="DATA109B">#REF!</definedName>
    <definedName name="DATA109C" localSheetId="12">#REF!</definedName>
    <definedName name="DATA109C" localSheetId="8">#REF!</definedName>
    <definedName name="DATA109C" localSheetId="11">#REF!</definedName>
    <definedName name="DATA109C" localSheetId="9">#REF!</definedName>
    <definedName name="DATA109C" localSheetId="18">#REF!</definedName>
    <definedName name="DATA109C" localSheetId="15">#REF!</definedName>
    <definedName name="DATA109C" localSheetId="7">#REF!</definedName>
    <definedName name="DATA109C">#REF!</definedName>
    <definedName name="DATA109D" localSheetId="12">#REF!</definedName>
    <definedName name="DATA109D" localSheetId="8">#REF!</definedName>
    <definedName name="DATA109D" localSheetId="11">#REF!</definedName>
    <definedName name="DATA109D" localSheetId="9">#REF!</definedName>
    <definedName name="DATA109D" localSheetId="18">#REF!</definedName>
    <definedName name="DATA109D" localSheetId="15">#REF!</definedName>
    <definedName name="DATA109D" localSheetId="7">#REF!</definedName>
    <definedName name="DATA109D">#REF!</definedName>
    <definedName name="DATA109E" localSheetId="12">#REF!</definedName>
    <definedName name="DATA109E" localSheetId="8">#REF!</definedName>
    <definedName name="DATA109E" localSheetId="11">#REF!</definedName>
    <definedName name="DATA109E" localSheetId="9">#REF!</definedName>
    <definedName name="DATA109E" localSheetId="18">#REF!</definedName>
    <definedName name="DATA109E" localSheetId="15">#REF!</definedName>
    <definedName name="DATA109E" localSheetId="7">#REF!</definedName>
    <definedName name="DATA109E">#REF!</definedName>
    <definedName name="DATA109F" localSheetId="12">#REF!</definedName>
    <definedName name="DATA109F" localSheetId="8">#REF!</definedName>
    <definedName name="DATA109F" localSheetId="11">#REF!</definedName>
    <definedName name="DATA109F" localSheetId="9">#REF!</definedName>
    <definedName name="DATA109F" localSheetId="18">#REF!</definedName>
    <definedName name="DATA109F" localSheetId="15">#REF!</definedName>
    <definedName name="DATA109F" localSheetId="7">#REF!</definedName>
    <definedName name="DATA109F">#REF!</definedName>
    <definedName name="DATA109G" localSheetId="12">#REF!</definedName>
    <definedName name="DATA109G" localSheetId="8">#REF!</definedName>
    <definedName name="DATA109G" localSheetId="11">#REF!</definedName>
    <definedName name="DATA109G" localSheetId="9">#REF!</definedName>
    <definedName name="DATA109G" localSheetId="18">#REF!</definedName>
    <definedName name="DATA109G" localSheetId="15">#REF!</definedName>
    <definedName name="DATA109G" localSheetId="7">#REF!</definedName>
    <definedName name="DATA109G">#REF!</definedName>
    <definedName name="DATA109H" localSheetId="12">#REF!</definedName>
    <definedName name="DATA109H" localSheetId="8">#REF!</definedName>
    <definedName name="DATA109H" localSheetId="11">#REF!</definedName>
    <definedName name="DATA109H" localSheetId="9">#REF!</definedName>
    <definedName name="DATA109H" localSheetId="18">#REF!</definedName>
    <definedName name="DATA109H" localSheetId="15">#REF!</definedName>
    <definedName name="DATA109H" localSheetId="7">#REF!</definedName>
    <definedName name="DATA109H">#REF!</definedName>
    <definedName name="DATA109I" localSheetId="12">#REF!</definedName>
    <definedName name="DATA109I" localSheetId="8">#REF!</definedName>
    <definedName name="DATA109I" localSheetId="11">#REF!</definedName>
    <definedName name="DATA109I" localSheetId="9">#REF!</definedName>
    <definedName name="DATA109I" localSheetId="18">#REF!</definedName>
    <definedName name="DATA109I" localSheetId="15">#REF!</definedName>
    <definedName name="DATA109I" localSheetId="7">#REF!</definedName>
    <definedName name="DATA109I">#REF!</definedName>
    <definedName name="DATA109J" localSheetId="12">#REF!</definedName>
    <definedName name="DATA109J" localSheetId="8">#REF!</definedName>
    <definedName name="DATA109J" localSheetId="11">#REF!</definedName>
    <definedName name="DATA109J" localSheetId="9">#REF!</definedName>
    <definedName name="DATA109J" localSheetId="18">#REF!</definedName>
    <definedName name="DATA109J" localSheetId="15">#REF!</definedName>
    <definedName name="DATA109J" localSheetId="7">#REF!</definedName>
    <definedName name="DATA109J">#REF!</definedName>
    <definedName name="DATA109K" localSheetId="12">#REF!</definedName>
    <definedName name="DATA109K" localSheetId="8">#REF!</definedName>
    <definedName name="DATA109K" localSheetId="11">#REF!</definedName>
    <definedName name="DATA109K" localSheetId="9">#REF!</definedName>
    <definedName name="DATA109K" localSheetId="18">#REF!</definedName>
    <definedName name="DATA109K" localSheetId="15">#REF!</definedName>
    <definedName name="DATA109K" localSheetId="7">#REF!</definedName>
    <definedName name="DATA109K">#REF!</definedName>
    <definedName name="DATA109L" localSheetId="12">#REF!</definedName>
    <definedName name="DATA109L" localSheetId="8">#REF!</definedName>
    <definedName name="DATA109L" localSheetId="11">#REF!</definedName>
    <definedName name="DATA109L" localSheetId="9">#REF!</definedName>
    <definedName name="DATA109L" localSheetId="18">#REF!</definedName>
    <definedName name="DATA109L" localSheetId="15">#REF!</definedName>
    <definedName name="DATA109L" localSheetId="7">#REF!</definedName>
    <definedName name="DATA109L">#REF!</definedName>
    <definedName name="DATA109M" localSheetId="12">#REF!</definedName>
    <definedName name="DATA109M" localSheetId="8">#REF!</definedName>
    <definedName name="DATA109M" localSheetId="11">#REF!</definedName>
    <definedName name="DATA109M" localSheetId="9">#REF!</definedName>
    <definedName name="DATA109M" localSheetId="18">#REF!</definedName>
    <definedName name="DATA109M" localSheetId="15">#REF!</definedName>
    <definedName name="DATA109M" localSheetId="7">#REF!</definedName>
    <definedName name="DATA109M">#REF!</definedName>
    <definedName name="DATA109N" localSheetId="12">#REF!</definedName>
    <definedName name="DATA109N" localSheetId="8">#REF!</definedName>
    <definedName name="DATA109N" localSheetId="11">#REF!</definedName>
    <definedName name="DATA109N" localSheetId="9">#REF!</definedName>
    <definedName name="DATA109N" localSheetId="18">#REF!</definedName>
    <definedName name="DATA109N" localSheetId="15">#REF!</definedName>
    <definedName name="DATA109N" localSheetId="7">#REF!</definedName>
    <definedName name="DATA109N">#REF!</definedName>
    <definedName name="DATA109O" localSheetId="12">#REF!</definedName>
    <definedName name="DATA109O" localSheetId="8">#REF!</definedName>
    <definedName name="DATA109O" localSheetId="11">#REF!</definedName>
    <definedName name="DATA109O" localSheetId="9">#REF!</definedName>
    <definedName name="DATA109O" localSheetId="18">#REF!</definedName>
    <definedName name="DATA109O" localSheetId="15">#REF!</definedName>
    <definedName name="DATA109O" localSheetId="7">#REF!</definedName>
    <definedName name="DATA109O">#REF!</definedName>
    <definedName name="DATA109P" localSheetId="12">#REF!</definedName>
    <definedName name="DATA109P" localSheetId="8">#REF!</definedName>
    <definedName name="DATA109P" localSheetId="11">#REF!</definedName>
    <definedName name="DATA109P" localSheetId="9">#REF!</definedName>
    <definedName name="DATA109P" localSheetId="18">#REF!</definedName>
    <definedName name="DATA109P" localSheetId="15">#REF!</definedName>
    <definedName name="DATA109P" localSheetId="7">#REF!</definedName>
    <definedName name="DATA109P">#REF!</definedName>
    <definedName name="DATA11" localSheetId="12">#REF!</definedName>
    <definedName name="DATA11" localSheetId="8">#REF!</definedName>
    <definedName name="DATA11" localSheetId="11">#REF!</definedName>
    <definedName name="DATA11" localSheetId="9">#REF!</definedName>
    <definedName name="DATA11" localSheetId="18">#REF!</definedName>
    <definedName name="DATA11" localSheetId="15">#REF!</definedName>
    <definedName name="DATA11" localSheetId="7">#REF!</definedName>
    <definedName name="DATA11">#REF!</definedName>
    <definedName name="DATA110A" localSheetId="12">#REF!</definedName>
    <definedName name="DATA110A" localSheetId="8">#REF!</definedName>
    <definedName name="DATA110A" localSheetId="11">#REF!</definedName>
    <definedName name="DATA110A" localSheetId="9">#REF!</definedName>
    <definedName name="DATA110A" localSheetId="18">#REF!</definedName>
    <definedName name="DATA110A" localSheetId="15">#REF!</definedName>
    <definedName name="DATA110A" localSheetId="7">#REF!</definedName>
    <definedName name="DATA110A">#REF!</definedName>
    <definedName name="DATA110B" localSheetId="12">#REF!</definedName>
    <definedName name="DATA110B" localSheetId="8">#REF!</definedName>
    <definedName name="DATA110B" localSheetId="11">#REF!</definedName>
    <definedName name="DATA110B" localSheetId="9">#REF!</definedName>
    <definedName name="DATA110B" localSheetId="18">#REF!</definedName>
    <definedName name="DATA110B" localSheetId="15">#REF!</definedName>
    <definedName name="DATA110B" localSheetId="7">#REF!</definedName>
    <definedName name="DATA110B">#REF!</definedName>
    <definedName name="DATA110C" localSheetId="12">#REF!</definedName>
    <definedName name="DATA110C" localSheetId="8">#REF!</definedName>
    <definedName name="DATA110C" localSheetId="11">#REF!</definedName>
    <definedName name="DATA110C" localSheetId="9">#REF!</definedName>
    <definedName name="DATA110C" localSheetId="18">#REF!</definedName>
    <definedName name="DATA110C" localSheetId="15">#REF!</definedName>
    <definedName name="DATA110C" localSheetId="7">#REF!</definedName>
    <definedName name="DATA110C">#REF!</definedName>
    <definedName name="DATA110D" localSheetId="12">#REF!</definedName>
    <definedName name="DATA110D" localSheetId="8">#REF!</definedName>
    <definedName name="DATA110D" localSheetId="11">#REF!</definedName>
    <definedName name="DATA110D" localSheetId="9">#REF!</definedName>
    <definedName name="DATA110D" localSheetId="18">#REF!</definedName>
    <definedName name="DATA110D" localSheetId="15">#REF!</definedName>
    <definedName name="DATA110D" localSheetId="7">#REF!</definedName>
    <definedName name="DATA110D">#REF!</definedName>
    <definedName name="DATA110E" localSheetId="12">#REF!</definedName>
    <definedName name="DATA110E" localSheetId="8">#REF!</definedName>
    <definedName name="DATA110E" localSheetId="11">#REF!</definedName>
    <definedName name="DATA110E" localSheetId="9">#REF!</definedName>
    <definedName name="DATA110E" localSheetId="18">#REF!</definedName>
    <definedName name="DATA110E" localSheetId="15">#REF!</definedName>
    <definedName name="DATA110E" localSheetId="7">#REF!</definedName>
    <definedName name="DATA110E">#REF!</definedName>
    <definedName name="DATA110F" localSheetId="12">#REF!</definedName>
    <definedName name="DATA110F" localSheetId="8">#REF!</definedName>
    <definedName name="DATA110F" localSheetId="11">#REF!</definedName>
    <definedName name="DATA110F" localSheetId="9">#REF!</definedName>
    <definedName name="DATA110F" localSheetId="18">#REF!</definedName>
    <definedName name="DATA110F" localSheetId="15">#REF!</definedName>
    <definedName name="DATA110F" localSheetId="7">#REF!</definedName>
    <definedName name="DATA110F">#REF!</definedName>
    <definedName name="DATA110G" localSheetId="12">#REF!</definedName>
    <definedName name="DATA110G" localSheetId="8">#REF!</definedName>
    <definedName name="DATA110G" localSheetId="11">#REF!</definedName>
    <definedName name="DATA110G" localSheetId="9">#REF!</definedName>
    <definedName name="DATA110G" localSheetId="18">#REF!</definedName>
    <definedName name="DATA110G" localSheetId="15">#REF!</definedName>
    <definedName name="DATA110G" localSheetId="7">#REF!</definedName>
    <definedName name="DATA110G">#REF!</definedName>
    <definedName name="DATA110H" localSheetId="12">#REF!</definedName>
    <definedName name="DATA110H" localSheetId="8">#REF!</definedName>
    <definedName name="DATA110H" localSheetId="11">#REF!</definedName>
    <definedName name="DATA110H" localSheetId="9">#REF!</definedName>
    <definedName name="DATA110H" localSheetId="18">#REF!</definedName>
    <definedName name="DATA110H" localSheetId="15">#REF!</definedName>
    <definedName name="DATA110H" localSheetId="7">#REF!</definedName>
    <definedName name="DATA110H">#REF!</definedName>
    <definedName name="DATA110I" localSheetId="12">#REF!</definedName>
    <definedName name="DATA110I" localSheetId="8">#REF!</definedName>
    <definedName name="DATA110I" localSheetId="11">#REF!</definedName>
    <definedName name="DATA110I" localSheetId="9">#REF!</definedName>
    <definedName name="DATA110I" localSheetId="18">#REF!</definedName>
    <definedName name="DATA110I" localSheetId="15">#REF!</definedName>
    <definedName name="DATA110I" localSheetId="7">#REF!</definedName>
    <definedName name="DATA110I">#REF!</definedName>
    <definedName name="DATA110J" localSheetId="12">#REF!</definedName>
    <definedName name="DATA110J" localSheetId="8">#REF!</definedName>
    <definedName name="DATA110J" localSheetId="11">#REF!</definedName>
    <definedName name="DATA110J" localSheetId="9">#REF!</definedName>
    <definedName name="DATA110J" localSheetId="18">#REF!</definedName>
    <definedName name="DATA110J" localSheetId="15">#REF!</definedName>
    <definedName name="DATA110J" localSheetId="7">#REF!</definedName>
    <definedName name="DATA110J">#REF!</definedName>
    <definedName name="DATA110K" localSheetId="12">#REF!</definedName>
    <definedName name="DATA110K" localSheetId="8">#REF!</definedName>
    <definedName name="DATA110K" localSheetId="11">#REF!</definedName>
    <definedName name="DATA110K" localSheetId="9">#REF!</definedName>
    <definedName name="DATA110K" localSheetId="18">#REF!</definedName>
    <definedName name="DATA110K" localSheetId="15">#REF!</definedName>
    <definedName name="DATA110K" localSheetId="7">#REF!</definedName>
    <definedName name="DATA110K">#REF!</definedName>
    <definedName name="DATA110L" localSheetId="12">#REF!</definedName>
    <definedName name="DATA110L" localSheetId="8">#REF!</definedName>
    <definedName name="DATA110L" localSheetId="11">#REF!</definedName>
    <definedName name="DATA110L" localSheetId="9">#REF!</definedName>
    <definedName name="DATA110L" localSheetId="18">#REF!</definedName>
    <definedName name="DATA110L" localSheetId="15">#REF!</definedName>
    <definedName name="DATA110L" localSheetId="7">#REF!</definedName>
    <definedName name="DATA110L">#REF!</definedName>
    <definedName name="DATA110M" localSheetId="12">#REF!</definedName>
    <definedName name="DATA110M" localSheetId="8">#REF!</definedName>
    <definedName name="DATA110M" localSheetId="11">#REF!</definedName>
    <definedName name="DATA110M" localSheetId="9">#REF!</definedName>
    <definedName name="DATA110M" localSheetId="18">#REF!</definedName>
    <definedName name="DATA110M" localSheetId="15">#REF!</definedName>
    <definedName name="DATA110M" localSheetId="7">#REF!</definedName>
    <definedName name="DATA110M">#REF!</definedName>
    <definedName name="DATA110N" localSheetId="12">#REF!</definedName>
    <definedName name="DATA110N" localSheetId="8">#REF!</definedName>
    <definedName name="DATA110N" localSheetId="11">#REF!</definedName>
    <definedName name="DATA110N" localSheetId="9">#REF!</definedName>
    <definedName name="DATA110N" localSheetId="18">#REF!</definedName>
    <definedName name="DATA110N" localSheetId="15">#REF!</definedName>
    <definedName name="DATA110N" localSheetId="7">#REF!</definedName>
    <definedName name="DATA110N">#REF!</definedName>
    <definedName name="DATA110O" localSheetId="12">#REF!</definedName>
    <definedName name="DATA110O" localSheetId="8">#REF!</definedName>
    <definedName name="DATA110O" localSheetId="11">#REF!</definedName>
    <definedName name="DATA110O" localSheetId="9">#REF!</definedName>
    <definedName name="DATA110O" localSheetId="18">#REF!</definedName>
    <definedName name="DATA110O" localSheetId="15">#REF!</definedName>
    <definedName name="DATA110O" localSheetId="7">#REF!</definedName>
    <definedName name="DATA110O">#REF!</definedName>
    <definedName name="DATA110P" localSheetId="12">#REF!</definedName>
    <definedName name="DATA110P" localSheetId="8">#REF!</definedName>
    <definedName name="DATA110P" localSheetId="11">#REF!</definedName>
    <definedName name="DATA110P" localSheetId="9">#REF!</definedName>
    <definedName name="DATA110P" localSheetId="18">#REF!</definedName>
    <definedName name="DATA110P" localSheetId="15">#REF!</definedName>
    <definedName name="DATA110P" localSheetId="7">#REF!</definedName>
    <definedName name="DATA110P">#REF!</definedName>
    <definedName name="DATA111A" localSheetId="12">#REF!</definedName>
    <definedName name="DATA111A" localSheetId="8">#REF!</definedName>
    <definedName name="DATA111A" localSheetId="11">#REF!</definedName>
    <definedName name="DATA111A" localSheetId="9">#REF!</definedName>
    <definedName name="DATA111A" localSheetId="18">#REF!</definedName>
    <definedName name="DATA111A" localSheetId="15">#REF!</definedName>
    <definedName name="DATA111A" localSheetId="7">#REF!</definedName>
    <definedName name="DATA111A">#REF!</definedName>
    <definedName name="DATA111B" localSheetId="12">#REF!</definedName>
    <definedName name="DATA111B" localSheetId="8">#REF!</definedName>
    <definedName name="DATA111B" localSheetId="11">#REF!</definedName>
    <definedName name="DATA111B" localSheetId="9">#REF!</definedName>
    <definedName name="DATA111B" localSheetId="18">#REF!</definedName>
    <definedName name="DATA111B" localSheetId="15">#REF!</definedName>
    <definedName name="DATA111B" localSheetId="7">#REF!</definedName>
    <definedName name="DATA111B">#REF!</definedName>
    <definedName name="DATA111C" localSheetId="12">#REF!</definedName>
    <definedName name="DATA111C" localSheetId="8">#REF!</definedName>
    <definedName name="DATA111C" localSheetId="11">#REF!</definedName>
    <definedName name="DATA111C" localSheetId="9">#REF!</definedName>
    <definedName name="DATA111C" localSheetId="18">#REF!</definedName>
    <definedName name="DATA111C" localSheetId="15">#REF!</definedName>
    <definedName name="DATA111C" localSheetId="7">#REF!</definedName>
    <definedName name="DATA111C">#REF!</definedName>
    <definedName name="DATA111D" localSheetId="12">#REF!</definedName>
    <definedName name="DATA111D" localSheetId="8">#REF!</definedName>
    <definedName name="DATA111D" localSheetId="11">#REF!</definedName>
    <definedName name="DATA111D" localSheetId="9">#REF!</definedName>
    <definedName name="DATA111D" localSheetId="18">#REF!</definedName>
    <definedName name="DATA111D" localSheetId="15">#REF!</definedName>
    <definedName name="DATA111D" localSheetId="7">#REF!</definedName>
    <definedName name="DATA111D">#REF!</definedName>
    <definedName name="DATA111E" localSheetId="12">#REF!</definedName>
    <definedName name="DATA111E" localSheetId="8">#REF!</definedName>
    <definedName name="DATA111E" localSheetId="11">#REF!</definedName>
    <definedName name="DATA111E" localSheetId="9">#REF!</definedName>
    <definedName name="DATA111E" localSheetId="18">#REF!</definedName>
    <definedName name="DATA111E" localSheetId="15">#REF!</definedName>
    <definedName name="DATA111E" localSheetId="7">#REF!</definedName>
    <definedName name="DATA111E">#REF!</definedName>
    <definedName name="DATA111F" localSheetId="12">#REF!</definedName>
    <definedName name="DATA111F" localSheetId="8">#REF!</definedName>
    <definedName name="DATA111F" localSheetId="11">#REF!</definedName>
    <definedName name="DATA111F" localSheetId="9">#REF!</definedName>
    <definedName name="DATA111F" localSheetId="18">#REF!</definedName>
    <definedName name="DATA111F" localSheetId="15">#REF!</definedName>
    <definedName name="DATA111F" localSheetId="7">#REF!</definedName>
    <definedName name="DATA111F">#REF!</definedName>
    <definedName name="DATA111G" localSheetId="12">#REF!</definedName>
    <definedName name="DATA111G" localSheetId="8">#REF!</definedName>
    <definedName name="DATA111G" localSheetId="11">#REF!</definedName>
    <definedName name="DATA111G" localSheetId="9">#REF!</definedName>
    <definedName name="DATA111G" localSheetId="18">#REF!</definedName>
    <definedName name="DATA111G" localSheetId="15">#REF!</definedName>
    <definedName name="DATA111G" localSheetId="7">#REF!</definedName>
    <definedName name="DATA111G">#REF!</definedName>
    <definedName name="DATA111H" localSheetId="12">#REF!</definedName>
    <definedName name="DATA111H" localSheetId="8">#REF!</definedName>
    <definedName name="DATA111H" localSheetId="11">#REF!</definedName>
    <definedName name="DATA111H" localSheetId="9">#REF!</definedName>
    <definedName name="DATA111H" localSheetId="18">#REF!</definedName>
    <definedName name="DATA111H" localSheetId="15">#REF!</definedName>
    <definedName name="DATA111H" localSheetId="7">#REF!</definedName>
    <definedName name="DATA111H">#REF!</definedName>
    <definedName name="DATA111I" localSheetId="12">#REF!</definedName>
    <definedName name="DATA111I" localSheetId="8">#REF!</definedName>
    <definedName name="DATA111I" localSheetId="11">#REF!</definedName>
    <definedName name="DATA111I" localSheetId="9">#REF!</definedName>
    <definedName name="DATA111I" localSheetId="18">#REF!</definedName>
    <definedName name="DATA111I" localSheetId="15">#REF!</definedName>
    <definedName name="DATA111I" localSheetId="7">#REF!</definedName>
    <definedName name="DATA111I">#REF!</definedName>
    <definedName name="DATA111J" localSheetId="12">#REF!</definedName>
    <definedName name="DATA111J" localSheetId="8">#REF!</definedName>
    <definedName name="DATA111J" localSheetId="11">#REF!</definedName>
    <definedName name="DATA111J" localSheetId="9">#REF!</definedName>
    <definedName name="DATA111J" localSheetId="18">#REF!</definedName>
    <definedName name="DATA111J" localSheetId="15">#REF!</definedName>
    <definedName name="DATA111J" localSheetId="7">#REF!</definedName>
    <definedName name="DATA111J">#REF!</definedName>
    <definedName name="DATA111K" localSheetId="12">#REF!</definedName>
    <definedName name="DATA111K" localSheetId="8">#REF!</definedName>
    <definedName name="DATA111K" localSheetId="11">#REF!</definedName>
    <definedName name="DATA111K" localSheetId="9">#REF!</definedName>
    <definedName name="DATA111K" localSheetId="18">#REF!</definedName>
    <definedName name="DATA111K" localSheetId="15">#REF!</definedName>
    <definedName name="DATA111K" localSheetId="7">#REF!</definedName>
    <definedName name="DATA111K">#REF!</definedName>
    <definedName name="DATA111L" localSheetId="12">#REF!</definedName>
    <definedName name="DATA111L" localSheetId="8">#REF!</definedName>
    <definedName name="DATA111L" localSheetId="11">#REF!</definedName>
    <definedName name="DATA111L" localSheetId="9">#REF!</definedName>
    <definedName name="DATA111L" localSheetId="18">#REF!</definedName>
    <definedName name="DATA111L" localSheetId="15">#REF!</definedName>
    <definedName name="DATA111L" localSheetId="7">#REF!</definedName>
    <definedName name="DATA111L">#REF!</definedName>
    <definedName name="DATA111M" localSheetId="12">#REF!</definedName>
    <definedName name="DATA111M" localSheetId="8">#REF!</definedName>
    <definedName name="DATA111M" localSheetId="11">#REF!</definedName>
    <definedName name="DATA111M" localSheetId="9">#REF!</definedName>
    <definedName name="DATA111M" localSheetId="18">#REF!</definedName>
    <definedName name="DATA111M" localSheetId="15">#REF!</definedName>
    <definedName name="DATA111M" localSheetId="7">#REF!</definedName>
    <definedName name="DATA111M">#REF!</definedName>
    <definedName name="DATA111N" localSheetId="12">#REF!</definedName>
    <definedName name="DATA111N" localSheetId="8">#REF!</definedName>
    <definedName name="DATA111N" localSheetId="11">#REF!</definedName>
    <definedName name="DATA111N" localSheetId="9">#REF!</definedName>
    <definedName name="DATA111N" localSheetId="18">#REF!</definedName>
    <definedName name="DATA111N" localSheetId="15">#REF!</definedName>
    <definedName name="DATA111N" localSheetId="7">#REF!</definedName>
    <definedName name="DATA111N">#REF!</definedName>
    <definedName name="DATA111O" localSheetId="12">#REF!</definedName>
    <definedName name="DATA111O" localSheetId="8">#REF!</definedName>
    <definedName name="DATA111O" localSheetId="11">#REF!</definedName>
    <definedName name="DATA111O" localSheetId="9">#REF!</definedName>
    <definedName name="DATA111O" localSheetId="18">#REF!</definedName>
    <definedName name="DATA111O" localSheetId="15">#REF!</definedName>
    <definedName name="DATA111O" localSheetId="7">#REF!</definedName>
    <definedName name="DATA111O">#REF!</definedName>
    <definedName name="DATA111P" localSheetId="12">#REF!</definedName>
    <definedName name="DATA111P" localSheetId="8">#REF!</definedName>
    <definedName name="DATA111P" localSheetId="11">#REF!</definedName>
    <definedName name="DATA111P" localSheetId="9">#REF!</definedName>
    <definedName name="DATA111P" localSheetId="18">#REF!</definedName>
    <definedName name="DATA111P" localSheetId="15">#REF!</definedName>
    <definedName name="DATA111P" localSheetId="7">#REF!</definedName>
    <definedName name="DATA111P">#REF!</definedName>
    <definedName name="DATA112A" localSheetId="12">#REF!</definedName>
    <definedName name="DATA112A" localSheetId="8">#REF!</definedName>
    <definedName name="DATA112A" localSheetId="11">#REF!</definedName>
    <definedName name="DATA112A" localSheetId="9">#REF!</definedName>
    <definedName name="DATA112A" localSheetId="18">#REF!</definedName>
    <definedName name="DATA112A" localSheetId="15">#REF!</definedName>
    <definedName name="DATA112A" localSheetId="7">#REF!</definedName>
    <definedName name="DATA112A">#REF!</definedName>
    <definedName name="DATA112B" localSheetId="12">#REF!</definedName>
    <definedName name="DATA112B" localSheetId="8">#REF!</definedName>
    <definedName name="DATA112B" localSheetId="11">#REF!</definedName>
    <definedName name="DATA112B" localSheetId="9">#REF!</definedName>
    <definedName name="DATA112B" localSheetId="18">#REF!</definedName>
    <definedName name="DATA112B" localSheetId="15">#REF!</definedName>
    <definedName name="DATA112B" localSheetId="7">#REF!</definedName>
    <definedName name="DATA112B">#REF!</definedName>
    <definedName name="DATA112C" localSheetId="12">#REF!</definedName>
    <definedName name="DATA112C" localSheetId="8">#REF!</definedName>
    <definedName name="DATA112C" localSheetId="11">#REF!</definedName>
    <definedName name="DATA112C" localSheetId="9">#REF!</definedName>
    <definedName name="DATA112C" localSheetId="18">#REF!</definedName>
    <definedName name="DATA112C" localSheetId="15">#REF!</definedName>
    <definedName name="DATA112C" localSheetId="7">#REF!</definedName>
    <definedName name="DATA112C">#REF!</definedName>
    <definedName name="DATA112D" localSheetId="12">#REF!</definedName>
    <definedName name="DATA112D" localSheetId="8">#REF!</definedName>
    <definedName name="DATA112D" localSheetId="11">#REF!</definedName>
    <definedName name="DATA112D" localSheetId="9">#REF!</definedName>
    <definedName name="DATA112D" localSheetId="18">#REF!</definedName>
    <definedName name="DATA112D" localSheetId="15">#REF!</definedName>
    <definedName name="DATA112D" localSheetId="7">#REF!</definedName>
    <definedName name="DATA112D">#REF!</definedName>
    <definedName name="DATA112E" localSheetId="12">#REF!</definedName>
    <definedName name="DATA112E" localSheetId="8">#REF!</definedName>
    <definedName name="DATA112E" localSheetId="11">#REF!</definedName>
    <definedName name="DATA112E" localSheetId="9">#REF!</definedName>
    <definedName name="DATA112E" localSheetId="18">#REF!</definedName>
    <definedName name="DATA112E" localSheetId="15">#REF!</definedName>
    <definedName name="DATA112E" localSheetId="7">#REF!</definedName>
    <definedName name="DATA112E">#REF!</definedName>
    <definedName name="DATA112F" localSheetId="12">#REF!</definedName>
    <definedName name="DATA112F" localSheetId="8">#REF!</definedName>
    <definedName name="DATA112F" localSheetId="11">#REF!</definedName>
    <definedName name="DATA112F" localSheetId="9">#REF!</definedName>
    <definedName name="DATA112F" localSheetId="18">#REF!</definedName>
    <definedName name="DATA112F" localSheetId="15">#REF!</definedName>
    <definedName name="DATA112F" localSheetId="7">#REF!</definedName>
    <definedName name="DATA112F">#REF!</definedName>
    <definedName name="DATA112G" localSheetId="12">#REF!</definedName>
    <definedName name="DATA112G" localSheetId="8">#REF!</definedName>
    <definedName name="DATA112G" localSheetId="11">#REF!</definedName>
    <definedName name="DATA112G" localSheetId="9">#REF!</definedName>
    <definedName name="DATA112G" localSheetId="18">#REF!</definedName>
    <definedName name="DATA112G" localSheetId="15">#REF!</definedName>
    <definedName name="DATA112G" localSheetId="7">#REF!</definedName>
    <definedName name="DATA112G">#REF!</definedName>
    <definedName name="DATA112H" localSheetId="12">#REF!</definedName>
    <definedName name="DATA112H" localSheetId="8">#REF!</definedName>
    <definedName name="DATA112H" localSheetId="11">#REF!</definedName>
    <definedName name="DATA112H" localSheetId="9">#REF!</definedName>
    <definedName name="DATA112H" localSheetId="18">#REF!</definedName>
    <definedName name="DATA112H" localSheetId="15">#REF!</definedName>
    <definedName name="DATA112H" localSheetId="7">#REF!</definedName>
    <definedName name="DATA112H">#REF!</definedName>
    <definedName name="DATA112I" localSheetId="12">#REF!</definedName>
    <definedName name="DATA112I" localSheetId="8">#REF!</definedName>
    <definedName name="DATA112I" localSheetId="11">#REF!</definedName>
    <definedName name="DATA112I" localSheetId="9">#REF!</definedName>
    <definedName name="DATA112I" localSheetId="18">#REF!</definedName>
    <definedName name="DATA112I" localSheetId="15">#REF!</definedName>
    <definedName name="DATA112I" localSheetId="7">#REF!</definedName>
    <definedName name="DATA112I">#REF!</definedName>
    <definedName name="DATA112J" localSheetId="12">#REF!</definedName>
    <definedName name="DATA112J" localSheetId="8">#REF!</definedName>
    <definedName name="DATA112J" localSheetId="11">#REF!</definedName>
    <definedName name="DATA112J" localSheetId="9">#REF!</definedName>
    <definedName name="DATA112J" localSheetId="18">#REF!</definedName>
    <definedName name="DATA112J" localSheetId="15">#REF!</definedName>
    <definedName name="DATA112J" localSheetId="7">#REF!</definedName>
    <definedName name="DATA112J">#REF!</definedName>
    <definedName name="DATA112K" localSheetId="12">#REF!</definedName>
    <definedName name="DATA112K" localSheetId="8">#REF!</definedName>
    <definedName name="DATA112K" localSheetId="11">#REF!</definedName>
    <definedName name="DATA112K" localSheetId="9">#REF!</definedName>
    <definedName name="DATA112K" localSheetId="18">#REF!</definedName>
    <definedName name="DATA112K" localSheetId="15">#REF!</definedName>
    <definedName name="DATA112K" localSheetId="7">#REF!</definedName>
    <definedName name="DATA112K">#REF!</definedName>
    <definedName name="DATA112L" localSheetId="12">#REF!</definedName>
    <definedName name="DATA112L" localSheetId="8">#REF!</definedName>
    <definedName name="DATA112L" localSheetId="11">#REF!</definedName>
    <definedName name="DATA112L" localSheetId="9">#REF!</definedName>
    <definedName name="DATA112L" localSheetId="18">#REF!</definedName>
    <definedName name="DATA112L" localSheetId="15">#REF!</definedName>
    <definedName name="DATA112L" localSheetId="7">#REF!</definedName>
    <definedName name="DATA112L">#REF!</definedName>
    <definedName name="DATA112M" localSheetId="12">#REF!</definedName>
    <definedName name="DATA112M" localSheetId="8">#REF!</definedName>
    <definedName name="DATA112M" localSheetId="11">#REF!</definedName>
    <definedName name="DATA112M" localSheetId="9">#REF!</definedName>
    <definedName name="DATA112M" localSheetId="18">#REF!</definedName>
    <definedName name="DATA112M" localSheetId="15">#REF!</definedName>
    <definedName name="DATA112M" localSheetId="7">#REF!</definedName>
    <definedName name="DATA112M">#REF!</definedName>
    <definedName name="DATA112N" localSheetId="12">#REF!</definedName>
    <definedName name="DATA112N" localSheetId="8">#REF!</definedName>
    <definedName name="DATA112N" localSheetId="11">#REF!</definedName>
    <definedName name="DATA112N" localSheetId="9">#REF!</definedName>
    <definedName name="DATA112N" localSheetId="18">#REF!</definedName>
    <definedName name="DATA112N" localSheetId="15">#REF!</definedName>
    <definedName name="DATA112N" localSheetId="7">#REF!</definedName>
    <definedName name="DATA112N">#REF!</definedName>
    <definedName name="DATA112O" localSheetId="12">#REF!</definedName>
    <definedName name="DATA112O" localSheetId="8">#REF!</definedName>
    <definedName name="DATA112O" localSheetId="11">#REF!</definedName>
    <definedName name="DATA112O" localSheetId="9">#REF!</definedName>
    <definedName name="DATA112O" localSheetId="18">#REF!</definedName>
    <definedName name="DATA112O" localSheetId="15">#REF!</definedName>
    <definedName name="DATA112O" localSheetId="7">#REF!</definedName>
    <definedName name="DATA112O">#REF!</definedName>
    <definedName name="DATA112P" localSheetId="12">#REF!</definedName>
    <definedName name="DATA112P" localSheetId="8">#REF!</definedName>
    <definedName name="DATA112P" localSheetId="11">#REF!</definedName>
    <definedName name="DATA112P" localSheetId="9">#REF!</definedName>
    <definedName name="DATA112P" localSheetId="18">#REF!</definedName>
    <definedName name="DATA112P" localSheetId="15">#REF!</definedName>
    <definedName name="DATA112P" localSheetId="7">#REF!</definedName>
    <definedName name="DATA112P">#REF!</definedName>
    <definedName name="DATA113A" localSheetId="12">#REF!</definedName>
    <definedName name="DATA113A" localSheetId="8">#REF!</definedName>
    <definedName name="DATA113A" localSheetId="11">#REF!</definedName>
    <definedName name="DATA113A" localSheetId="9">#REF!</definedName>
    <definedName name="DATA113A" localSheetId="18">#REF!</definedName>
    <definedName name="DATA113A" localSheetId="15">#REF!</definedName>
    <definedName name="DATA113A" localSheetId="7">#REF!</definedName>
    <definedName name="DATA113A">#REF!</definedName>
    <definedName name="DATA113B" localSheetId="12">#REF!</definedName>
    <definedName name="DATA113B" localSheetId="8">#REF!</definedName>
    <definedName name="DATA113B" localSheetId="11">#REF!</definedName>
    <definedName name="DATA113B" localSheetId="9">#REF!</definedName>
    <definedName name="DATA113B" localSheetId="18">#REF!</definedName>
    <definedName name="DATA113B" localSheetId="15">#REF!</definedName>
    <definedName name="DATA113B" localSheetId="7">#REF!</definedName>
    <definedName name="DATA113B">#REF!</definedName>
    <definedName name="DATA113C" localSheetId="12">#REF!</definedName>
    <definedName name="DATA113C" localSheetId="8">#REF!</definedName>
    <definedName name="DATA113C" localSheetId="11">#REF!</definedName>
    <definedName name="DATA113C" localSheetId="9">#REF!</definedName>
    <definedName name="DATA113C" localSheetId="18">#REF!</definedName>
    <definedName name="DATA113C" localSheetId="15">#REF!</definedName>
    <definedName name="DATA113C" localSheetId="7">#REF!</definedName>
    <definedName name="DATA113C">#REF!</definedName>
    <definedName name="DATA113D" localSheetId="12">#REF!</definedName>
    <definedName name="DATA113D" localSheetId="8">#REF!</definedName>
    <definedName name="DATA113D" localSheetId="11">#REF!</definedName>
    <definedName name="DATA113D" localSheetId="9">#REF!</definedName>
    <definedName name="DATA113D" localSheetId="18">#REF!</definedName>
    <definedName name="DATA113D" localSheetId="15">#REF!</definedName>
    <definedName name="DATA113D" localSheetId="7">#REF!</definedName>
    <definedName name="DATA113D">#REF!</definedName>
    <definedName name="DATA113E" localSheetId="12">#REF!</definedName>
    <definedName name="DATA113E" localSheetId="8">#REF!</definedName>
    <definedName name="DATA113E" localSheetId="11">#REF!</definedName>
    <definedName name="DATA113E" localSheetId="9">#REF!</definedName>
    <definedName name="DATA113E" localSheetId="18">#REF!</definedName>
    <definedName name="DATA113E" localSheetId="15">#REF!</definedName>
    <definedName name="DATA113E" localSheetId="7">#REF!</definedName>
    <definedName name="DATA113E">#REF!</definedName>
    <definedName name="DATA113F" localSheetId="12">#REF!</definedName>
    <definedName name="DATA113F" localSheetId="8">#REF!</definedName>
    <definedName name="DATA113F" localSheetId="11">#REF!</definedName>
    <definedName name="DATA113F" localSheetId="9">#REF!</definedName>
    <definedName name="DATA113F" localSheetId="18">#REF!</definedName>
    <definedName name="DATA113F" localSheetId="15">#REF!</definedName>
    <definedName name="DATA113F" localSheetId="7">#REF!</definedName>
    <definedName name="DATA113F">#REF!</definedName>
    <definedName name="DATA113G" localSheetId="12">#REF!</definedName>
    <definedName name="DATA113G" localSheetId="8">#REF!</definedName>
    <definedName name="DATA113G" localSheetId="11">#REF!</definedName>
    <definedName name="DATA113G" localSheetId="9">#REF!</definedName>
    <definedName name="DATA113G" localSheetId="18">#REF!</definedName>
    <definedName name="DATA113G" localSheetId="15">#REF!</definedName>
    <definedName name="DATA113G" localSheetId="7">#REF!</definedName>
    <definedName name="DATA113G">#REF!</definedName>
    <definedName name="DATA113H" localSheetId="12">#REF!</definedName>
    <definedName name="DATA113H" localSheetId="8">#REF!</definedName>
    <definedName name="DATA113H" localSheetId="11">#REF!</definedName>
    <definedName name="DATA113H" localSheetId="9">#REF!</definedName>
    <definedName name="DATA113H" localSheetId="18">#REF!</definedName>
    <definedName name="DATA113H" localSheetId="15">#REF!</definedName>
    <definedName name="DATA113H" localSheetId="7">#REF!</definedName>
    <definedName name="DATA113H">#REF!</definedName>
    <definedName name="DATA113I" localSheetId="12">#REF!</definedName>
    <definedName name="DATA113I" localSheetId="8">#REF!</definedName>
    <definedName name="DATA113I" localSheetId="11">#REF!</definedName>
    <definedName name="DATA113I" localSheetId="9">#REF!</definedName>
    <definedName name="DATA113I" localSheetId="18">#REF!</definedName>
    <definedName name="DATA113I" localSheetId="15">#REF!</definedName>
    <definedName name="DATA113I" localSheetId="7">#REF!</definedName>
    <definedName name="DATA113I">#REF!</definedName>
    <definedName name="DATA113J" localSheetId="12">#REF!</definedName>
    <definedName name="DATA113J" localSheetId="8">#REF!</definedName>
    <definedName name="DATA113J" localSheetId="11">#REF!</definedName>
    <definedName name="DATA113J" localSheetId="9">#REF!</definedName>
    <definedName name="DATA113J" localSheetId="18">#REF!</definedName>
    <definedName name="DATA113J" localSheetId="15">#REF!</definedName>
    <definedName name="DATA113J" localSheetId="7">#REF!</definedName>
    <definedName name="DATA113J">#REF!</definedName>
    <definedName name="DATA113K" localSheetId="12">#REF!</definedName>
    <definedName name="DATA113K" localSheetId="8">#REF!</definedName>
    <definedName name="DATA113K" localSheetId="11">#REF!</definedName>
    <definedName name="DATA113K" localSheetId="9">#REF!</definedName>
    <definedName name="DATA113K" localSheetId="18">#REF!</definedName>
    <definedName name="DATA113K" localSheetId="15">#REF!</definedName>
    <definedName name="DATA113K" localSheetId="7">#REF!</definedName>
    <definedName name="DATA113K">#REF!</definedName>
    <definedName name="DATA114" localSheetId="12">#REF!</definedName>
    <definedName name="DATA114" localSheetId="8">#REF!</definedName>
    <definedName name="DATA114" localSheetId="11">#REF!</definedName>
    <definedName name="DATA114" localSheetId="9">#REF!</definedName>
    <definedName name="DATA114" localSheetId="18">#REF!</definedName>
    <definedName name="DATA114" localSheetId="15">#REF!</definedName>
    <definedName name="DATA114" localSheetId="7">#REF!</definedName>
    <definedName name="DATA114">#REF!</definedName>
    <definedName name="DATA115" localSheetId="12">#REF!</definedName>
    <definedName name="DATA115" localSheetId="8">#REF!</definedName>
    <definedName name="DATA115" localSheetId="11">#REF!</definedName>
    <definedName name="DATA115" localSheetId="9">#REF!</definedName>
    <definedName name="DATA115" localSheetId="18">#REF!</definedName>
    <definedName name="DATA115" localSheetId="15">#REF!</definedName>
    <definedName name="DATA115" localSheetId="7">#REF!</definedName>
    <definedName name="DATA115">#REF!</definedName>
    <definedName name="DATA116" localSheetId="12">#REF!</definedName>
    <definedName name="DATA116" localSheetId="8">#REF!</definedName>
    <definedName name="DATA116" localSheetId="11">#REF!</definedName>
    <definedName name="DATA116" localSheetId="9">#REF!</definedName>
    <definedName name="DATA116" localSheetId="18">#REF!</definedName>
    <definedName name="DATA116" localSheetId="15">#REF!</definedName>
    <definedName name="DATA116" localSheetId="7">#REF!</definedName>
    <definedName name="DATA116">#REF!</definedName>
    <definedName name="DATA117" localSheetId="12">#REF!</definedName>
    <definedName name="DATA117" localSheetId="8">#REF!</definedName>
    <definedName name="DATA117" localSheetId="11">#REF!</definedName>
    <definedName name="DATA117" localSheetId="9">#REF!</definedName>
    <definedName name="DATA117" localSheetId="18">#REF!</definedName>
    <definedName name="DATA117" localSheetId="15">#REF!</definedName>
    <definedName name="DATA117" localSheetId="7">#REF!</definedName>
    <definedName name="DATA117">#REF!</definedName>
    <definedName name="DATA118" localSheetId="12">#REF!</definedName>
    <definedName name="DATA118" localSheetId="8">#REF!</definedName>
    <definedName name="DATA118" localSheetId="11">#REF!</definedName>
    <definedName name="DATA118" localSheetId="9">#REF!</definedName>
    <definedName name="DATA118" localSheetId="18">#REF!</definedName>
    <definedName name="DATA118" localSheetId="15">#REF!</definedName>
    <definedName name="DATA118" localSheetId="7">#REF!</definedName>
    <definedName name="DATA118">#REF!</definedName>
    <definedName name="DATA119" localSheetId="12">#REF!</definedName>
    <definedName name="DATA119" localSheetId="8">#REF!</definedName>
    <definedName name="DATA119" localSheetId="11">#REF!</definedName>
    <definedName name="DATA119" localSheetId="9">#REF!</definedName>
    <definedName name="DATA119" localSheetId="18">#REF!</definedName>
    <definedName name="DATA119" localSheetId="15">#REF!</definedName>
    <definedName name="DATA119" localSheetId="7">#REF!</definedName>
    <definedName name="DATA119">#REF!</definedName>
    <definedName name="DATA12" localSheetId="12">#REF!</definedName>
    <definedName name="DATA12" localSheetId="8">#REF!</definedName>
    <definedName name="DATA12" localSheetId="11">#REF!</definedName>
    <definedName name="DATA12" localSheetId="9">#REF!</definedName>
    <definedName name="DATA12" localSheetId="18">#REF!</definedName>
    <definedName name="DATA12" localSheetId="15">#REF!</definedName>
    <definedName name="DATA12" localSheetId="7">#REF!</definedName>
    <definedName name="DATA12">#REF!</definedName>
    <definedName name="DATA120" localSheetId="12">#REF!</definedName>
    <definedName name="DATA120" localSheetId="8">#REF!</definedName>
    <definedName name="DATA120" localSheetId="11">#REF!</definedName>
    <definedName name="DATA120" localSheetId="9">#REF!</definedName>
    <definedName name="DATA120" localSheetId="18">#REF!</definedName>
    <definedName name="DATA120" localSheetId="15">#REF!</definedName>
    <definedName name="DATA120" localSheetId="7">#REF!</definedName>
    <definedName name="DATA120">#REF!</definedName>
    <definedName name="DATA121" localSheetId="12">#REF!</definedName>
    <definedName name="DATA121" localSheetId="8">#REF!</definedName>
    <definedName name="DATA121" localSheetId="11">#REF!</definedName>
    <definedName name="DATA121" localSheetId="9">#REF!</definedName>
    <definedName name="DATA121" localSheetId="18">#REF!</definedName>
    <definedName name="DATA121" localSheetId="15">#REF!</definedName>
    <definedName name="DATA121" localSheetId="7">#REF!</definedName>
    <definedName name="DATA121">#REF!</definedName>
    <definedName name="DATA122" localSheetId="12">#REF!</definedName>
    <definedName name="DATA122" localSheetId="8">#REF!</definedName>
    <definedName name="DATA122" localSheetId="11">#REF!</definedName>
    <definedName name="DATA122" localSheetId="9">#REF!</definedName>
    <definedName name="DATA122" localSheetId="18">#REF!</definedName>
    <definedName name="DATA122" localSheetId="15">#REF!</definedName>
    <definedName name="DATA122" localSheetId="7">#REF!</definedName>
    <definedName name="DATA122">#REF!</definedName>
    <definedName name="DATA123" localSheetId="12">#REF!</definedName>
    <definedName name="DATA123" localSheetId="8">#REF!</definedName>
    <definedName name="DATA123" localSheetId="11">#REF!</definedName>
    <definedName name="DATA123" localSheetId="9">#REF!</definedName>
    <definedName name="DATA123" localSheetId="18">#REF!</definedName>
    <definedName name="DATA123" localSheetId="15">#REF!</definedName>
    <definedName name="DATA123" localSheetId="7">#REF!</definedName>
    <definedName name="DATA123">#REF!</definedName>
    <definedName name="DATA124" localSheetId="12">#REF!</definedName>
    <definedName name="DATA124" localSheetId="8">#REF!</definedName>
    <definedName name="DATA124" localSheetId="11">#REF!</definedName>
    <definedName name="DATA124" localSheetId="9">#REF!</definedName>
    <definedName name="DATA124" localSheetId="18">#REF!</definedName>
    <definedName name="DATA124" localSheetId="15">#REF!</definedName>
    <definedName name="DATA124" localSheetId="7">#REF!</definedName>
    <definedName name="DATA124">#REF!</definedName>
    <definedName name="DATA125" localSheetId="12">#REF!</definedName>
    <definedName name="DATA125" localSheetId="8">#REF!</definedName>
    <definedName name="DATA125" localSheetId="11">#REF!</definedName>
    <definedName name="DATA125" localSheetId="9">#REF!</definedName>
    <definedName name="DATA125" localSheetId="18">#REF!</definedName>
    <definedName name="DATA125" localSheetId="15">#REF!</definedName>
    <definedName name="DATA125" localSheetId="7">#REF!</definedName>
    <definedName name="DATA125">#REF!</definedName>
    <definedName name="DATA126" localSheetId="12">#REF!</definedName>
    <definedName name="DATA126" localSheetId="8">#REF!</definedName>
    <definedName name="DATA126" localSheetId="11">#REF!</definedName>
    <definedName name="DATA126" localSheetId="9">#REF!</definedName>
    <definedName name="DATA126" localSheetId="18">#REF!</definedName>
    <definedName name="DATA126" localSheetId="15">#REF!</definedName>
    <definedName name="DATA126" localSheetId="7">#REF!</definedName>
    <definedName name="DATA126">#REF!</definedName>
    <definedName name="DATA127A" localSheetId="12">#REF!</definedName>
    <definedName name="DATA127A" localSheetId="8">#REF!</definedName>
    <definedName name="DATA127A" localSheetId="11">#REF!</definedName>
    <definedName name="DATA127A" localSheetId="9">#REF!</definedName>
    <definedName name="DATA127A" localSheetId="18">#REF!</definedName>
    <definedName name="DATA127A" localSheetId="15">#REF!</definedName>
    <definedName name="DATA127A" localSheetId="7">#REF!</definedName>
    <definedName name="DATA127A">#REF!</definedName>
    <definedName name="DATA127B" localSheetId="12">#REF!</definedName>
    <definedName name="DATA127B" localSheetId="8">#REF!</definedName>
    <definedName name="DATA127B" localSheetId="11">#REF!</definedName>
    <definedName name="DATA127B" localSheetId="9">#REF!</definedName>
    <definedName name="DATA127B" localSheetId="18">#REF!</definedName>
    <definedName name="DATA127B" localSheetId="15">#REF!</definedName>
    <definedName name="DATA127B" localSheetId="7">#REF!</definedName>
    <definedName name="DATA127B">#REF!</definedName>
    <definedName name="DATA127C" localSheetId="12">#REF!</definedName>
    <definedName name="DATA127C" localSheetId="8">#REF!</definedName>
    <definedName name="DATA127C" localSheetId="11">#REF!</definedName>
    <definedName name="DATA127C" localSheetId="9">#REF!</definedName>
    <definedName name="DATA127C" localSheetId="18">#REF!</definedName>
    <definedName name="DATA127C" localSheetId="15">#REF!</definedName>
    <definedName name="DATA127C" localSheetId="7">#REF!</definedName>
    <definedName name="DATA127C">#REF!</definedName>
    <definedName name="DATA127D" localSheetId="12">#REF!</definedName>
    <definedName name="DATA127D" localSheetId="8">#REF!</definedName>
    <definedName name="DATA127D" localSheetId="11">#REF!</definedName>
    <definedName name="DATA127D" localSheetId="9">#REF!</definedName>
    <definedName name="DATA127D" localSheetId="18">#REF!</definedName>
    <definedName name="DATA127D" localSheetId="15">#REF!</definedName>
    <definedName name="DATA127D" localSheetId="7">#REF!</definedName>
    <definedName name="DATA127D">#REF!</definedName>
    <definedName name="DATA127E" localSheetId="12">#REF!</definedName>
    <definedName name="DATA127E" localSheetId="8">#REF!</definedName>
    <definedName name="DATA127E" localSheetId="11">#REF!</definedName>
    <definedName name="DATA127E" localSheetId="9">#REF!</definedName>
    <definedName name="DATA127E" localSheetId="18">#REF!</definedName>
    <definedName name="DATA127E" localSheetId="15">#REF!</definedName>
    <definedName name="DATA127E" localSheetId="7">#REF!</definedName>
    <definedName name="DATA127E">#REF!</definedName>
    <definedName name="DATA127F" localSheetId="12">#REF!</definedName>
    <definedName name="DATA127F" localSheetId="8">#REF!</definedName>
    <definedName name="DATA127F" localSheetId="11">#REF!</definedName>
    <definedName name="DATA127F" localSheetId="9">#REF!</definedName>
    <definedName name="DATA127F" localSheetId="18">#REF!</definedName>
    <definedName name="DATA127F" localSheetId="15">#REF!</definedName>
    <definedName name="DATA127F" localSheetId="7">#REF!</definedName>
    <definedName name="DATA127F">#REF!</definedName>
    <definedName name="DATA127G" localSheetId="12">#REF!</definedName>
    <definedName name="DATA127G" localSheetId="8">#REF!</definedName>
    <definedName name="DATA127G" localSheetId="11">#REF!</definedName>
    <definedName name="DATA127G" localSheetId="9">#REF!</definedName>
    <definedName name="DATA127G" localSheetId="18">#REF!</definedName>
    <definedName name="DATA127G" localSheetId="15">#REF!</definedName>
    <definedName name="DATA127G" localSheetId="7">#REF!</definedName>
    <definedName name="DATA127G">#REF!</definedName>
    <definedName name="DATA127H" localSheetId="12">#REF!</definedName>
    <definedName name="DATA127H" localSheetId="8">#REF!</definedName>
    <definedName name="DATA127H" localSheetId="11">#REF!</definedName>
    <definedName name="DATA127H" localSheetId="9">#REF!</definedName>
    <definedName name="DATA127H" localSheetId="18">#REF!</definedName>
    <definedName name="DATA127H" localSheetId="15">#REF!</definedName>
    <definedName name="DATA127H" localSheetId="7">#REF!</definedName>
    <definedName name="DATA127H">#REF!</definedName>
    <definedName name="DATA127I" localSheetId="12">#REF!</definedName>
    <definedName name="DATA127I" localSheetId="8">#REF!</definedName>
    <definedName name="DATA127I" localSheetId="11">#REF!</definedName>
    <definedName name="DATA127I" localSheetId="9">#REF!</definedName>
    <definedName name="DATA127I" localSheetId="18">#REF!</definedName>
    <definedName name="DATA127I" localSheetId="15">#REF!</definedName>
    <definedName name="DATA127I" localSheetId="7">#REF!</definedName>
    <definedName name="DATA127I">#REF!</definedName>
    <definedName name="DATA127J" localSheetId="12">#REF!</definedName>
    <definedName name="DATA127J" localSheetId="8">#REF!</definedName>
    <definedName name="DATA127J" localSheetId="11">#REF!</definedName>
    <definedName name="DATA127J" localSheetId="9">#REF!</definedName>
    <definedName name="DATA127J" localSheetId="18">#REF!</definedName>
    <definedName name="DATA127J" localSheetId="15">#REF!</definedName>
    <definedName name="DATA127J" localSheetId="7">#REF!</definedName>
    <definedName name="DATA127J">#REF!</definedName>
    <definedName name="DATA128A" localSheetId="12">#REF!</definedName>
    <definedName name="DATA128A" localSheetId="8">#REF!</definedName>
    <definedName name="DATA128A" localSheetId="11">#REF!</definedName>
    <definedName name="DATA128A" localSheetId="9">#REF!</definedName>
    <definedName name="DATA128A" localSheetId="18">#REF!</definedName>
    <definedName name="DATA128A" localSheetId="15">#REF!</definedName>
    <definedName name="DATA128A" localSheetId="7">#REF!</definedName>
    <definedName name="DATA128A">#REF!</definedName>
    <definedName name="DATA128B" localSheetId="12">#REF!</definedName>
    <definedName name="DATA128B" localSheetId="8">#REF!</definedName>
    <definedName name="DATA128B" localSheetId="11">#REF!</definedName>
    <definedName name="DATA128B" localSheetId="9">#REF!</definedName>
    <definedName name="DATA128B" localSheetId="18">#REF!</definedName>
    <definedName name="DATA128B" localSheetId="15">#REF!</definedName>
    <definedName name="DATA128B" localSheetId="7">#REF!</definedName>
    <definedName name="DATA128B">#REF!</definedName>
    <definedName name="DATA128C" localSheetId="12">#REF!</definedName>
    <definedName name="DATA128C" localSheetId="8">#REF!</definedName>
    <definedName name="DATA128C" localSheetId="11">#REF!</definedName>
    <definedName name="DATA128C" localSheetId="9">#REF!</definedName>
    <definedName name="DATA128C" localSheetId="18">#REF!</definedName>
    <definedName name="DATA128C" localSheetId="15">#REF!</definedName>
    <definedName name="DATA128C" localSheetId="7">#REF!</definedName>
    <definedName name="DATA128C">#REF!</definedName>
    <definedName name="DATA128D" localSheetId="12">#REF!</definedName>
    <definedName name="DATA128D" localSheetId="8">#REF!</definedName>
    <definedName name="DATA128D" localSheetId="11">#REF!</definedName>
    <definedName name="DATA128D" localSheetId="9">#REF!</definedName>
    <definedName name="DATA128D" localSheetId="18">#REF!</definedName>
    <definedName name="DATA128D" localSheetId="15">#REF!</definedName>
    <definedName name="DATA128D" localSheetId="7">#REF!</definedName>
    <definedName name="DATA128D">#REF!</definedName>
    <definedName name="DATA128E" localSheetId="12">#REF!</definedName>
    <definedName name="DATA128E" localSheetId="8">#REF!</definedName>
    <definedName name="DATA128E" localSheetId="11">#REF!</definedName>
    <definedName name="DATA128E" localSheetId="9">#REF!</definedName>
    <definedName name="DATA128E" localSheetId="18">#REF!</definedName>
    <definedName name="DATA128E" localSheetId="15">#REF!</definedName>
    <definedName name="DATA128E" localSheetId="7">#REF!</definedName>
    <definedName name="DATA128E">#REF!</definedName>
    <definedName name="DATA128F" localSheetId="12">#REF!</definedName>
    <definedName name="DATA128F" localSheetId="8">#REF!</definedName>
    <definedName name="DATA128F" localSheetId="11">#REF!</definedName>
    <definedName name="DATA128F" localSheetId="9">#REF!</definedName>
    <definedName name="DATA128F" localSheetId="18">#REF!</definedName>
    <definedName name="DATA128F" localSheetId="15">#REF!</definedName>
    <definedName name="DATA128F" localSheetId="7">#REF!</definedName>
    <definedName name="DATA128F">#REF!</definedName>
    <definedName name="DATA128G" localSheetId="12">#REF!</definedName>
    <definedName name="DATA128G" localSheetId="8">#REF!</definedName>
    <definedName name="DATA128G" localSheetId="11">#REF!</definedName>
    <definedName name="DATA128G" localSheetId="9">#REF!</definedName>
    <definedName name="DATA128G" localSheetId="18">#REF!</definedName>
    <definedName name="DATA128G" localSheetId="15">#REF!</definedName>
    <definedName name="DATA128G" localSheetId="7">#REF!</definedName>
    <definedName name="DATA128G">#REF!</definedName>
    <definedName name="DATA129A" localSheetId="12">#REF!</definedName>
    <definedName name="DATA129A" localSheetId="8">#REF!</definedName>
    <definedName name="DATA129A" localSheetId="11">#REF!</definedName>
    <definedName name="DATA129A" localSheetId="9">#REF!</definedName>
    <definedName name="DATA129A" localSheetId="18">#REF!</definedName>
    <definedName name="DATA129A" localSheetId="15">#REF!</definedName>
    <definedName name="DATA129A" localSheetId="7">#REF!</definedName>
    <definedName name="DATA129A">#REF!</definedName>
    <definedName name="DATA129B" localSheetId="12">#REF!</definedName>
    <definedName name="DATA129B" localSheetId="8">#REF!</definedName>
    <definedName name="DATA129B" localSheetId="11">#REF!</definedName>
    <definedName name="DATA129B" localSheetId="9">#REF!</definedName>
    <definedName name="DATA129B" localSheetId="18">#REF!</definedName>
    <definedName name="DATA129B" localSheetId="15">#REF!</definedName>
    <definedName name="DATA129B" localSheetId="7">#REF!</definedName>
    <definedName name="DATA129B">#REF!</definedName>
    <definedName name="DATA129C" localSheetId="12">#REF!</definedName>
    <definedName name="DATA129C" localSheetId="8">#REF!</definedName>
    <definedName name="DATA129C" localSheetId="11">#REF!</definedName>
    <definedName name="DATA129C" localSheetId="9">#REF!</definedName>
    <definedName name="DATA129C" localSheetId="18">#REF!</definedName>
    <definedName name="DATA129C" localSheetId="15">#REF!</definedName>
    <definedName name="DATA129C" localSheetId="7">#REF!</definedName>
    <definedName name="DATA129C">#REF!</definedName>
    <definedName name="DATA129D" localSheetId="12">#REF!</definedName>
    <definedName name="DATA129D" localSheetId="8">#REF!</definedName>
    <definedName name="DATA129D" localSheetId="11">#REF!</definedName>
    <definedName name="DATA129D" localSheetId="9">#REF!</definedName>
    <definedName name="DATA129D" localSheetId="18">#REF!</definedName>
    <definedName name="DATA129D" localSheetId="15">#REF!</definedName>
    <definedName name="DATA129D" localSheetId="7">#REF!</definedName>
    <definedName name="DATA129D">#REF!</definedName>
    <definedName name="DATA13" localSheetId="12">#REF!</definedName>
    <definedName name="DATA13" localSheetId="8">#REF!</definedName>
    <definedName name="DATA13" localSheetId="11">#REF!</definedName>
    <definedName name="DATA13" localSheetId="9">#REF!</definedName>
    <definedName name="DATA13" localSheetId="18">#REF!</definedName>
    <definedName name="DATA13" localSheetId="15">#REF!</definedName>
    <definedName name="DATA13" localSheetId="7">#REF!</definedName>
    <definedName name="DATA13">#REF!</definedName>
    <definedName name="DATA130A" localSheetId="12">#REF!</definedName>
    <definedName name="DATA130A" localSheetId="8">#REF!</definedName>
    <definedName name="DATA130A" localSheetId="11">#REF!</definedName>
    <definedName name="DATA130A" localSheetId="9">#REF!</definedName>
    <definedName name="DATA130A" localSheetId="18">#REF!</definedName>
    <definedName name="DATA130A" localSheetId="15">#REF!</definedName>
    <definedName name="DATA130A" localSheetId="7">#REF!</definedName>
    <definedName name="DATA130A">#REF!</definedName>
    <definedName name="DATA130B" localSheetId="12">#REF!</definedName>
    <definedName name="DATA130B" localSheetId="8">#REF!</definedName>
    <definedName name="DATA130B" localSheetId="11">#REF!</definedName>
    <definedName name="DATA130B" localSheetId="9">#REF!</definedName>
    <definedName name="DATA130B" localSheetId="18">#REF!</definedName>
    <definedName name="DATA130B" localSheetId="15">#REF!</definedName>
    <definedName name="DATA130B" localSheetId="7">#REF!</definedName>
    <definedName name="DATA130B">#REF!</definedName>
    <definedName name="DATA131" localSheetId="12">#REF!</definedName>
    <definedName name="DATA131" localSheetId="8">#REF!</definedName>
    <definedName name="DATA131" localSheetId="11">#REF!</definedName>
    <definedName name="DATA131" localSheetId="9">#REF!</definedName>
    <definedName name="DATA131" localSheetId="18">#REF!</definedName>
    <definedName name="DATA131" localSheetId="15">#REF!</definedName>
    <definedName name="DATA131" localSheetId="7">#REF!</definedName>
    <definedName name="DATA131">#REF!</definedName>
    <definedName name="DATA132" localSheetId="12">#REF!</definedName>
    <definedName name="DATA132" localSheetId="8">#REF!</definedName>
    <definedName name="DATA132" localSheetId="11">#REF!</definedName>
    <definedName name="DATA132" localSheetId="9">#REF!</definedName>
    <definedName name="DATA132" localSheetId="18">#REF!</definedName>
    <definedName name="DATA132" localSheetId="15">#REF!</definedName>
    <definedName name="DATA132" localSheetId="7">#REF!</definedName>
    <definedName name="DATA132">#REF!</definedName>
    <definedName name="DATA133" localSheetId="12">#REF!</definedName>
    <definedName name="DATA133" localSheetId="8">#REF!</definedName>
    <definedName name="DATA133" localSheetId="11">#REF!</definedName>
    <definedName name="DATA133" localSheetId="9">#REF!</definedName>
    <definedName name="DATA133" localSheetId="18">#REF!</definedName>
    <definedName name="DATA133" localSheetId="15">#REF!</definedName>
    <definedName name="DATA133" localSheetId="7">#REF!</definedName>
    <definedName name="DATA133">#REF!</definedName>
    <definedName name="DATA134110" localSheetId="12">#REF!</definedName>
    <definedName name="DATA134110" localSheetId="8">#REF!</definedName>
    <definedName name="DATA134110" localSheetId="11">#REF!</definedName>
    <definedName name="DATA134110" localSheetId="9">#REF!</definedName>
    <definedName name="DATA134110" localSheetId="18">#REF!</definedName>
    <definedName name="DATA134110" localSheetId="15">#REF!</definedName>
    <definedName name="DATA134110" localSheetId="7">#REF!</definedName>
    <definedName name="DATA134110">#REF!</definedName>
    <definedName name="DATA134125" localSheetId="12">#REF!</definedName>
    <definedName name="DATA134125" localSheetId="8">#REF!</definedName>
    <definedName name="DATA134125" localSheetId="11">#REF!</definedName>
    <definedName name="DATA134125" localSheetId="9">#REF!</definedName>
    <definedName name="DATA134125" localSheetId="18">#REF!</definedName>
    <definedName name="DATA134125" localSheetId="15">#REF!</definedName>
    <definedName name="DATA134125" localSheetId="7">#REF!</definedName>
    <definedName name="DATA134125">#REF!</definedName>
    <definedName name="DATA134140" localSheetId="12">#REF!</definedName>
    <definedName name="DATA134140" localSheetId="8">#REF!</definedName>
    <definedName name="DATA134140" localSheetId="11">#REF!</definedName>
    <definedName name="DATA134140" localSheetId="9">#REF!</definedName>
    <definedName name="DATA134140" localSheetId="18">#REF!</definedName>
    <definedName name="DATA134140" localSheetId="15">#REF!</definedName>
    <definedName name="DATA134140" localSheetId="7">#REF!</definedName>
    <definedName name="DATA134140">#REF!</definedName>
    <definedName name="DATA134160" localSheetId="12">#REF!</definedName>
    <definedName name="DATA134160" localSheetId="8">#REF!</definedName>
    <definedName name="DATA134160" localSheetId="11">#REF!</definedName>
    <definedName name="DATA134160" localSheetId="9">#REF!</definedName>
    <definedName name="DATA134160" localSheetId="18">#REF!</definedName>
    <definedName name="DATA134160" localSheetId="15">#REF!</definedName>
    <definedName name="DATA134160" localSheetId="7">#REF!</definedName>
    <definedName name="DATA134160">#REF!</definedName>
    <definedName name="DATA134180" localSheetId="12">#REF!</definedName>
    <definedName name="DATA134180" localSheetId="8">#REF!</definedName>
    <definedName name="DATA134180" localSheetId="11">#REF!</definedName>
    <definedName name="DATA134180" localSheetId="9">#REF!</definedName>
    <definedName name="DATA134180" localSheetId="18">#REF!</definedName>
    <definedName name="DATA134180" localSheetId="15">#REF!</definedName>
    <definedName name="DATA134180" localSheetId="7">#REF!</definedName>
    <definedName name="DATA134180">#REF!</definedName>
    <definedName name="DATA134200" localSheetId="12">#REF!</definedName>
    <definedName name="DATA134200" localSheetId="8">#REF!</definedName>
    <definedName name="DATA134200" localSheetId="11">#REF!</definedName>
    <definedName name="DATA134200" localSheetId="9">#REF!</definedName>
    <definedName name="DATA134200" localSheetId="18">#REF!</definedName>
    <definedName name="DATA134200" localSheetId="15">#REF!</definedName>
    <definedName name="DATA134200" localSheetId="7">#REF!</definedName>
    <definedName name="DATA134200">#REF!</definedName>
    <definedName name="DATA134225" localSheetId="12">#REF!</definedName>
    <definedName name="DATA134225" localSheetId="8">#REF!</definedName>
    <definedName name="DATA134225" localSheetId="11">#REF!</definedName>
    <definedName name="DATA134225" localSheetId="9">#REF!</definedName>
    <definedName name="DATA134225" localSheetId="18">#REF!</definedName>
    <definedName name="DATA134225" localSheetId="15">#REF!</definedName>
    <definedName name="DATA134225" localSheetId="7">#REF!</definedName>
    <definedName name="DATA134225">#REF!</definedName>
    <definedName name="DATA134250" localSheetId="12">#REF!</definedName>
    <definedName name="DATA134250" localSheetId="8">#REF!</definedName>
    <definedName name="DATA134250" localSheetId="11">#REF!</definedName>
    <definedName name="DATA134250" localSheetId="9">#REF!</definedName>
    <definedName name="DATA134250" localSheetId="18">#REF!</definedName>
    <definedName name="DATA134250" localSheetId="15">#REF!</definedName>
    <definedName name="DATA134250" localSheetId="7">#REF!</definedName>
    <definedName name="DATA134250">#REF!</definedName>
    <definedName name="DATA134280" localSheetId="12">#REF!</definedName>
    <definedName name="DATA134280" localSheetId="8">#REF!</definedName>
    <definedName name="DATA134280" localSheetId="11">#REF!</definedName>
    <definedName name="DATA134280" localSheetId="9">#REF!</definedName>
    <definedName name="DATA134280" localSheetId="18">#REF!</definedName>
    <definedName name="DATA134280" localSheetId="15">#REF!</definedName>
    <definedName name="DATA134280" localSheetId="7">#REF!</definedName>
    <definedName name="DATA134280">#REF!</definedName>
    <definedName name="DATA134315" localSheetId="12">#REF!</definedName>
    <definedName name="DATA134315" localSheetId="8">#REF!</definedName>
    <definedName name="DATA134315" localSheetId="11">#REF!</definedName>
    <definedName name="DATA134315" localSheetId="9">#REF!</definedName>
    <definedName name="DATA134315" localSheetId="18">#REF!</definedName>
    <definedName name="DATA134315" localSheetId="15">#REF!</definedName>
    <definedName name="DATA134315" localSheetId="7">#REF!</definedName>
    <definedName name="DATA134315">#REF!</definedName>
    <definedName name="DATA134355" localSheetId="12">#REF!</definedName>
    <definedName name="DATA134355" localSheetId="8">#REF!</definedName>
    <definedName name="DATA134355" localSheetId="11">#REF!</definedName>
    <definedName name="DATA134355" localSheetId="9">#REF!</definedName>
    <definedName name="DATA134355" localSheetId="18">#REF!</definedName>
    <definedName name="DATA134355" localSheetId="15">#REF!</definedName>
    <definedName name="DATA134355" localSheetId="7">#REF!</definedName>
    <definedName name="DATA134355">#REF!</definedName>
    <definedName name="DATA134400" localSheetId="12">#REF!</definedName>
    <definedName name="DATA134400" localSheetId="8">#REF!</definedName>
    <definedName name="DATA134400" localSheetId="11">#REF!</definedName>
    <definedName name="DATA134400" localSheetId="9">#REF!</definedName>
    <definedName name="DATA134400" localSheetId="18">#REF!</definedName>
    <definedName name="DATA134400" localSheetId="15">#REF!</definedName>
    <definedName name="DATA134400" localSheetId="7">#REF!</definedName>
    <definedName name="DATA134400">#REF!</definedName>
    <definedName name="DATA13450" localSheetId="12">#REF!</definedName>
    <definedName name="DATA13450" localSheetId="8">#REF!</definedName>
    <definedName name="DATA13450" localSheetId="11">#REF!</definedName>
    <definedName name="DATA13450" localSheetId="9">#REF!</definedName>
    <definedName name="DATA13450" localSheetId="18">#REF!</definedName>
    <definedName name="DATA13450" localSheetId="15">#REF!</definedName>
    <definedName name="DATA13450" localSheetId="7">#REF!</definedName>
    <definedName name="DATA13450">#REF!</definedName>
    <definedName name="DATA13463" localSheetId="12">#REF!</definedName>
    <definedName name="DATA13463" localSheetId="8">#REF!</definedName>
    <definedName name="DATA13463" localSheetId="11">#REF!</definedName>
    <definedName name="DATA13463" localSheetId="9">#REF!</definedName>
    <definedName name="DATA13463" localSheetId="18">#REF!</definedName>
    <definedName name="DATA13463" localSheetId="15">#REF!</definedName>
    <definedName name="DATA13463" localSheetId="7">#REF!</definedName>
    <definedName name="DATA13463">#REF!</definedName>
    <definedName name="DATA13475" localSheetId="12">#REF!</definedName>
    <definedName name="DATA13475" localSheetId="8">#REF!</definedName>
    <definedName name="DATA13475" localSheetId="11">#REF!</definedName>
    <definedName name="DATA13475" localSheetId="9">#REF!</definedName>
    <definedName name="DATA13475" localSheetId="18">#REF!</definedName>
    <definedName name="DATA13475" localSheetId="15">#REF!</definedName>
    <definedName name="DATA13475" localSheetId="7">#REF!</definedName>
    <definedName name="DATA13475">#REF!</definedName>
    <definedName name="DATA13490" localSheetId="12">#REF!</definedName>
    <definedName name="DATA13490" localSheetId="8">#REF!</definedName>
    <definedName name="DATA13490" localSheetId="11">#REF!</definedName>
    <definedName name="DATA13490" localSheetId="9">#REF!</definedName>
    <definedName name="DATA13490" localSheetId="18">#REF!</definedName>
    <definedName name="DATA13490" localSheetId="15">#REF!</definedName>
    <definedName name="DATA13490" localSheetId="7">#REF!</definedName>
    <definedName name="DATA13490">#REF!</definedName>
    <definedName name="DATA135110" localSheetId="12">#REF!</definedName>
    <definedName name="DATA135110" localSheetId="8">#REF!</definedName>
    <definedName name="DATA135110" localSheetId="11">#REF!</definedName>
    <definedName name="DATA135110" localSheetId="9">#REF!</definedName>
    <definedName name="DATA135110" localSheetId="18">#REF!</definedName>
    <definedName name="DATA135110" localSheetId="15">#REF!</definedName>
    <definedName name="DATA135110" localSheetId="7">#REF!</definedName>
    <definedName name="DATA135110">#REF!</definedName>
    <definedName name="DATA135125" localSheetId="12">#REF!</definedName>
    <definedName name="DATA135125" localSheetId="8">#REF!</definedName>
    <definedName name="DATA135125" localSheetId="11">#REF!</definedName>
    <definedName name="DATA135125" localSheetId="9">#REF!</definedName>
    <definedName name="DATA135125" localSheetId="18">#REF!</definedName>
    <definedName name="DATA135125" localSheetId="15">#REF!</definedName>
    <definedName name="DATA135125" localSheetId="7">#REF!</definedName>
    <definedName name="DATA135125">#REF!</definedName>
    <definedName name="DATA135140" localSheetId="12">#REF!</definedName>
    <definedName name="DATA135140" localSheetId="8">#REF!</definedName>
    <definedName name="DATA135140" localSheetId="11">#REF!</definedName>
    <definedName name="DATA135140" localSheetId="9">#REF!</definedName>
    <definedName name="DATA135140" localSheetId="18">#REF!</definedName>
    <definedName name="DATA135140" localSheetId="15">#REF!</definedName>
    <definedName name="DATA135140" localSheetId="7">#REF!</definedName>
    <definedName name="DATA135140">#REF!</definedName>
    <definedName name="DATA135160" localSheetId="12">#REF!</definedName>
    <definedName name="DATA135160" localSheetId="8">#REF!</definedName>
    <definedName name="DATA135160" localSheetId="11">#REF!</definedName>
    <definedName name="DATA135160" localSheetId="9">#REF!</definedName>
    <definedName name="DATA135160" localSheetId="18">#REF!</definedName>
    <definedName name="DATA135160" localSheetId="15">#REF!</definedName>
    <definedName name="DATA135160" localSheetId="7">#REF!</definedName>
    <definedName name="DATA135160">#REF!</definedName>
    <definedName name="DATA135180" localSheetId="12">#REF!</definedName>
    <definedName name="DATA135180" localSheetId="8">#REF!</definedName>
    <definedName name="DATA135180" localSheetId="11">#REF!</definedName>
    <definedName name="DATA135180" localSheetId="9">#REF!</definedName>
    <definedName name="DATA135180" localSheetId="18">#REF!</definedName>
    <definedName name="DATA135180" localSheetId="15">#REF!</definedName>
    <definedName name="DATA135180" localSheetId="7">#REF!</definedName>
    <definedName name="DATA135180">#REF!</definedName>
    <definedName name="DATA135200" localSheetId="12">#REF!</definedName>
    <definedName name="DATA135200" localSheetId="8">#REF!</definedName>
    <definedName name="DATA135200" localSheetId="11">#REF!</definedName>
    <definedName name="DATA135200" localSheetId="9">#REF!</definedName>
    <definedName name="DATA135200" localSheetId="18">#REF!</definedName>
    <definedName name="DATA135200" localSheetId="15">#REF!</definedName>
    <definedName name="DATA135200" localSheetId="7">#REF!</definedName>
    <definedName name="DATA135200">#REF!</definedName>
    <definedName name="DATA135225" localSheetId="12">#REF!</definedName>
    <definedName name="DATA135225" localSheetId="8">#REF!</definedName>
    <definedName name="DATA135225" localSheetId="11">#REF!</definedName>
    <definedName name="DATA135225" localSheetId="9">#REF!</definedName>
    <definedName name="DATA135225" localSheetId="18">#REF!</definedName>
    <definedName name="DATA135225" localSheetId="15">#REF!</definedName>
    <definedName name="DATA135225" localSheetId="7">#REF!</definedName>
    <definedName name="DATA135225">#REF!</definedName>
    <definedName name="DATA135250" localSheetId="12">#REF!</definedName>
    <definedName name="DATA135250" localSheetId="8">#REF!</definedName>
    <definedName name="DATA135250" localSheetId="11">#REF!</definedName>
    <definedName name="DATA135250" localSheetId="9">#REF!</definedName>
    <definedName name="DATA135250" localSheetId="18">#REF!</definedName>
    <definedName name="DATA135250" localSheetId="15">#REF!</definedName>
    <definedName name="DATA135250" localSheetId="7">#REF!</definedName>
    <definedName name="DATA135250">#REF!</definedName>
    <definedName name="DATA135280" localSheetId="12">#REF!</definedName>
    <definedName name="DATA135280" localSheetId="8">#REF!</definedName>
    <definedName name="DATA135280" localSheetId="11">#REF!</definedName>
    <definedName name="DATA135280" localSheetId="9">#REF!</definedName>
    <definedName name="DATA135280" localSheetId="18">#REF!</definedName>
    <definedName name="DATA135280" localSheetId="15">#REF!</definedName>
    <definedName name="DATA135280" localSheetId="7">#REF!</definedName>
    <definedName name="DATA135280">#REF!</definedName>
    <definedName name="DATA135315" localSheetId="12">#REF!</definedName>
    <definedName name="DATA135315" localSheetId="8">#REF!</definedName>
    <definedName name="DATA135315" localSheetId="11">#REF!</definedName>
    <definedName name="DATA135315" localSheetId="9">#REF!</definedName>
    <definedName name="DATA135315" localSheetId="18">#REF!</definedName>
    <definedName name="DATA135315" localSheetId="15">#REF!</definedName>
    <definedName name="DATA135315" localSheetId="7">#REF!</definedName>
    <definedName name="DATA135315">#REF!</definedName>
    <definedName name="DATA135355" localSheetId="12">#REF!</definedName>
    <definedName name="DATA135355" localSheetId="8">#REF!</definedName>
    <definedName name="DATA135355" localSheetId="11">#REF!</definedName>
    <definedName name="DATA135355" localSheetId="9">#REF!</definedName>
    <definedName name="DATA135355" localSheetId="18">#REF!</definedName>
    <definedName name="DATA135355" localSheetId="15">#REF!</definedName>
    <definedName name="DATA135355" localSheetId="7">#REF!</definedName>
    <definedName name="DATA135355">#REF!</definedName>
    <definedName name="DATA135400" localSheetId="12">#REF!</definedName>
    <definedName name="DATA135400" localSheetId="8">#REF!</definedName>
    <definedName name="DATA135400" localSheetId="11">#REF!</definedName>
    <definedName name="DATA135400" localSheetId="9">#REF!</definedName>
    <definedName name="DATA135400" localSheetId="18">#REF!</definedName>
    <definedName name="DATA135400" localSheetId="15">#REF!</definedName>
    <definedName name="DATA135400" localSheetId="7">#REF!</definedName>
    <definedName name="DATA135400">#REF!</definedName>
    <definedName name="DATA13550" localSheetId="12">#REF!</definedName>
    <definedName name="DATA13550" localSheetId="8">#REF!</definedName>
    <definedName name="DATA13550" localSheetId="11">#REF!</definedName>
    <definedName name="DATA13550" localSheetId="9">#REF!</definedName>
    <definedName name="DATA13550" localSheetId="18">#REF!</definedName>
    <definedName name="DATA13550" localSheetId="15">#REF!</definedName>
    <definedName name="DATA13550" localSheetId="7">#REF!</definedName>
    <definedName name="DATA13550">#REF!</definedName>
    <definedName name="DATA13563" localSheetId="12">#REF!</definedName>
    <definedName name="DATA13563" localSheetId="8">#REF!</definedName>
    <definedName name="DATA13563" localSheetId="11">#REF!</definedName>
    <definedName name="DATA13563" localSheetId="9">#REF!</definedName>
    <definedName name="DATA13563" localSheetId="18">#REF!</definedName>
    <definedName name="DATA13563" localSheetId="15">#REF!</definedName>
    <definedName name="DATA13563" localSheetId="7">#REF!</definedName>
    <definedName name="DATA13563">#REF!</definedName>
    <definedName name="DATA13575" localSheetId="12">#REF!</definedName>
    <definedName name="DATA13575" localSheetId="8">#REF!</definedName>
    <definedName name="DATA13575" localSheetId="11">#REF!</definedName>
    <definedName name="DATA13575" localSheetId="9">#REF!</definedName>
    <definedName name="DATA13575" localSheetId="18">#REF!</definedName>
    <definedName name="DATA13575" localSheetId="15">#REF!</definedName>
    <definedName name="DATA13575" localSheetId="7">#REF!</definedName>
    <definedName name="DATA13575">#REF!</definedName>
    <definedName name="DATA13590" localSheetId="12">#REF!</definedName>
    <definedName name="DATA13590" localSheetId="8">#REF!</definedName>
    <definedName name="DATA13590" localSheetId="11">#REF!</definedName>
    <definedName name="DATA13590" localSheetId="9">#REF!</definedName>
    <definedName name="DATA13590" localSheetId="18">#REF!</definedName>
    <definedName name="DATA13590" localSheetId="15">#REF!</definedName>
    <definedName name="DATA13590" localSheetId="7">#REF!</definedName>
    <definedName name="DATA13590">#REF!</definedName>
    <definedName name="DATA136A" localSheetId="12">#REF!</definedName>
    <definedName name="DATA136A" localSheetId="8">#REF!</definedName>
    <definedName name="DATA136A" localSheetId="11">#REF!</definedName>
    <definedName name="DATA136A" localSheetId="9">#REF!</definedName>
    <definedName name="DATA136A" localSheetId="18">#REF!</definedName>
    <definedName name="DATA136A" localSheetId="15">#REF!</definedName>
    <definedName name="DATA136A" localSheetId="7">#REF!</definedName>
    <definedName name="DATA136A">#REF!</definedName>
    <definedName name="DATA136B" localSheetId="12">#REF!</definedName>
    <definedName name="DATA136B" localSheetId="8">#REF!</definedName>
    <definedName name="DATA136B" localSheetId="11">#REF!</definedName>
    <definedName name="DATA136B" localSheetId="9">#REF!</definedName>
    <definedName name="DATA136B" localSheetId="18">#REF!</definedName>
    <definedName name="DATA136B" localSheetId="15">#REF!</definedName>
    <definedName name="DATA136B" localSheetId="7">#REF!</definedName>
    <definedName name="DATA136B">#REF!</definedName>
    <definedName name="DATA136C" localSheetId="12">#REF!</definedName>
    <definedName name="DATA136C" localSheetId="8">#REF!</definedName>
    <definedName name="DATA136C" localSheetId="11">#REF!</definedName>
    <definedName name="DATA136C" localSheetId="9">#REF!</definedName>
    <definedName name="DATA136C" localSheetId="18">#REF!</definedName>
    <definedName name="DATA136C" localSheetId="15">#REF!</definedName>
    <definedName name="DATA136C" localSheetId="7">#REF!</definedName>
    <definedName name="DATA136C">#REF!</definedName>
    <definedName name="DATA136D" localSheetId="12">#REF!</definedName>
    <definedName name="DATA136D" localSheetId="8">#REF!</definedName>
    <definedName name="DATA136D" localSheetId="11">#REF!</definedName>
    <definedName name="DATA136D" localSheetId="9">#REF!</definedName>
    <definedName name="DATA136D" localSheetId="18">#REF!</definedName>
    <definedName name="DATA136D" localSheetId="15">#REF!</definedName>
    <definedName name="DATA136D" localSheetId="7">#REF!</definedName>
    <definedName name="DATA136D">#REF!</definedName>
    <definedName name="DATA136E" localSheetId="12">#REF!</definedName>
    <definedName name="DATA136E" localSheetId="8">#REF!</definedName>
    <definedName name="DATA136E" localSheetId="11">#REF!</definedName>
    <definedName name="DATA136E" localSheetId="9">#REF!</definedName>
    <definedName name="DATA136E" localSheetId="18">#REF!</definedName>
    <definedName name="DATA136E" localSheetId="15">#REF!</definedName>
    <definedName name="DATA136E" localSheetId="7">#REF!</definedName>
    <definedName name="DATA136E">#REF!</definedName>
    <definedName name="DATA136F" localSheetId="12">#REF!</definedName>
    <definedName name="DATA136F" localSheetId="8">#REF!</definedName>
    <definedName name="DATA136F" localSheetId="11">#REF!</definedName>
    <definedName name="DATA136F" localSheetId="9">#REF!</definedName>
    <definedName name="DATA136F" localSheetId="18">#REF!</definedName>
    <definedName name="DATA136F" localSheetId="15">#REF!</definedName>
    <definedName name="DATA136F" localSheetId="7">#REF!</definedName>
    <definedName name="DATA136F">#REF!</definedName>
    <definedName name="DATA136G" localSheetId="12">#REF!</definedName>
    <definedName name="DATA136G" localSheetId="8">#REF!</definedName>
    <definedName name="DATA136G" localSheetId="11">#REF!</definedName>
    <definedName name="DATA136G" localSheetId="9">#REF!</definedName>
    <definedName name="DATA136G" localSheetId="18">#REF!</definedName>
    <definedName name="DATA136G" localSheetId="15">#REF!</definedName>
    <definedName name="DATA136G" localSheetId="7">#REF!</definedName>
    <definedName name="DATA136G">#REF!</definedName>
    <definedName name="DATA136H" localSheetId="12">#REF!</definedName>
    <definedName name="DATA136H" localSheetId="8">#REF!</definedName>
    <definedName name="DATA136H" localSheetId="11">#REF!</definedName>
    <definedName name="DATA136H" localSheetId="9">#REF!</definedName>
    <definedName name="DATA136H" localSheetId="18">#REF!</definedName>
    <definedName name="DATA136H" localSheetId="15">#REF!</definedName>
    <definedName name="DATA136H" localSheetId="7">#REF!</definedName>
    <definedName name="DATA136H">#REF!</definedName>
    <definedName name="DATA136I" localSheetId="12">#REF!</definedName>
    <definedName name="DATA136I" localSheetId="8">#REF!</definedName>
    <definedName name="DATA136I" localSheetId="11">#REF!</definedName>
    <definedName name="DATA136I" localSheetId="9">#REF!</definedName>
    <definedName name="DATA136I" localSheetId="18">#REF!</definedName>
    <definedName name="DATA136I" localSheetId="15">#REF!</definedName>
    <definedName name="DATA136I" localSheetId="7">#REF!</definedName>
    <definedName name="DATA136I">#REF!</definedName>
    <definedName name="DATA136J" localSheetId="12">#REF!</definedName>
    <definedName name="DATA136J" localSheetId="8">#REF!</definedName>
    <definedName name="DATA136J" localSheetId="11">#REF!</definedName>
    <definedName name="DATA136J" localSheetId="9">#REF!</definedName>
    <definedName name="DATA136J" localSheetId="18">#REF!</definedName>
    <definedName name="DATA136J" localSheetId="15">#REF!</definedName>
    <definedName name="DATA136J" localSheetId="7">#REF!</definedName>
    <definedName name="DATA136J">#REF!</definedName>
    <definedName name="DATA136K" localSheetId="12">#REF!</definedName>
    <definedName name="DATA136K" localSheetId="8">#REF!</definedName>
    <definedName name="DATA136K" localSheetId="11">#REF!</definedName>
    <definedName name="DATA136K" localSheetId="9">#REF!</definedName>
    <definedName name="DATA136K" localSheetId="18">#REF!</definedName>
    <definedName name="DATA136K" localSheetId="15">#REF!</definedName>
    <definedName name="DATA136K" localSheetId="7">#REF!</definedName>
    <definedName name="DATA136K">#REF!</definedName>
    <definedName name="DATA136L" localSheetId="12">#REF!</definedName>
    <definedName name="DATA136L" localSheetId="8">#REF!</definedName>
    <definedName name="DATA136L" localSheetId="11">#REF!</definedName>
    <definedName name="DATA136L" localSheetId="9">#REF!</definedName>
    <definedName name="DATA136L" localSheetId="18">#REF!</definedName>
    <definedName name="DATA136L" localSheetId="15">#REF!</definedName>
    <definedName name="DATA136L" localSheetId="7">#REF!</definedName>
    <definedName name="DATA136L">#REF!</definedName>
    <definedName name="DATA136M" localSheetId="12">#REF!</definedName>
    <definedName name="DATA136M" localSheetId="8">#REF!</definedName>
    <definedName name="DATA136M" localSheetId="11">#REF!</definedName>
    <definedName name="DATA136M" localSheetId="9">#REF!</definedName>
    <definedName name="DATA136M" localSheetId="18">#REF!</definedName>
    <definedName name="DATA136M" localSheetId="15">#REF!</definedName>
    <definedName name="DATA136M" localSheetId="7">#REF!</definedName>
    <definedName name="DATA136M">#REF!</definedName>
    <definedName name="DATA136N" localSheetId="12">#REF!</definedName>
    <definedName name="DATA136N" localSheetId="8">#REF!</definedName>
    <definedName name="DATA136N" localSheetId="11">#REF!</definedName>
    <definedName name="DATA136N" localSheetId="9">#REF!</definedName>
    <definedName name="DATA136N" localSheetId="18">#REF!</definedName>
    <definedName name="DATA136N" localSheetId="15">#REF!</definedName>
    <definedName name="DATA136N" localSheetId="7">#REF!</definedName>
    <definedName name="DATA136N">#REF!</definedName>
    <definedName name="DATA136O" localSheetId="12">#REF!</definedName>
    <definedName name="DATA136O" localSheetId="8">#REF!</definedName>
    <definedName name="DATA136O" localSheetId="11">#REF!</definedName>
    <definedName name="DATA136O" localSheetId="9">#REF!</definedName>
    <definedName name="DATA136O" localSheetId="18">#REF!</definedName>
    <definedName name="DATA136O" localSheetId="15">#REF!</definedName>
    <definedName name="DATA136O" localSheetId="7">#REF!</definedName>
    <definedName name="DATA136O">#REF!</definedName>
    <definedName name="DATA136P" localSheetId="12">#REF!</definedName>
    <definedName name="DATA136P" localSheetId="8">#REF!</definedName>
    <definedName name="DATA136P" localSheetId="11">#REF!</definedName>
    <definedName name="DATA136P" localSheetId="9">#REF!</definedName>
    <definedName name="DATA136P" localSheetId="18">#REF!</definedName>
    <definedName name="DATA136P" localSheetId="15">#REF!</definedName>
    <definedName name="DATA136P" localSheetId="7">#REF!</definedName>
    <definedName name="DATA136P">#REF!</definedName>
    <definedName name="DATA137I" localSheetId="12">#REF!</definedName>
    <definedName name="DATA137I" localSheetId="8">#REF!</definedName>
    <definedName name="DATA137I" localSheetId="11">#REF!</definedName>
    <definedName name="DATA137I" localSheetId="9">#REF!</definedName>
    <definedName name="DATA137I" localSheetId="18">#REF!</definedName>
    <definedName name="DATA137I" localSheetId="15">#REF!</definedName>
    <definedName name="DATA137I" localSheetId="7">#REF!</definedName>
    <definedName name="DATA137I">#REF!</definedName>
    <definedName name="DATA137II" localSheetId="12">#REF!</definedName>
    <definedName name="DATA137II" localSheetId="8">#REF!</definedName>
    <definedName name="DATA137II" localSheetId="11">#REF!</definedName>
    <definedName name="DATA137II" localSheetId="9">#REF!</definedName>
    <definedName name="DATA137II" localSheetId="18">#REF!</definedName>
    <definedName name="DATA137II" localSheetId="15">#REF!</definedName>
    <definedName name="DATA137II" localSheetId="7">#REF!</definedName>
    <definedName name="DATA137II">#REF!</definedName>
    <definedName name="DATA137III" localSheetId="12">#REF!</definedName>
    <definedName name="DATA137III" localSheetId="8">#REF!</definedName>
    <definedName name="DATA137III" localSheetId="11">#REF!</definedName>
    <definedName name="DATA137III" localSheetId="9">#REF!</definedName>
    <definedName name="DATA137III" localSheetId="18">#REF!</definedName>
    <definedName name="DATA137III" localSheetId="15">#REF!</definedName>
    <definedName name="DATA137III" localSheetId="7">#REF!</definedName>
    <definedName name="DATA137III">#REF!</definedName>
    <definedName name="DATA137IV" localSheetId="12">#REF!</definedName>
    <definedName name="DATA137IV" localSheetId="8">#REF!</definedName>
    <definedName name="DATA137IV" localSheetId="11">#REF!</definedName>
    <definedName name="DATA137IV" localSheetId="9">#REF!</definedName>
    <definedName name="DATA137IV" localSheetId="18">#REF!</definedName>
    <definedName name="DATA137IV" localSheetId="15">#REF!</definedName>
    <definedName name="DATA137IV" localSheetId="7">#REF!</definedName>
    <definedName name="DATA137IV">#REF!</definedName>
    <definedName name="DATA137V" localSheetId="12">#REF!</definedName>
    <definedName name="DATA137V" localSheetId="8">#REF!</definedName>
    <definedName name="DATA137V" localSheetId="11">#REF!</definedName>
    <definedName name="DATA137V" localSheetId="9">#REF!</definedName>
    <definedName name="DATA137V" localSheetId="18">#REF!</definedName>
    <definedName name="DATA137V" localSheetId="15">#REF!</definedName>
    <definedName name="DATA137V" localSheetId="7">#REF!</definedName>
    <definedName name="DATA137V">#REF!</definedName>
    <definedName name="DATA138I" localSheetId="12">#REF!</definedName>
    <definedName name="DATA138I" localSheetId="8">#REF!</definedName>
    <definedName name="DATA138I" localSheetId="11">#REF!</definedName>
    <definedName name="DATA138I" localSheetId="9">#REF!</definedName>
    <definedName name="DATA138I" localSheetId="18">#REF!</definedName>
    <definedName name="DATA138I" localSheetId="15">#REF!</definedName>
    <definedName name="DATA138I" localSheetId="7">#REF!</definedName>
    <definedName name="DATA138I">#REF!</definedName>
    <definedName name="DATA138II" localSheetId="12">#REF!</definedName>
    <definedName name="DATA138II" localSheetId="8">#REF!</definedName>
    <definedName name="DATA138II" localSheetId="11">#REF!</definedName>
    <definedName name="DATA138II" localSheetId="9">#REF!</definedName>
    <definedName name="DATA138II" localSheetId="18">#REF!</definedName>
    <definedName name="DATA138II" localSheetId="15">#REF!</definedName>
    <definedName name="DATA138II" localSheetId="7">#REF!</definedName>
    <definedName name="DATA138II">#REF!</definedName>
    <definedName name="DATA138III" localSheetId="12">#REF!</definedName>
    <definedName name="DATA138III" localSheetId="8">#REF!</definedName>
    <definedName name="DATA138III" localSheetId="11">#REF!</definedName>
    <definedName name="DATA138III" localSheetId="9">#REF!</definedName>
    <definedName name="DATA138III" localSheetId="18">#REF!</definedName>
    <definedName name="DATA138III" localSheetId="15">#REF!</definedName>
    <definedName name="DATA138III" localSheetId="7">#REF!</definedName>
    <definedName name="DATA138III">#REF!</definedName>
    <definedName name="DATA138IV" localSheetId="12">#REF!</definedName>
    <definedName name="DATA138IV" localSheetId="8">#REF!</definedName>
    <definedName name="DATA138IV" localSheetId="11">#REF!</definedName>
    <definedName name="DATA138IV" localSheetId="9">#REF!</definedName>
    <definedName name="DATA138IV" localSheetId="18">#REF!</definedName>
    <definedName name="DATA138IV" localSheetId="15">#REF!</definedName>
    <definedName name="DATA138IV" localSheetId="7">#REF!</definedName>
    <definedName name="DATA138IV">#REF!</definedName>
    <definedName name="DATA138V" localSheetId="12">#REF!</definedName>
    <definedName name="DATA138V" localSheetId="8">#REF!</definedName>
    <definedName name="DATA138V" localSheetId="11">#REF!</definedName>
    <definedName name="DATA138V" localSheetId="9">#REF!</definedName>
    <definedName name="DATA138V" localSheetId="18">#REF!</definedName>
    <definedName name="DATA138V" localSheetId="15">#REF!</definedName>
    <definedName name="DATA138V" localSheetId="7">#REF!</definedName>
    <definedName name="DATA138V">#REF!</definedName>
    <definedName name="DATA138VI" localSheetId="12">#REF!</definedName>
    <definedName name="DATA138VI" localSheetId="8">#REF!</definedName>
    <definedName name="DATA138VI" localSheetId="11">#REF!</definedName>
    <definedName name="DATA138VI" localSheetId="9">#REF!</definedName>
    <definedName name="DATA138VI" localSheetId="18">#REF!</definedName>
    <definedName name="DATA138VI" localSheetId="15">#REF!</definedName>
    <definedName name="DATA138VI" localSheetId="7">#REF!</definedName>
    <definedName name="DATA138VI">#REF!</definedName>
    <definedName name="DATA139IX" localSheetId="12">#REF!</definedName>
    <definedName name="DATA139IX" localSheetId="8">#REF!</definedName>
    <definedName name="DATA139IX" localSheetId="11">#REF!</definedName>
    <definedName name="DATA139IX" localSheetId="9">#REF!</definedName>
    <definedName name="DATA139IX" localSheetId="18">#REF!</definedName>
    <definedName name="DATA139IX" localSheetId="15">#REF!</definedName>
    <definedName name="DATA139IX" localSheetId="7">#REF!</definedName>
    <definedName name="DATA139IX">#REF!</definedName>
    <definedName name="DATA139V" localSheetId="12">#REF!</definedName>
    <definedName name="DATA139V" localSheetId="8">#REF!</definedName>
    <definedName name="DATA139V" localSheetId="11">#REF!</definedName>
    <definedName name="DATA139V" localSheetId="9">#REF!</definedName>
    <definedName name="DATA139V" localSheetId="18">#REF!</definedName>
    <definedName name="DATA139V" localSheetId="15">#REF!</definedName>
    <definedName name="DATA139V" localSheetId="7">#REF!</definedName>
    <definedName name="DATA139V">#REF!</definedName>
    <definedName name="DATA139VI" localSheetId="12">#REF!</definedName>
    <definedName name="DATA139VI" localSheetId="8">#REF!</definedName>
    <definedName name="DATA139VI" localSheetId="11">#REF!</definedName>
    <definedName name="DATA139VI" localSheetId="9">#REF!</definedName>
    <definedName name="DATA139VI" localSheetId="18">#REF!</definedName>
    <definedName name="DATA139VI" localSheetId="15">#REF!</definedName>
    <definedName name="DATA139VI" localSheetId="7">#REF!</definedName>
    <definedName name="DATA139VI">#REF!</definedName>
    <definedName name="DATA139VII" localSheetId="12">#REF!</definedName>
    <definedName name="DATA139VII" localSheetId="8">#REF!</definedName>
    <definedName name="DATA139VII" localSheetId="11">#REF!</definedName>
    <definedName name="DATA139VII" localSheetId="9">#REF!</definedName>
    <definedName name="DATA139VII" localSheetId="18">#REF!</definedName>
    <definedName name="DATA139VII" localSheetId="15">#REF!</definedName>
    <definedName name="DATA139VII" localSheetId="7">#REF!</definedName>
    <definedName name="DATA139VII">#REF!</definedName>
    <definedName name="DATA139VIII" localSheetId="12">#REF!</definedName>
    <definedName name="DATA139VIII" localSheetId="8">#REF!</definedName>
    <definedName name="DATA139VIII" localSheetId="11">#REF!</definedName>
    <definedName name="DATA139VIII" localSheetId="9">#REF!</definedName>
    <definedName name="DATA139VIII" localSheetId="18">#REF!</definedName>
    <definedName name="DATA139VIII" localSheetId="15">#REF!</definedName>
    <definedName name="DATA139VIII" localSheetId="7">#REF!</definedName>
    <definedName name="DATA139VIII">#REF!</definedName>
    <definedName name="DATA14" localSheetId="12">#REF!</definedName>
    <definedName name="DATA14" localSheetId="8">#REF!</definedName>
    <definedName name="DATA14" localSheetId="11">#REF!</definedName>
    <definedName name="DATA14" localSheetId="9">#REF!</definedName>
    <definedName name="DATA14" localSheetId="18">#REF!</definedName>
    <definedName name="DATA14" localSheetId="15">#REF!</definedName>
    <definedName name="DATA14" localSheetId="7">#REF!</definedName>
    <definedName name="DATA14">#REF!</definedName>
    <definedName name="DATA140I" localSheetId="12">#REF!</definedName>
    <definedName name="DATA140I" localSheetId="8">#REF!</definedName>
    <definedName name="DATA140I" localSheetId="11">#REF!</definedName>
    <definedName name="DATA140I" localSheetId="9">#REF!</definedName>
    <definedName name="DATA140I" localSheetId="18">#REF!</definedName>
    <definedName name="DATA140I" localSheetId="15">#REF!</definedName>
    <definedName name="DATA140I" localSheetId="7">#REF!</definedName>
    <definedName name="DATA140I">#REF!</definedName>
    <definedName name="DATA140II" localSheetId="12">#REF!</definedName>
    <definedName name="DATA140II" localSheetId="8">#REF!</definedName>
    <definedName name="DATA140II" localSheetId="11">#REF!</definedName>
    <definedName name="DATA140II" localSheetId="9">#REF!</definedName>
    <definedName name="DATA140II" localSheetId="18">#REF!</definedName>
    <definedName name="DATA140II" localSheetId="15">#REF!</definedName>
    <definedName name="DATA140II" localSheetId="7">#REF!</definedName>
    <definedName name="DATA140II">#REF!</definedName>
    <definedName name="DATA140III" localSheetId="12">#REF!</definedName>
    <definedName name="DATA140III" localSheetId="8">#REF!</definedName>
    <definedName name="DATA140III" localSheetId="11">#REF!</definedName>
    <definedName name="DATA140III" localSheetId="9">#REF!</definedName>
    <definedName name="DATA140III" localSheetId="18">#REF!</definedName>
    <definedName name="DATA140III" localSheetId="15">#REF!</definedName>
    <definedName name="DATA140III" localSheetId="7">#REF!</definedName>
    <definedName name="DATA140III">#REF!</definedName>
    <definedName name="DATA140IV" localSheetId="12">#REF!</definedName>
    <definedName name="DATA140IV" localSheetId="8">#REF!</definedName>
    <definedName name="DATA140IV" localSheetId="11">#REF!</definedName>
    <definedName name="DATA140IV" localSheetId="9">#REF!</definedName>
    <definedName name="DATA140IV" localSheetId="18">#REF!</definedName>
    <definedName name="DATA140IV" localSheetId="15">#REF!</definedName>
    <definedName name="DATA140IV" localSheetId="7">#REF!</definedName>
    <definedName name="DATA140IV">#REF!</definedName>
    <definedName name="DATA140V" localSheetId="12">#REF!</definedName>
    <definedName name="DATA140V" localSheetId="8">#REF!</definedName>
    <definedName name="DATA140V" localSheetId="11">#REF!</definedName>
    <definedName name="DATA140V" localSheetId="9">#REF!</definedName>
    <definedName name="DATA140V" localSheetId="18">#REF!</definedName>
    <definedName name="DATA140V" localSheetId="15">#REF!</definedName>
    <definedName name="DATA140V" localSheetId="7">#REF!</definedName>
    <definedName name="DATA140V">#REF!</definedName>
    <definedName name="DATA141I" localSheetId="12">#REF!</definedName>
    <definedName name="DATA141I" localSheetId="8">#REF!</definedName>
    <definedName name="DATA141I" localSheetId="11">#REF!</definedName>
    <definedName name="DATA141I" localSheetId="9">#REF!</definedName>
    <definedName name="DATA141I" localSheetId="18">#REF!</definedName>
    <definedName name="DATA141I" localSheetId="15">#REF!</definedName>
    <definedName name="DATA141I" localSheetId="7">#REF!</definedName>
    <definedName name="DATA141I">#REF!</definedName>
    <definedName name="DATA141II" localSheetId="12">#REF!</definedName>
    <definedName name="DATA141II" localSheetId="8">#REF!</definedName>
    <definedName name="DATA141II" localSheetId="11">#REF!</definedName>
    <definedName name="DATA141II" localSheetId="9">#REF!</definedName>
    <definedName name="DATA141II" localSheetId="18">#REF!</definedName>
    <definedName name="DATA141II" localSheetId="15">#REF!</definedName>
    <definedName name="DATA141II" localSheetId="7">#REF!</definedName>
    <definedName name="DATA141II">#REF!</definedName>
    <definedName name="DATA141III" localSheetId="12">#REF!</definedName>
    <definedName name="DATA141III" localSheetId="8">#REF!</definedName>
    <definedName name="DATA141III" localSheetId="11">#REF!</definedName>
    <definedName name="DATA141III" localSheetId="9">#REF!</definedName>
    <definedName name="DATA141III" localSheetId="18">#REF!</definedName>
    <definedName name="DATA141III" localSheetId="15">#REF!</definedName>
    <definedName name="DATA141III" localSheetId="7">#REF!</definedName>
    <definedName name="DATA141III">#REF!</definedName>
    <definedName name="DATA141IV" localSheetId="12">#REF!</definedName>
    <definedName name="DATA141IV" localSheetId="8">#REF!</definedName>
    <definedName name="DATA141IV" localSheetId="11">#REF!</definedName>
    <definedName name="DATA141IV" localSheetId="9">#REF!</definedName>
    <definedName name="DATA141IV" localSheetId="18">#REF!</definedName>
    <definedName name="DATA141IV" localSheetId="15">#REF!</definedName>
    <definedName name="DATA141IV" localSheetId="7">#REF!</definedName>
    <definedName name="DATA141IV">#REF!</definedName>
    <definedName name="DATA141V" localSheetId="12">#REF!</definedName>
    <definedName name="DATA141V" localSheetId="8">#REF!</definedName>
    <definedName name="DATA141V" localSheetId="11">#REF!</definedName>
    <definedName name="DATA141V" localSheetId="9">#REF!</definedName>
    <definedName name="DATA141V" localSheetId="18">#REF!</definedName>
    <definedName name="DATA141V" localSheetId="15">#REF!</definedName>
    <definedName name="DATA141V" localSheetId="7">#REF!</definedName>
    <definedName name="DATA141V">#REF!</definedName>
    <definedName name="DATA142I" localSheetId="12">#REF!</definedName>
    <definedName name="DATA142I" localSheetId="8">#REF!</definedName>
    <definedName name="DATA142I" localSheetId="11">#REF!</definedName>
    <definedName name="DATA142I" localSheetId="9">#REF!</definedName>
    <definedName name="DATA142I" localSheetId="18">#REF!</definedName>
    <definedName name="DATA142I" localSheetId="15">#REF!</definedName>
    <definedName name="DATA142I" localSheetId="7">#REF!</definedName>
    <definedName name="DATA142I">#REF!</definedName>
    <definedName name="DATA142II" localSheetId="12">#REF!</definedName>
    <definedName name="DATA142II" localSheetId="8">#REF!</definedName>
    <definedName name="DATA142II" localSheetId="11">#REF!</definedName>
    <definedName name="DATA142II" localSheetId="9">#REF!</definedName>
    <definedName name="DATA142II" localSheetId="18">#REF!</definedName>
    <definedName name="DATA142II" localSheetId="15">#REF!</definedName>
    <definedName name="DATA142II" localSheetId="7">#REF!</definedName>
    <definedName name="DATA142II">#REF!</definedName>
    <definedName name="DATA142III" localSheetId="12">#REF!</definedName>
    <definedName name="DATA142III" localSheetId="8">#REF!</definedName>
    <definedName name="DATA142III" localSheetId="11">#REF!</definedName>
    <definedName name="DATA142III" localSheetId="9">#REF!</definedName>
    <definedName name="DATA142III" localSheetId="18">#REF!</definedName>
    <definedName name="DATA142III" localSheetId="15">#REF!</definedName>
    <definedName name="DATA142III" localSheetId="7">#REF!</definedName>
    <definedName name="DATA142III">#REF!</definedName>
    <definedName name="DATA142IV" localSheetId="12">#REF!</definedName>
    <definedName name="DATA142IV" localSheetId="8">#REF!</definedName>
    <definedName name="DATA142IV" localSheetId="11">#REF!</definedName>
    <definedName name="DATA142IV" localSheetId="9">#REF!</definedName>
    <definedName name="DATA142IV" localSheetId="18">#REF!</definedName>
    <definedName name="DATA142IV" localSheetId="15">#REF!</definedName>
    <definedName name="DATA142IV" localSheetId="7">#REF!</definedName>
    <definedName name="DATA142IV">#REF!</definedName>
    <definedName name="DATA142V" localSheetId="12">#REF!</definedName>
    <definedName name="DATA142V" localSheetId="8">#REF!</definedName>
    <definedName name="DATA142V" localSheetId="11">#REF!</definedName>
    <definedName name="DATA142V" localSheetId="9">#REF!</definedName>
    <definedName name="DATA142V" localSheetId="18">#REF!</definedName>
    <definedName name="DATA142V" localSheetId="15">#REF!</definedName>
    <definedName name="DATA142V" localSheetId="7">#REF!</definedName>
    <definedName name="DATA142V">#REF!</definedName>
    <definedName name="DATA143" localSheetId="12">#REF!</definedName>
    <definedName name="DATA143" localSheetId="8">#REF!</definedName>
    <definedName name="DATA143" localSheetId="11">#REF!</definedName>
    <definedName name="DATA143" localSheetId="9">#REF!</definedName>
    <definedName name="DATA143" localSheetId="18">#REF!</definedName>
    <definedName name="DATA143" localSheetId="15">#REF!</definedName>
    <definedName name="DATA143" localSheetId="7">#REF!</definedName>
    <definedName name="DATA143">#REF!</definedName>
    <definedName name="DATA144" localSheetId="12">#REF!</definedName>
    <definedName name="DATA144" localSheetId="8">#REF!</definedName>
    <definedName name="DATA144" localSheetId="11">#REF!</definedName>
    <definedName name="DATA144" localSheetId="9">#REF!</definedName>
    <definedName name="DATA144" localSheetId="18">#REF!</definedName>
    <definedName name="DATA144" localSheetId="15">#REF!</definedName>
    <definedName name="DATA144" localSheetId="7">#REF!</definedName>
    <definedName name="DATA144">#REF!</definedName>
    <definedName name="DATA145" localSheetId="12">#REF!</definedName>
    <definedName name="DATA145" localSheetId="8">#REF!</definedName>
    <definedName name="DATA145" localSheetId="11">#REF!</definedName>
    <definedName name="DATA145" localSheetId="9">#REF!</definedName>
    <definedName name="DATA145" localSheetId="18">#REF!</definedName>
    <definedName name="DATA145" localSheetId="15">#REF!</definedName>
    <definedName name="DATA145" localSheetId="7">#REF!</definedName>
    <definedName name="DATA145">#REF!</definedName>
    <definedName name="DATA146" localSheetId="12">#REF!</definedName>
    <definedName name="DATA146" localSheetId="8">#REF!</definedName>
    <definedName name="DATA146" localSheetId="11">#REF!</definedName>
    <definedName name="DATA146" localSheetId="9">#REF!</definedName>
    <definedName name="DATA146" localSheetId="18">#REF!</definedName>
    <definedName name="DATA146" localSheetId="15">#REF!</definedName>
    <definedName name="DATA146" localSheetId="7">#REF!</definedName>
    <definedName name="DATA146">#REF!</definedName>
    <definedName name="DATA147" localSheetId="12">#REF!</definedName>
    <definedName name="DATA147" localSheetId="8">#REF!</definedName>
    <definedName name="DATA147" localSheetId="11">#REF!</definedName>
    <definedName name="DATA147" localSheetId="9">#REF!</definedName>
    <definedName name="DATA147" localSheetId="18">#REF!</definedName>
    <definedName name="DATA147" localSheetId="15">#REF!</definedName>
    <definedName name="DATA147" localSheetId="7">#REF!</definedName>
    <definedName name="DATA147">#REF!</definedName>
    <definedName name="DATA148" localSheetId="12">#REF!</definedName>
    <definedName name="DATA148" localSheetId="8">#REF!</definedName>
    <definedName name="DATA148" localSheetId="11">#REF!</definedName>
    <definedName name="DATA148" localSheetId="9">#REF!</definedName>
    <definedName name="DATA148" localSheetId="18">#REF!</definedName>
    <definedName name="DATA148" localSheetId="15">#REF!</definedName>
    <definedName name="DATA148" localSheetId="7">#REF!</definedName>
    <definedName name="DATA148">#REF!</definedName>
    <definedName name="DATA149" localSheetId="12">#REF!</definedName>
    <definedName name="DATA149" localSheetId="8">#REF!</definedName>
    <definedName name="DATA149" localSheetId="11">#REF!</definedName>
    <definedName name="DATA149" localSheetId="9">#REF!</definedName>
    <definedName name="DATA149" localSheetId="18">#REF!</definedName>
    <definedName name="DATA149" localSheetId="15">#REF!</definedName>
    <definedName name="DATA149" localSheetId="7">#REF!</definedName>
    <definedName name="DATA149">#REF!</definedName>
    <definedName name="DATA150" localSheetId="12">#REF!</definedName>
    <definedName name="DATA150" localSheetId="8">#REF!</definedName>
    <definedName name="DATA150" localSheetId="11">#REF!</definedName>
    <definedName name="DATA150" localSheetId="9">#REF!</definedName>
    <definedName name="DATA150" localSheetId="18">#REF!</definedName>
    <definedName name="DATA150" localSheetId="15">#REF!</definedName>
    <definedName name="DATA150" localSheetId="7">#REF!</definedName>
    <definedName name="DATA150">#REF!</definedName>
    <definedName name="DATA151A" localSheetId="12">#REF!</definedName>
    <definedName name="DATA151A" localSheetId="8">#REF!</definedName>
    <definedName name="DATA151A" localSheetId="11">#REF!</definedName>
    <definedName name="DATA151A" localSheetId="9">#REF!</definedName>
    <definedName name="DATA151A" localSheetId="18">#REF!</definedName>
    <definedName name="DATA151A" localSheetId="15">#REF!</definedName>
    <definedName name="DATA151A" localSheetId="7">#REF!</definedName>
    <definedName name="DATA151A">#REF!</definedName>
    <definedName name="DATA152" localSheetId="12">#REF!</definedName>
    <definedName name="DATA152" localSheetId="8">#REF!</definedName>
    <definedName name="DATA152" localSheetId="11">#REF!</definedName>
    <definedName name="DATA152" localSheetId="9">#REF!</definedName>
    <definedName name="DATA152" localSheetId="18">#REF!</definedName>
    <definedName name="DATA152" localSheetId="15">#REF!</definedName>
    <definedName name="DATA152" localSheetId="7">#REF!</definedName>
    <definedName name="DATA152">#REF!</definedName>
    <definedName name="DATA153" localSheetId="12">#REF!</definedName>
    <definedName name="DATA153" localSheetId="8">#REF!</definedName>
    <definedName name="DATA153" localSheetId="11">#REF!</definedName>
    <definedName name="DATA153" localSheetId="9">#REF!</definedName>
    <definedName name="DATA153" localSheetId="18">#REF!</definedName>
    <definedName name="DATA153" localSheetId="15">#REF!</definedName>
    <definedName name="DATA153" localSheetId="7">#REF!</definedName>
    <definedName name="DATA153">#REF!</definedName>
    <definedName name="DATA154" localSheetId="12">#REF!</definedName>
    <definedName name="DATA154" localSheetId="8">#REF!</definedName>
    <definedName name="DATA154" localSheetId="11">#REF!</definedName>
    <definedName name="DATA154" localSheetId="9">#REF!</definedName>
    <definedName name="DATA154" localSheetId="18">#REF!</definedName>
    <definedName name="DATA154" localSheetId="15">#REF!</definedName>
    <definedName name="DATA154" localSheetId="7">#REF!</definedName>
    <definedName name="DATA154">#REF!</definedName>
    <definedName name="DATA156" localSheetId="12">#REF!</definedName>
    <definedName name="DATA156" localSheetId="8">#REF!</definedName>
    <definedName name="DATA156" localSheetId="11">#REF!</definedName>
    <definedName name="DATA156" localSheetId="9">#REF!</definedName>
    <definedName name="DATA156" localSheetId="18">#REF!</definedName>
    <definedName name="DATA156" localSheetId="15">#REF!</definedName>
    <definedName name="DATA156" localSheetId="7">#REF!</definedName>
    <definedName name="DATA156">#REF!</definedName>
    <definedName name="DATA157" localSheetId="12">#REF!</definedName>
    <definedName name="DATA157" localSheetId="8">#REF!</definedName>
    <definedName name="DATA157" localSheetId="11">#REF!</definedName>
    <definedName name="DATA157" localSheetId="9">#REF!</definedName>
    <definedName name="DATA157" localSheetId="18">#REF!</definedName>
    <definedName name="DATA157" localSheetId="15">#REF!</definedName>
    <definedName name="DATA157" localSheetId="7">#REF!</definedName>
    <definedName name="DATA157">#REF!</definedName>
    <definedName name="DATA158" localSheetId="12">#REF!</definedName>
    <definedName name="DATA158" localSheetId="8">#REF!</definedName>
    <definedName name="DATA158" localSheetId="11">#REF!</definedName>
    <definedName name="DATA158" localSheetId="9">#REF!</definedName>
    <definedName name="DATA158" localSheetId="18">#REF!</definedName>
    <definedName name="DATA158" localSheetId="15">#REF!</definedName>
    <definedName name="DATA158" localSheetId="7">#REF!</definedName>
    <definedName name="DATA158">#REF!</definedName>
    <definedName name="DATA159A" localSheetId="12">#REF!</definedName>
    <definedName name="DATA159A" localSheetId="8">#REF!</definedName>
    <definedName name="DATA159A" localSheetId="11">#REF!</definedName>
    <definedName name="DATA159A" localSheetId="9">#REF!</definedName>
    <definedName name="DATA159A" localSheetId="18">#REF!</definedName>
    <definedName name="DATA159A" localSheetId="15">#REF!</definedName>
    <definedName name="DATA159A" localSheetId="7">#REF!</definedName>
    <definedName name="DATA159A">#REF!</definedName>
    <definedName name="DATA159B" localSheetId="12">#REF!</definedName>
    <definedName name="DATA159B" localSheetId="8">#REF!</definedName>
    <definedName name="DATA159B" localSheetId="11">#REF!</definedName>
    <definedName name="DATA159B" localSheetId="9">#REF!</definedName>
    <definedName name="DATA159B" localSheetId="18">#REF!</definedName>
    <definedName name="DATA159B" localSheetId="15">#REF!</definedName>
    <definedName name="DATA159B" localSheetId="7">#REF!</definedName>
    <definedName name="DATA159B">#REF!</definedName>
    <definedName name="DATA159C" localSheetId="12">#REF!</definedName>
    <definedName name="DATA159C" localSheetId="8">#REF!</definedName>
    <definedName name="DATA159C" localSheetId="11">#REF!</definedName>
    <definedName name="DATA159C" localSheetId="9">#REF!</definedName>
    <definedName name="DATA159C" localSheetId="18">#REF!</definedName>
    <definedName name="DATA159C" localSheetId="15">#REF!</definedName>
    <definedName name="DATA159C" localSheetId="7">#REF!</definedName>
    <definedName name="DATA159C">#REF!</definedName>
    <definedName name="DATA159D" localSheetId="12">#REF!</definedName>
    <definedName name="DATA159D" localSheetId="8">#REF!</definedName>
    <definedName name="DATA159D" localSheetId="11">#REF!</definedName>
    <definedName name="DATA159D" localSheetId="9">#REF!</definedName>
    <definedName name="DATA159D" localSheetId="18">#REF!</definedName>
    <definedName name="DATA159D" localSheetId="15">#REF!</definedName>
    <definedName name="DATA159D" localSheetId="7">#REF!</definedName>
    <definedName name="DATA159D">#REF!</definedName>
    <definedName name="DATA16" localSheetId="12">#REF!</definedName>
    <definedName name="DATA16" localSheetId="8">#REF!</definedName>
    <definedName name="DATA16" localSheetId="11">#REF!</definedName>
    <definedName name="DATA16" localSheetId="9">#REF!</definedName>
    <definedName name="DATA16" localSheetId="18">#REF!</definedName>
    <definedName name="DATA16" localSheetId="15">#REF!</definedName>
    <definedName name="DATA16" localSheetId="7">#REF!</definedName>
    <definedName name="DATA16">#REF!</definedName>
    <definedName name="DATA160" localSheetId="12">#REF!</definedName>
    <definedName name="DATA160" localSheetId="8">#REF!</definedName>
    <definedName name="DATA160" localSheetId="11">#REF!</definedName>
    <definedName name="DATA160" localSheetId="9">#REF!</definedName>
    <definedName name="DATA160" localSheetId="18">#REF!</definedName>
    <definedName name="DATA160" localSheetId="15">#REF!</definedName>
    <definedName name="DATA160" localSheetId="7">#REF!</definedName>
    <definedName name="DATA160">#REF!</definedName>
    <definedName name="DATA161" localSheetId="12">#REF!</definedName>
    <definedName name="DATA161" localSheetId="8">#REF!</definedName>
    <definedName name="DATA161" localSheetId="11">#REF!</definedName>
    <definedName name="DATA161" localSheetId="9">#REF!</definedName>
    <definedName name="DATA161" localSheetId="18">#REF!</definedName>
    <definedName name="DATA161" localSheetId="15">#REF!</definedName>
    <definedName name="DATA161" localSheetId="7">#REF!</definedName>
    <definedName name="DATA161">#REF!</definedName>
    <definedName name="DATA162" localSheetId="12">#REF!</definedName>
    <definedName name="DATA162" localSheetId="8">#REF!</definedName>
    <definedName name="DATA162" localSheetId="11">#REF!</definedName>
    <definedName name="DATA162" localSheetId="9">#REF!</definedName>
    <definedName name="DATA162" localSheetId="18">#REF!</definedName>
    <definedName name="DATA162" localSheetId="15">#REF!</definedName>
    <definedName name="DATA162" localSheetId="7">#REF!</definedName>
    <definedName name="DATA162">#REF!</definedName>
    <definedName name="DATA163" localSheetId="12">#REF!</definedName>
    <definedName name="DATA163" localSheetId="8">#REF!</definedName>
    <definedName name="DATA163" localSheetId="11">#REF!</definedName>
    <definedName name="DATA163" localSheetId="9">#REF!</definedName>
    <definedName name="DATA163" localSheetId="18">#REF!</definedName>
    <definedName name="DATA163" localSheetId="15">#REF!</definedName>
    <definedName name="DATA163" localSheetId="7">#REF!</definedName>
    <definedName name="DATA163">#REF!</definedName>
    <definedName name="DATA18" localSheetId="12">#REF!</definedName>
    <definedName name="DATA18" localSheetId="8">#REF!</definedName>
    <definedName name="DATA18" localSheetId="11">#REF!</definedName>
    <definedName name="DATA18" localSheetId="9">#REF!</definedName>
    <definedName name="DATA18" localSheetId="18">#REF!</definedName>
    <definedName name="DATA18" localSheetId="15">#REF!</definedName>
    <definedName name="DATA18" localSheetId="7">#REF!</definedName>
    <definedName name="DATA18">#REF!</definedName>
    <definedName name="DATA19" localSheetId="12">#REF!</definedName>
    <definedName name="DATA19" localSheetId="8">#REF!</definedName>
    <definedName name="DATA19" localSheetId="11">#REF!</definedName>
    <definedName name="DATA19" localSheetId="9">#REF!</definedName>
    <definedName name="DATA19" localSheetId="18">#REF!</definedName>
    <definedName name="DATA19" localSheetId="15">#REF!</definedName>
    <definedName name="DATA19" localSheetId="7">#REF!</definedName>
    <definedName name="DATA19">#REF!</definedName>
    <definedName name="DATA2" localSheetId="12">#REF!</definedName>
    <definedName name="DATA2" localSheetId="8">#REF!</definedName>
    <definedName name="DATA2" localSheetId="11">#REF!</definedName>
    <definedName name="DATA2" localSheetId="9">#REF!</definedName>
    <definedName name="DATA2" localSheetId="18">#REF!</definedName>
    <definedName name="DATA2" localSheetId="15">#REF!</definedName>
    <definedName name="DATA2" localSheetId="7">#REF!</definedName>
    <definedName name="DATA2">#REF!</definedName>
    <definedName name="DATA20" localSheetId="12">#REF!</definedName>
    <definedName name="DATA20" localSheetId="8">#REF!</definedName>
    <definedName name="DATA20" localSheetId="11">#REF!</definedName>
    <definedName name="DATA20" localSheetId="9">#REF!</definedName>
    <definedName name="DATA20" localSheetId="18">#REF!</definedName>
    <definedName name="DATA20" localSheetId="15">#REF!</definedName>
    <definedName name="DATA20" localSheetId="7">#REF!</definedName>
    <definedName name="DATA20">#REF!</definedName>
    <definedName name="DATA21" localSheetId="12">#REF!</definedName>
    <definedName name="DATA21" localSheetId="8">#REF!</definedName>
    <definedName name="DATA21" localSheetId="11">#REF!</definedName>
    <definedName name="DATA21" localSheetId="9">#REF!</definedName>
    <definedName name="DATA21" localSheetId="18">#REF!</definedName>
    <definedName name="DATA21" localSheetId="15">#REF!</definedName>
    <definedName name="DATA21" localSheetId="7">#REF!</definedName>
    <definedName name="DATA21">#REF!</definedName>
    <definedName name="DATA22" localSheetId="12">#REF!</definedName>
    <definedName name="DATA22" localSheetId="8">#REF!</definedName>
    <definedName name="DATA22" localSheetId="11">#REF!</definedName>
    <definedName name="DATA22" localSheetId="9">#REF!</definedName>
    <definedName name="DATA22" localSheetId="18">#REF!</definedName>
    <definedName name="DATA22" localSheetId="15">#REF!</definedName>
    <definedName name="DATA22" localSheetId="7">#REF!</definedName>
    <definedName name="DATA22">#REF!</definedName>
    <definedName name="DATA23" localSheetId="12">#REF!</definedName>
    <definedName name="DATA23" localSheetId="8">#REF!</definedName>
    <definedName name="DATA23" localSheetId="11">#REF!</definedName>
    <definedName name="DATA23" localSheetId="9">#REF!</definedName>
    <definedName name="DATA23" localSheetId="18">#REF!</definedName>
    <definedName name="DATA23" localSheetId="15">#REF!</definedName>
    <definedName name="DATA23" localSheetId="7">#REF!</definedName>
    <definedName name="DATA23">#REF!</definedName>
    <definedName name="DATA24" localSheetId="12">#REF!</definedName>
    <definedName name="DATA24" localSheetId="8">#REF!</definedName>
    <definedName name="DATA24" localSheetId="11">#REF!</definedName>
    <definedName name="DATA24" localSheetId="9">#REF!</definedName>
    <definedName name="DATA24" localSheetId="18">#REF!</definedName>
    <definedName name="DATA24" localSheetId="15">#REF!</definedName>
    <definedName name="DATA24" localSheetId="7">#REF!</definedName>
    <definedName name="DATA24">#REF!</definedName>
    <definedName name="DATA26" localSheetId="12">#REF!</definedName>
    <definedName name="DATA26" localSheetId="8">#REF!</definedName>
    <definedName name="DATA26" localSheetId="11">#REF!</definedName>
    <definedName name="DATA26" localSheetId="9">#REF!</definedName>
    <definedName name="DATA26" localSheetId="18">#REF!</definedName>
    <definedName name="DATA26" localSheetId="15">#REF!</definedName>
    <definedName name="DATA26" localSheetId="7">#REF!</definedName>
    <definedName name="DATA26">#REF!</definedName>
    <definedName name="DATA27" localSheetId="12">#REF!</definedName>
    <definedName name="DATA27" localSheetId="8">#REF!</definedName>
    <definedName name="DATA27" localSheetId="11">#REF!</definedName>
    <definedName name="DATA27" localSheetId="9">#REF!</definedName>
    <definedName name="DATA27" localSheetId="18">#REF!</definedName>
    <definedName name="DATA27" localSheetId="15">#REF!</definedName>
    <definedName name="DATA27" localSheetId="7">#REF!</definedName>
    <definedName name="DATA27">#REF!</definedName>
    <definedName name="DATA29" localSheetId="12">#REF!</definedName>
    <definedName name="DATA29" localSheetId="8">#REF!</definedName>
    <definedName name="DATA29" localSheetId="11">#REF!</definedName>
    <definedName name="DATA29" localSheetId="9">#REF!</definedName>
    <definedName name="DATA29" localSheetId="18">#REF!</definedName>
    <definedName name="DATA29" localSheetId="15">#REF!</definedName>
    <definedName name="DATA29" localSheetId="7">#REF!</definedName>
    <definedName name="DATA29">#REF!</definedName>
    <definedName name="DATA3" localSheetId="12">#REF!</definedName>
    <definedName name="DATA3" localSheetId="8">#REF!</definedName>
    <definedName name="DATA3" localSheetId="11">#REF!</definedName>
    <definedName name="DATA3" localSheetId="9">#REF!</definedName>
    <definedName name="DATA3" localSheetId="18">#REF!</definedName>
    <definedName name="DATA3" localSheetId="15">#REF!</definedName>
    <definedName name="DATA3" localSheetId="7">#REF!</definedName>
    <definedName name="DATA3">#REF!</definedName>
    <definedName name="DATA30" localSheetId="12">#REF!</definedName>
    <definedName name="DATA30" localSheetId="8">#REF!</definedName>
    <definedName name="DATA30" localSheetId="11">#REF!</definedName>
    <definedName name="DATA30" localSheetId="9">#REF!</definedName>
    <definedName name="DATA30" localSheetId="18">#REF!</definedName>
    <definedName name="DATA30" localSheetId="15">#REF!</definedName>
    <definedName name="DATA30" localSheetId="7">#REF!</definedName>
    <definedName name="DATA30">#REF!</definedName>
    <definedName name="DATA31" localSheetId="12">#REF!</definedName>
    <definedName name="DATA31" localSheetId="8">#REF!</definedName>
    <definedName name="DATA31" localSheetId="11">#REF!</definedName>
    <definedName name="DATA31" localSheetId="9">#REF!</definedName>
    <definedName name="DATA31" localSheetId="18">#REF!</definedName>
    <definedName name="DATA31" localSheetId="15">#REF!</definedName>
    <definedName name="DATA31" localSheetId="7">#REF!</definedName>
    <definedName name="DATA31">#REF!</definedName>
    <definedName name="DATA32" localSheetId="12">#REF!</definedName>
    <definedName name="DATA32" localSheetId="8">#REF!</definedName>
    <definedName name="DATA32" localSheetId="11">#REF!</definedName>
    <definedName name="DATA32" localSheetId="9">#REF!</definedName>
    <definedName name="DATA32" localSheetId="18">#REF!</definedName>
    <definedName name="DATA32" localSheetId="15">#REF!</definedName>
    <definedName name="DATA32" localSheetId="7">#REF!</definedName>
    <definedName name="DATA32">#REF!</definedName>
    <definedName name="DATA33" localSheetId="12">#REF!</definedName>
    <definedName name="DATA33" localSheetId="8">#REF!</definedName>
    <definedName name="DATA33" localSheetId="11">#REF!</definedName>
    <definedName name="DATA33" localSheetId="9">#REF!</definedName>
    <definedName name="DATA33" localSheetId="18">#REF!</definedName>
    <definedName name="DATA33" localSheetId="15">#REF!</definedName>
    <definedName name="DATA33" localSheetId="7">#REF!</definedName>
    <definedName name="DATA33">#REF!</definedName>
    <definedName name="DATA34" localSheetId="12">#REF!</definedName>
    <definedName name="DATA34" localSheetId="8">#REF!</definedName>
    <definedName name="DATA34" localSheetId="11">#REF!</definedName>
    <definedName name="DATA34" localSheetId="9">#REF!</definedName>
    <definedName name="DATA34" localSheetId="18">#REF!</definedName>
    <definedName name="DATA34" localSheetId="15">#REF!</definedName>
    <definedName name="DATA34" localSheetId="7">#REF!</definedName>
    <definedName name="DATA34">#REF!</definedName>
    <definedName name="DATA35" localSheetId="12">#REF!</definedName>
    <definedName name="DATA35" localSheetId="8">#REF!</definedName>
    <definedName name="DATA35" localSheetId="11">#REF!</definedName>
    <definedName name="DATA35" localSheetId="9">#REF!</definedName>
    <definedName name="DATA35" localSheetId="18">#REF!</definedName>
    <definedName name="DATA35" localSheetId="15">#REF!</definedName>
    <definedName name="DATA35" localSheetId="7">#REF!</definedName>
    <definedName name="DATA35">#REF!</definedName>
    <definedName name="DATA36" localSheetId="12">#REF!</definedName>
    <definedName name="DATA36" localSheetId="8">#REF!</definedName>
    <definedName name="DATA36" localSheetId="11">#REF!</definedName>
    <definedName name="DATA36" localSheetId="9">#REF!</definedName>
    <definedName name="DATA36" localSheetId="18">#REF!</definedName>
    <definedName name="DATA36" localSheetId="15">#REF!</definedName>
    <definedName name="DATA36" localSheetId="7">#REF!</definedName>
    <definedName name="DATA36">#REF!</definedName>
    <definedName name="DATA37" localSheetId="12">#REF!</definedName>
    <definedName name="DATA37" localSheetId="8">#REF!</definedName>
    <definedName name="DATA37" localSheetId="11">#REF!</definedName>
    <definedName name="DATA37" localSheetId="9">#REF!</definedName>
    <definedName name="DATA37" localSheetId="18">#REF!</definedName>
    <definedName name="DATA37" localSheetId="15">#REF!</definedName>
    <definedName name="DATA37" localSheetId="7">#REF!</definedName>
    <definedName name="DATA37">#REF!</definedName>
    <definedName name="DATA38" localSheetId="12">#REF!</definedName>
    <definedName name="DATA38" localSheetId="8">#REF!</definedName>
    <definedName name="DATA38" localSheetId="11">#REF!</definedName>
    <definedName name="DATA38" localSheetId="9">#REF!</definedName>
    <definedName name="DATA38" localSheetId="18">#REF!</definedName>
    <definedName name="DATA38" localSheetId="15">#REF!</definedName>
    <definedName name="DATA38" localSheetId="7">#REF!</definedName>
    <definedName name="DATA38">#REF!</definedName>
    <definedName name="DATA39" localSheetId="12">#REF!</definedName>
    <definedName name="DATA39" localSheetId="8">#REF!</definedName>
    <definedName name="DATA39" localSheetId="11">#REF!</definedName>
    <definedName name="DATA39" localSheetId="9">#REF!</definedName>
    <definedName name="DATA39" localSheetId="18">#REF!</definedName>
    <definedName name="DATA39" localSheetId="15">#REF!</definedName>
    <definedName name="DATA39" localSheetId="7">#REF!</definedName>
    <definedName name="DATA39">#REF!</definedName>
    <definedName name="DATA4" localSheetId="12">#REF!</definedName>
    <definedName name="DATA4" localSheetId="8">#REF!</definedName>
    <definedName name="DATA4" localSheetId="11">#REF!</definedName>
    <definedName name="DATA4" localSheetId="9">#REF!</definedName>
    <definedName name="DATA4" localSheetId="18">#REF!</definedName>
    <definedName name="DATA4" localSheetId="15">#REF!</definedName>
    <definedName name="DATA4" localSheetId="7">#REF!</definedName>
    <definedName name="DATA4">#REF!</definedName>
    <definedName name="DATA40" localSheetId="12">#REF!</definedName>
    <definedName name="DATA40" localSheetId="8">#REF!</definedName>
    <definedName name="DATA40" localSheetId="11">#REF!</definedName>
    <definedName name="DATA40" localSheetId="9">#REF!</definedName>
    <definedName name="DATA40" localSheetId="18">#REF!</definedName>
    <definedName name="DATA40" localSheetId="15">#REF!</definedName>
    <definedName name="DATA40" localSheetId="7">#REF!</definedName>
    <definedName name="DATA40">#REF!</definedName>
    <definedName name="DATA41" localSheetId="12">#REF!</definedName>
    <definedName name="DATA41" localSheetId="8">#REF!</definedName>
    <definedName name="DATA41" localSheetId="11">#REF!</definedName>
    <definedName name="DATA41" localSheetId="9">#REF!</definedName>
    <definedName name="DATA41" localSheetId="18">#REF!</definedName>
    <definedName name="DATA41" localSheetId="15">#REF!</definedName>
    <definedName name="DATA41" localSheetId="7">#REF!</definedName>
    <definedName name="DATA41">#REF!</definedName>
    <definedName name="DATA42" localSheetId="12">#REF!</definedName>
    <definedName name="DATA42" localSheetId="8">#REF!</definedName>
    <definedName name="DATA42" localSheetId="11">#REF!</definedName>
    <definedName name="DATA42" localSheetId="9">#REF!</definedName>
    <definedName name="DATA42" localSheetId="18">#REF!</definedName>
    <definedName name="DATA42" localSheetId="15">#REF!</definedName>
    <definedName name="DATA42" localSheetId="7">#REF!</definedName>
    <definedName name="DATA42">#REF!</definedName>
    <definedName name="DATA43" localSheetId="12">#REF!</definedName>
    <definedName name="DATA43" localSheetId="8">#REF!</definedName>
    <definedName name="DATA43" localSheetId="11">#REF!</definedName>
    <definedName name="DATA43" localSheetId="9">#REF!</definedName>
    <definedName name="DATA43" localSheetId="18">#REF!</definedName>
    <definedName name="DATA43" localSheetId="15">#REF!</definedName>
    <definedName name="DATA43" localSheetId="7">#REF!</definedName>
    <definedName name="DATA43">#REF!</definedName>
    <definedName name="DATA44" localSheetId="12">#REF!</definedName>
    <definedName name="DATA44" localSheetId="8">#REF!</definedName>
    <definedName name="DATA44" localSheetId="11">#REF!</definedName>
    <definedName name="DATA44" localSheetId="9">#REF!</definedName>
    <definedName name="DATA44" localSheetId="18">#REF!</definedName>
    <definedName name="DATA44" localSheetId="15">#REF!</definedName>
    <definedName name="DATA44" localSheetId="7">#REF!</definedName>
    <definedName name="DATA44">#REF!</definedName>
    <definedName name="DATA45" localSheetId="12">#REF!</definedName>
    <definedName name="DATA45" localSheetId="8">#REF!</definedName>
    <definedName name="DATA45" localSheetId="11">#REF!</definedName>
    <definedName name="DATA45" localSheetId="9">#REF!</definedName>
    <definedName name="DATA45" localSheetId="18">#REF!</definedName>
    <definedName name="DATA45" localSheetId="15">#REF!</definedName>
    <definedName name="DATA45" localSheetId="7">#REF!</definedName>
    <definedName name="DATA45">#REF!</definedName>
    <definedName name="DATA46" localSheetId="12">#REF!</definedName>
    <definedName name="DATA46" localSheetId="8">#REF!</definedName>
    <definedName name="DATA46" localSheetId="11">#REF!</definedName>
    <definedName name="DATA46" localSheetId="9">#REF!</definedName>
    <definedName name="DATA46" localSheetId="18">#REF!</definedName>
    <definedName name="DATA46" localSheetId="15">#REF!</definedName>
    <definedName name="DATA46" localSheetId="7">#REF!</definedName>
    <definedName name="DATA46">#REF!</definedName>
    <definedName name="DATA47" localSheetId="12">#REF!</definedName>
    <definedName name="DATA47" localSheetId="8">#REF!</definedName>
    <definedName name="DATA47" localSheetId="11">#REF!</definedName>
    <definedName name="DATA47" localSheetId="9">#REF!</definedName>
    <definedName name="DATA47" localSheetId="18">#REF!</definedName>
    <definedName name="DATA47" localSheetId="15">#REF!</definedName>
    <definedName name="DATA47" localSheetId="7">#REF!</definedName>
    <definedName name="DATA47">#REF!</definedName>
    <definedName name="DATA48" localSheetId="12">#REF!</definedName>
    <definedName name="DATA48" localSheetId="8">#REF!</definedName>
    <definedName name="DATA48" localSheetId="11">#REF!</definedName>
    <definedName name="DATA48" localSheetId="9">#REF!</definedName>
    <definedName name="DATA48" localSheetId="18">#REF!</definedName>
    <definedName name="DATA48" localSheetId="15">#REF!</definedName>
    <definedName name="DATA48" localSheetId="7">#REF!</definedName>
    <definedName name="DATA48">#REF!</definedName>
    <definedName name="DATA49" localSheetId="12">#REF!</definedName>
    <definedName name="DATA49" localSheetId="8">#REF!</definedName>
    <definedName name="DATA49" localSheetId="11">#REF!</definedName>
    <definedName name="DATA49" localSheetId="9">#REF!</definedName>
    <definedName name="DATA49" localSheetId="18">#REF!</definedName>
    <definedName name="DATA49" localSheetId="15">#REF!</definedName>
    <definedName name="DATA49" localSheetId="7">#REF!</definedName>
    <definedName name="DATA49">#REF!</definedName>
    <definedName name="DATA5" localSheetId="12">#REF!</definedName>
    <definedName name="DATA5" localSheetId="8">#REF!</definedName>
    <definedName name="DATA5" localSheetId="11">#REF!</definedName>
    <definedName name="DATA5" localSheetId="9">#REF!</definedName>
    <definedName name="DATA5" localSheetId="18">#REF!</definedName>
    <definedName name="DATA5" localSheetId="15">#REF!</definedName>
    <definedName name="DATA5" localSheetId="7">#REF!</definedName>
    <definedName name="DATA5">#REF!</definedName>
    <definedName name="DATA50" localSheetId="12">#REF!</definedName>
    <definedName name="DATA50" localSheetId="8">#REF!</definedName>
    <definedName name="DATA50" localSheetId="11">#REF!</definedName>
    <definedName name="DATA50" localSheetId="9">#REF!</definedName>
    <definedName name="DATA50" localSheetId="18">#REF!</definedName>
    <definedName name="DATA50" localSheetId="15">#REF!</definedName>
    <definedName name="DATA50" localSheetId="7">#REF!</definedName>
    <definedName name="DATA50">#REF!</definedName>
    <definedName name="DATA51" localSheetId="12">#REF!</definedName>
    <definedName name="DATA51" localSheetId="8">#REF!</definedName>
    <definedName name="DATA51" localSheetId="11">#REF!</definedName>
    <definedName name="DATA51" localSheetId="9">#REF!</definedName>
    <definedName name="DATA51" localSheetId="18">#REF!</definedName>
    <definedName name="DATA51" localSheetId="15">#REF!</definedName>
    <definedName name="DATA51" localSheetId="7">#REF!</definedName>
    <definedName name="DATA51">#REF!</definedName>
    <definedName name="DATA52" localSheetId="12">#REF!</definedName>
    <definedName name="DATA52" localSheetId="8">#REF!</definedName>
    <definedName name="DATA52" localSheetId="11">#REF!</definedName>
    <definedName name="DATA52" localSheetId="9">#REF!</definedName>
    <definedName name="DATA52" localSheetId="18">#REF!</definedName>
    <definedName name="DATA52" localSheetId="15">#REF!</definedName>
    <definedName name="DATA52" localSheetId="7">#REF!</definedName>
    <definedName name="DATA52">#REF!</definedName>
    <definedName name="DATA53" localSheetId="12">#REF!</definedName>
    <definedName name="DATA53" localSheetId="8">#REF!</definedName>
    <definedName name="DATA53" localSheetId="11">#REF!</definedName>
    <definedName name="DATA53" localSheetId="9">#REF!</definedName>
    <definedName name="DATA53" localSheetId="18">#REF!</definedName>
    <definedName name="DATA53" localSheetId="15">#REF!</definedName>
    <definedName name="DATA53" localSheetId="7">#REF!</definedName>
    <definedName name="DATA53">#REF!</definedName>
    <definedName name="DATA54" localSheetId="12">#REF!</definedName>
    <definedName name="DATA54" localSheetId="8">#REF!</definedName>
    <definedName name="DATA54" localSheetId="11">#REF!</definedName>
    <definedName name="DATA54" localSheetId="9">#REF!</definedName>
    <definedName name="DATA54" localSheetId="18">#REF!</definedName>
    <definedName name="DATA54" localSheetId="15">#REF!</definedName>
    <definedName name="DATA54" localSheetId="7">#REF!</definedName>
    <definedName name="DATA54">#REF!</definedName>
    <definedName name="DATA56" localSheetId="12">#REF!</definedName>
    <definedName name="DATA56" localSheetId="8">#REF!</definedName>
    <definedName name="DATA56" localSheetId="11">#REF!</definedName>
    <definedName name="DATA56" localSheetId="9">#REF!</definedName>
    <definedName name="DATA56" localSheetId="18">#REF!</definedName>
    <definedName name="DATA56" localSheetId="15">#REF!</definedName>
    <definedName name="DATA56" localSheetId="7">#REF!</definedName>
    <definedName name="DATA56">#REF!</definedName>
    <definedName name="DATA57" localSheetId="12">#REF!</definedName>
    <definedName name="DATA57" localSheetId="8">#REF!</definedName>
    <definedName name="DATA57" localSheetId="11">#REF!</definedName>
    <definedName name="DATA57" localSheetId="9">#REF!</definedName>
    <definedName name="DATA57" localSheetId="18">#REF!</definedName>
    <definedName name="DATA57" localSheetId="15">#REF!</definedName>
    <definedName name="DATA57" localSheetId="7">#REF!</definedName>
    <definedName name="DATA57">#REF!</definedName>
    <definedName name="DATA58" localSheetId="12">#REF!</definedName>
    <definedName name="DATA58" localSheetId="8">#REF!</definedName>
    <definedName name="DATA58" localSheetId="11">#REF!</definedName>
    <definedName name="DATA58" localSheetId="9">#REF!</definedName>
    <definedName name="DATA58" localSheetId="18">#REF!</definedName>
    <definedName name="DATA58" localSheetId="15">#REF!</definedName>
    <definedName name="DATA58" localSheetId="7">#REF!</definedName>
    <definedName name="DATA58">#REF!</definedName>
    <definedName name="DATA59" localSheetId="12">#REF!</definedName>
    <definedName name="DATA59" localSheetId="8">#REF!</definedName>
    <definedName name="DATA59" localSheetId="11">#REF!</definedName>
    <definedName name="DATA59" localSheetId="9">#REF!</definedName>
    <definedName name="DATA59" localSheetId="18">#REF!</definedName>
    <definedName name="DATA59" localSheetId="15">#REF!</definedName>
    <definedName name="DATA59" localSheetId="7">#REF!</definedName>
    <definedName name="DATA59">#REF!</definedName>
    <definedName name="DATA6" localSheetId="12">#REF!</definedName>
    <definedName name="DATA6" localSheetId="8">#REF!</definedName>
    <definedName name="DATA6" localSheetId="11">#REF!</definedName>
    <definedName name="DATA6" localSheetId="9">#REF!</definedName>
    <definedName name="DATA6" localSheetId="18">#REF!</definedName>
    <definedName name="DATA6" localSheetId="15">#REF!</definedName>
    <definedName name="DATA6" localSheetId="7">#REF!</definedName>
    <definedName name="DATA6">#REF!</definedName>
    <definedName name="DATA60" localSheetId="12">#REF!</definedName>
    <definedName name="DATA60" localSheetId="8">#REF!</definedName>
    <definedName name="DATA60" localSheetId="11">#REF!</definedName>
    <definedName name="DATA60" localSheetId="9">#REF!</definedName>
    <definedName name="DATA60" localSheetId="18">#REF!</definedName>
    <definedName name="DATA60" localSheetId="15">#REF!</definedName>
    <definedName name="DATA60" localSheetId="7">#REF!</definedName>
    <definedName name="DATA60">#REF!</definedName>
    <definedName name="DATA61" localSheetId="12">#REF!</definedName>
    <definedName name="DATA61" localSheetId="8">#REF!</definedName>
    <definedName name="DATA61" localSheetId="11">#REF!</definedName>
    <definedName name="DATA61" localSheetId="9">#REF!</definedName>
    <definedName name="DATA61" localSheetId="18">#REF!</definedName>
    <definedName name="DATA61" localSheetId="15">#REF!</definedName>
    <definedName name="DATA61" localSheetId="7">#REF!</definedName>
    <definedName name="DATA61">#REF!</definedName>
    <definedName name="DATA63" localSheetId="12">#REF!</definedName>
    <definedName name="DATA63" localSheetId="8">#REF!</definedName>
    <definedName name="DATA63" localSheetId="11">#REF!</definedName>
    <definedName name="DATA63" localSheetId="9">#REF!</definedName>
    <definedName name="DATA63" localSheetId="18">#REF!</definedName>
    <definedName name="DATA63" localSheetId="15">#REF!</definedName>
    <definedName name="DATA63" localSheetId="7">#REF!</definedName>
    <definedName name="DATA63">#REF!</definedName>
    <definedName name="DATA64" localSheetId="12">#REF!</definedName>
    <definedName name="DATA64" localSheetId="8">#REF!</definedName>
    <definedName name="DATA64" localSheetId="11">#REF!</definedName>
    <definedName name="DATA64" localSheetId="9">#REF!</definedName>
    <definedName name="DATA64" localSheetId="18">#REF!</definedName>
    <definedName name="DATA64" localSheetId="15">#REF!</definedName>
    <definedName name="DATA64" localSheetId="7">#REF!</definedName>
    <definedName name="DATA64">#REF!</definedName>
    <definedName name="DATA65" localSheetId="12">#REF!</definedName>
    <definedName name="DATA65" localSheetId="8">#REF!</definedName>
    <definedName name="DATA65" localSheetId="11">#REF!</definedName>
    <definedName name="DATA65" localSheetId="9">#REF!</definedName>
    <definedName name="DATA65" localSheetId="18">#REF!</definedName>
    <definedName name="DATA65" localSheetId="15">#REF!</definedName>
    <definedName name="DATA65" localSheetId="7">#REF!</definedName>
    <definedName name="DATA65">#REF!</definedName>
    <definedName name="DATA66" localSheetId="12">#REF!</definedName>
    <definedName name="DATA66" localSheetId="8">#REF!</definedName>
    <definedName name="DATA66" localSheetId="11">#REF!</definedName>
    <definedName name="DATA66" localSheetId="9">#REF!</definedName>
    <definedName name="DATA66" localSheetId="18">#REF!</definedName>
    <definedName name="DATA66" localSheetId="15">#REF!</definedName>
    <definedName name="DATA66" localSheetId="7">#REF!</definedName>
    <definedName name="DATA66">#REF!</definedName>
    <definedName name="DATA67" localSheetId="12">#REF!</definedName>
    <definedName name="DATA67" localSheetId="8">#REF!</definedName>
    <definedName name="DATA67" localSheetId="11">#REF!</definedName>
    <definedName name="DATA67" localSheetId="9">#REF!</definedName>
    <definedName name="DATA67" localSheetId="18">#REF!</definedName>
    <definedName name="DATA67" localSheetId="15">#REF!</definedName>
    <definedName name="DATA67" localSheetId="7">#REF!</definedName>
    <definedName name="DATA67">#REF!</definedName>
    <definedName name="DATA68" localSheetId="12">#REF!</definedName>
    <definedName name="DATA68" localSheetId="8">#REF!</definedName>
    <definedName name="DATA68" localSheetId="11">#REF!</definedName>
    <definedName name="DATA68" localSheetId="9">#REF!</definedName>
    <definedName name="DATA68" localSheetId="18">#REF!</definedName>
    <definedName name="DATA68" localSheetId="15">#REF!</definedName>
    <definedName name="DATA68" localSheetId="7">#REF!</definedName>
    <definedName name="DATA68">#REF!</definedName>
    <definedName name="DATA69" localSheetId="12">#REF!</definedName>
    <definedName name="DATA69" localSheetId="8">#REF!</definedName>
    <definedName name="DATA69" localSheetId="11">#REF!</definedName>
    <definedName name="DATA69" localSheetId="9">#REF!</definedName>
    <definedName name="DATA69" localSheetId="18">#REF!</definedName>
    <definedName name="DATA69" localSheetId="15">#REF!</definedName>
    <definedName name="DATA69" localSheetId="7">#REF!</definedName>
    <definedName name="DATA69">#REF!</definedName>
    <definedName name="DATA7" localSheetId="12">#REF!</definedName>
    <definedName name="DATA7" localSheetId="8">#REF!</definedName>
    <definedName name="DATA7" localSheetId="11">#REF!</definedName>
    <definedName name="DATA7" localSheetId="9">#REF!</definedName>
    <definedName name="DATA7" localSheetId="18">#REF!</definedName>
    <definedName name="DATA7" localSheetId="15">#REF!</definedName>
    <definedName name="DATA7" localSheetId="7">#REF!</definedName>
    <definedName name="DATA7">#REF!</definedName>
    <definedName name="DATA70" localSheetId="12">#REF!</definedName>
    <definedName name="DATA70" localSheetId="8">#REF!</definedName>
    <definedName name="DATA70" localSheetId="11">#REF!</definedName>
    <definedName name="DATA70" localSheetId="9">#REF!</definedName>
    <definedName name="DATA70" localSheetId="18">#REF!</definedName>
    <definedName name="DATA70" localSheetId="15">#REF!</definedName>
    <definedName name="DATA70" localSheetId="7">#REF!</definedName>
    <definedName name="DATA70">#REF!</definedName>
    <definedName name="DATA71" localSheetId="12">#REF!</definedName>
    <definedName name="DATA71" localSheetId="8">#REF!</definedName>
    <definedName name="DATA71" localSheetId="11">#REF!</definedName>
    <definedName name="DATA71" localSheetId="9">#REF!</definedName>
    <definedName name="DATA71" localSheetId="18">#REF!</definedName>
    <definedName name="DATA71" localSheetId="15">#REF!</definedName>
    <definedName name="DATA71" localSheetId="7">#REF!</definedName>
    <definedName name="DATA71">#REF!</definedName>
    <definedName name="DATA72" localSheetId="12">#REF!</definedName>
    <definedName name="DATA72" localSheetId="8">#REF!</definedName>
    <definedName name="DATA72" localSheetId="11">#REF!</definedName>
    <definedName name="DATA72" localSheetId="9">#REF!</definedName>
    <definedName name="DATA72" localSheetId="18">#REF!</definedName>
    <definedName name="DATA72" localSheetId="15">#REF!</definedName>
    <definedName name="DATA72" localSheetId="7">#REF!</definedName>
    <definedName name="DATA72">#REF!</definedName>
    <definedName name="DATA73" localSheetId="12">#REF!</definedName>
    <definedName name="DATA73" localSheetId="8">#REF!</definedName>
    <definedName name="DATA73" localSheetId="11">#REF!</definedName>
    <definedName name="DATA73" localSheetId="9">#REF!</definedName>
    <definedName name="DATA73" localSheetId="18">#REF!</definedName>
    <definedName name="DATA73" localSheetId="15">#REF!</definedName>
    <definedName name="DATA73" localSheetId="7">#REF!</definedName>
    <definedName name="DATA73">#REF!</definedName>
    <definedName name="DATA74" localSheetId="12">#REF!</definedName>
    <definedName name="DATA74" localSheetId="8">#REF!</definedName>
    <definedName name="DATA74" localSheetId="11">#REF!</definedName>
    <definedName name="DATA74" localSheetId="9">#REF!</definedName>
    <definedName name="DATA74" localSheetId="18">#REF!</definedName>
    <definedName name="DATA74" localSheetId="15">#REF!</definedName>
    <definedName name="DATA74" localSheetId="7">#REF!</definedName>
    <definedName name="DATA74">#REF!</definedName>
    <definedName name="DATA76" localSheetId="12">#REF!</definedName>
    <definedName name="DATA76" localSheetId="8">#REF!</definedName>
    <definedName name="DATA76" localSheetId="11">#REF!</definedName>
    <definedName name="DATA76" localSheetId="9">#REF!</definedName>
    <definedName name="DATA76" localSheetId="18">#REF!</definedName>
    <definedName name="DATA76" localSheetId="15">#REF!</definedName>
    <definedName name="DATA76" localSheetId="7">#REF!</definedName>
    <definedName name="DATA76">#REF!</definedName>
    <definedName name="DATA77A" localSheetId="12">#REF!</definedName>
    <definedName name="DATA77A" localSheetId="8">#REF!</definedName>
    <definedName name="DATA77A" localSheetId="11">#REF!</definedName>
    <definedName name="DATA77A" localSheetId="9">#REF!</definedName>
    <definedName name="DATA77A" localSheetId="18">#REF!</definedName>
    <definedName name="DATA77A" localSheetId="15">#REF!</definedName>
    <definedName name="DATA77A" localSheetId="7">#REF!</definedName>
    <definedName name="DATA77A">#REF!</definedName>
    <definedName name="DATA77B" localSheetId="12">#REF!</definedName>
    <definedName name="DATA77B" localSheetId="8">#REF!</definedName>
    <definedName name="DATA77B" localSheetId="11">#REF!</definedName>
    <definedName name="DATA77B" localSheetId="9">#REF!</definedName>
    <definedName name="DATA77B" localSheetId="18">#REF!</definedName>
    <definedName name="DATA77B" localSheetId="15">#REF!</definedName>
    <definedName name="DATA77B" localSheetId="7">#REF!</definedName>
    <definedName name="DATA77B">#REF!</definedName>
    <definedName name="DATA78" localSheetId="12">#REF!</definedName>
    <definedName name="DATA78" localSheetId="8">#REF!</definedName>
    <definedName name="DATA78" localSheetId="11">#REF!</definedName>
    <definedName name="DATA78" localSheetId="9">#REF!</definedName>
    <definedName name="DATA78" localSheetId="18">#REF!</definedName>
    <definedName name="DATA78" localSheetId="15">#REF!</definedName>
    <definedName name="DATA78" localSheetId="7">#REF!</definedName>
    <definedName name="DATA78">#REF!</definedName>
    <definedName name="DATA79A" localSheetId="12">#REF!</definedName>
    <definedName name="DATA79A" localSheetId="8">#REF!</definedName>
    <definedName name="DATA79A" localSheetId="11">#REF!</definedName>
    <definedName name="DATA79A" localSheetId="9">#REF!</definedName>
    <definedName name="DATA79A" localSheetId="18">#REF!</definedName>
    <definedName name="DATA79A" localSheetId="15">#REF!</definedName>
    <definedName name="DATA79A" localSheetId="7">#REF!</definedName>
    <definedName name="DATA79A">#REF!</definedName>
    <definedName name="DATA79B" localSheetId="12">#REF!</definedName>
    <definedName name="DATA79B" localSheetId="8">#REF!</definedName>
    <definedName name="DATA79B" localSheetId="11">#REF!</definedName>
    <definedName name="DATA79B" localSheetId="9">#REF!</definedName>
    <definedName name="DATA79B" localSheetId="18">#REF!</definedName>
    <definedName name="DATA79B" localSheetId="15">#REF!</definedName>
    <definedName name="DATA79B" localSheetId="7">#REF!</definedName>
    <definedName name="DATA79B">#REF!</definedName>
    <definedName name="DATA79C" localSheetId="12">#REF!</definedName>
    <definedName name="DATA79C" localSheetId="8">#REF!</definedName>
    <definedName name="DATA79C" localSheetId="11">#REF!</definedName>
    <definedName name="DATA79C" localSheetId="9">#REF!</definedName>
    <definedName name="DATA79C" localSheetId="18">#REF!</definedName>
    <definedName name="DATA79C" localSheetId="15">#REF!</definedName>
    <definedName name="DATA79C" localSheetId="7">#REF!</definedName>
    <definedName name="DATA79C">#REF!</definedName>
    <definedName name="DATA8" localSheetId="12">#REF!</definedName>
    <definedName name="DATA8" localSheetId="8">#REF!</definedName>
    <definedName name="DATA8" localSheetId="11">#REF!</definedName>
    <definedName name="DATA8" localSheetId="9">#REF!</definedName>
    <definedName name="DATA8" localSheetId="18">#REF!</definedName>
    <definedName name="DATA8" localSheetId="15">#REF!</definedName>
    <definedName name="DATA8" localSheetId="7">#REF!</definedName>
    <definedName name="DATA8">#REF!</definedName>
    <definedName name="DATA80A" localSheetId="12">#REF!</definedName>
    <definedName name="DATA80A" localSheetId="8">#REF!</definedName>
    <definedName name="DATA80A" localSheetId="11">#REF!</definedName>
    <definedName name="DATA80A" localSheetId="9">#REF!</definedName>
    <definedName name="DATA80A" localSheetId="18">#REF!</definedName>
    <definedName name="DATA80A" localSheetId="15">#REF!</definedName>
    <definedName name="DATA80A" localSheetId="7">#REF!</definedName>
    <definedName name="DATA80A">#REF!</definedName>
    <definedName name="DATA80B" localSheetId="12">#REF!</definedName>
    <definedName name="DATA80B" localSheetId="8">#REF!</definedName>
    <definedName name="DATA80B" localSheetId="11">#REF!</definedName>
    <definedName name="DATA80B" localSheetId="9">#REF!</definedName>
    <definedName name="DATA80B" localSheetId="18">#REF!</definedName>
    <definedName name="DATA80B" localSheetId="15">#REF!</definedName>
    <definedName name="DATA80B" localSheetId="7">#REF!</definedName>
    <definedName name="DATA80B">#REF!</definedName>
    <definedName name="DATA80C" localSheetId="12">#REF!</definedName>
    <definedName name="DATA80C" localSheetId="8">#REF!</definedName>
    <definedName name="DATA80C" localSheetId="11">#REF!</definedName>
    <definedName name="DATA80C" localSheetId="9">#REF!</definedName>
    <definedName name="DATA80C" localSheetId="18">#REF!</definedName>
    <definedName name="DATA80C" localSheetId="15">#REF!</definedName>
    <definedName name="DATA80C" localSheetId="7">#REF!</definedName>
    <definedName name="DATA80C">#REF!</definedName>
    <definedName name="DATA81" localSheetId="12">#REF!</definedName>
    <definedName name="DATA81" localSheetId="8">#REF!</definedName>
    <definedName name="DATA81" localSheetId="11">#REF!</definedName>
    <definedName name="DATA81" localSheetId="9">#REF!</definedName>
    <definedName name="DATA81" localSheetId="18">#REF!</definedName>
    <definedName name="DATA81" localSheetId="15">#REF!</definedName>
    <definedName name="DATA81" localSheetId="7">#REF!</definedName>
    <definedName name="DATA81">#REF!</definedName>
    <definedName name="DATA82" localSheetId="12">#REF!</definedName>
    <definedName name="DATA82" localSheetId="8">#REF!</definedName>
    <definedName name="DATA82" localSheetId="11">#REF!</definedName>
    <definedName name="DATA82" localSheetId="9">#REF!</definedName>
    <definedName name="DATA82" localSheetId="18">#REF!</definedName>
    <definedName name="DATA82" localSheetId="15">#REF!</definedName>
    <definedName name="DATA82" localSheetId="7">#REF!</definedName>
    <definedName name="DATA82">#REF!</definedName>
    <definedName name="DATA84" localSheetId="12">#REF!</definedName>
    <definedName name="DATA84" localSheetId="8">#REF!</definedName>
    <definedName name="DATA84" localSheetId="11">#REF!</definedName>
    <definedName name="DATA84" localSheetId="9">#REF!</definedName>
    <definedName name="DATA84" localSheetId="18">#REF!</definedName>
    <definedName name="DATA84" localSheetId="15">#REF!</definedName>
    <definedName name="DATA84" localSheetId="7">#REF!</definedName>
    <definedName name="DATA84">#REF!</definedName>
    <definedName name="DATA85" localSheetId="12">#REF!</definedName>
    <definedName name="DATA85" localSheetId="8">#REF!</definedName>
    <definedName name="DATA85" localSheetId="11">#REF!</definedName>
    <definedName name="DATA85" localSheetId="9">#REF!</definedName>
    <definedName name="DATA85" localSheetId="18">#REF!</definedName>
    <definedName name="DATA85" localSheetId="15">#REF!</definedName>
    <definedName name="DATA85" localSheetId="7">#REF!</definedName>
    <definedName name="DATA85">#REF!</definedName>
    <definedName name="DATA86" localSheetId="12">#REF!</definedName>
    <definedName name="DATA86" localSheetId="8">#REF!</definedName>
    <definedName name="DATA86" localSheetId="11">#REF!</definedName>
    <definedName name="DATA86" localSheetId="9">#REF!</definedName>
    <definedName name="DATA86" localSheetId="18">#REF!</definedName>
    <definedName name="DATA86" localSheetId="15">#REF!</definedName>
    <definedName name="DATA86" localSheetId="7">#REF!</definedName>
    <definedName name="DATA86">#REF!</definedName>
    <definedName name="DATA87" localSheetId="12">#REF!</definedName>
    <definedName name="DATA87" localSheetId="8">#REF!</definedName>
    <definedName name="DATA87" localSheetId="11">#REF!</definedName>
    <definedName name="DATA87" localSheetId="9">#REF!</definedName>
    <definedName name="DATA87" localSheetId="18">#REF!</definedName>
    <definedName name="DATA87" localSheetId="15">#REF!</definedName>
    <definedName name="DATA87" localSheetId="7">#REF!</definedName>
    <definedName name="DATA87">#REF!</definedName>
    <definedName name="DATA88" localSheetId="12">#REF!</definedName>
    <definedName name="DATA88" localSheetId="8">#REF!</definedName>
    <definedName name="DATA88" localSheetId="11">#REF!</definedName>
    <definedName name="DATA88" localSheetId="9">#REF!</definedName>
    <definedName name="DATA88" localSheetId="18">#REF!</definedName>
    <definedName name="DATA88" localSheetId="15">#REF!</definedName>
    <definedName name="DATA88" localSheetId="7">#REF!</definedName>
    <definedName name="DATA88">#REF!</definedName>
    <definedName name="DATA89" localSheetId="12">#REF!</definedName>
    <definedName name="DATA89" localSheetId="8">#REF!</definedName>
    <definedName name="DATA89" localSheetId="11">#REF!</definedName>
    <definedName name="DATA89" localSheetId="9">#REF!</definedName>
    <definedName name="DATA89" localSheetId="18">#REF!</definedName>
    <definedName name="DATA89" localSheetId="15">#REF!</definedName>
    <definedName name="DATA89" localSheetId="7">#REF!</definedName>
    <definedName name="DATA89">#REF!</definedName>
    <definedName name="DATA9" localSheetId="12">#REF!</definedName>
    <definedName name="DATA9" localSheetId="8">#REF!</definedName>
    <definedName name="DATA9" localSheetId="11">#REF!</definedName>
    <definedName name="DATA9" localSheetId="9">#REF!</definedName>
    <definedName name="DATA9" localSheetId="18">#REF!</definedName>
    <definedName name="DATA9" localSheetId="15">#REF!</definedName>
    <definedName name="DATA9" localSheetId="7">#REF!</definedName>
    <definedName name="DATA9">#REF!</definedName>
    <definedName name="DATA90" localSheetId="12">#REF!</definedName>
    <definedName name="DATA90" localSheetId="8">#REF!</definedName>
    <definedName name="DATA90" localSheetId="11">#REF!</definedName>
    <definedName name="DATA90" localSheetId="9">#REF!</definedName>
    <definedName name="DATA90" localSheetId="18">#REF!</definedName>
    <definedName name="DATA90" localSheetId="15">#REF!</definedName>
    <definedName name="DATA90" localSheetId="7">#REF!</definedName>
    <definedName name="DATA90">#REF!</definedName>
    <definedName name="DATA92" localSheetId="12">#REF!</definedName>
    <definedName name="DATA92" localSheetId="8">#REF!</definedName>
    <definedName name="DATA92" localSheetId="11">#REF!</definedName>
    <definedName name="DATA92" localSheetId="9">#REF!</definedName>
    <definedName name="DATA92" localSheetId="18">#REF!</definedName>
    <definedName name="DATA92" localSheetId="15">#REF!</definedName>
    <definedName name="DATA92" localSheetId="7">#REF!</definedName>
    <definedName name="DATA92">#REF!</definedName>
    <definedName name="DATA93" localSheetId="12">#REF!</definedName>
    <definedName name="DATA93" localSheetId="8">#REF!</definedName>
    <definedName name="DATA93" localSheetId="11">#REF!</definedName>
    <definedName name="DATA93" localSheetId="9">#REF!</definedName>
    <definedName name="DATA93" localSheetId="18">#REF!</definedName>
    <definedName name="DATA93" localSheetId="15">#REF!</definedName>
    <definedName name="DATA93" localSheetId="7">#REF!</definedName>
    <definedName name="DATA93">#REF!</definedName>
    <definedName name="DATA94" localSheetId="12">#REF!</definedName>
    <definedName name="DATA94" localSheetId="8">#REF!</definedName>
    <definedName name="DATA94" localSheetId="11">#REF!</definedName>
    <definedName name="DATA94" localSheetId="9">#REF!</definedName>
    <definedName name="DATA94" localSheetId="18">#REF!</definedName>
    <definedName name="DATA94" localSheetId="15">#REF!</definedName>
    <definedName name="DATA94" localSheetId="7">#REF!</definedName>
    <definedName name="DATA94">#REF!</definedName>
    <definedName name="DATA95" localSheetId="12">#REF!</definedName>
    <definedName name="DATA95" localSheetId="8">#REF!</definedName>
    <definedName name="DATA95" localSheetId="11">#REF!</definedName>
    <definedName name="DATA95" localSheetId="9">#REF!</definedName>
    <definedName name="DATA95" localSheetId="18">#REF!</definedName>
    <definedName name="DATA95" localSheetId="15">#REF!</definedName>
    <definedName name="DATA95" localSheetId="7">#REF!</definedName>
    <definedName name="DATA95">#REF!</definedName>
    <definedName name="DATA98" localSheetId="12">#REF!</definedName>
    <definedName name="DATA98" localSheetId="8">#REF!</definedName>
    <definedName name="DATA98" localSheetId="11">#REF!</definedName>
    <definedName name="DATA98" localSheetId="9">#REF!</definedName>
    <definedName name="DATA98" localSheetId="18">#REF!</definedName>
    <definedName name="DATA98" localSheetId="15">#REF!</definedName>
    <definedName name="DATA98" localSheetId="7">#REF!</definedName>
    <definedName name="DATA98">#REF!</definedName>
    <definedName name="DATA99" localSheetId="12">#REF!</definedName>
    <definedName name="DATA99" localSheetId="8">#REF!</definedName>
    <definedName name="DATA99" localSheetId="11">#REF!</definedName>
    <definedName name="DATA99" localSheetId="9">#REF!</definedName>
    <definedName name="DATA99" localSheetId="18">#REF!</definedName>
    <definedName name="DATA99" localSheetId="15">#REF!</definedName>
    <definedName name="DATA99" localSheetId="7">#REF!</definedName>
    <definedName name="DATA99">#REF!</definedName>
    <definedName name="_xlnm.Database" localSheetId="12">#REF!</definedName>
    <definedName name="_xlnm.Database" localSheetId="8">#REF!</definedName>
    <definedName name="_xlnm.Database" localSheetId="11">#REF!</definedName>
    <definedName name="_xlnm.Database" localSheetId="9">#REF!</definedName>
    <definedName name="_xlnm.Database" localSheetId="18">#REF!</definedName>
    <definedName name="_xlnm.Database" localSheetId="15">#REF!</definedName>
    <definedName name="_xlnm.Database" localSheetId="7">#REF!</definedName>
    <definedName name="_xlnm.Database">#REF!</definedName>
    <definedName name="Date" localSheetId="12">#REF!</definedName>
    <definedName name="Date" localSheetId="8">#REF!</definedName>
    <definedName name="Date" localSheetId="11">#REF!</definedName>
    <definedName name="Date" localSheetId="9">#REF!</definedName>
    <definedName name="Date" localSheetId="18">#REF!</definedName>
    <definedName name="Date" localSheetId="15">#REF!</definedName>
    <definedName name="Date" localSheetId="7">#REF!</definedName>
    <definedName name="Date">#REF!</definedName>
    <definedName name="db" localSheetId="12">#REF!</definedName>
    <definedName name="db" localSheetId="8">#REF!</definedName>
    <definedName name="db" localSheetId="11">#REF!</definedName>
    <definedName name="db" localSheetId="9">#REF!</definedName>
    <definedName name="db" localSheetId="18">#REF!</definedName>
    <definedName name="db" localSheetId="15">#REF!</definedName>
    <definedName name="db" localSheetId="7">#REF!</definedName>
    <definedName name="db">#REF!</definedName>
    <definedName name="db___0" localSheetId="12">#REF!</definedName>
    <definedName name="db___0" localSheetId="8">#REF!</definedName>
    <definedName name="db___0" localSheetId="11">#REF!</definedName>
    <definedName name="db___0" localSheetId="9">#REF!</definedName>
    <definedName name="db___0" localSheetId="18">#REF!</definedName>
    <definedName name="db___0" localSheetId="15">#REF!</definedName>
    <definedName name="db___0" localSheetId="7">#REF!</definedName>
    <definedName name="db___0">#REF!</definedName>
    <definedName name="db___13" localSheetId="12">#REF!</definedName>
    <definedName name="db___13" localSheetId="8">#REF!</definedName>
    <definedName name="db___13" localSheetId="11">#REF!</definedName>
    <definedName name="db___13" localSheetId="9">#REF!</definedName>
    <definedName name="db___13" localSheetId="18">#REF!</definedName>
    <definedName name="db___13" localSheetId="15">#REF!</definedName>
    <definedName name="db___13" localSheetId="7">#REF!</definedName>
    <definedName name="db___13">#REF!</definedName>
    <definedName name="dc" localSheetId="12">#REF!</definedName>
    <definedName name="dc" localSheetId="0">#REF!</definedName>
    <definedName name="dc" localSheetId="1">#REF!</definedName>
    <definedName name="dc" localSheetId="8">#REF!</definedName>
    <definedName name="dc" localSheetId="11">#REF!</definedName>
    <definedName name="dc" localSheetId="9">#REF!</definedName>
    <definedName name="dc" localSheetId="18">#REF!</definedName>
    <definedName name="dc" localSheetId="15">#REF!</definedName>
    <definedName name="dc" localSheetId="7">#REF!</definedName>
    <definedName name="dc">#REF!</definedName>
    <definedName name="dd" localSheetId="12">#REF!</definedName>
    <definedName name="dd" localSheetId="0">#REF!</definedName>
    <definedName name="dd" localSheetId="1">#REF!</definedName>
    <definedName name="dd" localSheetId="8">#REF!</definedName>
    <definedName name="dd" localSheetId="11">#REF!</definedName>
    <definedName name="dd" localSheetId="9">#REF!</definedName>
    <definedName name="dd" localSheetId="18">#REF!</definedName>
    <definedName name="dd" localSheetId="15">#REF!</definedName>
    <definedName name="dd" localSheetId="7">#REF!</definedName>
    <definedName name="dd">#REF!</definedName>
    <definedName name="ddd" localSheetId="12" hidden="1">{"PLANT BREAKUP",#N/A,FALSE,"E"}</definedName>
    <definedName name="ddd" localSheetId="6" hidden="1">{"PLANT BREAKUP",#N/A,FALSE,"E"}</definedName>
    <definedName name="ddd" localSheetId="5" hidden="1">{"PLANT BREAKUP",#N/A,FALSE,"E"}</definedName>
    <definedName name="ddd" localSheetId="8" hidden="1">{"PLANT BREAKUP",#N/A,FALSE,"E"}</definedName>
    <definedName name="ddd" localSheetId="11" hidden="1">{"PLANT BREAKUP",#N/A,FALSE,"E"}</definedName>
    <definedName name="ddd" localSheetId="9" hidden="1">{"PLANT BREAKUP",#N/A,FALSE,"E"}</definedName>
    <definedName name="ddd" localSheetId="13" hidden="1">{"PLANT BREAKUP",#N/A,FALSE,"E"}</definedName>
    <definedName name="ddd" localSheetId="18" hidden="1">{"PLANT BREAKUP",#N/A,FALSE,"E"}</definedName>
    <definedName name="ddd" localSheetId="15" hidden="1">{"PLANT BREAKUP",#N/A,FALSE,"E"}</definedName>
    <definedName name="ddd" localSheetId="7" hidden="1">{"PLANT BREAKUP",#N/A,FALSE,"E"}</definedName>
    <definedName name="ddd" hidden="1">{"PLANT BREAKUP",#N/A,FALSE,"E"}</definedName>
    <definedName name="ddddddddd" localSheetId="12" hidden="1">#REF!</definedName>
    <definedName name="ddddddddd" localSheetId="6" hidden="1">#REF!</definedName>
    <definedName name="ddddddddd" localSheetId="5" hidden="1">#REF!</definedName>
    <definedName name="ddddddddd" localSheetId="8" hidden="1">#REF!</definedName>
    <definedName name="ddddddddd" localSheetId="11" hidden="1">#REF!</definedName>
    <definedName name="ddddddddd" localSheetId="9" hidden="1">#REF!</definedName>
    <definedName name="ddddddddd" localSheetId="18" hidden="1">#REF!</definedName>
    <definedName name="ddddddddd" localSheetId="15" hidden="1">#REF!</definedName>
    <definedName name="ddddddddd" localSheetId="7" hidden="1">#REF!</definedName>
    <definedName name="ddddddddd" hidden="1">#REF!</definedName>
    <definedName name="ddddddddddd" localSheetId="12">#REF!</definedName>
    <definedName name="ddddddddddd" localSheetId="6">#REF!</definedName>
    <definedName name="ddddddddddd" localSheetId="5">#REF!</definedName>
    <definedName name="ddddddddddd" localSheetId="8">#REF!</definedName>
    <definedName name="ddddddddddd" localSheetId="11">#REF!</definedName>
    <definedName name="ddddddddddd" localSheetId="9">#REF!</definedName>
    <definedName name="ddddddddddd" localSheetId="18">#REF!</definedName>
    <definedName name="ddddddddddd" localSheetId="15">#REF!</definedName>
    <definedName name="ddddddddddd" localSheetId="7">#REF!</definedName>
    <definedName name="ddddddddddd">#REF!</definedName>
    <definedName name="DEFC" localSheetId="12">#REF!</definedName>
    <definedName name="DEFC" localSheetId="6">#REF!</definedName>
    <definedName name="DEFC" localSheetId="5">#REF!</definedName>
    <definedName name="DEFC" localSheetId="8">#REF!</definedName>
    <definedName name="DEFC" localSheetId="11">#REF!</definedName>
    <definedName name="DEFC" localSheetId="9">#REF!</definedName>
    <definedName name="DEFC" localSheetId="18">#REF!</definedName>
    <definedName name="DEFC" localSheetId="15">#REF!</definedName>
    <definedName name="DEFC" localSheetId="7">#REF!</definedName>
    <definedName name="DEFC">#REF!</definedName>
    <definedName name="DELIVERY_DATE" localSheetId="12">#REF!</definedName>
    <definedName name="DELIVERY_DATE" localSheetId="8">#REF!</definedName>
    <definedName name="DELIVERY_DATE" localSheetId="11">#REF!</definedName>
    <definedName name="DELIVERY_DATE" localSheetId="9">#REF!</definedName>
    <definedName name="DELIVERY_DATE" localSheetId="18">#REF!</definedName>
    <definedName name="DELIVERY_DATE" localSheetId="15">#REF!</definedName>
    <definedName name="DELIVERY_DATE" localSheetId="7">#REF!</definedName>
    <definedName name="DELIVERY_DATE">#REF!</definedName>
    <definedName name="DELTA20" localSheetId="12">#REF!</definedName>
    <definedName name="DELTA20" localSheetId="8">#REF!</definedName>
    <definedName name="DELTA20" localSheetId="11">#REF!</definedName>
    <definedName name="DELTA20" localSheetId="9">#REF!</definedName>
    <definedName name="DELTA20" localSheetId="18">#REF!</definedName>
    <definedName name="DELTA20" localSheetId="15">#REF!</definedName>
    <definedName name="DELTA20" localSheetId="7">#REF!</definedName>
    <definedName name="DELTA20">#REF!</definedName>
    <definedName name="DELTA20___0" localSheetId="12">#REF!</definedName>
    <definedName name="DELTA20___0" localSheetId="8">#REF!</definedName>
    <definedName name="DELTA20___0" localSheetId="11">#REF!</definedName>
    <definedName name="DELTA20___0" localSheetId="9">#REF!</definedName>
    <definedName name="DELTA20___0" localSheetId="18">#REF!</definedName>
    <definedName name="DELTA20___0" localSheetId="15">#REF!</definedName>
    <definedName name="DELTA20___0" localSheetId="7">#REF!</definedName>
    <definedName name="DELTA20___0">#REF!</definedName>
    <definedName name="DELTA20___13" localSheetId="12">#REF!</definedName>
    <definedName name="DELTA20___13" localSheetId="8">#REF!</definedName>
    <definedName name="DELTA20___13" localSheetId="11">#REF!</definedName>
    <definedName name="DELTA20___13" localSheetId="9">#REF!</definedName>
    <definedName name="DELTA20___13" localSheetId="18">#REF!</definedName>
    <definedName name="DELTA20___13" localSheetId="15">#REF!</definedName>
    <definedName name="DELTA20___13" localSheetId="7">#REF!</definedName>
    <definedName name="DELTA20___13">#REF!</definedName>
    <definedName name="den" localSheetId="12">#REF!</definedName>
    <definedName name="den" localSheetId="8">#REF!</definedName>
    <definedName name="den" localSheetId="11">#REF!</definedName>
    <definedName name="den" localSheetId="9">#REF!</definedName>
    <definedName name="den" localSheetId="18">#REF!</definedName>
    <definedName name="den" localSheetId="15">#REF!</definedName>
    <definedName name="den" localSheetId="7">#REF!</definedName>
    <definedName name="den">#REF!</definedName>
    <definedName name="Depn" localSheetId="12">#REF!</definedName>
    <definedName name="Depn" localSheetId="0">#REF!</definedName>
    <definedName name="Depn" localSheetId="1">#REF!</definedName>
    <definedName name="Depn" localSheetId="8">#REF!</definedName>
    <definedName name="Depn" localSheetId="11">#REF!</definedName>
    <definedName name="Depn" localSheetId="9">#REF!</definedName>
    <definedName name="Depn" localSheetId="18">#REF!</definedName>
    <definedName name="Depn" localSheetId="15">#REF!</definedName>
    <definedName name="Depn" localSheetId="7">#REF!</definedName>
    <definedName name="Depn">#REF!</definedName>
    <definedName name="DEPTH" localSheetId="12">#REF!</definedName>
    <definedName name="DEPTH" localSheetId="8">#REF!</definedName>
    <definedName name="DEPTH" localSheetId="11">#REF!</definedName>
    <definedName name="DEPTH" localSheetId="9">#REF!</definedName>
    <definedName name="DEPTH" localSheetId="18">#REF!</definedName>
    <definedName name="DEPTH" localSheetId="15">#REF!</definedName>
    <definedName name="DEPTH" localSheetId="7">#REF!</definedName>
    <definedName name="DEPTH">#REF!</definedName>
    <definedName name="DESC100" localSheetId="12">#REF!</definedName>
    <definedName name="DESC100" localSheetId="8">#REF!</definedName>
    <definedName name="DESC100" localSheetId="11">#REF!</definedName>
    <definedName name="DESC100" localSheetId="9">#REF!</definedName>
    <definedName name="DESC100" localSheetId="18">#REF!</definedName>
    <definedName name="DESC100" localSheetId="15">#REF!</definedName>
    <definedName name="DESC100" localSheetId="7">#REF!</definedName>
    <definedName name="DESC100">#REF!</definedName>
    <definedName name="DESC101" localSheetId="12">#REF!</definedName>
    <definedName name="DESC101" localSheetId="8">#REF!</definedName>
    <definedName name="DESC101" localSheetId="11">#REF!</definedName>
    <definedName name="DESC101" localSheetId="9">#REF!</definedName>
    <definedName name="DESC101" localSheetId="18">#REF!</definedName>
    <definedName name="DESC101" localSheetId="15">#REF!</definedName>
    <definedName name="DESC101" localSheetId="7">#REF!</definedName>
    <definedName name="DESC101">#REF!</definedName>
    <definedName name="DESC1011" localSheetId="12">#REF!</definedName>
    <definedName name="DESC1011" localSheetId="8">#REF!</definedName>
    <definedName name="DESC1011" localSheetId="11">#REF!</definedName>
    <definedName name="DESC1011" localSheetId="9">#REF!</definedName>
    <definedName name="DESC1011" localSheetId="18">#REF!</definedName>
    <definedName name="DESC1011" localSheetId="15">#REF!</definedName>
    <definedName name="DESC1011" localSheetId="7">#REF!</definedName>
    <definedName name="DESC1011">#REF!</definedName>
    <definedName name="DESC1012" localSheetId="12">#REF!</definedName>
    <definedName name="DESC1012" localSheetId="8">#REF!</definedName>
    <definedName name="DESC1012" localSheetId="11">#REF!</definedName>
    <definedName name="DESC1012" localSheetId="9">#REF!</definedName>
    <definedName name="DESC1012" localSheetId="18">#REF!</definedName>
    <definedName name="DESC1012" localSheetId="15">#REF!</definedName>
    <definedName name="DESC1012" localSheetId="7">#REF!</definedName>
    <definedName name="DESC1012">#REF!</definedName>
    <definedName name="DESC1013" localSheetId="12">#REF!</definedName>
    <definedName name="DESC1013" localSheetId="8">#REF!</definedName>
    <definedName name="DESC1013" localSheetId="11">#REF!</definedName>
    <definedName name="DESC1013" localSheetId="9">#REF!</definedName>
    <definedName name="DESC1013" localSheetId="18">#REF!</definedName>
    <definedName name="DESC1013" localSheetId="15">#REF!</definedName>
    <definedName name="DESC1013" localSheetId="7">#REF!</definedName>
    <definedName name="DESC1013">#REF!</definedName>
    <definedName name="DESC1014" localSheetId="12">#REF!</definedName>
    <definedName name="DESC1014" localSheetId="8">#REF!</definedName>
    <definedName name="DESC1014" localSheetId="11">#REF!</definedName>
    <definedName name="DESC1014" localSheetId="9">#REF!</definedName>
    <definedName name="DESC1014" localSheetId="18">#REF!</definedName>
    <definedName name="DESC1014" localSheetId="15">#REF!</definedName>
    <definedName name="DESC1014" localSheetId="7">#REF!</definedName>
    <definedName name="DESC1014">#REF!</definedName>
    <definedName name="DESC1015" localSheetId="12">#REF!</definedName>
    <definedName name="DESC1015" localSheetId="8">#REF!</definedName>
    <definedName name="DESC1015" localSheetId="11">#REF!</definedName>
    <definedName name="DESC1015" localSheetId="9">#REF!</definedName>
    <definedName name="DESC1015" localSheetId="18">#REF!</definedName>
    <definedName name="DESC1015" localSheetId="15">#REF!</definedName>
    <definedName name="DESC1015" localSheetId="7">#REF!</definedName>
    <definedName name="DESC1015">#REF!</definedName>
    <definedName name="DESC102" localSheetId="12">#REF!</definedName>
    <definedName name="DESC102" localSheetId="8">#REF!</definedName>
    <definedName name="DESC102" localSheetId="11">#REF!</definedName>
    <definedName name="DESC102" localSheetId="9">#REF!</definedName>
    <definedName name="DESC102" localSheetId="18">#REF!</definedName>
    <definedName name="DESC102" localSheetId="15">#REF!</definedName>
    <definedName name="DESC102" localSheetId="7">#REF!</definedName>
    <definedName name="DESC102">#REF!</definedName>
    <definedName name="DESC103" localSheetId="12">#REF!</definedName>
    <definedName name="DESC103" localSheetId="8">#REF!</definedName>
    <definedName name="DESC103" localSheetId="11">#REF!</definedName>
    <definedName name="DESC103" localSheetId="9">#REF!</definedName>
    <definedName name="DESC103" localSheetId="18">#REF!</definedName>
    <definedName name="DESC103" localSheetId="15">#REF!</definedName>
    <definedName name="DESC103" localSheetId="7">#REF!</definedName>
    <definedName name="DESC103">#REF!</definedName>
    <definedName name="DESC104" localSheetId="12">#REF!</definedName>
    <definedName name="DESC104" localSheetId="8">#REF!</definedName>
    <definedName name="DESC104" localSheetId="11">#REF!</definedName>
    <definedName name="DESC104" localSheetId="9">#REF!</definedName>
    <definedName name="DESC104" localSheetId="18">#REF!</definedName>
    <definedName name="DESC104" localSheetId="15">#REF!</definedName>
    <definedName name="DESC104" localSheetId="7">#REF!</definedName>
    <definedName name="DESC104">#REF!</definedName>
    <definedName name="DESC105" localSheetId="12">#REF!</definedName>
    <definedName name="DESC105" localSheetId="8">#REF!</definedName>
    <definedName name="DESC105" localSheetId="11">#REF!</definedName>
    <definedName name="DESC105" localSheetId="9">#REF!</definedName>
    <definedName name="DESC105" localSheetId="18">#REF!</definedName>
    <definedName name="DESC105" localSheetId="15">#REF!</definedName>
    <definedName name="DESC105" localSheetId="7">#REF!</definedName>
    <definedName name="DESC105">#REF!</definedName>
    <definedName name="DESC106" localSheetId="12">#REF!</definedName>
    <definedName name="DESC106" localSheetId="8">#REF!</definedName>
    <definedName name="DESC106" localSheetId="11">#REF!</definedName>
    <definedName name="DESC106" localSheetId="9">#REF!</definedName>
    <definedName name="DESC106" localSheetId="18">#REF!</definedName>
    <definedName name="DESC106" localSheetId="15">#REF!</definedName>
    <definedName name="DESC106" localSheetId="7">#REF!</definedName>
    <definedName name="DESC106">#REF!</definedName>
    <definedName name="DESC107" localSheetId="12">#REF!</definedName>
    <definedName name="DESC107" localSheetId="8">#REF!</definedName>
    <definedName name="DESC107" localSheetId="11">#REF!</definedName>
    <definedName name="DESC107" localSheetId="9">#REF!</definedName>
    <definedName name="DESC107" localSheetId="18">#REF!</definedName>
    <definedName name="DESC107" localSheetId="15">#REF!</definedName>
    <definedName name="DESC107" localSheetId="7">#REF!</definedName>
    <definedName name="DESC107">#REF!</definedName>
    <definedName name="DESC107A" localSheetId="12">#REF!</definedName>
    <definedName name="DESC107A" localSheetId="8">#REF!</definedName>
    <definedName name="DESC107A" localSheetId="11">#REF!</definedName>
    <definedName name="DESC107A" localSheetId="9">#REF!</definedName>
    <definedName name="DESC107A" localSheetId="18">#REF!</definedName>
    <definedName name="DESC107A" localSheetId="15">#REF!</definedName>
    <definedName name="DESC107A" localSheetId="7">#REF!</definedName>
    <definedName name="DESC107A">#REF!</definedName>
    <definedName name="DESC107B" localSheetId="12">#REF!</definedName>
    <definedName name="DESC107B" localSheetId="8">#REF!</definedName>
    <definedName name="DESC107B" localSheetId="11">#REF!</definedName>
    <definedName name="DESC107B" localSheetId="9">#REF!</definedName>
    <definedName name="DESC107B" localSheetId="18">#REF!</definedName>
    <definedName name="DESC107B" localSheetId="15">#REF!</definedName>
    <definedName name="DESC107B" localSheetId="7">#REF!</definedName>
    <definedName name="DESC107B">#REF!</definedName>
    <definedName name="DESC107C" localSheetId="12">#REF!</definedName>
    <definedName name="DESC107C" localSheetId="8">#REF!</definedName>
    <definedName name="DESC107C" localSheetId="11">#REF!</definedName>
    <definedName name="DESC107C" localSheetId="9">#REF!</definedName>
    <definedName name="DESC107C" localSheetId="18">#REF!</definedName>
    <definedName name="DESC107C" localSheetId="15">#REF!</definedName>
    <definedName name="DESC107C" localSheetId="7">#REF!</definedName>
    <definedName name="DESC107C">#REF!</definedName>
    <definedName name="DESC107D" localSheetId="12">#REF!</definedName>
    <definedName name="DESC107D" localSheetId="8">#REF!</definedName>
    <definedName name="DESC107D" localSheetId="11">#REF!</definedName>
    <definedName name="DESC107D" localSheetId="9">#REF!</definedName>
    <definedName name="DESC107D" localSheetId="18">#REF!</definedName>
    <definedName name="DESC107D" localSheetId="15">#REF!</definedName>
    <definedName name="DESC107D" localSheetId="7">#REF!</definedName>
    <definedName name="DESC107D">#REF!</definedName>
    <definedName name="DESC107E" localSheetId="12">#REF!</definedName>
    <definedName name="DESC107E" localSheetId="8">#REF!</definedName>
    <definedName name="DESC107E" localSheetId="11">#REF!</definedName>
    <definedName name="DESC107E" localSheetId="9">#REF!</definedName>
    <definedName name="DESC107E" localSheetId="18">#REF!</definedName>
    <definedName name="DESC107E" localSheetId="15">#REF!</definedName>
    <definedName name="DESC107E" localSheetId="7">#REF!</definedName>
    <definedName name="DESC107E">#REF!</definedName>
    <definedName name="DESC107F" localSheetId="12">#REF!</definedName>
    <definedName name="DESC107F" localSheetId="8">#REF!</definedName>
    <definedName name="DESC107F" localSheetId="11">#REF!</definedName>
    <definedName name="DESC107F" localSheetId="9">#REF!</definedName>
    <definedName name="DESC107F" localSheetId="18">#REF!</definedName>
    <definedName name="DESC107F" localSheetId="15">#REF!</definedName>
    <definedName name="DESC107F" localSheetId="7">#REF!</definedName>
    <definedName name="DESC107F">#REF!</definedName>
    <definedName name="DESC107G" localSheetId="12">#REF!</definedName>
    <definedName name="DESC107G" localSheetId="8">#REF!</definedName>
    <definedName name="DESC107G" localSheetId="11">#REF!</definedName>
    <definedName name="DESC107G" localSheetId="9">#REF!</definedName>
    <definedName name="DESC107G" localSheetId="18">#REF!</definedName>
    <definedName name="DESC107G" localSheetId="15">#REF!</definedName>
    <definedName name="DESC107G" localSheetId="7">#REF!</definedName>
    <definedName name="DESC107G">#REF!</definedName>
    <definedName name="DESC108" localSheetId="12">#REF!</definedName>
    <definedName name="DESC108" localSheetId="8">#REF!</definedName>
    <definedName name="DESC108" localSheetId="11">#REF!</definedName>
    <definedName name="DESC108" localSheetId="9">#REF!</definedName>
    <definedName name="DESC108" localSheetId="18">#REF!</definedName>
    <definedName name="DESC108" localSheetId="15">#REF!</definedName>
    <definedName name="DESC108" localSheetId="7">#REF!</definedName>
    <definedName name="DESC108">#REF!</definedName>
    <definedName name="DESC108A" localSheetId="12">#REF!</definedName>
    <definedName name="DESC108A" localSheetId="8">#REF!</definedName>
    <definedName name="DESC108A" localSheetId="11">#REF!</definedName>
    <definedName name="DESC108A" localSheetId="9">#REF!</definedName>
    <definedName name="DESC108A" localSheetId="18">#REF!</definedName>
    <definedName name="DESC108A" localSheetId="15">#REF!</definedName>
    <definedName name="DESC108A" localSheetId="7">#REF!</definedName>
    <definedName name="DESC108A">#REF!</definedName>
    <definedName name="DESC108B" localSheetId="12">#REF!</definedName>
    <definedName name="DESC108B" localSheetId="8">#REF!</definedName>
    <definedName name="DESC108B" localSheetId="11">#REF!</definedName>
    <definedName name="DESC108B" localSheetId="9">#REF!</definedName>
    <definedName name="DESC108B" localSheetId="18">#REF!</definedName>
    <definedName name="DESC108B" localSheetId="15">#REF!</definedName>
    <definedName name="DESC108B" localSheetId="7">#REF!</definedName>
    <definedName name="DESC108B">#REF!</definedName>
    <definedName name="DESC108C" localSheetId="12">#REF!</definedName>
    <definedName name="DESC108C" localSheetId="8">#REF!</definedName>
    <definedName name="DESC108C" localSheetId="11">#REF!</definedName>
    <definedName name="DESC108C" localSheetId="9">#REF!</definedName>
    <definedName name="DESC108C" localSheetId="18">#REF!</definedName>
    <definedName name="DESC108C" localSheetId="15">#REF!</definedName>
    <definedName name="DESC108C" localSheetId="7">#REF!</definedName>
    <definedName name="DESC108C">#REF!</definedName>
    <definedName name="DESC108D" localSheetId="12">#REF!</definedName>
    <definedName name="DESC108D" localSheetId="8">#REF!</definedName>
    <definedName name="DESC108D" localSheetId="11">#REF!</definedName>
    <definedName name="DESC108D" localSheetId="9">#REF!</definedName>
    <definedName name="DESC108D" localSheetId="18">#REF!</definedName>
    <definedName name="DESC108D" localSheetId="15">#REF!</definedName>
    <definedName name="DESC108D" localSheetId="7">#REF!</definedName>
    <definedName name="DESC108D">#REF!</definedName>
    <definedName name="DESC108E" localSheetId="12">#REF!</definedName>
    <definedName name="DESC108E" localSheetId="8">#REF!</definedName>
    <definedName name="DESC108E" localSheetId="11">#REF!</definedName>
    <definedName name="DESC108E" localSheetId="9">#REF!</definedName>
    <definedName name="DESC108E" localSheetId="18">#REF!</definedName>
    <definedName name="DESC108E" localSheetId="15">#REF!</definedName>
    <definedName name="DESC108E" localSheetId="7">#REF!</definedName>
    <definedName name="DESC108E">#REF!</definedName>
    <definedName name="DESC108F" localSheetId="12">#REF!</definedName>
    <definedName name="DESC108F" localSheetId="8">#REF!</definedName>
    <definedName name="DESC108F" localSheetId="11">#REF!</definedName>
    <definedName name="DESC108F" localSheetId="9">#REF!</definedName>
    <definedName name="DESC108F" localSheetId="18">#REF!</definedName>
    <definedName name="DESC108F" localSheetId="15">#REF!</definedName>
    <definedName name="DESC108F" localSheetId="7">#REF!</definedName>
    <definedName name="DESC108F">#REF!</definedName>
    <definedName name="DESC108G" localSheetId="12">#REF!</definedName>
    <definedName name="DESC108G" localSheetId="8">#REF!</definedName>
    <definedName name="DESC108G" localSheetId="11">#REF!</definedName>
    <definedName name="DESC108G" localSheetId="9">#REF!</definedName>
    <definedName name="DESC108G" localSheetId="18">#REF!</definedName>
    <definedName name="DESC108G" localSheetId="15">#REF!</definedName>
    <definedName name="DESC108G" localSheetId="7">#REF!</definedName>
    <definedName name="DESC108G">#REF!</definedName>
    <definedName name="DESC108H" localSheetId="12">#REF!</definedName>
    <definedName name="DESC108H" localSheetId="8">#REF!</definedName>
    <definedName name="DESC108H" localSheetId="11">#REF!</definedName>
    <definedName name="DESC108H" localSheetId="9">#REF!</definedName>
    <definedName name="DESC108H" localSheetId="18">#REF!</definedName>
    <definedName name="DESC108H" localSheetId="15">#REF!</definedName>
    <definedName name="DESC108H" localSheetId="7">#REF!</definedName>
    <definedName name="DESC108H">#REF!</definedName>
    <definedName name="DESC108I" localSheetId="12">#REF!</definedName>
    <definedName name="DESC108I" localSheetId="8">#REF!</definedName>
    <definedName name="DESC108I" localSheetId="11">#REF!</definedName>
    <definedName name="DESC108I" localSheetId="9">#REF!</definedName>
    <definedName name="DESC108I" localSheetId="18">#REF!</definedName>
    <definedName name="DESC108I" localSheetId="15">#REF!</definedName>
    <definedName name="DESC108I" localSheetId="7">#REF!</definedName>
    <definedName name="DESC108I">#REF!</definedName>
    <definedName name="DESC108J" localSheetId="12">#REF!</definedName>
    <definedName name="DESC108J" localSheetId="8">#REF!</definedName>
    <definedName name="DESC108J" localSheetId="11">#REF!</definedName>
    <definedName name="DESC108J" localSheetId="9">#REF!</definedName>
    <definedName name="DESC108J" localSheetId="18">#REF!</definedName>
    <definedName name="DESC108J" localSheetId="15">#REF!</definedName>
    <definedName name="DESC108J" localSheetId="7">#REF!</definedName>
    <definedName name="DESC108J">#REF!</definedName>
    <definedName name="DESC108K" localSheetId="12">#REF!</definedName>
    <definedName name="DESC108K" localSheetId="8">#REF!</definedName>
    <definedName name="DESC108K" localSheetId="11">#REF!</definedName>
    <definedName name="DESC108K" localSheetId="9">#REF!</definedName>
    <definedName name="DESC108K" localSheetId="18">#REF!</definedName>
    <definedName name="DESC108K" localSheetId="15">#REF!</definedName>
    <definedName name="DESC108K" localSheetId="7">#REF!</definedName>
    <definedName name="DESC108K">#REF!</definedName>
    <definedName name="DESC108L" localSheetId="12">#REF!</definedName>
    <definedName name="DESC108L" localSheetId="8">#REF!</definedName>
    <definedName name="DESC108L" localSheetId="11">#REF!</definedName>
    <definedName name="DESC108L" localSheetId="9">#REF!</definedName>
    <definedName name="DESC108L" localSheetId="18">#REF!</definedName>
    <definedName name="DESC108L" localSheetId="15">#REF!</definedName>
    <definedName name="DESC108L" localSheetId="7">#REF!</definedName>
    <definedName name="DESC108L">#REF!</definedName>
    <definedName name="DESC108M" localSheetId="12">#REF!</definedName>
    <definedName name="DESC108M" localSheetId="8">#REF!</definedName>
    <definedName name="DESC108M" localSheetId="11">#REF!</definedName>
    <definedName name="DESC108M" localSheetId="9">#REF!</definedName>
    <definedName name="DESC108M" localSheetId="18">#REF!</definedName>
    <definedName name="DESC108M" localSheetId="15">#REF!</definedName>
    <definedName name="DESC108M" localSheetId="7">#REF!</definedName>
    <definedName name="DESC108M">#REF!</definedName>
    <definedName name="DESC108N" localSheetId="12">#REF!</definedName>
    <definedName name="DESC108N" localSheetId="8">#REF!</definedName>
    <definedName name="DESC108N" localSheetId="11">#REF!</definedName>
    <definedName name="DESC108N" localSheetId="9">#REF!</definedName>
    <definedName name="DESC108N" localSheetId="18">#REF!</definedName>
    <definedName name="DESC108N" localSheetId="15">#REF!</definedName>
    <definedName name="DESC108N" localSheetId="7">#REF!</definedName>
    <definedName name="DESC108N">#REF!</definedName>
    <definedName name="DESC108O" localSheetId="12">#REF!</definedName>
    <definedName name="DESC108O" localSheetId="8">#REF!</definedName>
    <definedName name="DESC108O" localSheetId="11">#REF!</definedName>
    <definedName name="DESC108O" localSheetId="9">#REF!</definedName>
    <definedName name="DESC108O" localSheetId="18">#REF!</definedName>
    <definedName name="DESC108O" localSheetId="15">#REF!</definedName>
    <definedName name="DESC108O" localSheetId="7">#REF!</definedName>
    <definedName name="DESC108O">#REF!</definedName>
    <definedName name="DESC108P" localSheetId="12">#REF!</definedName>
    <definedName name="DESC108P" localSheetId="8">#REF!</definedName>
    <definedName name="DESC108P" localSheetId="11">#REF!</definedName>
    <definedName name="DESC108P" localSheetId="9">#REF!</definedName>
    <definedName name="DESC108P" localSheetId="18">#REF!</definedName>
    <definedName name="DESC108P" localSheetId="15">#REF!</definedName>
    <definedName name="DESC108P" localSheetId="7">#REF!</definedName>
    <definedName name="DESC108P">#REF!</definedName>
    <definedName name="DESC109" localSheetId="12">#REF!</definedName>
    <definedName name="DESC109" localSheetId="8">#REF!</definedName>
    <definedName name="DESC109" localSheetId="11">#REF!</definedName>
    <definedName name="DESC109" localSheetId="9">#REF!</definedName>
    <definedName name="DESC109" localSheetId="18">#REF!</definedName>
    <definedName name="DESC109" localSheetId="15">#REF!</definedName>
    <definedName name="DESC109" localSheetId="7">#REF!</definedName>
    <definedName name="DESC109">#REF!</definedName>
    <definedName name="DESC109A" localSheetId="12">#REF!</definedName>
    <definedName name="DESC109A" localSheetId="8">#REF!</definedName>
    <definedName name="DESC109A" localSheetId="11">#REF!</definedName>
    <definedName name="DESC109A" localSheetId="9">#REF!</definedName>
    <definedName name="DESC109A" localSheetId="18">#REF!</definedName>
    <definedName name="DESC109A" localSheetId="15">#REF!</definedName>
    <definedName name="DESC109A" localSheetId="7">#REF!</definedName>
    <definedName name="DESC109A">#REF!</definedName>
    <definedName name="DESC109B" localSheetId="12">#REF!</definedName>
    <definedName name="DESC109B" localSheetId="8">#REF!</definedName>
    <definedName name="DESC109B" localSheetId="11">#REF!</definedName>
    <definedName name="DESC109B" localSheetId="9">#REF!</definedName>
    <definedName name="DESC109B" localSheetId="18">#REF!</definedName>
    <definedName name="DESC109B" localSheetId="15">#REF!</definedName>
    <definedName name="DESC109B" localSheetId="7">#REF!</definedName>
    <definedName name="DESC109B">#REF!</definedName>
    <definedName name="DESC109C" localSheetId="12">#REF!</definedName>
    <definedName name="DESC109C" localSheetId="8">#REF!</definedName>
    <definedName name="DESC109C" localSheetId="11">#REF!</definedName>
    <definedName name="DESC109C" localSheetId="9">#REF!</definedName>
    <definedName name="DESC109C" localSheetId="18">#REF!</definedName>
    <definedName name="DESC109C" localSheetId="15">#REF!</definedName>
    <definedName name="DESC109C" localSheetId="7">#REF!</definedName>
    <definedName name="DESC109C">#REF!</definedName>
    <definedName name="DESC109D" localSheetId="12">#REF!</definedName>
    <definedName name="DESC109D" localSheetId="8">#REF!</definedName>
    <definedName name="DESC109D" localSheetId="11">#REF!</definedName>
    <definedName name="DESC109D" localSheetId="9">#REF!</definedName>
    <definedName name="DESC109D" localSheetId="18">#REF!</definedName>
    <definedName name="DESC109D" localSheetId="15">#REF!</definedName>
    <definedName name="DESC109D" localSheetId="7">#REF!</definedName>
    <definedName name="DESC109D">#REF!</definedName>
    <definedName name="DESC109E" localSheetId="12">#REF!</definedName>
    <definedName name="DESC109E" localSheetId="8">#REF!</definedName>
    <definedName name="DESC109E" localSheetId="11">#REF!</definedName>
    <definedName name="DESC109E" localSheetId="9">#REF!</definedName>
    <definedName name="DESC109E" localSheetId="18">#REF!</definedName>
    <definedName name="DESC109E" localSheetId="15">#REF!</definedName>
    <definedName name="DESC109E" localSheetId="7">#REF!</definedName>
    <definedName name="DESC109E">#REF!</definedName>
    <definedName name="DESC109F" localSheetId="12">#REF!</definedName>
    <definedName name="DESC109F" localSheetId="8">#REF!</definedName>
    <definedName name="DESC109F" localSheetId="11">#REF!</definedName>
    <definedName name="DESC109F" localSheetId="9">#REF!</definedName>
    <definedName name="DESC109F" localSheetId="18">#REF!</definedName>
    <definedName name="DESC109F" localSheetId="15">#REF!</definedName>
    <definedName name="DESC109F" localSheetId="7">#REF!</definedName>
    <definedName name="DESC109F">#REF!</definedName>
    <definedName name="DESC109G" localSheetId="12">#REF!</definedName>
    <definedName name="DESC109G" localSheetId="8">#REF!</definedName>
    <definedName name="DESC109G" localSheetId="11">#REF!</definedName>
    <definedName name="DESC109G" localSheetId="9">#REF!</definedName>
    <definedName name="DESC109G" localSheetId="18">#REF!</definedName>
    <definedName name="DESC109G" localSheetId="15">#REF!</definedName>
    <definedName name="DESC109G" localSheetId="7">#REF!</definedName>
    <definedName name="DESC109G">#REF!</definedName>
    <definedName name="DESC109H" localSheetId="12">#REF!</definedName>
    <definedName name="DESC109H" localSheetId="8">#REF!</definedName>
    <definedName name="DESC109H" localSheetId="11">#REF!</definedName>
    <definedName name="DESC109H" localSheetId="9">#REF!</definedName>
    <definedName name="DESC109H" localSheetId="18">#REF!</definedName>
    <definedName name="DESC109H" localSheetId="15">#REF!</definedName>
    <definedName name="DESC109H" localSheetId="7">#REF!</definedName>
    <definedName name="DESC109H">#REF!</definedName>
    <definedName name="DESC109I" localSheetId="12">#REF!</definedName>
    <definedName name="DESC109I" localSheetId="8">#REF!</definedName>
    <definedName name="DESC109I" localSheetId="11">#REF!</definedName>
    <definedName name="DESC109I" localSheetId="9">#REF!</definedName>
    <definedName name="DESC109I" localSheetId="18">#REF!</definedName>
    <definedName name="DESC109I" localSheetId="15">#REF!</definedName>
    <definedName name="DESC109I" localSheetId="7">#REF!</definedName>
    <definedName name="DESC109I">#REF!</definedName>
    <definedName name="DESC109J" localSheetId="12">#REF!</definedName>
    <definedName name="DESC109J" localSheetId="8">#REF!</definedName>
    <definedName name="DESC109J" localSheetId="11">#REF!</definedName>
    <definedName name="DESC109J" localSheetId="9">#REF!</definedName>
    <definedName name="DESC109J" localSheetId="18">#REF!</definedName>
    <definedName name="DESC109J" localSheetId="15">#REF!</definedName>
    <definedName name="DESC109J" localSheetId="7">#REF!</definedName>
    <definedName name="DESC109J">#REF!</definedName>
    <definedName name="DESC109K" localSheetId="12">#REF!</definedName>
    <definedName name="DESC109K" localSheetId="8">#REF!</definedName>
    <definedName name="DESC109K" localSheetId="11">#REF!</definedName>
    <definedName name="DESC109K" localSheetId="9">#REF!</definedName>
    <definedName name="DESC109K" localSheetId="18">#REF!</definedName>
    <definedName name="DESC109K" localSheetId="15">#REF!</definedName>
    <definedName name="DESC109K" localSheetId="7">#REF!</definedName>
    <definedName name="DESC109K">#REF!</definedName>
    <definedName name="DESC109L" localSheetId="12">#REF!</definedName>
    <definedName name="DESC109L" localSheetId="8">#REF!</definedName>
    <definedName name="DESC109L" localSheetId="11">#REF!</definedName>
    <definedName name="DESC109L" localSheetId="9">#REF!</definedName>
    <definedName name="DESC109L" localSheetId="18">#REF!</definedName>
    <definedName name="DESC109L" localSheetId="15">#REF!</definedName>
    <definedName name="DESC109L" localSheetId="7">#REF!</definedName>
    <definedName name="DESC109L">#REF!</definedName>
    <definedName name="DESC109M" localSheetId="12">#REF!</definedName>
    <definedName name="DESC109M" localSheetId="8">#REF!</definedName>
    <definedName name="DESC109M" localSheetId="11">#REF!</definedName>
    <definedName name="DESC109M" localSheetId="9">#REF!</definedName>
    <definedName name="DESC109M" localSheetId="18">#REF!</definedName>
    <definedName name="DESC109M" localSheetId="15">#REF!</definedName>
    <definedName name="DESC109M" localSheetId="7">#REF!</definedName>
    <definedName name="DESC109M">#REF!</definedName>
    <definedName name="DESC109N" localSheetId="12">#REF!</definedName>
    <definedName name="DESC109N" localSheetId="8">#REF!</definedName>
    <definedName name="DESC109N" localSheetId="11">#REF!</definedName>
    <definedName name="DESC109N" localSheetId="9">#REF!</definedName>
    <definedName name="DESC109N" localSheetId="18">#REF!</definedName>
    <definedName name="DESC109N" localSheetId="15">#REF!</definedName>
    <definedName name="DESC109N" localSheetId="7">#REF!</definedName>
    <definedName name="DESC109N">#REF!</definedName>
    <definedName name="DESC109O" localSheetId="12">#REF!</definedName>
    <definedName name="DESC109O" localSheetId="8">#REF!</definedName>
    <definedName name="DESC109O" localSheetId="11">#REF!</definedName>
    <definedName name="DESC109O" localSheetId="9">#REF!</definedName>
    <definedName name="DESC109O" localSheetId="18">#REF!</definedName>
    <definedName name="DESC109O" localSheetId="15">#REF!</definedName>
    <definedName name="DESC109O" localSheetId="7">#REF!</definedName>
    <definedName name="DESC109O">#REF!</definedName>
    <definedName name="DESC109P" localSheetId="12">#REF!</definedName>
    <definedName name="DESC109P" localSheetId="8">#REF!</definedName>
    <definedName name="DESC109P" localSheetId="11">#REF!</definedName>
    <definedName name="DESC109P" localSheetId="9">#REF!</definedName>
    <definedName name="DESC109P" localSheetId="18">#REF!</definedName>
    <definedName name="DESC109P" localSheetId="15">#REF!</definedName>
    <definedName name="DESC109P" localSheetId="7">#REF!</definedName>
    <definedName name="DESC109P">#REF!</definedName>
    <definedName name="DESC110" localSheetId="12">#REF!</definedName>
    <definedName name="DESC110" localSheetId="8">#REF!</definedName>
    <definedName name="DESC110" localSheetId="11">#REF!</definedName>
    <definedName name="DESC110" localSheetId="9">#REF!</definedName>
    <definedName name="DESC110" localSheetId="18">#REF!</definedName>
    <definedName name="DESC110" localSheetId="15">#REF!</definedName>
    <definedName name="DESC110" localSheetId="7">#REF!</definedName>
    <definedName name="DESC110">#REF!</definedName>
    <definedName name="DESC110A" localSheetId="12">#REF!</definedName>
    <definedName name="DESC110A" localSheetId="8">#REF!</definedName>
    <definedName name="DESC110A" localSheetId="11">#REF!</definedName>
    <definedName name="DESC110A" localSheetId="9">#REF!</definedName>
    <definedName name="DESC110A" localSheetId="18">#REF!</definedName>
    <definedName name="DESC110A" localSheetId="15">#REF!</definedName>
    <definedName name="DESC110A" localSheetId="7">#REF!</definedName>
    <definedName name="DESC110A">#REF!</definedName>
    <definedName name="DESC110B" localSheetId="12">#REF!</definedName>
    <definedName name="DESC110B" localSheetId="8">#REF!</definedName>
    <definedName name="DESC110B" localSheetId="11">#REF!</definedName>
    <definedName name="DESC110B" localSheetId="9">#REF!</definedName>
    <definedName name="DESC110B" localSheetId="18">#REF!</definedName>
    <definedName name="DESC110B" localSheetId="15">#REF!</definedName>
    <definedName name="DESC110B" localSheetId="7">#REF!</definedName>
    <definedName name="DESC110B">#REF!</definedName>
    <definedName name="DESC110C" localSheetId="12">#REF!</definedName>
    <definedName name="DESC110C" localSheetId="8">#REF!</definedName>
    <definedName name="DESC110C" localSheetId="11">#REF!</definedName>
    <definedName name="DESC110C" localSheetId="9">#REF!</definedName>
    <definedName name="DESC110C" localSheetId="18">#REF!</definedName>
    <definedName name="DESC110C" localSheetId="15">#REF!</definedName>
    <definedName name="DESC110C" localSheetId="7">#REF!</definedName>
    <definedName name="DESC110C">#REF!</definedName>
    <definedName name="DESC110D" localSheetId="12">#REF!</definedName>
    <definedName name="DESC110D" localSheetId="8">#REF!</definedName>
    <definedName name="DESC110D" localSheetId="11">#REF!</definedName>
    <definedName name="DESC110D" localSheetId="9">#REF!</definedName>
    <definedName name="DESC110D" localSheetId="18">#REF!</definedName>
    <definedName name="DESC110D" localSheetId="15">#REF!</definedName>
    <definedName name="DESC110D" localSheetId="7">#REF!</definedName>
    <definedName name="DESC110D">#REF!</definedName>
    <definedName name="DESC110E" localSheetId="12">#REF!</definedName>
    <definedName name="DESC110E" localSheetId="8">#REF!</definedName>
    <definedName name="DESC110E" localSheetId="11">#REF!</definedName>
    <definedName name="DESC110E" localSheetId="9">#REF!</definedName>
    <definedName name="DESC110E" localSheetId="18">#REF!</definedName>
    <definedName name="DESC110E" localSheetId="15">#REF!</definedName>
    <definedName name="DESC110E" localSheetId="7">#REF!</definedName>
    <definedName name="DESC110E">#REF!</definedName>
    <definedName name="DESC110F" localSheetId="12">#REF!</definedName>
    <definedName name="DESC110F" localSheetId="8">#REF!</definedName>
    <definedName name="DESC110F" localSheetId="11">#REF!</definedName>
    <definedName name="DESC110F" localSheetId="9">#REF!</definedName>
    <definedName name="DESC110F" localSheetId="18">#REF!</definedName>
    <definedName name="DESC110F" localSheetId="15">#REF!</definedName>
    <definedName name="DESC110F" localSheetId="7">#REF!</definedName>
    <definedName name="DESC110F">#REF!</definedName>
    <definedName name="DESC110G" localSheetId="12">#REF!</definedName>
    <definedName name="DESC110G" localSheetId="8">#REF!</definedName>
    <definedName name="DESC110G" localSheetId="11">#REF!</definedName>
    <definedName name="DESC110G" localSheetId="9">#REF!</definedName>
    <definedName name="DESC110G" localSheetId="18">#REF!</definedName>
    <definedName name="DESC110G" localSheetId="15">#REF!</definedName>
    <definedName name="DESC110G" localSheetId="7">#REF!</definedName>
    <definedName name="DESC110G">#REF!</definedName>
    <definedName name="DESC110H" localSheetId="12">#REF!</definedName>
    <definedName name="DESC110H" localSheetId="8">#REF!</definedName>
    <definedName name="DESC110H" localSheetId="11">#REF!</definedName>
    <definedName name="DESC110H" localSheetId="9">#REF!</definedName>
    <definedName name="DESC110H" localSheetId="18">#REF!</definedName>
    <definedName name="DESC110H" localSheetId="15">#REF!</definedName>
    <definedName name="DESC110H" localSheetId="7">#REF!</definedName>
    <definedName name="DESC110H">#REF!</definedName>
    <definedName name="DESC110I" localSheetId="12">#REF!</definedName>
    <definedName name="DESC110I" localSheetId="8">#REF!</definedName>
    <definedName name="DESC110I" localSheetId="11">#REF!</definedName>
    <definedName name="DESC110I" localSheetId="9">#REF!</definedName>
    <definedName name="DESC110I" localSheetId="18">#REF!</definedName>
    <definedName name="DESC110I" localSheetId="15">#REF!</definedName>
    <definedName name="DESC110I" localSheetId="7">#REF!</definedName>
    <definedName name="DESC110I">#REF!</definedName>
    <definedName name="DESC110J" localSheetId="12">#REF!</definedName>
    <definedName name="DESC110J" localSheetId="8">#REF!</definedName>
    <definedName name="DESC110J" localSheetId="11">#REF!</definedName>
    <definedName name="DESC110J" localSheetId="9">#REF!</definedName>
    <definedName name="DESC110J" localSheetId="18">#REF!</definedName>
    <definedName name="DESC110J" localSheetId="15">#REF!</definedName>
    <definedName name="DESC110J" localSheetId="7">#REF!</definedName>
    <definedName name="DESC110J">#REF!</definedName>
    <definedName name="DESC110K" localSheetId="12">#REF!</definedName>
    <definedName name="DESC110K" localSheetId="8">#REF!</definedName>
    <definedName name="DESC110K" localSheetId="11">#REF!</definedName>
    <definedName name="DESC110K" localSheetId="9">#REF!</definedName>
    <definedName name="DESC110K" localSheetId="18">#REF!</definedName>
    <definedName name="DESC110K" localSheetId="15">#REF!</definedName>
    <definedName name="DESC110K" localSheetId="7">#REF!</definedName>
    <definedName name="DESC110K">#REF!</definedName>
    <definedName name="DESC110L" localSheetId="12">#REF!</definedName>
    <definedName name="DESC110L" localSheetId="8">#REF!</definedName>
    <definedName name="DESC110L" localSheetId="11">#REF!</definedName>
    <definedName name="DESC110L" localSheetId="9">#REF!</definedName>
    <definedName name="DESC110L" localSheetId="18">#REF!</definedName>
    <definedName name="DESC110L" localSheetId="15">#REF!</definedName>
    <definedName name="DESC110L" localSheetId="7">#REF!</definedName>
    <definedName name="DESC110L">#REF!</definedName>
    <definedName name="DESC110M" localSheetId="12">#REF!</definedName>
    <definedName name="DESC110M" localSheetId="8">#REF!</definedName>
    <definedName name="DESC110M" localSheetId="11">#REF!</definedName>
    <definedName name="DESC110M" localSheetId="9">#REF!</definedName>
    <definedName name="DESC110M" localSheetId="18">#REF!</definedName>
    <definedName name="DESC110M" localSheetId="15">#REF!</definedName>
    <definedName name="DESC110M" localSheetId="7">#REF!</definedName>
    <definedName name="DESC110M">#REF!</definedName>
    <definedName name="DESC110N" localSheetId="12">#REF!</definedName>
    <definedName name="DESC110N" localSheetId="8">#REF!</definedName>
    <definedName name="DESC110N" localSheetId="11">#REF!</definedName>
    <definedName name="DESC110N" localSheetId="9">#REF!</definedName>
    <definedName name="DESC110N" localSheetId="18">#REF!</definedName>
    <definedName name="DESC110N" localSheetId="15">#REF!</definedName>
    <definedName name="DESC110N" localSheetId="7">#REF!</definedName>
    <definedName name="DESC110N">#REF!</definedName>
    <definedName name="DESC110O" localSheetId="12">#REF!</definedName>
    <definedName name="DESC110O" localSheetId="8">#REF!</definedName>
    <definedName name="DESC110O" localSheetId="11">#REF!</definedName>
    <definedName name="DESC110O" localSheetId="9">#REF!</definedName>
    <definedName name="DESC110O" localSheetId="18">#REF!</definedName>
    <definedName name="DESC110O" localSheetId="15">#REF!</definedName>
    <definedName name="DESC110O" localSheetId="7">#REF!</definedName>
    <definedName name="DESC110O">#REF!</definedName>
    <definedName name="DESC110P" localSheetId="12">#REF!</definedName>
    <definedName name="DESC110P" localSheetId="8">#REF!</definedName>
    <definedName name="DESC110P" localSheetId="11">#REF!</definedName>
    <definedName name="DESC110P" localSheetId="9">#REF!</definedName>
    <definedName name="DESC110P" localSheetId="18">#REF!</definedName>
    <definedName name="DESC110P" localSheetId="15">#REF!</definedName>
    <definedName name="DESC110P" localSheetId="7">#REF!</definedName>
    <definedName name="DESC110P">#REF!</definedName>
    <definedName name="DESC111" localSheetId="12">#REF!</definedName>
    <definedName name="DESC111" localSheetId="8">#REF!</definedName>
    <definedName name="DESC111" localSheetId="11">#REF!</definedName>
    <definedName name="DESC111" localSheetId="9">#REF!</definedName>
    <definedName name="DESC111" localSheetId="18">#REF!</definedName>
    <definedName name="DESC111" localSheetId="15">#REF!</definedName>
    <definedName name="DESC111" localSheetId="7">#REF!</definedName>
    <definedName name="DESC111">#REF!</definedName>
    <definedName name="DESC111A" localSheetId="12">#REF!</definedName>
    <definedName name="DESC111A" localSheetId="8">#REF!</definedName>
    <definedName name="DESC111A" localSheetId="11">#REF!</definedName>
    <definedName name="DESC111A" localSheetId="9">#REF!</definedName>
    <definedName name="DESC111A" localSheetId="18">#REF!</definedName>
    <definedName name="DESC111A" localSheetId="15">#REF!</definedName>
    <definedName name="DESC111A" localSheetId="7">#REF!</definedName>
    <definedName name="DESC111A">#REF!</definedName>
    <definedName name="DESC111B" localSheetId="12">#REF!</definedName>
    <definedName name="DESC111B" localSheetId="8">#REF!</definedName>
    <definedName name="DESC111B" localSheetId="11">#REF!</definedName>
    <definedName name="DESC111B" localSheetId="9">#REF!</definedName>
    <definedName name="DESC111B" localSheetId="18">#REF!</definedName>
    <definedName name="DESC111B" localSheetId="15">#REF!</definedName>
    <definedName name="DESC111B" localSheetId="7">#REF!</definedName>
    <definedName name="DESC111B">#REF!</definedName>
    <definedName name="DESC111C" localSheetId="12">#REF!</definedName>
    <definedName name="DESC111C" localSheetId="8">#REF!</definedName>
    <definedName name="DESC111C" localSheetId="11">#REF!</definedName>
    <definedName name="DESC111C" localSheetId="9">#REF!</definedName>
    <definedName name="DESC111C" localSheetId="18">#REF!</definedName>
    <definedName name="DESC111C" localSheetId="15">#REF!</definedName>
    <definedName name="DESC111C" localSheetId="7">#REF!</definedName>
    <definedName name="DESC111C">#REF!</definedName>
    <definedName name="DESC111D" localSheetId="12">#REF!</definedName>
    <definedName name="DESC111D" localSheetId="8">#REF!</definedName>
    <definedName name="DESC111D" localSheetId="11">#REF!</definedName>
    <definedName name="DESC111D" localSheetId="9">#REF!</definedName>
    <definedName name="DESC111D" localSheetId="18">#REF!</definedName>
    <definedName name="DESC111D" localSheetId="15">#REF!</definedName>
    <definedName name="DESC111D" localSheetId="7">#REF!</definedName>
    <definedName name="DESC111D">#REF!</definedName>
    <definedName name="DESC111E" localSheetId="12">#REF!</definedName>
    <definedName name="DESC111E" localSheetId="8">#REF!</definedName>
    <definedName name="DESC111E" localSheetId="11">#REF!</definedName>
    <definedName name="DESC111E" localSheetId="9">#REF!</definedName>
    <definedName name="DESC111E" localSheetId="18">#REF!</definedName>
    <definedName name="DESC111E" localSheetId="15">#REF!</definedName>
    <definedName name="DESC111E" localSheetId="7">#REF!</definedName>
    <definedName name="DESC111E">#REF!</definedName>
    <definedName name="DESC111F" localSheetId="12">#REF!</definedName>
    <definedName name="DESC111F" localSheetId="8">#REF!</definedName>
    <definedName name="DESC111F" localSheetId="11">#REF!</definedName>
    <definedName name="DESC111F" localSheetId="9">#REF!</definedName>
    <definedName name="DESC111F" localSheetId="18">#REF!</definedName>
    <definedName name="DESC111F" localSheetId="15">#REF!</definedName>
    <definedName name="DESC111F" localSheetId="7">#REF!</definedName>
    <definedName name="DESC111F">#REF!</definedName>
    <definedName name="DESC111G" localSheetId="12">#REF!</definedName>
    <definedName name="DESC111G" localSheetId="8">#REF!</definedName>
    <definedName name="DESC111G" localSheetId="11">#REF!</definedName>
    <definedName name="DESC111G" localSheetId="9">#REF!</definedName>
    <definedName name="DESC111G" localSheetId="18">#REF!</definedName>
    <definedName name="DESC111G" localSheetId="15">#REF!</definedName>
    <definedName name="DESC111G" localSheetId="7">#REF!</definedName>
    <definedName name="DESC111G">#REF!</definedName>
    <definedName name="DESC111H" localSheetId="12">#REF!</definedName>
    <definedName name="DESC111H" localSheetId="8">#REF!</definedName>
    <definedName name="DESC111H" localSheetId="11">#REF!</definedName>
    <definedName name="DESC111H" localSheetId="9">#REF!</definedName>
    <definedName name="DESC111H" localSheetId="18">#REF!</definedName>
    <definedName name="DESC111H" localSheetId="15">#REF!</definedName>
    <definedName name="DESC111H" localSheetId="7">#REF!</definedName>
    <definedName name="DESC111H">#REF!</definedName>
    <definedName name="DESC111I" localSheetId="12">#REF!</definedName>
    <definedName name="DESC111I" localSheetId="8">#REF!</definedName>
    <definedName name="DESC111I" localSheetId="11">#REF!</definedName>
    <definedName name="DESC111I" localSheetId="9">#REF!</definedName>
    <definedName name="DESC111I" localSheetId="18">#REF!</definedName>
    <definedName name="DESC111I" localSheetId="15">#REF!</definedName>
    <definedName name="DESC111I" localSheetId="7">#REF!</definedName>
    <definedName name="DESC111I">#REF!</definedName>
    <definedName name="DESC111J" localSheetId="12">#REF!</definedName>
    <definedName name="DESC111J" localSheetId="8">#REF!</definedName>
    <definedName name="DESC111J" localSheetId="11">#REF!</definedName>
    <definedName name="DESC111J" localSheetId="9">#REF!</definedName>
    <definedName name="DESC111J" localSheetId="18">#REF!</definedName>
    <definedName name="DESC111J" localSheetId="15">#REF!</definedName>
    <definedName name="DESC111J" localSheetId="7">#REF!</definedName>
    <definedName name="DESC111J">#REF!</definedName>
    <definedName name="DESC111K" localSheetId="12">#REF!</definedName>
    <definedName name="DESC111K" localSheetId="8">#REF!</definedName>
    <definedName name="DESC111K" localSheetId="11">#REF!</definedName>
    <definedName name="DESC111K" localSheetId="9">#REF!</definedName>
    <definedName name="DESC111K" localSheetId="18">#REF!</definedName>
    <definedName name="DESC111K" localSheetId="15">#REF!</definedName>
    <definedName name="DESC111K" localSheetId="7">#REF!</definedName>
    <definedName name="DESC111K">#REF!</definedName>
    <definedName name="DESC111L" localSheetId="12">#REF!</definedName>
    <definedName name="DESC111L" localSheetId="8">#REF!</definedName>
    <definedName name="DESC111L" localSheetId="11">#REF!</definedName>
    <definedName name="DESC111L" localSheetId="9">#REF!</definedName>
    <definedName name="DESC111L" localSheetId="18">#REF!</definedName>
    <definedName name="DESC111L" localSheetId="15">#REF!</definedName>
    <definedName name="DESC111L" localSheetId="7">#REF!</definedName>
    <definedName name="DESC111L">#REF!</definedName>
    <definedName name="DESC111M" localSheetId="12">#REF!</definedName>
    <definedName name="DESC111M" localSheetId="8">#REF!</definedName>
    <definedName name="DESC111M" localSheetId="11">#REF!</definedName>
    <definedName name="DESC111M" localSheetId="9">#REF!</definedName>
    <definedName name="DESC111M" localSheetId="18">#REF!</definedName>
    <definedName name="DESC111M" localSheetId="15">#REF!</definedName>
    <definedName name="DESC111M" localSheetId="7">#REF!</definedName>
    <definedName name="DESC111M">#REF!</definedName>
    <definedName name="DESC111N" localSheetId="12">#REF!</definedName>
    <definedName name="DESC111N" localSheetId="8">#REF!</definedName>
    <definedName name="DESC111N" localSheetId="11">#REF!</definedName>
    <definedName name="DESC111N" localSheetId="9">#REF!</definedName>
    <definedName name="DESC111N" localSheetId="18">#REF!</definedName>
    <definedName name="DESC111N" localSheetId="15">#REF!</definedName>
    <definedName name="DESC111N" localSheetId="7">#REF!</definedName>
    <definedName name="DESC111N">#REF!</definedName>
    <definedName name="DESC111O" localSheetId="12">#REF!</definedName>
    <definedName name="DESC111O" localSheetId="8">#REF!</definedName>
    <definedName name="DESC111O" localSheetId="11">#REF!</definedName>
    <definedName name="DESC111O" localSheetId="9">#REF!</definedName>
    <definedName name="DESC111O" localSheetId="18">#REF!</definedName>
    <definedName name="DESC111O" localSheetId="15">#REF!</definedName>
    <definedName name="DESC111O" localSheetId="7">#REF!</definedName>
    <definedName name="DESC111O">#REF!</definedName>
    <definedName name="DESC111P" localSheetId="12">#REF!</definedName>
    <definedName name="DESC111P" localSheetId="8">#REF!</definedName>
    <definedName name="DESC111P" localSheetId="11">#REF!</definedName>
    <definedName name="DESC111P" localSheetId="9">#REF!</definedName>
    <definedName name="DESC111P" localSheetId="18">#REF!</definedName>
    <definedName name="DESC111P" localSheetId="15">#REF!</definedName>
    <definedName name="DESC111P" localSheetId="7">#REF!</definedName>
    <definedName name="DESC111P">#REF!</definedName>
    <definedName name="DESC112" localSheetId="12">#REF!</definedName>
    <definedName name="DESC112" localSheetId="8">#REF!</definedName>
    <definedName name="DESC112" localSheetId="11">#REF!</definedName>
    <definedName name="DESC112" localSheetId="9">#REF!</definedName>
    <definedName name="DESC112" localSheetId="18">#REF!</definedName>
    <definedName name="DESC112" localSheetId="15">#REF!</definedName>
    <definedName name="DESC112" localSheetId="7">#REF!</definedName>
    <definedName name="DESC112">#REF!</definedName>
    <definedName name="DESC112A" localSheetId="12">#REF!</definedName>
    <definedName name="DESC112A" localSheetId="8">#REF!</definedName>
    <definedName name="DESC112A" localSheetId="11">#REF!</definedName>
    <definedName name="DESC112A" localSheetId="9">#REF!</definedName>
    <definedName name="DESC112A" localSheetId="18">#REF!</definedName>
    <definedName name="DESC112A" localSheetId="15">#REF!</definedName>
    <definedName name="DESC112A" localSheetId="7">#REF!</definedName>
    <definedName name="DESC112A">#REF!</definedName>
    <definedName name="DESC112B" localSheetId="12">#REF!</definedName>
    <definedName name="DESC112B" localSheetId="8">#REF!</definedName>
    <definedName name="DESC112B" localSheetId="11">#REF!</definedName>
    <definedName name="DESC112B" localSheetId="9">#REF!</definedName>
    <definedName name="DESC112B" localSheetId="18">#REF!</definedName>
    <definedName name="DESC112B" localSheetId="15">#REF!</definedName>
    <definedName name="DESC112B" localSheetId="7">#REF!</definedName>
    <definedName name="DESC112B">#REF!</definedName>
    <definedName name="DESC112C" localSheetId="12">#REF!</definedName>
    <definedName name="DESC112C" localSheetId="8">#REF!</definedName>
    <definedName name="DESC112C" localSheetId="11">#REF!</definedName>
    <definedName name="DESC112C" localSheetId="9">#REF!</definedName>
    <definedName name="DESC112C" localSheetId="18">#REF!</definedName>
    <definedName name="DESC112C" localSheetId="15">#REF!</definedName>
    <definedName name="DESC112C" localSheetId="7">#REF!</definedName>
    <definedName name="DESC112C">#REF!</definedName>
    <definedName name="DESC112D" localSheetId="12">#REF!</definedName>
    <definedName name="DESC112D" localSheetId="8">#REF!</definedName>
    <definedName name="DESC112D" localSheetId="11">#REF!</definedName>
    <definedName name="DESC112D" localSheetId="9">#REF!</definedName>
    <definedName name="DESC112D" localSheetId="18">#REF!</definedName>
    <definedName name="DESC112D" localSheetId="15">#REF!</definedName>
    <definedName name="DESC112D" localSheetId="7">#REF!</definedName>
    <definedName name="DESC112D">#REF!</definedName>
    <definedName name="DESC112E" localSheetId="12">#REF!</definedName>
    <definedName name="DESC112E" localSheetId="8">#REF!</definedName>
    <definedName name="DESC112E" localSheetId="11">#REF!</definedName>
    <definedName name="DESC112E" localSheetId="9">#REF!</definedName>
    <definedName name="DESC112E" localSheetId="18">#REF!</definedName>
    <definedName name="DESC112E" localSheetId="15">#REF!</definedName>
    <definedName name="DESC112E" localSheetId="7">#REF!</definedName>
    <definedName name="DESC112E">#REF!</definedName>
    <definedName name="DESC112F" localSheetId="12">#REF!</definedName>
    <definedName name="DESC112F" localSheetId="8">#REF!</definedName>
    <definedName name="DESC112F" localSheetId="11">#REF!</definedName>
    <definedName name="DESC112F" localSheetId="9">#REF!</definedName>
    <definedName name="DESC112F" localSheetId="18">#REF!</definedName>
    <definedName name="DESC112F" localSheetId="15">#REF!</definedName>
    <definedName name="DESC112F" localSheetId="7">#REF!</definedName>
    <definedName name="DESC112F">#REF!</definedName>
    <definedName name="DESC112G" localSheetId="12">#REF!</definedName>
    <definedName name="DESC112G" localSheetId="8">#REF!</definedName>
    <definedName name="DESC112G" localSheetId="11">#REF!</definedName>
    <definedName name="DESC112G" localSheetId="9">#REF!</definedName>
    <definedName name="DESC112G" localSheetId="18">#REF!</definedName>
    <definedName name="DESC112G" localSheetId="15">#REF!</definedName>
    <definedName name="DESC112G" localSheetId="7">#REF!</definedName>
    <definedName name="DESC112G">#REF!</definedName>
    <definedName name="DESC112H" localSheetId="12">#REF!</definedName>
    <definedName name="DESC112H" localSheetId="8">#REF!</definedName>
    <definedName name="DESC112H" localSheetId="11">#REF!</definedName>
    <definedName name="DESC112H" localSheetId="9">#REF!</definedName>
    <definedName name="DESC112H" localSheetId="18">#REF!</definedName>
    <definedName name="DESC112H" localSheetId="15">#REF!</definedName>
    <definedName name="DESC112H" localSheetId="7">#REF!</definedName>
    <definedName name="DESC112H">#REF!</definedName>
    <definedName name="DESC112I" localSheetId="12">#REF!</definedName>
    <definedName name="DESC112I" localSheetId="8">#REF!</definedName>
    <definedName name="DESC112I" localSheetId="11">#REF!</definedName>
    <definedName name="DESC112I" localSheetId="9">#REF!</definedName>
    <definedName name="DESC112I" localSheetId="18">#REF!</definedName>
    <definedName name="DESC112I" localSheetId="15">#REF!</definedName>
    <definedName name="DESC112I" localSheetId="7">#REF!</definedName>
    <definedName name="DESC112I">#REF!</definedName>
    <definedName name="DESC112J" localSheetId="12">#REF!</definedName>
    <definedName name="DESC112J" localSheetId="8">#REF!</definedName>
    <definedName name="DESC112J" localSheetId="11">#REF!</definedName>
    <definedName name="DESC112J" localSheetId="9">#REF!</definedName>
    <definedName name="DESC112J" localSheetId="18">#REF!</definedName>
    <definedName name="DESC112J" localSheetId="15">#REF!</definedName>
    <definedName name="DESC112J" localSheetId="7">#REF!</definedName>
    <definedName name="DESC112J">#REF!</definedName>
    <definedName name="DESC112K" localSheetId="12">#REF!</definedName>
    <definedName name="DESC112K" localSheetId="8">#REF!</definedName>
    <definedName name="DESC112K" localSheetId="11">#REF!</definedName>
    <definedName name="DESC112K" localSheetId="9">#REF!</definedName>
    <definedName name="DESC112K" localSheetId="18">#REF!</definedName>
    <definedName name="DESC112K" localSheetId="15">#REF!</definedName>
    <definedName name="DESC112K" localSheetId="7">#REF!</definedName>
    <definedName name="DESC112K">#REF!</definedName>
    <definedName name="DESC112L" localSheetId="12">#REF!</definedName>
    <definedName name="DESC112L" localSheetId="8">#REF!</definedName>
    <definedName name="DESC112L" localSheetId="11">#REF!</definedName>
    <definedName name="DESC112L" localSheetId="9">#REF!</definedName>
    <definedName name="DESC112L" localSheetId="18">#REF!</definedName>
    <definedName name="DESC112L" localSheetId="15">#REF!</definedName>
    <definedName name="DESC112L" localSheetId="7">#REF!</definedName>
    <definedName name="DESC112L">#REF!</definedName>
    <definedName name="DESC112M" localSheetId="12">#REF!</definedName>
    <definedName name="DESC112M" localSheetId="8">#REF!</definedName>
    <definedName name="DESC112M" localSheetId="11">#REF!</definedName>
    <definedName name="DESC112M" localSheetId="9">#REF!</definedName>
    <definedName name="DESC112M" localSheetId="18">#REF!</definedName>
    <definedName name="DESC112M" localSheetId="15">#REF!</definedName>
    <definedName name="DESC112M" localSheetId="7">#REF!</definedName>
    <definedName name="DESC112M">#REF!</definedName>
    <definedName name="DESC112N" localSheetId="12">#REF!</definedName>
    <definedName name="DESC112N" localSheetId="8">#REF!</definedName>
    <definedName name="DESC112N" localSheetId="11">#REF!</definedName>
    <definedName name="DESC112N" localSheetId="9">#REF!</definedName>
    <definedName name="DESC112N" localSheetId="18">#REF!</definedName>
    <definedName name="DESC112N" localSheetId="15">#REF!</definedName>
    <definedName name="DESC112N" localSheetId="7">#REF!</definedName>
    <definedName name="DESC112N">#REF!</definedName>
    <definedName name="DESC112O" localSheetId="12">#REF!</definedName>
    <definedName name="DESC112O" localSheetId="8">#REF!</definedName>
    <definedName name="DESC112O" localSheetId="11">#REF!</definedName>
    <definedName name="DESC112O" localSheetId="9">#REF!</definedName>
    <definedName name="DESC112O" localSheetId="18">#REF!</definedName>
    <definedName name="DESC112O" localSheetId="15">#REF!</definedName>
    <definedName name="DESC112O" localSheetId="7">#REF!</definedName>
    <definedName name="DESC112O">#REF!</definedName>
    <definedName name="DESC112P" localSheetId="12">#REF!</definedName>
    <definedName name="DESC112P" localSheetId="8">#REF!</definedName>
    <definedName name="DESC112P" localSheetId="11">#REF!</definedName>
    <definedName name="DESC112P" localSheetId="9">#REF!</definedName>
    <definedName name="DESC112P" localSheetId="18">#REF!</definedName>
    <definedName name="DESC112P" localSheetId="15">#REF!</definedName>
    <definedName name="DESC112P" localSheetId="7">#REF!</definedName>
    <definedName name="DESC112P">#REF!</definedName>
    <definedName name="DESC113" localSheetId="12">#REF!</definedName>
    <definedName name="DESC113" localSheetId="8">#REF!</definedName>
    <definedName name="DESC113" localSheetId="11">#REF!</definedName>
    <definedName name="DESC113" localSheetId="9">#REF!</definedName>
    <definedName name="DESC113" localSheetId="18">#REF!</definedName>
    <definedName name="DESC113" localSheetId="15">#REF!</definedName>
    <definedName name="DESC113" localSheetId="7">#REF!</definedName>
    <definedName name="DESC113">#REF!</definedName>
    <definedName name="DESC113A" localSheetId="12">#REF!</definedName>
    <definedName name="DESC113A" localSheetId="8">#REF!</definedName>
    <definedName name="DESC113A" localSheetId="11">#REF!</definedName>
    <definedName name="DESC113A" localSheetId="9">#REF!</definedName>
    <definedName name="DESC113A" localSheetId="18">#REF!</definedName>
    <definedName name="DESC113A" localSheetId="15">#REF!</definedName>
    <definedName name="DESC113A" localSheetId="7">#REF!</definedName>
    <definedName name="DESC113A">#REF!</definedName>
    <definedName name="DESC113B" localSheetId="12">#REF!</definedName>
    <definedName name="DESC113B" localSheetId="8">#REF!</definedName>
    <definedName name="DESC113B" localSheetId="11">#REF!</definedName>
    <definedName name="DESC113B" localSheetId="9">#REF!</definedName>
    <definedName name="DESC113B" localSheetId="18">#REF!</definedName>
    <definedName name="DESC113B" localSheetId="15">#REF!</definedName>
    <definedName name="DESC113B" localSheetId="7">#REF!</definedName>
    <definedName name="DESC113B">#REF!</definedName>
    <definedName name="DESC113C" localSheetId="12">#REF!</definedName>
    <definedName name="DESC113C" localSheetId="8">#REF!</definedName>
    <definedName name="DESC113C" localSheetId="11">#REF!</definedName>
    <definedName name="DESC113C" localSheetId="9">#REF!</definedName>
    <definedName name="DESC113C" localSheetId="18">#REF!</definedName>
    <definedName name="DESC113C" localSheetId="15">#REF!</definedName>
    <definedName name="DESC113C" localSheetId="7">#REF!</definedName>
    <definedName name="DESC113C">#REF!</definedName>
    <definedName name="DESC113D" localSheetId="12">#REF!</definedName>
    <definedName name="DESC113D" localSheetId="8">#REF!</definedName>
    <definedName name="DESC113D" localSheetId="11">#REF!</definedName>
    <definedName name="DESC113D" localSheetId="9">#REF!</definedName>
    <definedName name="DESC113D" localSheetId="18">#REF!</definedName>
    <definedName name="DESC113D" localSheetId="15">#REF!</definedName>
    <definedName name="DESC113D" localSheetId="7">#REF!</definedName>
    <definedName name="DESC113D">#REF!</definedName>
    <definedName name="DESC113E" localSheetId="12">#REF!</definedName>
    <definedName name="DESC113E" localSheetId="8">#REF!</definedName>
    <definedName name="DESC113E" localSheetId="11">#REF!</definedName>
    <definedName name="DESC113E" localSheetId="9">#REF!</definedName>
    <definedName name="DESC113E" localSheetId="18">#REF!</definedName>
    <definedName name="DESC113E" localSheetId="15">#REF!</definedName>
    <definedName name="DESC113E" localSheetId="7">#REF!</definedName>
    <definedName name="DESC113E">#REF!</definedName>
    <definedName name="DESC113F" localSheetId="12">#REF!</definedName>
    <definedName name="DESC113F" localSheetId="8">#REF!</definedName>
    <definedName name="DESC113F" localSheetId="11">#REF!</definedName>
    <definedName name="DESC113F" localSheetId="9">#REF!</definedName>
    <definedName name="DESC113F" localSheetId="18">#REF!</definedName>
    <definedName name="DESC113F" localSheetId="15">#REF!</definedName>
    <definedName name="DESC113F" localSheetId="7">#REF!</definedName>
    <definedName name="DESC113F">#REF!</definedName>
    <definedName name="DESC113G" localSheetId="12">#REF!</definedName>
    <definedName name="DESC113G" localSheetId="8">#REF!</definedName>
    <definedName name="DESC113G" localSheetId="11">#REF!</definedName>
    <definedName name="DESC113G" localSheetId="9">#REF!</definedName>
    <definedName name="DESC113G" localSheetId="18">#REF!</definedName>
    <definedName name="DESC113G" localSheetId="15">#REF!</definedName>
    <definedName name="DESC113G" localSheetId="7">#REF!</definedName>
    <definedName name="DESC113G">#REF!</definedName>
    <definedName name="DESC113H" localSheetId="12">#REF!</definedName>
    <definedName name="DESC113H" localSheetId="8">#REF!</definedName>
    <definedName name="DESC113H" localSheetId="11">#REF!</definedName>
    <definedName name="DESC113H" localSheetId="9">#REF!</definedName>
    <definedName name="DESC113H" localSheetId="18">#REF!</definedName>
    <definedName name="DESC113H" localSheetId="15">#REF!</definedName>
    <definedName name="DESC113H" localSheetId="7">#REF!</definedName>
    <definedName name="DESC113H">#REF!</definedName>
    <definedName name="DESC113I" localSheetId="12">#REF!</definedName>
    <definedName name="DESC113I" localSheetId="8">#REF!</definedName>
    <definedName name="DESC113I" localSheetId="11">#REF!</definedName>
    <definedName name="DESC113I" localSheetId="9">#REF!</definedName>
    <definedName name="DESC113I" localSheetId="18">#REF!</definedName>
    <definedName name="DESC113I" localSheetId="15">#REF!</definedName>
    <definedName name="DESC113I" localSheetId="7">#REF!</definedName>
    <definedName name="DESC113I">#REF!</definedName>
    <definedName name="DESC113J" localSheetId="12">#REF!</definedName>
    <definedName name="DESC113J" localSheetId="8">#REF!</definedName>
    <definedName name="DESC113J" localSheetId="11">#REF!</definedName>
    <definedName name="DESC113J" localSheetId="9">#REF!</definedName>
    <definedName name="DESC113J" localSheetId="18">#REF!</definedName>
    <definedName name="DESC113J" localSheetId="15">#REF!</definedName>
    <definedName name="DESC113J" localSheetId="7">#REF!</definedName>
    <definedName name="DESC113J">#REF!</definedName>
    <definedName name="DESC113K" localSheetId="12">#REF!</definedName>
    <definedName name="DESC113K" localSheetId="8">#REF!</definedName>
    <definedName name="DESC113K" localSheetId="11">#REF!</definedName>
    <definedName name="DESC113K" localSheetId="9">#REF!</definedName>
    <definedName name="DESC113K" localSheetId="18">#REF!</definedName>
    <definedName name="DESC113K" localSheetId="15">#REF!</definedName>
    <definedName name="DESC113K" localSheetId="7">#REF!</definedName>
    <definedName name="DESC113K">#REF!</definedName>
    <definedName name="DESC114" localSheetId="12">#REF!</definedName>
    <definedName name="DESC114" localSheetId="8">#REF!</definedName>
    <definedName name="DESC114" localSheetId="11">#REF!</definedName>
    <definedName name="DESC114" localSheetId="9">#REF!</definedName>
    <definedName name="DESC114" localSheetId="18">#REF!</definedName>
    <definedName name="DESC114" localSheetId="15">#REF!</definedName>
    <definedName name="DESC114" localSheetId="7">#REF!</definedName>
    <definedName name="DESC114">#REF!</definedName>
    <definedName name="DESC115" localSheetId="12">#REF!</definedName>
    <definedName name="DESC115" localSheetId="8">#REF!</definedName>
    <definedName name="DESC115" localSheetId="11">#REF!</definedName>
    <definedName name="DESC115" localSheetId="9">#REF!</definedName>
    <definedName name="DESC115" localSheetId="18">#REF!</definedName>
    <definedName name="DESC115" localSheetId="15">#REF!</definedName>
    <definedName name="DESC115" localSheetId="7">#REF!</definedName>
    <definedName name="DESC115">#REF!</definedName>
    <definedName name="DESC116" localSheetId="12">#REF!</definedName>
    <definedName name="DESC116" localSheetId="8">#REF!</definedName>
    <definedName name="DESC116" localSheetId="11">#REF!</definedName>
    <definedName name="DESC116" localSheetId="9">#REF!</definedName>
    <definedName name="DESC116" localSheetId="18">#REF!</definedName>
    <definedName name="DESC116" localSheetId="15">#REF!</definedName>
    <definedName name="DESC116" localSheetId="7">#REF!</definedName>
    <definedName name="DESC116">#REF!</definedName>
    <definedName name="DESC117" localSheetId="12">#REF!</definedName>
    <definedName name="DESC117" localSheetId="8">#REF!</definedName>
    <definedName name="DESC117" localSheetId="11">#REF!</definedName>
    <definedName name="DESC117" localSheetId="9">#REF!</definedName>
    <definedName name="DESC117" localSheetId="18">#REF!</definedName>
    <definedName name="DESC117" localSheetId="15">#REF!</definedName>
    <definedName name="DESC117" localSheetId="7">#REF!</definedName>
    <definedName name="DESC117">#REF!</definedName>
    <definedName name="DESC118" localSheetId="12">#REF!</definedName>
    <definedName name="DESC118" localSheetId="8">#REF!</definedName>
    <definedName name="DESC118" localSheetId="11">#REF!</definedName>
    <definedName name="DESC118" localSheetId="9">#REF!</definedName>
    <definedName name="DESC118" localSheetId="18">#REF!</definedName>
    <definedName name="DESC118" localSheetId="15">#REF!</definedName>
    <definedName name="DESC118" localSheetId="7">#REF!</definedName>
    <definedName name="DESC118">#REF!</definedName>
    <definedName name="DESC119" localSheetId="12">#REF!</definedName>
    <definedName name="DESC119" localSheetId="8">#REF!</definedName>
    <definedName name="DESC119" localSheetId="11">#REF!</definedName>
    <definedName name="DESC119" localSheetId="9">#REF!</definedName>
    <definedName name="DESC119" localSheetId="18">#REF!</definedName>
    <definedName name="DESC119" localSheetId="15">#REF!</definedName>
    <definedName name="DESC119" localSheetId="7">#REF!</definedName>
    <definedName name="DESC119">#REF!</definedName>
    <definedName name="DESC120" localSheetId="12">#REF!</definedName>
    <definedName name="DESC120" localSheetId="8">#REF!</definedName>
    <definedName name="DESC120" localSheetId="11">#REF!</definedName>
    <definedName name="DESC120" localSheetId="9">#REF!</definedName>
    <definedName name="DESC120" localSheetId="18">#REF!</definedName>
    <definedName name="DESC120" localSheetId="15">#REF!</definedName>
    <definedName name="DESC120" localSheetId="7">#REF!</definedName>
    <definedName name="DESC120">#REF!</definedName>
    <definedName name="DESC121" localSheetId="12">#REF!</definedName>
    <definedName name="DESC121" localSheetId="8">#REF!</definedName>
    <definedName name="DESC121" localSheetId="11">#REF!</definedName>
    <definedName name="DESC121" localSheetId="9">#REF!</definedName>
    <definedName name="DESC121" localSheetId="18">#REF!</definedName>
    <definedName name="DESC121" localSheetId="15">#REF!</definedName>
    <definedName name="DESC121" localSheetId="7">#REF!</definedName>
    <definedName name="DESC121">#REF!</definedName>
    <definedName name="DESC122" localSheetId="12">#REF!</definedName>
    <definedName name="DESC122" localSheetId="8">#REF!</definedName>
    <definedName name="DESC122" localSheetId="11">#REF!</definedName>
    <definedName name="DESC122" localSheetId="9">#REF!</definedName>
    <definedName name="DESC122" localSheetId="18">#REF!</definedName>
    <definedName name="DESC122" localSheetId="15">#REF!</definedName>
    <definedName name="DESC122" localSheetId="7">#REF!</definedName>
    <definedName name="DESC122">#REF!</definedName>
    <definedName name="DESC123" localSheetId="12">#REF!</definedName>
    <definedName name="DESC123" localSheetId="8">#REF!</definedName>
    <definedName name="DESC123" localSheetId="11">#REF!</definedName>
    <definedName name="DESC123" localSheetId="9">#REF!</definedName>
    <definedName name="DESC123" localSheetId="18">#REF!</definedName>
    <definedName name="DESC123" localSheetId="15">#REF!</definedName>
    <definedName name="DESC123" localSheetId="7">#REF!</definedName>
    <definedName name="DESC123">#REF!</definedName>
    <definedName name="DESC124" localSheetId="12">#REF!</definedName>
    <definedName name="DESC124" localSheetId="8">#REF!</definedName>
    <definedName name="DESC124" localSheetId="11">#REF!</definedName>
    <definedName name="DESC124" localSheetId="9">#REF!</definedName>
    <definedName name="DESC124" localSheetId="18">#REF!</definedName>
    <definedName name="DESC124" localSheetId="15">#REF!</definedName>
    <definedName name="DESC124" localSheetId="7">#REF!</definedName>
    <definedName name="DESC124">#REF!</definedName>
    <definedName name="DESC125" localSheetId="12">#REF!</definedName>
    <definedName name="DESC125" localSheetId="8">#REF!</definedName>
    <definedName name="DESC125" localSheetId="11">#REF!</definedName>
    <definedName name="DESC125" localSheetId="9">#REF!</definedName>
    <definedName name="DESC125" localSheetId="18">#REF!</definedName>
    <definedName name="DESC125" localSheetId="15">#REF!</definedName>
    <definedName name="DESC125" localSheetId="7">#REF!</definedName>
    <definedName name="DESC125">#REF!</definedName>
    <definedName name="DESC126" localSheetId="12">#REF!</definedName>
    <definedName name="DESC126" localSheetId="8">#REF!</definedName>
    <definedName name="DESC126" localSheetId="11">#REF!</definedName>
    <definedName name="DESC126" localSheetId="9">#REF!</definedName>
    <definedName name="DESC126" localSheetId="18">#REF!</definedName>
    <definedName name="DESC126" localSheetId="15">#REF!</definedName>
    <definedName name="DESC126" localSheetId="7">#REF!</definedName>
    <definedName name="DESC126">#REF!</definedName>
    <definedName name="DESC127" localSheetId="12">#REF!</definedName>
    <definedName name="DESC127" localSheetId="8">#REF!</definedName>
    <definedName name="DESC127" localSheetId="11">#REF!</definedName>
    <definedName name="DESC127" localSheetId="9">#REF!</definedName>
    <definedName name="DESC127" localSheetId="18">#REF!</definedName>
    <definedName name="DESC127" localSheetId="15">#REF!</definedName>
    <definedName name="DESC127" localSheetId="7">#REF!</definedName>
    <definedName name="DESC127">#REF!</definedName>
    <definedName name="DESC127A" localSheetId="12">#REF!</definedName>
    <definedName name="DESC127A" localSheetId="8">#REF!</definedName>
    <definedName name="DESC127A" localSheetId="11">#REF!</definedName>
    <definedName name="DESC127A" localSheetId="9">#REF!</definedName>
    <definedName name="DESC127A" localSheetId="18">#REF!</definedName>
    <definedName name="DESC127A" localSheetId="15">#REF!</definedName>
    <definedName name="DESC127A" localSheetId="7">#REF!</definedName>
    <definedName name="DESC127A">#REF!</definedName>
    <definedName name="DESC127B" localSheetId="12">#REF!</definedName>
    <definedName name="DESC127B" localSheetId="8">#REF!</definedName>
    <definedName name="DESC127B" localSheetId="11">#REF!</definedName>
    <definedName name="DESC127B" localSheetId="9">#REF!</definedName>
    <definedName name="DESC127B" localSheetId="18">#REF!</definedName>
    <definedName name="DESC127B" localSheetId="15">#REF!</definedName>
    <definedName name="DESC127B" localSheetId="7">#REF!</definedName>
    <definedName name="DESC127B">#REF!</definedName>
    <definedName name="DESC127C" localSheetId="12">#REF!</definedName>
    <definedName name="DESC127C" localSheetId="8">#REF!</definedName>
    <definedName name="DESC127C" localSheetId="11">#REF!</definedName>
    <definedName name="DESC127C" localSheetId="9">#REF!</definedName>
    <definedName name="DESC127C" localSheetId="18">#REF!</definedName>
    <definedName name="DESC127C" localSheetId="15">#REF!</definedName>
    <definedName name="DESC127C" localSheetId="7">#REF!</definedName>
    <definedName name="DESC127C">#REF!</definedName>
    <definedName name="DESC127D" localSheetId="12">#REF!</definedName>
    <definedName name="DESC127D" localSheetId="8">#REF!</definedName>
    <definedName name="DESC127D" localSheetId="11">#REF!</definedName>
    <definedName name="DESC127D" localSheetId="9">#REF!</definedName>
    <definedName name="DESC127D" localSheetId="18">#REF!</definedName>
    <definedName name="DESC127D" localSheetId="15">#REF!</definedName>
    <definedName name="DESC127D" localSheetId="7">#REF!</definedName>
    <definedName name="DESC127D">#REF!</definedName>
    <definedName name="DESC127E" localSheetId="12">#REF!</definedName>
    <definedName name="DESC127E" localSheetId="8">#REF!</definedName>
    <definedName name="DESC127E" localSheetId="11">#REF!</definedName>
    <definedName name="DESC127E" localSheetId="9">#REF!</definedName>
    <definedName name="DESC127E" localSheetId="18">#REF!</definedName>
    <definedName name="DESC127E" localSheetId="15">#REF!</definedName>
    <definedName name="DESC127E" localSheetId="7">#REF!</definedName>
    <definedName name="DESC127E">#REF!</definedName>
    <definedName name="DESC127F" localSheetId="12">#REF!</definedName>
    <definedName name="DESC127F" localSheetId="8">#REF!</definedName>
    <definedName name="DESC127F" localSheetId="11">#REF!</definedName>
    <definedName name="DESC127F" localSheetId="9">#REF!</definedName>
    <definedName name="DESC127F" localSheetId="18">#REF!</definedName>
    <definedName name="DESC127F" localSheetId="15">#REF!</definedName>
    <definedName name="DESC127F" localSheetId="7">#REF!</definedName>
    <definedName name="DESC127F">#REF!</definedName>
    <definedName name="DESC127G" localSheetId="12">#REF!</definedName>
    <definedName name="DESC127G" localSheetId="8">#REF!</definedName>
    <definedName name="DESC127G" localSheetId="11">#REF!</definedName>
    <definedName name="DESC127G" localSheetId="9">#REF!</definedName>
    <definedName name="DESC127G" localSheetId="18">#REF!</definedName>
    <definedName name="DESC127G" localSheetId="15">#REF!</definedName>
    <definedName name="DESC127G" localSheetId="7">#REF!</definedName>
    <definedName name="DESC127G">#REF!</definedName>
    <definedName name="DESC127H" localSheetId="12">#REF!</definedName>
    <definedName name="DESC127H" localSheetId="8">#REF!</definedName>
    <definedName name="DESC127H" localSheetId="11">#REF!</definedName>
    <definedName name="DESC127H" localSheetId="9">#REF!</definedName>
    <definedName name="DESC127H" localSheetId="18">#REF!</definedName>
    <definedName name="DESC127H" localSheetId="15">#REF!</definedName>
    <definedName name="DESC127H" localSheetId="7">#REF!</definedName>
    <definedName name="DESC127H">#REF!</definedName>
    <definedName name="DESC127I" localSheetId="12">#REF!</definedName>
    <definedName name="DESC127I" localSheetId="8">#REF!</definedName>
    <definedName name="DESC127I" localSheetId="11">#REF!</definedName>
    <definedName name="DESC127I" localSheetId="9">#REF!</definedName>
    <definedName name="DESC127I" localSheetId="18">#REF!</definedName>
    <definedName name="DESC127I" localSheetId="15">#REF!</definedName>
    <definedName name="DESC127I" localSheetId="7">#REF!</definedName>
    <definedName name="DESC127I">#REF!</definedName>
    <definedName name="DESC127J" localSheetId="12">#REF!</definedName>
    <definedName name="DESC127J" localSheetId="8">#REF!</definedName>
    <definedName name="DESC127J" localSheetId="11">#REF!</definedName>
    <definedName name="DESC127J" localSheetId="9">#REF!</definedName>
    <definedName name="DESC127J" localSheetId="18">#REF!</definedName>
    <definedName name="DESC127J" localSheetId="15">#REF!</definedName>
    <definedName name="DESC127J" localSheetId="7">#REF!</definedName>
    <definedName name="DESC127J">#REF!</definedName>
    <definedName name="DESC128" localSheetId="12">#REF!</definedName>
    <definedName name="DESC128" localSheetId="8">#REF!</definedName>
    <definedName name="DESC128" localSheetId="11">#REF!</definedName>
    <definedName name="DESC128" localSheetId="9">#REF!</definedName>
    <definedName name="DESC128" localSheetId="18">#REF!</definedName>
    <definedName name="DESC128" localSheetId="15">#REF!</definedName>
    <definedName name="DESC128" localSheetId="7">#REF!</definedName>
    <definedName name="DESC128">#REF!</definedName>
    <definedName name="DESC128A" localSheetId="12">#REF!</definedName>
    <definedName name="DESC128A" localSheetId="8">#REF!</definedName>
    <definedName name="DESC128A" localSheetId="11">#REF!</definedName>
    <definedName name="DESC128A" localSheetId="9">#REF!</definedName>
    <definedName name="DESC128A" localSheetId="18">#REF!</definedName>
    <definedName name="DESC128A" localSheetId="15">#REF!</definedName>
    <definedName name="DESC128A" localSheetId="7">#REF!</definedName>
    <definedName name="DESC128A">#REF!</definedName>
    <definedName name="DESC128B" localSheetId="12">#REF!</definedName>
    <definedName name="DESC128B" localSheetId="8">#REF!</definedName>
    <definedName name="DESC128B" localSheetId="11">#REF!</definedName>
    <definedName name="DESC128B" localSheetId="9">#REF!</definedName>
    <definedName name="DESC128B" localSheetId="18">#REF!</definedName>
    <definedName name="DESC128B" localSheetId="15">#REF!</definedName>
    <definedName name="DESC128B" localSheetId="7">#REF!</definedName>
    <definedName name="DESC128B">#REF!</definedName>
    <definedName name="DESC128C" localSheetId="12">#REF!</definedName>
    <definedName name="DESC128C" localSheetId="8">#REF!</definedName>
    <definedName name="DESC128C" localSheetId="11">#REF!</definedName>
    <definedName name="DESC128C" localSheetId="9">#REF!</definedName>
    <definedName name="DESC128C" localSheetId="18">#REF!</definedName>
    <definedName name="DESC128C" localSheetId="15">#REF!</definedName>
    <definedName name="DESC128C" localSheetId="7">#REF!</definedName>
    <definedName name="DESC128C">#REF!</definedName>
    <definedName name="DESC128D" localSheetId="12">#REF!</definedName>
    <definedName name="DESC128D" localSheetId="8">#REF!</definedName>
    <definedName name="DESC128D" localSheetId="11">#REF!</definedName>
    <definedName name="DESC128D" localSheetId="9">#REF!</definedName>
    <definedName name="DESC128D" localSheetId="18">#REF!</definedName>
    <definedName name="DESC128D" localSheetId="15">#REF!</definedName>
    <definedName name="DESC128D" localSheetId="7">#REF!</definedName>
    <definedName name="DESC128D">#REF!</definedName>
    <definedName name="DESC128E" localSheetId="12">#REF!</definedName>
    <definedName name="DESC128E" localSheetId="8">#REF!</definedName>
    <definedName name="DESC128E" localSheetId="11">#REF!</definedName>
    <definedName name="DESC128E" localSheetId="9">#REF!</definedName>
    <definedName name="DESC128E" localSheetId="18">#REF!</definedName>
    <definedName name="DESC128E" localSheetId="15">#REF!</definedName>
    <definedName name="DESC128E" localSheetId="7">#REF!</definedName>
    <definedName name="DESC128E">#REF!</definedName>
    <definedName name="DESC128F" localSheetId="12">#REF!</definedName>
    <definedName name="DESC128F" localSheetId="8">#REF!</definedName>
    <definedName name="DESC128F" localSheetId="11">#REF!</definedName>
    <definedName name="DESC128F" localSheetId="9">#REF!</definedName>
    <definedName name="DESC128F" localSheetId="18">#REF!</definedName>
    <definedName name="DESC128F" localSheetId="15">#REF!</definedName>
    <definedName name="DESC128F" localSheetId="7">#REF!</definedName>
    <definedName name="DESC128F">#REF!</definedName>
    <definedName name="DESC128G" localSheetId="12">#REF!</definedName>
    <definedName name="DESC128G" localSheetId="8">#REF!</definedName>
    <definedName name="DESC128G" localSheetId="11">#REF!</definedName>
    <definedName name="DESC128G" localSheetId="9">#REF!</definedName>
    <definedName name="DESC128G" localSheetId="18">#REF!</definedName>
    <definedName name="DESC128G" localSheetId="15">#REF!</definedName>
    <definedName name="DESC128G" localSheetId="7">#REF!</definedName>
    <definedName name="DESC128G">#REF!</definedName>
    <definedName name="DESC129" localSheetId="12">#REF!</definedName>
    <definedName name="DESC129" localSheetId="8">#REF!</definedName>
    <definedName name="DESC129" localSheetId="11">#REF!</definedName>
    <definedName name="DESC129" localSheetId="9">#REF!</definedName>
    <definedName name="DESC129" localSheetId="18">#REF!</definedName>
    <definedName name="DESC129" localSheetId="15">#REF!</definedName>
    <definedName name="DESC129" localSheetId="7">#REF!</definedName>
    <definedName name="DESC129">#REF!</definedName>
    <definedName name="DESC129A" localSheetId="12">#REF!</definedName>
    <definedName name="DESC129A" localSheetId="8">#REF!</definedName>
    <definedName name="DESC129A" localSheetId="11">#REF!</definedName>
    <definedName name="DESC129A" localSheetId="9">#REF!</definedName>
    <definedName name="DESC129A" localSheetId="18">#REF!</definedName>
    <definedName name="DESC129A" localSheetId="15">#REF!</definedName>
    <definedName name="DESC129A" localSheetId="7">#REF!</definedName>
    <definedName name="DESC129A">#REF!</definedName>
    <definedName name="DESC129B" localSheetId="12">#REF!</definedName>
    <definedName name="DESC129B" localSheetId="8">#REF!</definedName>
    <definedName name="DESC129B" localSheetId="11">#REF!</definedName>
    <definedName name="DESC129B" localSheetId="9">#REF!</definedName>
    <definedName name="DESC129B" localSheetId="18">#REF!</definedName>
    <definedName name="DESC129B" localSheetId="15">#REF!</definedName>
    <definedName name="DESC129B" localSheetId="7">#REF!</definedName>
    <definedName name="DESC129B">#REF!</definedName>
    <definedName name="DESC129C" localSheetId="12">#REF!</definedName>
    <definedName name="DESC129C" localSheetId="8">#REF!</definedName>
    <definedName name="DESC129C" localSheetId="11">#REF!</definedName>
    <definedName name="DESC129C" localSheetId="9">#REF!</definedName>
    <definedName name="DESC129C" localSheetId="18">#REF!</definedName>
    <definedName name="DESC129C" localSheetId="15">#REF!</definedName>
    <definedName name="DESC129C" localSheetId="7">#REF!</definedName>
    <definedName name="DESC129C">#REF!</definedName>
    <definedName name="DESC129D" localSheetId="12">#REF!</definedName>
    <definedName name="DESC129D" localSheetId="8">#REF!</definedName>
    <definedName name="DESC129D" localSheetId="11">#REF!</definedName>
    <definedName name="DESC129D" localSheetId="9">#REF!</definedName>
    <definedName name="DESC129D" localSheetId="18">#REF!</definedName>
    <definedName name="DESC129D" localSheetId="15">#REF!</definedName>
    <definedName name="DESC129D" localSheetId="7">#REF!</definedName>
    <definedName name="DESC129D">#REF!</definedName>
    <definedName name="DESC130" localSheetId="12">#REF!</definedName>
    <definedName name="DESC130" localSheetId="8">#REF!</definedName>
    <definedName name="DESC130" localSheetId="11">#REF!</definedName>
    <definedName name="DESC130" localSheetId="9">#REF!</definedName>
    <definedName name="DESC130" localSheetId="18">#REF!</definedName>
    <definedName name="DESC130" localSheetId="15">#REF!</definedName>
    <definedName name="DESC130" localSheetId="7">#REF!</definedName>
    <definedName name="DESC130">#REF!</definedName>
    <definedName name="DESC130A" localSheetId="12">#REF!</definedName>
    <definedName name="DESC130A" localSheetId="8">#REF!</definedName>
    <definedName name="DESC130A" localSheetId="11">#REF!</definedName>
    <definedName name="DESC130A" localSheetId="9">#REF!</definedName>
    <definedName name="DESC130A" localSheetId="18">#REF!</definedName>
    <definedName name="DESC130A" localSheetId="15">#REF!</definedName>
    <definedName name="DESC130A" localSheetId="7">#REF!</definedName>
    <definedName name="DESC130A">#REF!</definedName>
    <definedName name="DESC130B" localSheetId="12">#REF!</definedName>
    <definedName name="DESC130B" localSheetId="8">#REF!</definedName>
    <definedName name="DESC130B" localSheetId="11">#REF!</definedName>
    <definedName name="DESC130B" localSheetId="9">#REF!</definedName>
    <definedName name="DESC130B" localSheetId="18">#REF!</definedName>
    <definedName name="DESC130B" localSheetId="15">#REF!</definedName>
    <definedName name="DESC130B" localSheetId="7">#REF!</definedName>
    <definedName name="DESC130B">#REF!</definedName>
    <definedName name="DESC131" localSheetId="12">#REF!</definedName>
    <definedName name="DESC131" localSheetId="8">#REF!</definedName>
    <definedName name="DESC131" localSheetId="11">#REF!</definedName>
    <definedName name="DESC131" localSheetId="9">#REF!</definedName>
    <definedName name="DESC131" localSheetId="18">#REF!</definedName>
    <definedName name="DESC131" localSheetId="15">#REF!</definedName>
    <definedName name="DESC131" localSheetId="7">#REF!</definedName>
    <definedName name="DESC131">#REF!</definedName>
    <definedName name="DESC132" localSheetId="12">#REF!</definedName>
    <definedName name="DESC132" localSheetId="8">#REF!</definedName>
    <definedName name="DESC132" localSheetId="11">#REF!</definedName>
    <definedName name="DESC132" localSheetId="9">#REF!</definedName>
    <definedName name="DESC132" localSheetId="18">#REF!</definedName>
    <definedName name="DESC132" localSheetId="15">#REF!</definedName>
    <definedName name="DESC132" localSheetId="7">#REF!</definedName>
    <definedName name="DESC132">#REF!</definedName>
    <definedName name="DESC133" localSheetId="12">#REF!</definedName>
    <definedName name="DESC133" localSheetId="8">#REF!</definedName>
    <definedName name="DESC133" localSheetId="11">#REF!</definedName>
    <definedName name="DESC133" localSheetId="9">#REF!</definedName>
    <definedName name="DESC133" localSheetId="18">#REF!</definedName>
    <definedName name="DESC133" localSheetId="15">#REF!</definedName>
    <definedName name="DESC133" localSheetId="7">#REF!</definedName>
    <definedName name="DESC133">#REF!</definedName>
    <definedName name="DESC14" localSheetId="12">#REF!</definedName>
    <definedName name="DESC14" localSheetId="8">#REF!</definedName>
    <definedName name="DESC14" localSheetId="11">#REF!</definedName>
    <definedName name="DESC14" localSheetId="9">#REF!</definedName>
    <definedName name="DESC14" localSheetId="18">#REF!</definedName>
    <definedName name="DESC14" localSheetId="15">#REF!</definedName>
    <definedName name="DESC14" localSheetId="7">#REF!</definedName>
    <definedName name="DESC14">#REF!</definedName>
    <definedName name="DESC143" localSheetId="12">#REF!</definedName>
    <definedName name="DESC143" localSheetId="8">#REF!</definedName>
    <definedName name="DESC143" localSheetId="11">#REF!</definedName>
    <definedName name="DESC143" localSheetId="9">#REF!</definedName>
    <definedName name="DESC143" localSheetId="18">#REF!</definedName>
    <definedName name="DESC143" localSheetId="15">#REF!</definedName>
    <definedName name="DESC143" localSheetId="7">#REF!</definedName>
    <definedName name="DESC143">#REF!</definedName>
    <definedName name="DESC144" localSheetId="12">#REF!</definedName>
    <definedName name="DESC144" localSheetId="8">#REF!</definedName>
    <definedName name="DESC144" localSheetId="11">#REF!</definedName>
    <definedName name="DESC144" localSheetId="9">#REF!</definedName>
    <definedName name="DESC144" localSheetId="18">#REF!</definedName>
    <definedName name="DESC144" localSheetId="15">#REF!</definedName>
    <definedName name="DESC144" localSheetId="7">#REF!</definedName>
    <definedName name="DESC144">#REF!</definedName>
    <definedName name="DESC145" localSheetId="12">#REF!</definedName>
    <definedName name="DESC145" localSheetId="8">#REF!</definedName>
    <definedName name="DESC145" localSheetId="11">#REF!</definedName>
    <definedName name="DESC145" localSheetId="9">#REF!</definedName>
    <definedName name="DESC145" localSheetId="18">#REF!</definedName>
    <definedName name="DESC145" localSheetId="15">#REF!</definedName>
    <definedName name="DESC145" localSheetId="7">#REF!</definedName>
    <definedName name="DESC145">#REF!</definedName>
    <definedName name="DESC146" localSheetId="12">#REF!</definedName>
    <definedName name="DESC146" localSheetId="8">#REF!</definedName>
    <definedName name="DESC146" localSheetId="11">#REF!</definedName>
    <definedName name="DESC146" localSheetId="9">#REF!</definedName>
    <definedName name="DESC146" localSheetId="18">#REF!</definedName>
    <definedName name="DESC146" localSheetId="15">#REF!</definedName>
    <definedName name="DESC146" localSheetId="7">#REF!</definedName>
    <definedName name="DESC146">#REF!</definedName>
    <definedName name="DESC147" localSheetId="12">#REF!</definedName>
    <definedName name="DESC147" localSheetId="8">#REF!</definedName>
    <definedName name="DESC147" localSheetId="11">#REF!</definedName>
    <definedName name="DESC147" localSheetId="9">#REF!</definedName>
    <definedName name="DESC147" localSheetId="18">#REF!</definedName>
    <definedName name="DESC147" localSheetId="15">#REF!</definedName>
    <definedName name="DESC147" localSheetId="7">#REF!</definedName>
    <definedName name="DESC147">#REF!</definedName>
    <definedName name="DESC148" localSheetId="12">#REF!</definedName>
    <definedName name="DESC148" localSheetId="8">#REF!</definedName>
    <definedName name="DESC148" localSheetId="11">#REF!</definedName>
    <definedName name="DESC148" localSheetId="9">#REF!</definedName>
    <definedName name="DESC148" localSheetId="18">#REF!</definedName>
    <definedName name="DESC148" localSheetId="15">#REF!</definedName>
    <definedName name="DESC148" localSheetId="7">#REF!</definedName>
    <definedName name="DESC148">#REF!</definedName>
    <definedName name="DESC149" localSheetId="12">#REF!</definedName>
    <definedName name="DESC149" localSheetId="8">#REF!</definedName>
    <definedName name="DESC149" localSheetId="11">#REF!</definedName>
    <definedName name="DESC149" localSheetId="9">#REF!</definedName>
    <definedName name="DESC149" localSheetId="18">#REF!</definedName>
    <definedName name="DESC149" localSheetId="15">#REF!</definedName>
    <definedName name="DESC149" localSheetId="7">#REF!</definedName>
    <definedName name="DESC149">#REF!</definedName>
    <definedName name="DESC150" localSheetId="12">#REF!</definedName>
    <definedName name="DESC150" localSheetId="8">#REF!</definedName>
    <definedName name="DESC150" localSheetId="11">#REF!</definedName>
    <definedName name="DESC150" localSheetId="9">#REF!</definedName>
    <definedName name="DESC150" localSheetId="18">#REF!</definedName>
    <definedName name="DESC150" localSheetId="15">#REF!</definedName>
    <definedName name="DESC150" localSheetId="7">#REF!</definedName>
    <definedName name="DESC150">#REF!</definedName>
    <definedName name="DESC151A" localSheetId="12">#REF!</definedName>
    <definedName name="DESC151A" localSheetId="8">#REF!</definedName>
    <definedName name="DESC151A" localSheetId="11">#REF!</definedName>
    <definedName name="DESC151A" localSheetId="9">#REF!</definedName>
    <definedName name="DESC151A" localSheetId="18">#REF!</definedName>
    <definedName name="DESC151A" localSheetId="15">#REF!</definedName>
    <definedName name="DESC151A" localSheetId="7">#REF!</definedName>
    <definedName name="DESC151A">#REF!</definedName>
    <definedName name="DESC152" localSheetId="12">#REF!</definedName>
    <definedName name="DESC152" localSheetId="8">#REF!</definedName>
    <definedName name="DESC152" localSheetId="11">#REF!</definedName>
    <definedName name="DESC152" localSheetId="9">#REF!</definedName>
    <definedName name="DESC152" localSheetId="18">#REF!</definedName>
    <definedName name="DESC152" localSheetId="15">#REF!</definedName>
    <definedName name="DESC152" localSheetId="7">#REF!</definedName>
    <definedName name="DESC152">#REF!</definedName>
    <definedName name="DESC153" localSheetId="12">#REF!</definedName>
    <definedName name="DESC153" localSheetId="8">#REF!</definedName>
    <definedName name="DESC153" localSheetId="11">#REF!</definedName>
    <definedName name="DESC153" localSheetId="9">#REF!</definedName>
    <definedName name="DESC153" localSheetId="18">#REF!</definedName>
    <definedName name="DESC153" localSheetId="15">#REF!</definedName>
    <definedName name="DESC153" localSheetId="7">#REF!</definedName>
    <definedName name="DESC153">#REF!</definedName>
    <definedName name="DESC154" localSheetId="12">#REF!</definedName>
    <definedName name="DESC154" localSheetId="8">#REF!</definedName>
    <definedName name="DESC154" localSheetId="11">#REF!</definedName>
    <definedName name="DESC154" localSheetId="9">#REF!</definedName>
    <definedName name="DESC154" localSheetId="18">#REF!</definedName>
    <definedName name="DESC154" localSheetId="15">#REF!</definedName>
    <definedName name="DESC154" localSheetId="7">#REF!</definedName>
    <definedName name="DESC154">#REF!</definedName>
    <definedName name="DESC155" localSheetId="12">#REF!</definedName>
    <definedName name="DESC155" localSheetId="8">#REF!</definedName>
    <definedName name="DESC155" localSheetId="11">#REF!</definedName>
    <definedName name="DESC155" localSheetId="9">#REF!</definedName>
    <definedName name="DESC155" localSheetId="18">#REF!</definedName>
    <definedName name="DESC155" localSheetId="15">#REF!</definedName>
    <definedName name="DESC155" localSheetId="7">#REF!</definedName>
    <definedName name="DESC155">#REF!</definedName>
    <definedName name="DESC156" localSheetId="12">#REF!</definedName>
    <definedName name="DESC156" localSheetId="8">#REF!</definedName>
    <definedName name="DESC156" localSheetId="11">#REF!</definedName>
    <definedName name="DESC156" localSheetId="9">#REF!</definedName>
    <definedName name="DESC156" localSheetId="18">#REF!</definedName>
    <definedName name="DESC156" localSheetId="15">#REF!</definedName>
    <definedName name="DESC156" localSheetId="7">#REF!</definedName>
    <definedName name="DESC156">#REF!</definedName>
    <definedName name="DESC157" localSheetId="12">#REF!</definedName>
    <definedName name="DESC157" localSheetId="8">#REF!</definedName>
    <definedName name="DESC157" localSheetId="11">#REF!</definedName>
    <definedName name="DESC157" localSheetId="9">#REF!</definedName>
    <definedName name="DESC157" localSheetId="18">#REF!</definedName>
    <definedName name="DESC157" localSheetId="15">#REF!</definedName>
    <definedName name="DESC157" localSheetId="7">#REF!</definedName>
    <definedName name="DESC157">#REF!</definedName>
    <definedName name="DESC158" localSheetId="12">#REF!</definedName>
    <definedName name="DESC158" localSheetId="8">#REF!</definedName>
    <definedName name="DESC158" localSheetId="11">#REF!</definedName>
    <definedName name="DESC158" localSheetId="9">#REF!</definedName>
    <definedName name="DESC158" localSheetId="18">#REF!</definedName>
    <definedName name="DESC158" localSheetId="15">#REF!</definedName>
    <definedName name="DESC158" localSheetId="7">#REF!</definedName>
    <definedName name="DESC158">#REF!</definedName>
    <definedName name="DESC16" localSheetId="12">#REF!</definedName>
    <definedName name="DESC16" localSheetId="8">#REF!</definedName>
    <definedName name="DESC16" localSheetId="11">#REF!</definedName>
    <definedName name="DESC16" localSheetId="9">#REF!</definedName>
    <definedName name="DESC16" localSheetId="18">#REF!</definedName>
    <definedName name="DESC16" localSheetId="15">#REF!</definedName>
    <definedName name="DESC16" localSheetId="7">#REF!</definedName>
    <definedName name="DESC16">#REF!</definedName>
    <definedName name="DESC18" localSheetId="12">#REF!</definedName>
    <definedName name="DESC18" localSheetId="8">#REF!</definedName>
    <definedName name="DESC18" localSheetId="11">#REF!</definedName>
    <definedName name="DESC18" localSheetId="9">#REF!</definedName>
    <definedName name="DESC18" localSheetId="18">#REF!</definedName>
    <definedName name="DESC18" localSheetId="15">#REF!</definedName>
    <definedName name="DESC18" localSheetId="7">#REF!</definedName>
    <definedName name="DESC18">#REF!</definedName>
    <definedName name="DESC19" localSheetId="12">#REF!</definedName>
    <definedName name="DESC19" localSheetId="8">#REF!</definedName>
    <definedName name="DESC19" localSheetId="11">#REF!</definedName>
    <definedName name="DESC19" localSheetId="9">#REF!</definedName>
    <definedName name="DESC19" localSheetId="18">#REF!</definedName>
    <definedName name="DESC19" localSheetId="15">#REF!</definedName>
    <definedName name="DESC19" localSheetId="7">#REF!</definedName>
    <definedName name="DESC19">#REF!</definedName>
    <definedName name="DESC20" localSheetId="12">#REF!</definedName>
    <definedName name="DESC20" localSheetId="8">#REF!</definedName>
    <definedName name="DESC20" localSheetId="11">#REF!</definedName>
    <definedName name="DESC20" localSheetId="9">#REF!</definedName>
    <definedName name="DESC20" localSheetId="18">#REF!</definedName>
    <definedName name="DESC20" localSheetId="15">#REF!</definedName>
    <definedName name="DESC20" localSheetId="7">#REF!</definedName>
    <definedName name="DESC20">#REF!</definedName>
    <definedName name="DESC21" localSheetId="12">#REF!</definedName>
    <definedName name="DESC21" localSheetId="8">#REF!</definedName>
    <definedName name="DESC21" localSheetId="11">#REF!</definedName>
    <definedName name="DESC21" localSheetId="9">#REF!</definedName>
    <definedName name="DESC21" localSheetId="18">#REF!</definedName>
    <definedName name="DESC21" localSheetId="15">#REF!</definedName>
    <definedName name="DESC21" localSheetId="7">#REF!</definedName>
    <definedName name="DESC21">#REF!</definedName>
    <definedName name="DESC22" localSheetId="12">#REF!</definedName>
    <definedName name="DESC22" localSheetId="8">#REF!</definedName>
    <definedName name="DESC22" localSheetId="11">#REF!</definedName>
    <definedName name="DESC22" localSheetId="9">#REF!</definedName>
    <definedName name="DESC22" localSheetId="18">#REF!</definedName>
    <definedName name="DESC22" localSheetId="15">#REF!</definedName>
    <definedName name="DESC22" localSheetId="7">#REF!</definedName>
    <definedName name="DESC22">#REF!</definedName>
    <definedName name="DESC23" localSheetId="12">#REF!</definedName>
    <definedName name="DESC23" localSheetId="8">#REF!</definedName>
    <definedName name="DESC23" localSheetId="11">#REF!</definedName>
    <definedName name="DESC23" localSheetId="9">#REF!</definedName>
    <definedName name="DESC23" localSheetId="18">#REF!</definedName>
    <definedName name="DESC23" localSheetId="15">#REF!</definedName>
    <definedName name="DESC23" localSheetId="7">#REF!</definedName>
    <definedName name="DESC23">#REF!</definedName>
    <definedName name="DESC24" localSheetId="12">#REF!</definedName>
    <definedName name="DESC24" localSheetId="8">#REF!</definedName>
    <definedName name="DESC24" localSheetId="11">#REF!</definedName>
    <definedName name="DESC24" localSheetId="9">#REF!</definedName>
    <definedName name="DESC24" localSheetId="18">#REF!</definedName>
    <definedName name="DESC24" localSheetId="15">#REF!</definedName>
    <definedName name="DESC24" localSheetId="7">#REF!</definedName>
    <definedName name="DESC24">#REF!</definedName>
    <definedName name="DESC26" localSheetId="12">#REF!</definedName>
    <definedName name="DESC26" localSheetId="8">#REF!</definedName>
    <definedName name="DESC26" localSheetId="11">#REF!</definedName>
    <definedName name="DESC26" localSheetId="9">#REF!</definedName>
    <definedName name="DESC26" localSheetId="18">#REF!</definedName>
    <definedName name="DESC26" localSheetId="15">#REF!</definedName>
    <definedName name="DESC26" localSheetId="7">#REF!</definedName>
    <definedName name="DESC26">#REF!</definedName>
    <definedName name="DESC27" localSheetId="12">#REF!</definedName>
    <definedName name="DESC27" localSheetId="8">#REF!</definedName>
    <definedName name="DESC27" localSheetId="11">#REF!</definedName>
    <definedName name="DESC27" localSheetId="9">#REF!</definedName>
    <definedName name="DESC27" localSheetId="18">#REF!</definedName>
    <definedName name="DESC27" localSheetId="15">#REF!</definedName>
    <definedName name="DESC27" localSheetId="7">#REF!</definedName>
    <definedName name="DESC27">#REF!</definedName>
    <definedName name="DESC29" localSheetId="12">#REF!</definedName>
    <definedName name="DESC29" localSheetId="8">#REF!</definedName>
    <definedName name="DESC29" localSheetId="11">#REF!</definedName>
    <definedName name="DESC29" localSheetId="9">#REF!</definedName>
    <definedName name="DESC29" localSheetId="18">#REF!</definedName>
    <definedName name="DESC29" localSheetId="15">#REF!</definedName>
    <definedName name="DESC29" localSheetId="7">#REF!</definedName>
    <definedName name="DESC29">#REF!</definedName>
    <definedName name="DESC30" localSheetId="12">#REF!</definedName>
    <definedName name="DESC30" localSheetId="8">#REF!</definedName>
    <definedName name="DESC30" localSheetId="11">#REF!</definedName>
    <definedName name="DESC30" localSheetId="9">#REF!</definedName>
    <definedName name="DESC30" localSheetId="18">#REF!</definedName>
    <definedName name="DESC30" localSheetId="15">#REF!</definedName>
    <definedName name="DESC30" localSheetId="7">#REF!</definedName>
    <definedName name="DESC30">#REF!</definedName>
    <definedName name="DESC31" localSheetId="12">#REF!</definedName>
    <definedName name="DESC31" localSheetId="8">#REF!</definedName>
    <definedName name="DESC31" localSheetId="11">#REF!</definedName>
    <definedName name="DESC31" localSheetId="9">#REF!</definedName>
    <definedName name="DESC31" localSheetId="18">#REF!</definedName>
    <definedName name="DESC31" localSheetId="15">#REF!</definedName>
    <definedName name="DESC31" localSheetId="7">#REF!</definedName>
    <definedName name="DESC31">#REF!</definedName>
    <definedName name="DESC32" localSheetId="12">#REF!</definedName>
    <definedName name="DESC32" localSheetId="8">#REF!</definedName>
    <definedName name="DESC32" localSheetId="11">#REF!</definedName>
    <definedName name="DESC32" localSheetId="9">#REF!</definedName>
    <definedName name="DESC32" localSheetId="18">#REF!</definedName>
    <definedName name="DESC32" localSheetId="15">#REF!</definedName>
    <definedName name="DESC32" localSheetId="7">#REF!</definedName>
    <definedName name="DESC32">#REF!</definedName>
    <definedName name="DESC33" localSheetId="12">#REF!</definedName>
    <definedName name="DESC33" localSheetId="8">#REF!</definedName>
    <definedName name="DESC33" localSheetId="11">#REF!</definedName>
    <definedName name="DESC33" localSheetId="9">#REF!</definedName>
    <definedName name="DESC33" localSheetId="18">#REF!</definedName>
    <definedName name="DESC33" localSheetId="15">#REF!</definedName>
    <definedName name="DESC33" localSheetId="7">#REF!</definedName>
    <definedName name="DESC33">#REF!</definedName>
    <definedName name="DESC34" localSheetId="12">#REF!</definedName>
    <definedName name="DESC34" localSheetId="8">#REF!</definedName>
    <definedName name="DESC34" localSheetId="11">#REF!</definedName>
    <definedName name="DESC34" localSheetId="9">#REF!</definedName>
    <definedName name="DESC34" localSheetId="18">#REF!</definedName>
    <definedName name="DESC34" localSheetId="15">#REF!</definedName>
    <definedName name="DESC34" localSheetId="7">#REF!</definedName>
    <definedName name="DESC34">#REF!</definedName>
    <definedName name="DESC35" localSheetId="12">#REF!</definedName>
    <definedName name="DESC35" localSheetId="8">#REF!</definedName>
    <definedName name="DESC35" localSheetId="11">#REF!</definedName>
    <definedName name="DESC35" localSheetId="9">#REF!</definedName>
    <definedName name="DESC35" localSheetId="18">#REF!</definedName>
    <definedName name="DESC35" localSheetId="15">#REF!</definedName>
    <definedName name="DESC35" localSheetId="7">#REF!</definedName>
    <definedName name="DESC35">#REF!</definedName>
    <definedName name="DESC36" localSheetId="12">#REF!</definedName>
    <definedName name="DESC36" localSheetId="8">#REF!</definedName>
    <definedName name="DESC36" localSheetId="11">#REF!</definedName>
    <definedName name="DESC36" localSheetId="9">#REF!</definedName>
    <definedName name="DESC36" localSheetId="18">#REF!</definedName>
    <definedName name="DESC36" localSheetId="15">#REF!</definedName>
    <definedName name="DESC36" localSheetId="7">#REF!</definedName>
    <definedName name="DESC36">#REF!</definedName>
    <definedName name="DESC37" localSheetId="12">#REF!</definedName>
    <definedName name="DESC37" localSheetId="8">#REF!</definedName>
    <definedName name="DESC37" localSheetId="11">#REF!</definedName>
    <definedName name="DESC37" localSheetId="9">#REF!</definedName>
    <definedName name="DESC37" localSheetId="18">#REF!</definedName>
    <definedName name="DESC37" localSheetId="15">#REF!</definedName>
    <definedName name="DESC37" localSheetId="7">#REF!</definedName>
    <definedName name="DESC37">#REF!</definedName>
    <definedName name="DESC38" localSheetId="12">#REF!</definedName>
    <definedName name="DESC38" localSheetId="8">#REF!</definedName>
    <definedName name="DESC38" localSheetId="11">#REF!</definedName>
    <definedName name="DESC38" localSheetId="9">#REF!</definedName>
    <definedName name="DESC38" localSheetId="18">#REF!</definedName>
    <definedName name="DESC38" localSheetId="15">#REF!</definedName>
    <definedName name="DESC38" localSheetId="7">#REF!</definedName>
    <definedName name="DESC38">#REF!</definedName>
    <definedName name="DESC39" localSheetId="12">#REF!</definedName>
    <definedName name="DESC39" localSheetId="8">#REF!</definedName>
    <definedName name="DESC39" localSheetId="11">#REF!</definedName>
    <definedName name="DESC39" localSheetId="9">#REF!</definedName>
    <definedName name="DESC39" localSheetId="18">#REF!</definedName>
    <definedName name="DESC39" localSheetId="15">#REF!</definedName>
    <definedName name="DESC39" localSheetId="7">#REF!</definedName>
    <definedName name="DESC39">#REF!</definedName>
    <definedName name="DESC40" localSheetId="12">#REF!</definedName>
    <definedName name="DESC40" localSheetId="8">#REF!</definedName>
    <definedName name="DESC40" localSheetId="11">#REF!</definedName>
    <definedName name="DESC40" localSheetId="9">#REF!</definedName>
    <definedName name="DESC40" localSheetId="18">#REF!</definedName>
    <definedName name="DESC40" localSheetId="15">#REF!</definedName>
    <definedName name="DESC40" localSheetId="7">#REF!</definedName>
    <definedName name="DESC40">#REF!</definedName>
    <definedName name="DESC41" localSheetId="12">#REF!</definedName>
    <definedName name="DESC41" localSheetId="8">#REF!</definedName>
    <definedName name="DESC41" localSheetId="11">#REF!</definedName>
    <definedName name="DESC41" localSheetId="9">#REF!</definedName>
    <definedName name="DESC41" localSheetId="18">#REF!</definedName>
    <definedName name="DESC41" localSheetId="15">#REF!</definedName>
    <definedName name="DESC41" localSheetId="7">#REF!</definedName>
    <definedName name="DESC41">#REF!</definedName>
    <definedName name="DESC42" localSheetId="12">#REF!</definedName>
    <definedName name="DESC42" localSheetId="8">#REF!</definedName>
    <definedName name="DESC42" localSheetId="11">#REF!</definedName>
    <definedName name="DESC42" localSheetId="9">#REF!</definedName>
    <definedName name="DESC42" localSheetId="18">#REF!</definedName>
    <definedName name="DESC42" localSheetId="15">#REF!</definedName>
    <definedName name="DESC42" localSheetId="7">#REF!</definedName>
    <definedName name="DESC42">#REF!</definedName>
    <definedName name="DESC43" localSheetId="12">#REF!</definedName>
    <definedName name="DESC43" localSheetId="8">#REF!</definedName>
    <definedName name="DESC43" localSheetId="11">#REF!</definedName>
    <definedName name="DESC43" localSheetId="9">#REF!</definedName>
    <definedName name="DESC43" localSheetId="18">#REF!</definedName>
    <definedName name="DESC43" localSheetId="15">#REF!</definedName>
    <definedName name="DESC43" localSheetId="7">#REF!</definedName>
    <definedName name="DESC43">#REF!</definedName>
    <definedName name="DESC44" localSheetId="12">#REF!</definedName>
    <definedName name="DESC44" localSheetId="8">#REF!</definedName>
    <definedName name="DESC44" localSheetId="11">#REF!</definedName>
    <definedName name="DESC44" localSheetId="9">#REF!</definedName>
    <definedName name="DESC44" localSheetId="18">#REF!</definedName>
    <definedName name="DESC44" localSheetId="15">#REF!</definedName>
    <definedName name="DESC44" localSheetId="7">#REF!</definedName>
    <definedName name="DESC44">#REF!</definedName>
    <definedName name="DESC45" localSheetId="12">#REF!</definedName>
    <definedName name="DESC45" localSheetId="8">#REF!</definedName>
    <definedName name="DESC45" localSheetId="11">#REF!</definedName>
    <definedName name="DESC45" localSheetId="9">#REF!</definedName>
    <definedName name="DESC45" localSheetId="18">#REF!</definedName>
    <definedName name="DESC45" localSheetId="15">#REF!</definedName>
    <definedName name="DESC45" localSheetId="7">#REF!</definedName>
    <definedName name="DESC45">#REF!</definedName>
    <definedName name="DESC46" localSheetId="12">#REF!</definedName>
    <definedName name="DESC46" localSheetId="8">#REF!</definedName>
    <definedName name="DESC46" localSheetId="11">#REF!</definedName>
    <definedName name="DESC46" localSheetId="9">#REF!</definedName>
    <definedName name="DESC46" localSheetId="18">#REF!</definedName>
    <definedName name="DESC46" localSheetId="15">#REF!</definedName>
    <definedName name="DESC46" localSheetId="7">#REF!</definedName>
    <definedName name="DESC46">#REF!</definedName>
    <definedName name="DESC47" localSheetId="12">#REF!</definedName>
    <definedName name="DESC47" localSheetId="8">#REF!</definedName>
    <definedName name="DESC47" localSheetId="11">#REF!</definedName>
    <definedName name="DESC47" localSheetId="9">#REF!</definedName>
    <definedName name="DESC47" localSheetId="18">#REF!</definedName>
    <definedName name="DESC47" localSheetId="15">#REF!</definedName>
    <definedName name="DESC47" localSheetId="7">#REF!</definedName>
    <definedName name="DESC47">#REF!</definedName>
    <definedName name="DESC48" localSheetId="12">#REF!</definedName>
    <definedName name="DESC48" localSheetId="8">#REF!</definedName>
    <definedName name="DESC48" localSheetId="11">#REF!</definedName>
    <definedName name="DESC48" localSheetId="9">#REF!</definedName>
    <definedName name="DESC48" localSheetId="18">#REF!</definedName>
    <definedName name="DESC48" localSheetId="15">#REF!</definedName>
    <definedName name="DESC48" localSheetId="7">#REF!</definedName>
    <definedName name="DESC48">#REF!</definedName>
    <definedName name="DESC49" localSheetId="12">#REF!</definedName>
    <definedName name="DESC49" localSheetId="8">#REF!</definedName>
    <definedName name="DESC49" localSheetId="11">#REF!</definedName>
    <definedName name="DESC49" localSheetId="9">#REF!</definedName>
    <definedName name="DESC49" localSheetId="18">#REF!</definedName>
    <definedName name="DESC49" localSheetId="15">#REF!</definedName>
    <definedName name="DESC49" localSheetId="7">#REF!</definedName>
    <definedName name="DESC49">#REF!</definedName>
    <definedName name="DESC50" localSheetId="12">#REF!</definedName>
    <definedName name="DESC50" localSheetId="8">#REF!</definedName>
    <definedName name="DESC50" localSheetId="11">#REF!</definedName>
    <definedName name="DESC50" localSheetId="9">#REF!</definedName>
    <definedName name="DESC50" localSheetId="18">#REF!</definedName>
    <definedName name="DESC50" localSheetId="15">#REF!</definedName>
    <definedName name="DESC50" localSheetId="7">#REF!</definedName>
    <definedName name="DESC50">#REF!</definedName>
    <definedName name="DESC51" localSheetId="12">#REF!</definedName>
    <definedName name="DESC51" localSheetId="8">#REF!</definedName>
    <definedName name="DESC51" localSheetId="11">#REF!</definedName>
    <definedName name="DESC51" localSheetId="9">#REF!</definedName>
    <definedName name="DESC51" localSheetId="18">#REF!</definedName>
    <definedName name="DESC51" localSheetId="15">#REF!</definedName>
    <definedName name="DESC51" localSheetId="7">#REF!</definedName>
    <definedName name="DESC51">#REF!</definedName>
    <definedName name="DESC52" localSheetId="12">#REF!</definedName>
    <definedName name="DESC52" localSheetId="8">#REF!</definedName>
    <definedName name="DESC52" localSheetId="11">#REF!</definedName>
    <definedName name="DESC52" localSheetId="9">#REF!</definedName>
    <definedName name="DESC52" localSheetId="18">#REF!</definedName>
    <definedName name="DESC52" localSheetId="15">#REF!</definedName>
    <definedName name="DESC52" localSheetId="7">#REF!</definedName>
    <definedName name="DESC52">#REF!</definedName>
    <definedName name="DESC54" localSheetId="12">#REF!</definedName>
    <definedName name="DESC54" localSheetId="8">#REF!</definedName>
    <definedName name="DESC54" localSheetId="11">#REF!</definedName>
    <definedName name="DESC54" localSheetId="9">#REF!</definedName>
    <definedName name="DESC54" localSheetId="18">#REF!</definedName>
    <definedName name="DESC54" localSheetId="15">#REF!</definedName>
    <definedName name="DESC54" localSheetId="7">#REF!</definedName>
    <definedName name="DESC54">#REF!</definedName>
    <definedName name="DESC56" localSheetId="12">#REF!</definedName>
    <definedName name="DESC56" localSheetId="8">#REF!</definedName>
    <definedName name="DESC56" localSheetId="11">#REF!</definedName>
    <definedName name="DESC56" localSheetId="9">#REF!</definedName>
    <definedName name="DESC56" localSheetId="18">#REF!</definedName>
    <definedName name="DESC56" localSheetId="15">#REF!</definedName>
    <definedName name="DESC56" localSheetId="7">#REF!</definedName>
    <definedName name="DESC56">#REF!</definedName>
    <definedName name="DESC57" localSheetId="12">#REF!</definedName>
    <definedName name="DESC57" localSheetId="8">#REF!</definedName>
    <definedName name="DESC57" localSheetId="11">#REF!</definedName>
    <definedName name="DESC57" localSheetId="9">#REF!</definedName>
    <definedName name="DESC57" localSheetId="18">#REF!</definedName>
    <definedName name="DESC57" localSheetId="15">#REF!</definedName>
    <definedName name="DESC57" localSheetId="7">#REF!</definedName>
    <definedName name="DESC57">#REF!</definedName>
    <definedName name="DESC58" localSheetId="12">#REF!</definedName>
    <definedName name="DESC58" localSheetId="8">#REF!</definedName>
    <definedName name="DESC58" localSheetId="11">#REF!</definedName>
    <definedName name="DESC58" localSheetId="9">#REF!</definedName>
    <definedName name="DESC58" localSheetId="18">#REF!</definedName>
    <definedName name="DESC58" localSheetId="15">#REF!</definedName>
    <definedName name="DESC58" localSheetId="7">#REF!</definedName>
    <definedName name="DESC58">#REF!</definedName>
    <definedName name="DESC59" localSheetId="12">#REF!</definedName>
    <definedName name="DESC59" localSheetId="8">#REF!</definedName>
    <definedName name="DESC59" localSheetId="11">#REF!</definedName>
    <definedName name="DESC59" localSheetId="9">#REF!</definedName>
    <definedName name="DESC59" localSheetId="18">#REF!</definedName>
    <definedName name="DESC59" localSheetId="15">#REF!</definedName>
    <definedName name="DESC59" localSheetId="7">#REF!</definedName>
    <definedName name="DESC59">#REF!</definedName>
    <definedName name="DESC60" localSheetId="12">#REF!</definedName>
    <definedName name="DESC60" localSheetId="8">#REF!</definedName>
    <definedName name="DESC60" localSheetId="11">#REF!</definedName>
    <definedName name="DESC60" localSheetId="9">#REF!</definedName>
    <definedName name="DESC60" localSheetId="18">#REF!</definedName>
    <definedName name="DESC60" localSheetId="15">#REF!</definedName>
    <definedName name="DESC60" localSheetId="7">#REF!</definedName>
    <definedName name="DESC60">#REF!</definedName>
    <definedName name="DESC61" localSheetId="12">#REF!</definedName>
    <definedName name="DESC61" localSheetId="8">#REF!</definedName>
    <definedName name="DESC61" localSheetId="11">#REF!</definedName>
    <definedName name="DESC61" localSheetId="9">#REF!</definedName>
    <definedName name="DESC61" localSheetId="18">#REF!</definedName>
    <definedName name="DESC61" localSheetId="15">#REF!</definedName>
    <definedName name="DESC61" localSheetId="7">#REF!</definedName>
    <definedName name="DESC61">#REF!</definedName>
    <definedName name="DESC63" localSheetId="12">#REF!</definedName>
    <definedName name="DESC63" localSheetId="8">#REF!</definedName>
    <definedName name="DESC63" localSheetId="11">#REF!</definedName>
    <definedName name="DESC63" localSheetId="9">#REF!</definedName>
    <definedName name="DESC63" localSheetId="18">#REF!</definedName>
    <definedName name="DESC63" localSheetId="15">#REF!</definedName>
    <definedName name="DESC63" localSheetId="7">#REF!</definedName>
    <definedName name="DESC63">#REF!</definedName>
    <definedName name="DESC64" localSheetId="12">#REF!</definedName>
    <definedName name="DESC64" localSheetId="8">#REF!</definedName>
    <definedName name="DESC64" localSheetId="11">#REF!</definedName>
    <definedName name="DESC64" localSheetId="9">#REF!</definedName>
    <definedName name="DESC64" localSheetId="18">#REF!</definedName>
    <definedName name="DESC64" localSheetId="15">#REF!</definedName>
    <definedName name="DESC64" localSheetId="7">#REF!</definedName>
    <definedName name="DESC64">#REF!</definedName>
    <definedName name="DESC65" localSheetId="12">#REF!</definedName>
    <definedName name="DESC65" localSheetId="8">#REF!</definedName>
    <definedName name="DESC65" localSheetId="11">#REF!</definedName>
    <definedName name="DESC65" localSheetId="9">#REF!</definedName>
    <definedName name="DESC65" localSheetId="18">#REF!</definedName>
    <definedName name="DESC65" localSheetId="15">#REF!</definedName>
    <definedName name="DESC65" localSheetId="7">#REF!</definedName>
    <definedName name="DESC65">#REF!</definedName>
    <definedName name="DESC66" localSheetId="12">#REF!</definedName>
    <definedName name="DESC66" localSheetId="8">#REF!</definedName>
    <definedName name="DESC66" localSheetId="11">#REF!</definedName>
    <definedName name="DESC66" localSheetId="9">#REF!</definedName>
    <definedName name="DESC66" localSheetId="18">#REF!</definedName>
    <definedName name="DESC66" localSheetId="15">#REF!</definedName>
    <definedName name="DESC66" localSheetId="7">#REF!</definedName>
    <definedName name="DESC66">#REF!</definedName>
    <definedName name="DESC68" localSheetId="12">#REF!</definedName>
    <definedName name="DESC68" localSheetId="8">#REF!</definedName>
    <definedName name="DESC68" localSheetId="11">#REF!</definedName>
    <definedName name="DESC68" localSheetId="9">#REF!</definedName>
    <definedName name="DESC68" localSheetId="18">#REF!</definedName>
    <definedName name="DESC68" localSheetId="15">#REF!</definedName>
    <definedName name="DESC68" localSheetId="7">#REF!</definedName>
    <definedName name="DESC68">#REF!</definedName>
    <definedName name="DESC69" localSheetId="12">#REF!</definedName>
    <definedName name="DESC69" localSheetId="8">#REF!</definedName>
    <definedName name="DESC69" localSheetId="11">#REF!</definedName>
    <definedName name="DESC69" localSheetId="9">#REF!</definedName>
    <definedName name="DESC69" localSheetId="18">#REF!</definedName>
    <definedName name="DESC69" localSheetId="15">#REF!</definedName>
    <definedName name="DESC69" localSheetId="7">#REF!</definedName>
    <definedName name="DESC69">#REF!</definedName>
    <definedName name="DESC7" localSheetId="12">#REF!</definedName>
    <definedName name="DESC7" localSheetId="8">#REF!</definedName>
    <definedName name="DESC7" localSheetId="11">#REF!</definedName>
    <definedName name="DESC7" localSheetId="9">#REF!</definedName>
    <definedName name="DESC7" localSheetId="18">#REF!</definedName>
    <definedName name="DESC7" localSheetId="15">#REF!</definedName>
    <definedName name="DESC7" localSheetId="7">#REF!</definedName>
    <definedName name="DESC7">#REF!</definedName>
    <definedName name="DESC70" localSheetId="12">#REF!</definedName>
    <definedName name="DESC70" localSheetId="8">#REF!</definedName>
    <definedName name="DESC70" localSheetId="11">#REF!</definedName>
    <definedName name="DESC70" localSheetId="9">#REF!</definedName>
    <definedName name="DESC70" localSheetId="18">#REF!</definedName>
    <definedName name="DESC70" localSheetId="15">#REF!</definedName>
    <definedName name="DESC70" localSheetId="7">#REF!</definedName>
    <definedName name="DESC70">#REF!</definedName>
    <definedName name="DESC71" localSheetId="12">#REF!</definedName>
    <definedName name="DESC71" localSheetId="8">#REF!</definedName>
    <definedName name="DESC71" localSheetId="11">#REF!</definedName>
    <definedName name="DESC71" localSheetId="9">#REF!</definedName>
    <definedName name="DESC71" localSheetId="18">#REF!</definedName>
    <definedName name="DESC71" localSheetId="15">#REF!</definedName>
    <definedName name="DESC71" localSheetId="7">#REF!</definedName>
    <definedName name="DESC71">#REF!</definedName>
    <definedName name="DESC72" localSheetId="12">#REF!</definedName>
    <definedName name="DESC72" localSheetId="8">#REF!</definedName>
    <definedName name="DESC72" localSheetId="11">#REF!</definedName>
    <definedName name="DESC72" localSheetId="9">#REF!</definedName>
    <definedName name="DESC72" localSheetId="18">#REF!</definedName>
    <definedName name="DESC72" localSheetId="15">#REF!</definedName>
    <definedName name="DESC72" localSheetId="7">#REF!</definedName>
    <definedName name="DESC72">#REF!</definedName>
    <definedName name="DESC73" localSheetId="12">#REF!</definedName>
    <definedName name="DESC73" localSheetId="8">#REF!</definedName>
    <definedName name="DESC73" localSheetId="11">#REF!</definedName>
    <definedName name="DESC73" localSheetId="9">#REF!</definedName>
    <definedName name="DESC73" localSheetId="18">#REF!</definedName>
    <definedName name="DESC73" localSheetId="15">#REF!</definedName>
    <definedName name="DESC73" localSheetId="7">#REF!</definedName>
    <definedName name="DESC73">#REF!</definedName>
    <definedName name="DESC74" localSheetId="12">#REF!</definedName>
    <definedName name="DESC74" localSheetId="8">#REF!</definedName>
    <definedName name="DESC74" localSheetId="11">#REF!</definedName>
    <definedName name="DESC74" localSheetId="9">#REF!</definedName>
    <definedName name="DESC74" localSheetId="18">#REF!</definedName>
    <definedName name="DESC74" localSheetId="15">#REF!</definedName>
    <definedName name="DESC74" localSheetId="7">#REF!</definedName>
    <definedName name="DESC74">#REF!</definedName>
    <definedName name="DESC77" localSheetId="12">#REF!</definedName>
    <definedName name="DESC77" localSheetId="8">#REF!</definedName>
    <definedName name="DESC77" localSheetId="11">#REF!</definedName>
    <definedName name="DESC77" localSheetId="9">#REF!</definedName>
    <definedName name="DESC77" localSheetId="18">#REF!</definedName>
    <definedName name="DESC77" localSheetId="15">#REF!</definedName>
    <definedName name="DESC77" localSheetId="7">#REF!</definedName>
    <definedName name="DESC77">#REF!</definedName>
    <definedName name="DESC78" localSheetId="12">#REF!</definedName>
    <definedName name="DESC78" localSheetId="8">#REF!</definedName>
    <definedName name="DESC78" localSheetId="11">#REF!</definedName>
    <definedName name="DESC78" localSheetId="9">#REF!</definedName>
    <definedName name="DESC78" localSheetId="18">#REF!</definedName>
    <definedName name="DESC78" localSheetId="15">#REF!</definedName>
    <definedName name="DESC78" localSheetId="7">#REF!</definedName>
    <definedName name="DESC78">#REF!</definedName>
    <definedName name="DESC79" localSheetId="12">#REF!</definedName>
    <definedName name="DESC79" localSheetId="8">#REF!</definedName>
    <definedName name="DESC79" localSheetId="11">#REF!</definedName>
    <definedName name="DESC79" localSheetId="9">#REF!</definedName>
    <definedName name="DESC79" localSheetId="18">#REF!</definedName>
    <definedName name="DESC79" localSheetId="15">#REF!</definedName>
    <definedName name="DESC79" localSheetId="7">#REF!</definedName>
    <definedName name="DESC79">#REF!</definedName>
    <definedName name="DESC79A" localSheetId="12">#REF!</definedName>
    <definedName name="DESC79A" localSheetId="8">#REF!</definedName>
    <definedName name="DESC79A" localSheetId="11">#REF!</definedName>
    <definedName name="DESC79A" localSheetId="9">#REF!</definedName>
    <definedName name="DESC79A" localSheetId="18">#REF!</definedName>
    <definedName name="DESC79A" localSheetId="15">#REF!</definedName>
    <definedName name="DESC79A" localSheetId="7">#REF!</definedName>
    <definedName name="DESC79A">#REF!</definedName>
    <definedName name="DESC79B" localSheetId="12">#REF!</definedName>
    <definedName name="DESC79B" localSheetId="8">#REF!</definedName>
    <definedName name="DESC79B" localSheetId="11">#REF!</definedName>
    <definedName name="DESC79B" localSheetId="9">#REF!</definedName>
    <definedName name="DESC79B" localSheetId="18">#REF!</definedName>
    <definedName name="DESC79B" localSheetId="15">#REF!</definedName>
    <definedName name="DESC79B" localSheetId="7">#REF!</definedName>
    <definedName name="DESC79B">#REF!</definedName>
    <definedName name="DESC79C" localSheetId="12">#REF!</definedName>
    <definedName name="DESC79C" localSheetId="8">#REF!</definedName>
    <definedName name="DESC79C" localSheetId="11">#REF!</definedName>
    <definedName name="DESC79C" localSheetId="9">#REF!</definedName>
    <definedName name="DESC79C" localSheetId="18">#REF!</definedName>
    <definedName name="DESC79C" localSheetId="15">#REF!</definedName>
    <definedName name="DESC79C" localSheetId="7">#REF!</definedName>
    <definedName name="DESC79C">#REF!</definedName>
    <definedName name="DESC80" localSheetId="12">#REF!</definedName>
    <definedName name="DESC80" localSheetId="8">#REF!</definedName>
    <definedName name="DESC80" localSheetId="11">#REF!</definedName>
    <definedName name="DESC80" localSheetId="9">#REF!</definedName>
    <definedName name="DESC80" localSheetId="18">#REF!</definedName>
    <definedName name="DESC80" localSheetId="15">#REF!</definedName>
    <definedName name="DESC80" localSheetId="7">#REF!</definedName>
    <definedName name="DESC80">#REF!</definedName>
    <definedName name="DESC80A" localSheetId="12">#REF!</definedName>
    <definedName name="DESC80A" localSheetId="8">#REF!</definedName>
    <definedName name="DESC80A" localSheetId="11">#REF!</definedName>
    <definedName name="DESC80A" localSheetId="9">#REF!</definedName>
    <definedName name="DESC80A" localSheetId="18">#REF!</definedName>
    <definedName name="DESC80A" localSheetId="15">#REF!</definedName>
    <definedName name="DESC80A" localSheetId="7">#REF!</definedName>
    <definedName name="DESC80A">#REF!</definedName>
    <definedName name="DESC80B" localSheetId="12">#REF!</definedName>
    <definedName name="DESC80B" localSheetId="8">#REF!</definedName>
    <definedName name="DESC80B" localSheetId="11">#REF!</definedName>
    <definedName name="DESC80B" localSheetId="9">#REF!</definedName>
    <definedName name="DESC80B" localSheetId="18">#REF!</definedName>
    <definedName name="DESC80B" localSheetId="15">#REF!</definedName>
    <definedName name="DESC80B" localSheetId="7">#REF!</definedName>
    <definedName name="DESC80B">#REF!</definedName>
    <definedName name="DESC80C" localSheetId="12">#REF!</definedName>
    <definedName name="DESC80C" localSheetId="8">#REF!</definedName>
    <definedName name="DESC80C" localSheetId="11">#REF!</definedName>
    <definedName name="DESC80C" localSheetId="9">#REF!</definedName>
    <definedName name="DESC80C" localSheetId="18">#REF!</definedName>
    <definedName name="DESC80C" localSheetId="15">#REF!</definedName>
    <definedName name="DESC80C" localSheetId="7">#REF!</definedName>
    <definedName name="DESC80C">#REF!</definedName>
    <definedName name="DESC81" localSheetId="12">#REF!</definedName>
    <definedName name="DESC81" localSheetId="8">#REF!</definedName>
    <definedName name="DESC81" localSheetId="11">#REF!</definedName>
    <definedName name="DESC81" localSheetId="9">#REF!</definedName>
    <definedName name="DESC81" localSheetId="18">#REF!</definedName>
    <definedName name="DESC81" localSheetId="15">#REF!</definedName>
    <definedName name="DESC81" localSheetId="7">#REF!</definedName>
    <definedName name="DESC81">#REF!</definedName>
    <definedName name="DESC82" localSheetId="12">#REF!</definedName>
    <definedName name="DESC82" localSheetId="8">#REF!</definedName>
    <definedName name="DESC82" localSheetId="11">#REF!</definedName>
    <definedName name="DESC82" localSheetId="9">#REF!</definedName>
    <definedName name="DESC82" localSheetId="18">#REF!</definedName>
    <definedName name="DESC82" localSheetId="15">#REF!</definedName>
    <definedName name="DESC82" localSheetId="7">#REF!</definedName>
    <definedName name="DESC82">#REF!</definedName>
    <definedName name="DESC85" localSheetId="12">#REF!</definedName>
    <definedName name="DESC85" localSheetId="8">#REF!</definedName>
    <definedName name="DESC85" localSheetId="11">#REF!</definedName>
    <definedName name="DESC85" localSheetId="9">#REF!</definedName>
    <definedName name="DESC85" localSheetId="18">#REF!</definedName>
    <definedName name="DESC85" localSheetId="15">#REF!</definedName>
    <definedName name="DESC85" localSheetId="7">#REF!</definedName>
    <definedName name="DESC85">#REF!</definedName>
    <definedName name="DESC86" localSheetId="12">#REF!</definedName>
    <definedName name="DESC86" localSheetId="8">#REF!</definedName>
    <definedName name="DESC86" localSheetId="11">#REF!</definedName>
    <definedName name="DESC86" localSheetId="9">#REF!</definedName>
    <definedName name="DESC86" localSheetId="18">#REF!</definedName>
    <definedName name="DESC86" localSheetId="15">#REF!</definedName>
    <definedName name="DESC86" localSheetId="7">#REF!</definedName>
    <definedName name="DESC86">#REF!</definedName>
    <definedName name="DESC87" localSheetId="12">#REF!</definedName>
    <definedName name="DESC87" localSheetId="8">#REF!</definedName>
    <definedName name="DESC87" localSheetId="11">#REF!</definedName>
    <definedName name="DESC87" localSheetId="9">#REF!</definedName>
    <definedName name="DESC87" localSheetId="18">#REF!</definedName>
    <definedName name="DESC87" localSheetId="15">#REF!</definedName>
    <definedName name="DESC87" localSheetId="7">#REF!</definedName>
    <definedName name="DESC87">#REF!</definedName>
    <definedName name="DESC88" localSheetId="12">#REF!</definedName>
    <definedName name="DESC88" localSheetId="8">#REF!</definedName>
    <definedName name="DESC88" localSheetId="11">#REF!</definedName>
    <definedName name="DESC88" localSheetId="9">#REF!</definedName>
    <definedName name="DESC88" localSheetId="18">#REF!</definedName>
    <definedName name="DESC88" localSheetId="15">#REF!</definedName>
    <definedName name="DESC88" localSheetId="7">#REF!</definedName>
    <definedName name="DESC88">#REF!</definedName>
    <definedName name="DESC92" localSheetId="12">#REF!</definedName>
    <definedName name="DESC92" localSheetId="8">#REF!</definedName>
    <definedName name="DESC92" localSheetId="11">#REF!</definedName>
    <definedName name="DESC92" localSheetId="9">#REF!</definedName>
    <definedName name="DESC92" localSheetId="18">#REF!</definedName>
    <definedName name="DESC92" localSheetId="15">#REF!</definedName>
    <definedName name="DESC92" localSheetId="7">#REF!</definedName>
    <definedName name="DESC92">#REF!</definedName>
    <definedName name="DESC93" localSheetId="12">#REF!</definedName>
    <definedName name="DESC93" localSheetId="8">#REF!</definedName>
    <definedName name="DESC93" localSheetId="11">#REF!</definedName>
    <definedName name="DESC93" localSheetId="9">#REF!</definedName>
    <definedName name="DESC93" localSheetId="18">#REF!</definedName>
    <definedName name="DESC93" localSheetId="15">#REF!</definedName>
    <definedName name="DESC93" localSheetId="7">#REF!</definedName>
    <definedName name="DESC93">#REF!</definedName>
    <definedName name="DESC94" localSheetId="12">#REF!</definedName>
    <definedName name="DESC94" localSheetId="8">#REF!</definedName>
    <definedName name="DESC94" localSheetId="11">#REF!</definedName>
    <definedName name="DESC94" localSheetId="9">#REF!</definedName>
    <definedName name="DESC94" localSheetId="18">#REF!</definedName>
    <definedName name="DESC94" localSheetId="15">#REF!</definedName>
    <definedName name="DESC94" localSheetId="7">#REF!</definedName>
    <definedName name="DESC94">#REF!</definedName>
    <definedName name="DESC95" localSheetId="12">#REF!</definedName>
    <definedName name="DESC95" localSheetId="8">#REF!</definedName>
    <definedName name="DESC95" localSheetId="11">#REF!</definedName>
    <definedName name="DESC95" localSheetId="9">#REF!</definedName>
    <definedName name="DESC95" localSheetId="18">#REF!</definedName>
    <definedName name="DESC95" localSheetId="15">#REF!</definedName>
    <definedName name="DESC95" localSheetId="7">#REF!</definedName>
    <definedName name="DESC95">#REF!</definedName>
    <definedName name="DESC98" localSheetId="12">#REF!</definedName>
    <definedName name="DESC98" localSheetId="8">#REF!</definedName>
    <definedName name="DESC98" localSheetId="11">#REF!</definedName>
    <definedName name="DESC98" localSheetId="9">#REF!</definedName>
    <definedName name="DESC98" localSheetId="18">#REF!</definedName>
    <definedName name="DESC98" localSheetId="15">#REF!</definedName>
    <definedName name="DESC98" localSheetId="7">#REF!</definedName>
    <definedName name="DESC98">#REF!</definedName>
    <definedName name="DESC99" localSheetId="12">#REF!</definedName>
    <definedName name="DESC99" localSheetId="8">#REF!</definedName>
    <definedName name="DESC99" localSheetId="11">#REF!</definedName>
    <definedName name="DESC99" localSheetId="9">#REF!</definedName>
    <definedName name="DESC99" localSheetId="18">#REF!</definedName>
    <definedName name="DESC99" localSheetId="15">#REF!</definedName>
    <definedName name="DESC99" localSheetId="7">#REF!</definedName>
    <definedName name="DESC99">#REF!</definedName>
    <definedName name="designed" localSheetId="12">#REF!</definedName>
    <definedName name="designed" localSheetId="8">#REF!</definedName>
    <definedName name="designed" localSheetId="11">#REF!</definedName>
    <definedName name="designed" localSheetId="9">#REF!</definedName>
    <definedName name="designed" localSheetId="18">#REF!</definedName>
    <definedName name="designed" localSheetId="15">#REF!</definedName>
    <definedName name="designed" localSheetId="7">#REF!</definedName>
    <definedName name="designed">#REF!</definedName>
    <definedName name="DEWD" localSheetId="12">#REF!</definedName>
    <definedName name="DEWD" localSheetId="8">#REF!</definedName>
    <definedName name="DEWD" localSheetId="11">#REF!</definedName>
    <definedName name="DEWD" localSheetId="9">#REF!</definedName>
    <definedName name="DEWD" localSheetId="18">#REF!</definedName>
    <definedName name="DEWD" localSheetId="15">#REF!</definedName>
    <definedName name="DEWD" localSheetId="7">#REF!</definedName>
    <definedName name="DEWD">#REF!</definedName>
    <definedName name="df" localSheetId="12">#REF!</definedName>
    <definedName name="df" localSheetId="0">#REF!</definedName>
    <definedName name="df" localSheetId="1">#REF!</definedName>
    <definedName name="df" localSheetId="8">#REF!</definedName>
    <definedName name="df" localSheetId="11">#REF!</definedName>
    <definedName name="df" localSheetId="9">#REF!</definedName>
    <definedName name="df" localSheetId="18">#REF!</definedName>
    <definedName name="df" localSheetId="15">#REF!</definedName>
    <definedName name="df" localSheetId="7">#REF!</definedName>
    <definedName name="df">#REF!</definedName>
    <definedName name="DFD" localSheetId="12">#REF!</definedName>
    <definedName name="DFD" localSheetId="0">#REF!</definedName>
    <definedName name="DFD" localSheetId="1">#REF!</definedName>
    <definedName name="DFD" localSheetId="8">#REF!</definedName>
    <definedName name="DFD" localSheetId="11">#REF!</definedName>
    <definedName name="DFD" localSheetId="9">#REF!</definedName>
    <definedName name="DFD" localSheetId="18">#REF!</definedName>
    <definedName name="DFD" localSheetId="15">#REF!</definedName>
    <definedName name="DFD" localSheetId="7">#REF!</definedName>
    <definedName name="DFD">#REF!</definedName>
    <definedName name="DFDFD" localSheetId="12">#REF!</definedName>
    <definedName name="DFDFD" localSheetId="0">#REF!</definedName>
    <definedName name="DFDFD" localSheetId="1">#REF!</definedName>
    <definedName name="DFDFD" localSheetId="8">#REF!</definedName>
    <definedName name="DFDFD" localSheetId="11">#REF!</definedName>
    <definedName name="DFDFD" localSheetId="9">#REF!</definedName>
    <definedName name="DFDFD" localSheetId="18">#REF!</definedName>
    <definedName name="DFDFD" localSheetId="15">#REF!</definedName>
    <definedName name="DFDFD" localSheetId="7">#REF!</definedName>
    <definedName name="DFDFD">#REF!</definedName>
    <definedName name="DFDS" comment="T12 IS USED IN MID MAIN LINKS" localSheetId="12">#REF!</definedName>
    <definedName name="DFDS" comment="T12 IS USED IN MID MAIN LINKS" localSheetId="8">#REF!</definedName>
    <definedName name="DFDS" comment="T12 IS USED IN MID MAIN LINKS" localSheetId="11">#REF!</definedName>
    <definedName name="DFDS" comment="T12 IS USED IN MID MAIN LINKS" localSheetId="9">#REF!</definedName>
    <definedName name="DFDS" comment="T12 IS USED IN MID MAIN LINKS" localSheetId="18">#REF!</definedName>
    <definedName name="DFDS" comment="T12 IS USED IN MID MAIN LINKS" localSheetId="15">#REF!</definedName>
    <definedName name="DFDS" comment="T12 IS USED IN MID MAIN LINKS" localSheetId="7">#REF!</definedName>
    <definedName name="DFDS" comment="T12 IS USED IN MID MAIN LINKS">#REF!</definedName>
    <definedName name="DFF" localSheetId="12" hidden="1">#REF!</definedName>
    <definedName name="DFF" localSheetId="8" hidden="1">#REF!</definedName>
    <definedName name="DFF" localSheetId="11" hidden="1">#REF!</definedName>
    <definedName name="DFF" localSheetId="9" hidden="1">#REF!</definedName>
    <definedName name="DFF" localSheetId="18" hidden="1">#REF!</definedName>
    <definedName name="DFF" localSheetId="15" hidden="1">#REF!</definedName>
    <definedName name="DFF" localSheetId="7" hidden="1">#REF!</definedName>
    <definedName name="DFF" hidden="1">#REF!</definedName>
    <definedName name="DFG" localSheetId="12" hidden="1">#REF!</definedName>
    <definedName name="DFG" localSheetId="8" hidden="1">#REF!</definedName>
    <definedName name="DFG" localSheetId="11" hidden="1">#REF!</definedName>
    <definedName name="DFG" localSheetId="9" hidden="1">#REF!</definedName>
    <definedName name="DFG" localSheetId="18" hidden="1">#REF!</definedName>
    <definedName name="DFG" localSheetId="15" hidden="1">#REF!</definedName>
    <definedName name="DFG" localSheetId="7" hidden="1">#REF!</definedName>
    <definedName name="DFG" hidden="1">#REF!</definedName>
    <definedName name="dg" localSheetId="12">#REF!</definedName>
    <definedName name="dg" localSheetId="0">#REF!</definedName>
    <definedName name="dg" localSheetId="1">#REF!</definedName>
    <definedName name="dg" localSheetId="8">#REF!</definedName>
    <definedName name="dg" localSheetId="11">#REF!</definedName>
    <definedName name="dg" localSheetId="9">#REF!</definedName>
    <definedName name="dg" localSheetId="18">#REF!</definedName>
    <definedName name="dg" localSheetId="15">#REF!</definedName>
    <definedName name="dg" localSheetId="7">#REF!</definedName>
    <definedName name="dg">#REF!</definedName>
    <definedName name="dgfgfd" localSheetId="12" hidden="1">{#N/A,#N/A,FALSE,"COVER.XLS";#N/A,#N/A,FALSE,"RACT1.XLS";#N/A,#N/A,FALSE,"RACT2.XLS";#N/A,#N/A,FALSE,"ECCMP";#N/A,#N/A,FALSE,"WELDER.XLS"}</definedName>
    <definedName name="dgfgfd" localSheetId="6" hidden="1">{#N/A,#N/A,FALSE,"COVER.XLS";#N/A,#N/A,FALSE,"RACT1.XLS";#N/A,#N/A,FALSE,"RACT2.XLS";#N/A,#N/A,FALSE,"ECCMP";#N/A,#N/A,FALSE,"WELDER.XLS"}</definedName>
    <definedName name="dgfgfd" localSheetId="5" hidden="1">{#N/A,#N/A,FALSE,"COVER.XLS";#N/A,#N/A,FALSE,"RACT1.XLS";#N/A,#N/A,FALSE,"RACT2.XLS";#N/A,#N/A,FALSE,"ECCMP";#N/A,#N/A,FALSE,"WELDER.XLS"}</definedName>
    <definedName name="dgfgfd" localSheetId="8" hidden="1">{#N/A,#N/A,FALSE,"COVER.XLS";#N/A,#N/A,FALSE,"RACT1.XLS";#N/A,#N/A,FALSE,"RACT2.XLS";#N/A,#N/A,FALSE,"ECCMP";#N/A,#N/A,FALSE,"WELDER.XLS"}</definedName>
    <definedName name="dgfgfd" localSheetId="11" hidden="1">{#N/A,#N/A,FALSE,"COVER.XLS";#N/A,#N/A,FALSE,"RACT1.XLS";#N/A,#N/A,FALSE,"RACT2.XLS";#N/A,#N/A,FALSE,"ECCMP";#N/A,#N/A,FALSE,"WELDER.XLS"}</definedName>
    <definedName name="dgfgfd" localSheetId="9" hidden="1">{#N/A,#N/A,FALSE,"COVER.XLS";#N/A,#N/A,FALSE,"RACT1.XLS";#N/A,#N/A,FALSE,"RACT2.XLS";#N/A,#N/A,FALSE,"ECCMP";#N/A,#N/A,FALSE,"WELDER.XLS"}</definedName>
    <definedName name="dgfgfd" localSheetId="13" hidden="1">{#N/A,#N/A,FALSE,"COVER.XLS";#N/A,#N/A,FALSE,"RACT1.XLS";#N/A,#N/A,FALSE,"RACT2.XLS";#N/A,#N/A,FALSE,"ECCMP";#N/A,#N/A,FALSE,"WELDER.XLS"}</definedName>
    <definedName name="dgfgfd" localSheetId="18" hidden="1">{#N/A,#N/A,FALSE,"COVER.XLS";#N/A,#N/A,FALSE,"RACT1.XLS";#N/A,#N/A,FALSE,"RACT2.XLS";#N/A,#N/A,FALSE,"ECCMP";#N/A,#N/A,FALSE,"WELDER.XLS"}</definedName>
    <definedName name="dgfgfd" localSheetId="15" hidden="1">{#N/A,#N/A,FALSE,"COVER.XLS";#N/A,#N/A,FALSE,"RACT1.XLS";#N/A,#N/A,FALSE,"RACT2.XLS";#N/A,#N/A,FALSE,"ECCMP";#N/A,#N/A,FALSE,"WELDER.XLS"}</definedName>
    <definedName name="dgfgfd" localSheetId="7" hidden="1">{#N/A,#N/A,FALSE,"COVER.XLS";#N/A,#N/A,FALSE,"RACT1.XLS";#N/A,#N/A,FALSE,"RACT2.XLS";#N/A,#N/A,FALSE,"ECCMP";#N/A,#N/A,FALSE,"WELDER.XLS"}</definedName>
    <definedName name="dgfgfd" hidden="1">{#N/A,#N/A,FALSE,"COVER.XLS";#N/A,#N/A,FALSE,"RACT1.XLS";#N/A,#N/A,FALSE,"RACT2.XLS";#N/A,#N/A,FALSE,"ECCMP";#N/A,#N/A,FALSE,"WELDER.XLS"}</definedName>
    <definedName name="DHTML" localSheetId="12" hidden="1">{"'Sheet1'!$A$4386:$N$4591"}</definedName>
    <definedName name="DHTML" localSheetId="6" hidden="1">{"'Sheet1'!$A$4386:$N$4591"}</definedName>
    <definedName name="DHTML" localSheetId="5" hidden="1">{"'Sheet1'!$A$4386:$N$4591"}</definedName>
    <definedName name="DHTML" localSheetId="8" hidden="1">{"'Sheet1'!$A$4386:$N$4591"}</definedName>
    <definedName name="DHTML" localSheetId="11" hidden="1">{"'Sheet1'!$A$4386:$N$4591"}</definedName>
    <definedName name="DHTML" localSheetId="9" hidden="1">{"'Sheet1'!$A$4386:$N$4591"}</definedName>
    <definedName name="DHTML" localSheetId="13" hidden="1">{"'Sheet1'!$A$4386:$N$4591"}</definedName>
    <definedName name="DHTML" localSheetId="18" hidden="1">{"'Sheet1'!$A$4386:$N$4591"}</definedName>
    <definedName name="DHTML" localSheetId="15" hidden="1">{"'Sheet1'!$A$4386:$N$4591"}</definedName>
    <definedName name="DHTML" localSheetId="7" hidden="1">{"'Sheet1'!$A$4386:$N$4591"}</definedName>
    <definedName name="DHTML" hidden="1">{"'Sheet1'!$A$4386:$N$4591"}</definedName>
    <definedName name="Di">#REF!</definedName>
    <definedName name="Diesel" localSheetId="12">#REF!</definedName>
    <definedName name="Diesel" localSheetId="8">#REF!</definedName>
    <definedName name="Diesel" localSheetId="11">#REF!</definedName>
    <definedName name="Diesel" localSheetId="9">#REF!</definedName>
    <definedName name="Diesel" localSheetId="18">#REF!</definedName>
    <definedName name="Diesel" localSheetId="15">#REF!</definedName>
    <definedName name="Diesel" localSheetId="7">#REF!</definedName>
    <definedName name="Diesel">#REF!</definedName>
    <definedName name="dim4e" localSheetId="12">#REF!</definedName>
    <definedName name="dim4e" localSheetId="8">#REF!</definedName>
    <definedName name="dim4e" localSheetId="11">#REF!</definedName>
    <definedName name="dim4e" localSheetId="9">#REF!</definedName>
    <definedName name="dim4e" localSheetId="18">#REF!</definedName>
    <definedName name="dim4e" localSheetId="15">#REF!</definedName>
    <definedName name="dim4e" localSheetId="7">#REF!</definedName>
    <definedName name="dim4e">#REF!</definedName>
    <definedName name="DIns" localSheetId="12">#REF!</definedName>
    <definedName name="DIns" localSheetId="8">#REF!</definedName>
    <definedName name="DIns" localSheetId="11">#REF!</definedName>
    <definedName name="DIns" localSheetId="9">#REF!</definedName>
    <definedName name="DIns" localSheetId="18">#REF!</definedName>
    <definedName name="DIns" localSheetId="15">#REF!</definedName>
    <definedName name="DIns" localSheetId="7">#REF!</definedName>
    <definedName name="DIns">#REF!</definedName>
    <definedName name="DISCOUNT" localSheetId="12">#REF!</definedName>
    <definedName name="DISCOUNT" localSheetId="8">#REF!</definedName>
    <definedName name="DISCOUNT" localSheetId="11">#REF!</definedName>
    <definedName name="DISCOUNT" localSheetId="9">#REF!</definedName>
    <definedName name="DISCOUNT" localSheetId="18">#REF!</definedName>
    <definedName name="DISCOUNT" localSheetId="15">#REF!</definedName>
    <definedName name="DISCOUNT" localSheetId="7">#REF!</definedName>
    <definedName name="DISCOUNT">#REF!</definedName>
    <definedName name="dl" localSheetId="12">#REF!</definedName>
    <definedName name="dl" localSheetId="8">#REF!</definedName>
    <definedName name="dl" localSheetId="11">#REF!</definedName>
    <definedName name="dl" localSheetId="9">#REF!</definedName>
    <definedName name="dl" localSheetId="18">#REF!</definedName>
    <definedName name="dl" localSheetId="15">#REF!</definedName>
    <definedName name="dl" localSheetId="7">#REF!</definedName>
    <definedName name="dl">#REF!</definedName>
    <definedName name="dl___0" localSheetId="12">#REF!</definedName>
    <definedName name="dl___0" localSheetId="8">#REF!</definedName>
    <definedName name="dl___0" localSheetId="11">#REF!</definedName>
    <definedName name="dl___0" localSheetId="9">#REF!</definedName>
    <definedName name="dl___0" localSheetId="18">#REF!</definedName>
    <definedName name="dl___0" localSheetId="15">#REF!</definedName>
    <definedName name="dl___0" localSheetId="7">#REF!</definedName>
    <definedName name="dl___0">#REF!</definedName>
    <definedName name="dl___13" localSheetId="12">#REF!</definedName>
    <definedName name="dl___13" localSheetId="8">#REF!</definedName>
    <definedName name="dl___13" localSheetId="11">#REF!</definedName>
    <definedName name="dl___13" localSheetId="9">#REF!</definedName>
    <definedName name="dl___13" localSheetId="18">#REF!</definedName>
    <definedName name="dl___13" localSheetId="15">#REF!</definedName>
    <definedName name="dl___13" localSheetId="7">#REF!</definedName>
    <definedName name="dl___13">#REF!</definedName>
    <definedName name="dma" localSheetId="12">#REF!</definedName>
    <definedName name="dma" localSheetId="8">#REF!</definedName>
    <definedName name="dma" localSheetId="11">#REF!</definedName>
    <definedName name="dma" localSheetId="9">#REF!</definedName>
    <definedName name="dma" localSheetId="18">#REF!</definedName>
    <definedName name="dma" localSheetId="15">#REF!</definedName>
    <definedName name="dma" localSheetId="7">#REF!</definedName>
    <definedName name="dma">#REF!</definedName>
    <definedName name="dn" localSheetId="12" hidden="1">{#N/A,#N/A,FALSE,"COVER1.XLS ";#N/A,#N/A,FALSE,"RACT1.XLS";#N/A,#N/A,FALSE,"RACT2.XLS";#N/A,#N/A,FALSE,"ECCMP";#N/A,#N/A,FALSE,"WELDER.XLS"}</definedName>
    <definedName name="dn" localSheetId="6" hidden="1">{#N/A,#N/A,FALSE,"COVER1.XLS ";#N/A,#N/A,FALSE,"RACT1.XLS";#N/A,#N/A,FALSE,"RACT2.XLS";#N/A,#N/A,FALSE,"ECCMP";#N/A,#N/A,FALSE,"WELDER.XLS"}</definedName>
    <definedName name="dn" localSheetId="5" hidden="1">{#N/A,#N/A,FALSE,"COVER1.XLS ";#N/A,#N/A,FALSE,"RACT1.XLS";#N/A,#N/A,FALSE,"RACT2.XLS";#N/A,#N/A,FALSE,"ECCMP";#N/A,#N/A,FALSE,"WELDER.XLS"}</definedName>
    <definedName name="dn" localSheetId="8" hidden="1">{#N/A,#N/A,FALSE,"COVER1.XLS ";#N/A,#N/A,FALSE,"RACT1.XLS";#N/A,#N/A,FALSE,"RACT2.XLS";#N/A,#N/A,FALSE,"ECCMP";#N/A,#N/A,FALSE,"WELDER.XLS"}</definedName>
    <definedName name="dn" localSheetId="11" hidden="1">{#N/A,#N/A,FALSE,"COVER1.XLS ";#N/A,#N/A,FALSE,"RACT1.XLS";#N/A,#N/A,FALSE,"RACT2.XLS";#N/A,#N/A,FALSE,"ECCMP";#N/A,#N/A,FALSE,"WELDER.XLS"}</definedName>
    <definedName name="dn" localSheetId="9" hidden="1">{#N/A,#N/A,FALSE,"COVER1.XLS ";#N/A,#N/A,FALSE,"RACT1.XLS";#N/A,#N/A,FALSE,"RACT2.XLS";#N/A,#N/A,FALSE,"ECCMP";#N/A,#N/A,FALSE,"WELDER.XLS"}</definedName>
    <definedName name="dn" localSheetId="13" hidden="1">{#N/A,#N/A,FALSE,"COVER1.XLS ";#N/A,#N/A,FALSE,"RACT1.XLS";#N/A,#N/A,FALSE,"RACT2.XLS";#N/A,#N/A,FALSE,"ECCMP";#N/A,#N/A,FALSE,"WELDER.XLS"}</definedName>
    <definedName name="dn" localSheetId="18" hidden="1">{#N/A,#N/A,FALSE,"COVER1.XLS ";#N/A,#N/A,FALSE,"RACT1.XLS";#N/A,#N/A,FALSE,"RACT2.XLS";#N/A,#N/A,FALSE,"ECCMP";#N/A,#N/A,FALSE,"WELDER.XLS"}</definedName>
    <definedName name="dn" localSheetId="15" hidden="1">{#N/A,#N/A,FALSE,"COVER1.XLS ";#N/A,#N/A,FALSE,"RACT1.XLS";#N/A,#N/A,FALSE,"RACT2.XLS";#N/A,#N/A,FALSE,"ECCMP";#N/A,#N/A,FALSE,"WELDER.XLS"}</definedName>
    <definedName name="dn" localSheetId="7" hidden="1">{#N/A,#N/A,FALSE,"COVER1.XLS ";#N/A,#N/A,FALSE,"RACT1.XLS";#N/A,#N/A,FALSE,"RACT2.XLS";#N/A,#N/A,FALSE,"ECCMP";#N/A,#N/A,FALSE,"WELDER.XLS"}</definedName>
    <definedName name="dn" hidden="1">{#N/A,#N/A,FALSE,"COVER1.XLS ";#N/A,#N/A,FALSE,"RACT1.XLS";#N/A,#N/A,FALSE,"RACT2.XLS";#N/A,#N/A,FALSE,"ECCMP";#N/A,#N/A,FALSE,"WELDER.XLS"}</definedName>
    <definedName name="Do" localSheetId="12">#REF!</definedName>
    <definedName name="Do" localSheetId="6">#REF!</definedName>
    <definedName name="Do" localSheetId="5">#REF!</definedName>
    <definedName name="Do" localSheetId="8">#REF!</definedName>
    <definedName name="Do" localSheetId="11">#REF!</definedName>
    <definedName name="Do" localSheetId="9">#REF!</definedName>
    <definedName name="Do" localSheetId="18">#REF!</definedName>
    <definedName name="Do" localSheetId="15">#REF!</definedName>
    <definedName name="Do" localSheetId="7">#REF!</definedName>
    <definedName name="Do">#REF!</definedName>
    <definedName name="docu" localSheetId="12">#REF!</definedName>
    <definedName name="docu" localSheetId="6">#REF!</definedName>
    <definedName name="docu" localSheetId="5">#REF!</definedName>
    <definedName name="docu" localSheetId="8">#REF!</definedName>
    <definedName name="docu" localSheetId="11">#REF!</definedName>
    <definedName name="docu" localSheetId="9">#REF!</definedName>
    <definedName name="docu" localSheetId="18">#REF!</definedName>
    <definedName name="docu" localSheetId="15">#REF!</definedName>
    <definedName name="docu" localSheetId="7">#REF!</definedName>
    <definedName name="docu">#REF!</definedName>
    <definedName name="DOOR" localSheetId="12">#REF!</definedName>
    <definedName name="DOOR" localSheetId="6">#REF!</definedName>
    <definedName name="DOOR" localSheetId="5">#REF!</definedName>
    <definedName name="DOOR" localSheetId="8">#REF!</definedName>
    <definedName name="DOOR" localSheetId="11">#REF!</definedName>
    <definedName name="DOOR" localSheetId="9">#REF!</definedName>
    <definedName name="DOOR" localSheetId="18">#REF!</definedName>
    <definedName name="DOOR" localSheetId="15">#REF!</definedName>
    <definedName name="DOOR" localSheetId="7">#REF!</definedName>
    <definedName name="DOOR">#REF!</definedName>
    <definedName name="Double_Clip" localSheetId="12">#REF!</definedName>
    <definedName name="Double_Clip" localSheetId="8">#REF!</definedName>
    <definedName name="Double_Clip" localSheetId="11">#REF!</definedName>
    <definedName name="Double_Clip" localSheetId="9">#REF!</definedName>
    <definedName name="Double_Clip" localSheetId="18">#REF!</definedName>
    <definedName name="Double_Clip" localSheetId="15">#REF!</definedName>
    <definedName name="Double_Clip" localSheetId="7">#REF!</definedName>
    <definedName name="Double_Clip">#REF!</definedName>
    <definedName name="DOW_CORNING_789_SILICONE_SEALANT" localSheetId="12">#REF!</definedName>
    <definedName name="DOW_CORNING_789_SILICONE_SEALANT" localSheetId="8">#REF!</definedName>
    <definedName name="DOW_CORNING_789_SILICONE_SEALANT" localSheetId="11">#REF!</definedName>
    <definedName name="DOW_CORNING_789_SILICONE_SEALANT" localSheetId="9">#REF!</definedName>
    <definedName name="DOW_CORNING_789_SILICONE_SEALANT" localSheetId="18">#REF!</definedName>
    <definedName name="DOW_CORNING_789_SILICONE_SEALANT" localSheetId="15">#REF!</definedName>
    <definedName name="DOW_CORNING_789_SILICONE_SEALANT" localSheetId="7">#REF!</definedName>
    <definedName name="DOW_CORNING_789_SILICONE_SEALANT">#REF!</definedName>
    <definedName name="DP" localSheetId="12">#REF!</definedName>
    <definedName name="DP" localSheetId="8">#REF!</definedName>
    <definedName name="DP" localSheetId="11">#REF!</definedName>
    <definedName name="DP" localSheetId="9">#REF!</definedName>
    <definedName name="DP" localSheetId="18">#REF!</definedName>
    <definedName name="DP" localSheetId="15">#REF!</definedName>
    <definedName name="DP" localSheetId="7">#REF!</definedName>
    <definedName name="DP">#REF!</definedName>
    <definedName name="dq" localSheetId="12">#REF!</definedName>
    <definedName name="dq" localSheetId="0">#REF!</definedName>
    <definedName name="dq" localSheetId="1">#REF!</definedName>
    <definedName name="dq" localSheetId="8">#REF!</definedName>
    <definedName name="dq" localSheetId="11">#REF!</definedName>
    <definedName name="dq" localSheetId="9">#REF!</definedName>
    <definedName name="dq" localSheetId="18">#REF!</definedName>
    <definedName name="dq" localSheetId="15">#REF!</definedName>
    <definedName name="dq" localSheetId="7">#REF!</definedName>
    <definedName name="dq">#REF!</definedName>
    <definedName name="dqadqwa" localSheetId="12">#REF!</definedName>
    <definedName name="dqadqwa" localSheetId="8">#REF!</definedName>
    <definedName name="dqadqwa" localSheetId="11">#REF!</definedName>
    <definedName name="dqadqwa" localSheetId="9">#REF!</definedName>
    <definedName name="dqadqwa" localSheetId="18">#REF!</definedName>
    <definedName name="dqadqwa" localSheetId="15">#REF!</definedName>
    <definedName name="dqadqwa" localSheetId="7">#REF!</definedName>
    <definedName name="dqadqwa">#REF!</definedName>
    <definedName name="dr" localSheetId="12" hidden="1">#REF!</definedName>
    <definedName name="dr" localSheetId="8" hidden="1">#REF!</definedName>
    <definedName name="dr" localSheetId="11" hidden="1">#REF!</definedName>
    <definedName name="dr" localSheetId="9" hidden="1">#REF!</definedName>
    <definedName name="dr" localSheetId="18" hidden="1">#REF!</definedName>
    <definedName name="dr" localSheetId="15" hidden="1">#REF!</definedName>
    <definedName name="dr" localSheetId="7" hidden="1">#REF!</definedName>
    <definedName name="dr" hidden="1">#REF!</definedName>
    <definedName name="DR.33" localSheetId="12">#REF!</definedName>
    <definedName name="DR.33" localSheetId="8">#REF!</definedName>
    <definedName name="DR.33" localSheetId="11">#REF!</definedName>
    <definedName name="DR.33" localSheetId="9">#REF!</definedName>
    <definedName name="DR.33" localSheetId="18">#REF!</definedName>
    <definedName name="DR.33" localSheetId="15">#REF!</definedName>
    <definedName name="DR.33" localSheetId="7">#REF!</definedName>
    <definedName name="DR.33">#REF!</definedName>
    <definedName name="DR.46" localSheetId="12">#REF!</definedName>
    <definedName name="DR.46" localSheetId="8">#REF!</definedName>
    <definedName name="DR.46" localSheetId="11">#REF!</definedName>
    <definedName name="DR.46" localSheetId="9">#REF!</definedName>
    <definedName name="DR.46" localSheetId="18">#REF!</definedName>
    <definedName name="DR.46" localSheetId="15">#REF!</definedName>
    <definedName name="DR.46" localSheetId="7">#REF!</definedName>
    <definedName name="DR.46">#REF!</definedName>
    <definedName name="DR.56" localSheetId="12">#REF!</definedName>
    <definedName name="DR.56" localSheetId="8">#REF!</definedName>
    <definedName name="DR.56" localSheetId="11">#REF!</definedName>
    <definedName name="DR.56" localSheetId="9">#REF!</definedName>
    <definedName name="DR.56" localSheetId="18">#REF!</definedName>
    <definedName name="DR.56" localSheetId="15">#REF!</definedName>
    <definedName name="DR.56" localSheetId="7">#REF!</definedName>
    <definedName name="DR.56">#REF!</definedName>
    <definedName name="ds" localSheetId="12" hidden="1">{#N/A,#N/A,FALSE,"str_title";#N/A,#N/A,FALSE,"SUM";#N/A,#N/A,FALSE,"Scope";#N/A,#N/A,FALSE,"PIE-Jn";#N/A,#N/A,FALSE,"PIE-Jn_Hz";#N/A,#N/A,FALSE,"Liq_Plan";#N/A,#N/A,FALSE,"S_Curve";#N/A,#N/A,FALSE,"Liq_Prof";#N/A,#N/A,FALSE,"Man_Pwr";#N/A,#N/A,FALSE,"Man_Prof"}</definedName>
    <definedName name="ds" localSheetId="6" hidden="1">{#N/A,#N/A,FALSE,"str_title";#N/A,#N/A,FALSE,"SUM";#N/A,#N/A,FALSE,"Scope";#N/A,#N/A,FALSE,"PIE-Jn";#N/A,#N/A,FALSE,"PIE-Jn_Hz";#N/A,#N/A,FALSE,"Liq_Plan";#N/A,#N/A,FALSE,"S_Curve";#N/A,#N/A,FALSE,"Liq_Prof";#N/A,#N/A,FALSE,"Man_Pwr";#N/A,#N/A,FALSE,"Man_Prof"}</definedName>
    <definedName name="ds" localSheetId="5" hidden="1">{#N/A,#N/A,FALSE,"str_title";#N/A,#N/A,FALSE,"SUM";#N/A,#N/A,FALSE,"Scope";#N/A,#N/A,FALSE,"PIE-Jn";#N/A,#N/A,FALSE,"PIE-Jn_Hz";#N/A,#N/A,FALSE,"Liq_Plan";#N/A,#N/A,FALSE,"S_Curve";#N/A,#N/A,FALSE,"Liq_Prof";#N/A,#N/A,FALSE,"Man_Pwr";#N/A,#N/A,FALSE,"Man_Prof"}</definedName>
    <definedName name="ds" localSheetId="8" hidden="1">{#N/A,#N/A,FALSE,"str_title";#N/A,#N/A,FALSE,"SUM";#N/A,#N/A,FALSE,"Scope";#N/A,#N/A,FALSE,"PIE-Jn";#N/A,#N/A,FALSE,"PIE-Jn_Hz";#N/A,#N/A,FALSE,"Liq_Plan";#N/A,#N/A,FALSE,"S_Curve";#N/A,#N/A,FALSE,"Liq_Prof";#N/A,#N/A,FALSE,"Man_Pwr";#N/A,#N/A,FALSE,"Man_Prof"}</definedName>
    <definedName name="ds" localSheetId="11" hidden="1">{#N/A,#N/A,FALSE,"str_title";#N/A,#N/A,FALSE,"SUM";#N/A,#N/A,FALSE,"Scope";#N/A,#N/A,FALSE,"PIE-Jn";#N/A,#N/A,FALSE,"PIE-Jn_Hz";#N/A,#N/A,FALSE,"Liq_Plan";#N/A,#N/A,FALSE,"S_Curve";#N/A,#N/A,FALSE,"Liq_Prof";#N/A,#N/A,FALSE,"Man_Pwr";#N/A,#N/A,FALSE,"Man_Prof"}</definedName>
    <definedName name="ds" localSheetId="9" hidden="1">{#N/A,#N/A,FALSE,"str_title";#N/A,#N/A,FALSE,"SUM";#N/A,#N/A,FALSE,"Scope";#N/A,#N/A,FALSE,"PIE-Jn";#N/A,#N/A,FALSE,"PIE-Jn_Hz";#N/A,#N/A,FALSE,"Liq_Plan";#N/A,#N/A,FALSE,"S_Curve";#N/A,#N/A,FALSE,"Liq_Prof";#N/A,#N/A,FALSE,"Man_Pwr";#N/A,#N/A,FALSE,"Man_Prof"}</definedName>
    <definedName name="ds" localSheetId="13" hidden="1">{#N/A,#N/A,FALSE,"str_title";#N/A,#N/A,FALSE,"SUM";#N/A,#N/A,FALSE,"Scope";#N/A,#N/A,FALSE,"PIE-Jn";#N/A,#N/A,FALSE,"PIE-Jn_Hz";#N/A,#N/A,FALSE,"Liq_Plan";#N/A,#N/A,FALSE,"S_Curve";#N/A,#N/A,FALSE,"Liq_Prof";#N/A,#N/A,FALSE,"Man_Pwr";#N/A,#N/A,FALSE,"Man_Prof"}</definedName>
    <definedName name="ds" localSheetId="18" hidden="1">{#N/A,#N/A,FALSE,"str_title";#N/A,#N/A,FALSE,"SUM";#N/A,#N/A,FALSE,"Scope";#N/A,#N/A,FALSE,"PIE-Jn";#N/A,#N/A,FALSE,"PIE-Jn_Hz";#N/A,#N/A,FALSE,"Liq_Plan";#N/A,#N/A,FALSE,"S_Curve";#N/A,#N/A,FALSE,"Liq_Prof";#N/A,#N/A,FALSE,"Man_Pwr";#N/A,#N/A,FALSE,"Man_Prof"}</definedName>
    <definedName name="ds" localSheetId="15" hidden="1">{#N/A,#N/A,FALSE,"str_title";#N/A,#N/A,FALSE,"SUM";#N/A,#N/A,FALSE,"Scope";#N/A,#N/A,FALSE,"PIE-Jn";#N/A,#N/A,FALSE,"PIE-Jn_Hz";#N/A,#N/A,FALSE,"Liq_Plan";#N/A,#N/A,FALSE,"S_Curve";#N/A,#N/A,FALSE,"Liq_Prof";#N/A,#N/A,FALSE,"Man_Pwr";#N/A,#N/A,FALSE,"Man_Prof"}</definedName>
    <definedName name="ds" localSheetId="7" hidden="1">{#N/A,#N/A,FALSE,"str_title";#N/A,#N/A,FALSE,"SUM";#N/A,#N/A,FALSE,"Scope";#N/A,#N/A,FALSE,"PIE-Jn";#N/A,#N/A,FALSE,"PIE-Jn_Hz";#N/A,#N/A,FALSE,"Liq_Plan";#N/A,#N/A,FALSE,"S_Curve";#N/A,#N/A,FALSE,"Liq_Prof";#N/A,#N/A,FALSE,"Man_Pwr";#N/A,#N/A,FALSE,"Man_Prof"}</definedName>
    <definedName name="ds" hidden="1">{#N/A,#N/A,FALSE,"str_title";#N/A,#N/A,FALSE,"SUM";#N/A,#N/A,FALSE,"Scope";#N/A,#N/A,FALSE,"PIE-Jn";#N/A,#N/A,FALSE,"PIE-Jn_Hz";#N/A,#N/A,FALSE,"Liq_Plan";#N/A,#N/A,FALSE,"S_Curve";#N/A,#N/A,FALSE,"Liq_Prof";#N/A,#N/A,FALSE,"Man_Pwr";#N/A,#N/A,FALSE,"Man_Prof"}</definedName>
    <definedName name="Ds___0" localSheetId="12">#REF!</definedName>
    <definedName name="Ds___0" localSheetId="6">#REF!</definedName>
    <definedName name="Ds___0" localSheetId="5">#REF!</definedName>
    <definedName name="Ds___0" localSheetId="8">#REF!</definedName>
    <definedName name="Ds___0" localSheetId="11">#REF!</definedName>
    <definedName name="Ds___0" localSheetId="9">#REF!</definedName>
    <definedName name="Ds___0" localSheetId="18">#REF!</definedName>
    <definedName name="Ds___0" localSheetId="15">#REF!</definedName>
    <definedName name="Ds___0" localSheetId="7">#REF!</definedName>
    <definedName name="Ds___0">#REF!</definedName>
    <definedName name="Ds___13" localSheetId="12">#REF!</definedName>
    <definedName name="Ds___13" localSheetId="6">#REF!</definedName>
    <definedName name="Ds___13" localSheetId="5">#REF!</definedName>
    <definedName name="Ds___13" localSheetId="8">#REF!</definedName>
    <definedName name="Ds___13" localSheetId="11">#REF!</definedName>
    <definedName name="Ds___13" localSheetId="9">#REF!</definedName>
    <definedName name="Ds___13" localSheetId="18">#REF!</definedName>
    <definedName name="Ds___13" localSheetId="15">#REF!</definedName>
    <definedName name="Ds___13" localSheetId="7">#REF!</definedName>
    <definedName name="Ds___13">#REF!</definedName>
    <definedName name="dsadaD" localSheetId="12" hidden="1">{#N/A,#N/A,FALSE,"COVER1.XLS ";#N/A,#N/A,FALSE,"RACT1.XLS";#N/A,#N/A,FALSE,"RACT2.XLS";#N/A,#N/A,FALSE,"ECCMP";#N/A,#N/A,FALSE,"WELDER.XLS"}</definedName>
    <definedName name="dsadaD" localSheetId="6" hidden="1">{#N/A,#N/A,FALSE,"COVER1.XLS ";#N/A,#N/A,FALSE,"RACT1.XLS";#N/A,#N/A,FALSE,"RACT2.XLS";#N/A,#N/A,FALSE,"ECCMP";#N/A,#N/A,FALSE,"WELDER.XLS"}</definedName>
    <definedName name="dsadaD" localSheetId="5" hidden="1">{#N/A,#N/A,FALSE,"COVER1.XLS ";#N/A,#N/A,FALSE,"RACT1.XLS";#N/A,#N/A,FALSE,"RACT2.XLS";#N/A,#N/A,FALSE,"ECCMP";#N/A,#N/A,FALSE,"WELDER.XLS"}</definedName>
    <definedName name="dsadaD" localSheetId="8" hidden="1">{#N/A,#N/A,FALSE,"COVER1.XLS ";#N/A,#N/A,FALSE,"RACT1.XLS";#N/A,#N/A,FALSE,"RACT2.XLS";#N/A,#N/A,FALSE,"ECCMP";#N/A,#N/A,FALSE,"WELDER.XLS"}</definedName>
    <definedName name="dsadaD" localSheetId="11" hidden="1">{#N/A,#N/A,FALSE,"COVER1.XLS ";#N/A,#N/A,FALSE,"RACT1.XLS";#N/A,#N/A,FALSE,"RACT2.XLS";#N/A,#N/A,FALSE,"ECCMP";#N/A,#N/A,FALSE,"WELDER.XLS"}</definedName>
    <definedName name="dsadaD" localSheetId="9" hidden="1">{#N/A,#N/A,FALSE,"COVER1.XLS ";#N/A,#N/A,FALSE,"RACT1.XLS";#N/A,#N/A,FALSE,"RACT2.XLS";#N/A,#N/A,FALSE,"ECCMP";#N/A,#N/A,FALSE,"WELDER.XLS"}</definedName>
    <definedName name="dsadaD" localSheetId="13" hidden="1">{#N/A,#N/A,FALSE,"COVER1.XLS ";#N/A,#N/A,FALSE,"RACT1.XLS";#N/A,#N/A,FALSE,"RACT2.XLS";#N/A,#N/A,FALSE,"ECCMP";#N/A,#N/A,FALSE,"WELDER.XLS"}</definedName>
    <definedName name="dsadaD" localSheetId="18" hidden="1">{#N/A,#N/A,FALSE,"COVER1.XLS ";#N/A,#N/A,FALSE,"RACT1.XLS";#N/A,#N/A,FALSE,"RACT2.XLS";#N/A,#N/A,FALSE,"ECCMP";#N/A,#N/A,FALSE,"WELDER.XLS"}</definedName>
    <definedName name="dsadaD" localSheetId="15" hidden="1">{#N/A,#N/A,FALSE,"COVER1.XLS ";#N/A,#N/A,FALSE,"RACT1.XLS";#N/A,#N/A,FALSE,"RACT2.XLS";#N/A,#N/A,FALSE,"ECCMP";#N/A,#N/A,FALSE,"WELDER.XLS"}</definedName>
    <definedName name="dsadaD" localSheetId="7" hidden="1">{#N/A,#N/A,FALSE,"COVER1.XLS ";#N/A,#N/A,FALSE,"RACT1.XLS";#N/A,#N/A,FALSE,"RACT2.XLS";#N/A,#N/A,FALSE,"ECCMP";#N/A,#N/A,FALSE,"WELDER.XLS"}</definedName>
    <definedName name="dsadaD" hidden="1">{#N/A,#N/A,FALSE,"COVER1.XLS ";#N/A,#N/A,FALSE,"RACT1.XLS";#N/A,#N/A,FALSE,"RACT2.XLS";#N/A,#N/A,FALSE,"ECCMP";#N/A,#N/A,FALSE,"WELDER.XLS"}</definedName>
    <definedName name="dsafdgdgsg" localSheetId="12">#REF!</definedName>
    <definedName name="dsafdgdgsg" localSheetId="0">#REF!</definedName>
    <definedName name="dsafdgdgsg" localSheetId="1">#REF!</definedName>
    <definedName name="dsafdgdgsg" localSheetId="6">#REF!</definedName>
    <definedName name="dsafdgdgsg" localSheetId="5">#REF!</definedName>
    <definedName name="dsafdgdgsg" localSheetId="8">#REF!</definedName>
    <definedName name="dsafdgdgsg" localSheetId="11">#REF!</definedName>
    <definedName name="dsafdgdgsg" localSheetId="9">#REF!</definedName>
    <definedName name="dsafdgdgsg" localSheetId="18">#REF!</definedName>
    <definedName name="dsafdgdgsg" localSheetId="15">#REF!</definedName>
    <definedName name="dsafdgdgsg" localSheetId="7">#REF!</definedName>
    <definedName name="dsafdgdgsg">#REF!</definedName>
    <definedName name="dsd" localSheetId="12">#REF!</definedName>
    <definedName name="dsd" localSheetId="6">#REF!</definedName>
    <definedName name="dsd" localSheetId="5">#REF!</definedName>
    <definedName name="dsd" localSheetId="8">#REF!</definedName>
    <definedName name="dsd" localSheetId="11">#REF!</definedName>
    <definedName name="dsd" localSheetId="9">#REF!</definedName>
    <definedName name="dsd" localSheetId="18">#REF!</definedName>
    <definedName name="dsd" localSheetId="15">#REF!</definedName>
    <definedName name="dsd" localSheetId="7">#REF!</definedName>
    <definedName name="dsd">#REF!</definedName>
    <definedName name="dsdud" localSheetId="12">#REF!</definedName>
    <definedName name="dsdud" localSheetId="8">#REF!</definedName>
    <definedName name="dsdud" localSheetId="11">#REF!</definedName>
    <definedName name="dsdud" localSheetId="9">#REF!</definedName>
    <definedName name="dsdud" localSheetId="18">#REF!</definedName>
    <definedName name="dsdud" localSheetId="15">#REF!</definedName>
    <definedName name="dsdud" localSheetId="7">#REF!</definedName>
    <definedName name="dsdud">#REF!</definedName>
    <definedName name="dsgfredt" localSheetId="12">#REF!</definedName>
    <definedName name="dsgfredt" localSheetId="8">#REF!</definedName>
    <definedName name="dsgfredt" localSheetId="11">#REF!</definedName>
    <definedName name="dsgfredt" localSheetId="9">#REF!</definedName>
    <definedName name="dsgfredt" localSheetId="18">#REF!</definedName>
    <definedName name="dsgfredt" localSheetId="15">#REF!</definedName>
    <definedName name="dsgfredt" localSheetId="7">#REF!</definedName>
    <definedName name="dsgfredt">#REF!</definedName>
    <definedName name="dvat" localSheetId="12">#REF!</definedName>
    <definedName name="dvat" localSheetId="8">#REF!</definedName>
    <definedName name="dvat" localSheetId="11">#REF!</definedName>
    <definedName name="dvat" localSheetId="9">#REF!</definedName>
    <definedName name="dvat" localSheetId="18">#REF!</definedName>
    <definedName name="dvat" localSheetId="15">#REF!</definedName>
    <definedName name="dvat" localSheetId="7">#REF!</definedName>
    <definedName name="dvat">#REF!</definedName>
    <definedName name="E" localSheetId="12">#REF!</definedName>
    <definedName name="E" localSheetId="8">#REF!</definedName>
    <definedName name="E" localSheetId="11">#REF!</definedName>
    <definedName name="E" localSheetId="9">#REF!</definedName>
    <definedName name="E" localSheetId="18">#REF!</definedName>
    <definedName name="E" localSheetId="15">#REF!</definedName>
    <definedName name="E" localSheetId="7">#REF!</definedName>
    <definedName name="E">#REF!</definedName>
    <definedName name="EastAndWest" localSheetId="12">#REF!,#REF!</definedName>
    <definedName name="EastAndWest" localSheetId="6">#REF!,#REF!</definedName>
    <definedName name="EastAndWest" localSheetId="5">#REF!,#REF!</definedName>
    <definedName name="EastAndWest" localSheetId="8">#REF!,#REF!</definedName>
    <definedName name="EastAndWest" localSheetId="11">#REF!,#REF!</definedName>
    <definedName name="EastAndWest" localSheetId="9">#REF!,#REF!</definedName>
    <definedName name="EastAndWest" localSheetId="18">#REF!,#REF!</definedName>
    <definedName name="EastAndWest" localSheetId="15">#REF!,#REF!</definedName>
    <definedName name="EastAndWest" localSheetId="7">#REF!,#REF!</definedName>
    <definedName name="EastAndWest">#REF!,#REF!</definedName>
    <definedName name="EDSSSSSSSSSSSSSS" localSheetId="12">#REF!</definedName>
    <definedName name="EDSSSSSSSSSSSSSS" localSheetId="6">#REF!</definedName>
    <definedName name="EDSSSSSSSSSSSSSS" localSheetId="5">#REF!</definedName>
    <definedName name="EDSSSSSSSSSSSSSS" localSheetId="8">#REF!</definedName>
    <definedName name="EDSSSSSSSSSSSSSS" localSheetId="11">#REF!</definedName>
    <definedName name="EDSSSSSSSSSSSSSS" localSheetId="9">#REF!</definedName>
    <definedName name="EDSSSSSSSSSSSSSS" localSheetId="18">#REF!</definedName>
    <definedName name="EDSSSSSSSSSSSSSS" localSheetId="15">#REF!</definedName>
    <definedName name="EDSSSSSSSSSSSSSS" localSheetId="7">#REF!</definedName>
    <definedName name="EDSSSSSSSSSSSSSS">#REF!</definedName>
    <definedName name="ee" localSheetId="12" hidden="1">{"form-D1",#N/A,FALSE,"FORM-D1";"form-D1_amt",#N/A,FALSE,"FORM-D1"}</definedName>
    <definedName name="ee" localSheetId="6" hidden="1">{"form-D1",#N/A,FALSE,"FORM-D1";"form-D1_amt",#N/A,FALSE,"FORM-D1"}</definedName>
    <definedName name="ee" localSheetId="5" hidden="1">{"form-D1",#N/A,FALSE,"FORM-D1";"form-D1_amt",#N/A,FALSE,"FORM-D1"}</definedName>
    <definedName name="ee" localSheetId="8" hidden="1">{"form-D1",#N/A,FALSE,"FORM-D1";"form-D1_amt",#N/A,FALSE,"FORM-D1"}</definedName>
    <definedName name="ee" localSheetId="11" hidden="1">{"form-D1",#N/A,FALSE,"FORM-D1";"form-D1_amt",#N/A,FALSE,"FORM-D1"}</definedName>
    <definedName name="ee" localSheetId="9" hidden="1">{"form-D1",#N/A,FALSE,"FORM-D1";"form-D1_amt",#N/A,FALSE,"FORM-D1"}</definedName>
    <definedName name="ee" localSheetId="13" hidden="1">{"form-D1",#N/A,FALSE,"FORM-D1";"form-D1_amt",#N/A,FALSE,"FORM-D1"}</definedName>
    <definedName name="ee" localSheetId="18" hidden="1">{"form-D1",#N/A,FALSE,"FORM-D1";"form-D1_amt",#N/A,FALSE,"FORM-D1"}</definedName>
    <definedName name="ee" localSheetId="15" hidden="1">{"form-D1",#N/A,FALSE,"FORM-D1";"form-D1_amt",#N/A,FALSE,"FORM-D1"}</definedName>
    <definedName name="ee" localSheetId="7" hidden="1">{"form-D1",#N/A,FALSE,"FORM-D1";"form-D1_amt",#N/A,FALSE,"FORM-D1"}</definedName>
    <definedName name="ee" hidden="1">{"form-D1",#N/A,FALSE,"FORM-D1";"form-D1_amt",#N/A,FALSE,"FORM-D1"}</definedName>
    <definedName name="eeeeeeeeeee" localSheetId="12">#REF!</definedName>
    <definedName name="eeeeeeeeeee" localSheetId="6">#REF!</definedName>
    <definedName name="eeeeeeeeeee" localSheetId="5">#REF!</definedName>
    <definedName name="eeeeeeeeeee" localSheetId="8">#REF!</definedName>
    <definedName name="eeeeeeeeeee" localSheetId="11">#REF!</definedName>
    <definedName name="eeeeeeeeeee" localSheetId="9">#REF!</definedName>
    <definedName name="eeeeeeeeeee" localSheetId="18">#REF!</definedName>
    <definedName name="eeeeeeeeeee" localSheetId="15">#REF!</definedName>
    <definedName name="eeeeeeeeeee" localSheetId="7">#REF!</definedName>
    <definedName name="eeeeeeeeeee">#REF!</definedName>
    <definedName name="egt301d" localSheetId="12">#REF!</definedName>
    <definedName name="egt301d" localSheetId="6">#REF!</definedName>
    <definedName name="egt301d" localSheetId="5">#REF!</definedName>
    <definedName name="egt301d" localSheetId="8">#REF!</definedName>
    <definedName name="egt301d" localSheetId="11">#REF!</definedName>
    <definedName name="egt301d" localSheetId="9">#REF!</definedName>
    <definedName name="egt301d" localSheetId="18">#REF!</definedName>
    <definedName name="egt301d" localSheetId="15">#REF!</definedName>
    <definedName name="egt301d" localSheetId="7">#REF!</definedName>
    <definedName name="egt301d">#REF!</definedName>
    <definedName name="egt330d" localSheetId="12">#REF!</definedName>
    <definedName name="egt330d" localSheetId="6">#REF!</definedName>
    <definedName name="egt330d" localSheetId="5">#REF!</definedName>
    <definedName name="egt330d" localSheetId="8">#REF!</definedName>
    <definedName name="egt330d" localSheetId="11">#REF!</definedName>
    <definedName name="egt330d" localSheetId="9">#REF!</definedName>
    <definedName name="egt330d" localSheetId="18">#REF!</definedName>
    <definedName name="egt330d" localSheetId="15">#REF!</definedName>
    <definedName name="egt330d" localSheetId="7">#REF!</definedName>
    <definedName name="egt330d">#REF!</definedName>
    <definedName name="ele">0.015</definedName>
    <definedName name="elec" localSheetId="12">#REF!</definedName>
    <definedName name="elec" localSheetId="0">#REF!</definedName>
    <definedName name="elec" localSheetId="1">#REF!</definedName>
    <definedName name="elec" localSheetId="6">#REF!</definedName>
    <definedName name="elec" localSheetId="5">#REF!</definedName>
    <definedName name="elec" localSheetId="8">#REF!</definedName>
    <definedName name="elec" localSheetId="11">#REF!</definedName>
    <definedName name="elec" localSheetId="9">#REF!</definedName>
    <definedName name="elec" localSheetId="18">#REF!</definedName>
    <definedName name="elec" localSheetId="15">#REF!</definedName>
    <definedName name="elec" localSheetId="7">#REF!</definedName>
    <definedName name="elec">#REF!</definedName>
    <definedName name="elect" localSheetId="12">#REF!</definedName>
    <definedName name="elect" localSheetId="0">#REF!</definedName>
    <definedName name="elect" localSheetId="1">#REF!</definedName>
    <definedName name="elect" localSheetId="8">#REF!</definedName>
    <definedName name="elect" localSheetId="11">#REF!</definedName>
    <definedName name="elect" localSheetId="9">#REF!</definedName>
    <definedName name="elect" localSheetId="18">#REF!</definedName>
    <definedName name="elect" localSheetId="15">#REF!</definedName>
    <definedName name="elect" localSheetId="7">#REF!</definedName>
    <definedName name="elect">#REF!</definedName>
    <definedName name="elect1" localSheetId="12">#REF!</definedName>
    <definedName name="elect1" localSheetId="0">#REF!</definedName>
    <definedName name="elect1" localSheetId="1">#REF!</definedName>
    <definedName name="elect1" localSheetId="8">#REF!</definedName>
    <definedName name="elect1" localSheetId="11">#REF!</definedName>
    <definedName name="elect1" localSheetId="9">#REF!</definedName>
    <definedName name="elect1" localSheetId="18">#REF!</definedName>
    <definedName name="elect1" localSheetId="15">#REF!</definedName>
    <definedName name="elect1" localSheetId="7">#REF!</definedName>
    <definedName name="elect1">#REF!</definedName>
    <definedName name="ELECTRICAL" localSheetId="12" hidden="1">{#N/A,#N/A,FALSE,"mpph1";#N/A,#N/A,FALSE,"mpmseb";#N/A,#N/A,FALSE,"mpph2"}</definedName>
    <definedName name="ELECTRICAL" localSheetId="6" hidden="1">{#N/A,#N/A,FALSE,"mpph1";#N/A,#N/A,FALSE,"mpmseb";#N/A,#N/A,FALSE,"mpph2"}</definedName>
    <definedName name="ELECTRICAL" localSheetId="5" hidden="1">{#N/A,#N/A,FALSE,"mpph1";#N/A,#N/A,FALSE,"mpmseb";#N/A,#N/A,FALSE,"mpph2"}</definedName>
    <definedName name="ELECTRICAL" localSheetId="8" hidden="1">{#N/A,#N/A,FALSE,"mpph1";#N/A,#N/A,FALSE,"mpmseb";#N/A,#N/A,FALSE,"mpph2"}</definedName>
    <definedName name="ELECTRICAL" localSheetId="11" hidden="1">{#N/A,#N/A,FALSE,"mpph1";#N/A,#N/A,FALSE,"mpmseb";#N/A,#N/A,FALSE,"mpph2"}</definedName>
    <definedName name="ELECTRICAL" localSheetId="9" hidden="1">{#N/A,#N/A,FALSE,"mpph1";#N/A,#N/A,FALSE,"mpmseb";#N/A,#N/A,FALSE,"mpph2"}</definedName>
    <definedName name="ELECTRICAL" localSheetId="13" hidden="1">{#N/A,#N/A,FALSE,"mpph1";#N/A,#N/A,FALSE,"mpmseb";#N/A,#N/A,FALSE,"mpph2"}</definedName>
    <definedName name="ELECTRICAL" localSheetId="18" hidden="1">{#N/A,#N/A,FALSE,"mpph1";#N/A,#N/A,FALSE,"mpmseb";#N/A,#N/A,FALSE,"mpph2"}</definedName>
    <definedName name="ELECTRICAL" localSheetId="15" hidden="1">{#N/A,#N/A,FALSE,"mpph1";#N/A,#N/A,FALSE,"mpmseb";#N/A,#N/A,FALSE,"mpph2"}</definedName>
    <definedName name="ELECTRICAL" localSheetId="7" hidden="1">{#N/A,#N/A,FALSE,"mpph1";#N/A,#N/A,FALSE,"mpmseb";#N/A,#N/A,FALSE,"mpph2"}</definedName>
    <definedName name="ELECTRICAL" hidden="1">{#N/A,#N/A,FALSE,"mpph1";#N/A,#N/A,FALSE,"mpmseb";#N/A,#N/A,FALSE,"mpph2"}</definedName>
    <definedName name="electricpoles" localSheetId="12">#REF!</definedName>
    <definedName name="electricpoles" localSheetId="6">#REF!</definedName>
    <definedName name="electricpoles" localSheetId="5">#REF!</definedName>
    <definedName name="electricpoles" localSheetId="8">#REF!</definedName>
    <definedName name="electricpoles" localSheetId="11">#REF!</definedName>
    <definedName name="electricpoles" localSheetId="9">#REF!</definedName>
    <definedName name="electricpoles" localSheetId="18">#REF!</definedName>
    <definedName name="electricpoles" localSheetId="15">#REF!</definedName>
    <definedName name="electricpoles" localSheetId="7">#REF!</definedName>
    <definedName name="electricpoles">#REF!</definedName>
    <definedName name="Em" localSheetId="12">#REF!</definedName>
    <definedName name="Em" localSheetId="6">#REF!</definedName>
    <definedName name="Em" localSheetId="5">#REF!</definedName>
    <definedName name="Em" localSheetId="8">#REF!</definedName>
    <definedName name="Em" localSheetId="11">#REF!</definedName>
    <definedName name="Em" localSheetId="9">#REF!</definedName>
    <definedName name="Em" localSheetId="18">#REF!</definedName>
    <definedName name="Em" localSheetId="15">#REF!</definedName>
    <definedName name="Em" localSheetId="7">#REF!</definedName>
    <definedName name="Em">#REF!</definedName>
    <definedName name="Em___0" localSheetId="12">#REF!</definedName>
    <definedName name="Em___0" localSheetId="6">#REF!</definedName>
    <definedName name="Em___0" localSheetId="5">#REF!</definedName>
    <definedName name="Em___0" localSheetId="8">#REF!</definedName>
    <definedName name="Em___0" localSheetId="11">#REF!</definedName>
    <definedName name="Em___0" localSheetId="9">#REF!</definedName>
    <definedName name="Em___0" localSheetId="18">#REF!</definedName>
    <definedName name="Em___0" localSheetId="15">#REF!</definedName>
    <definedName name="Em___0" localSheetId="7">#REF!</definedName>
    <definedName name="Em___0">#REF!</definedName>
    <definedName name="Em___13" localSheetId="12">#REF!</definedName>
    <definedName name="Em___13" localSheetId="8">#REF!</definedName>
    <definedName name="Em___13" localSheetId="11">#REF!</definedName>
    <definedName name="Em___13" localSheetId="9">#REF!</definedName>
    <definedName name="Em___13" localSheetId="18">#REF!</definedName>
    <definedName name="Em___13" localSheetId="15">#REF!</definedName>
    <definedName name="Em___13" localSheetId="7">#REF!</definedName>
    <definedName name="Em___13">#REF!</definedName>
    <definedName name="EngAddress" localSheetId="12">#REF!</definedName>
    <definedName name="EngAddress" localSheetId="0">#REF!</definedName>
    <definedName name="EngAddress" localSheetId="1">#REF!</definedName>
    <definedName name="EngAddress" localSheetId="8">#REF!</definedName>
    <definedName name="EngAddress" localSheetId="11">#REF!</definedName>
    <definedName name="EngAddress" localSheetId="9">#REF!</definedName>
    <definedName name="EngAddress" localSheetId="18">#REF!</definedName>
    <definedName name="EngAddress" localSheetId="15">#REF!</definedName>
    <definedName name="EngAddress" localSheetId="7">#REF!</definedName>
    <definedName name="EngAddress">#REF!</definedName>
    <definedName name="EngCity" localSheetId="12">#REF!</definedName>
    <definedName name="EngCity" localSheetId="0">#REF!</definedName>
    <definedName name="EngCity" localSheetId="1">#REF!</definedName>
    <definedName name="EngCity" localSheetId="8">#REF!</definedName>
    <definedName name="EngCity" localSheetId="11">#REF!</definedName>
    <definedName name="EngCity" localSheetId="9">#REF!</definedName>
    <definedName name="EngCity" localSheetId="18">#REF!</definedName>
    <definedName name="EngCity" localSheetId="15">#REF!</definedName>
    <definedName name="EngCity" localSheetId="7">#REF!</definedName>
    <definedName name="EngCity">#REF!</definedName>
    <definedName name="EngName" localSheetId="12">#REF!</definedName>
    <definedName name="EngName" localSheetId="0">#REF!</definedName>
    <definedName name="EngName" localSheetId="1">#REF!</definedName>
    <definedName name="EngName" localSheetId="8">#REF!</definedName>
    <definedName name="EngName" localSheetId="11">#REF!</definedName>
    <definedName name="EngName" localSheetId="9">#REF!</definedName>
    <definedName name="EngName" localSheetId="18">#REF!</definedName>
    <definedName name="EngName" localSheetId="15">#REF!</definedName>
    <definedName name="EngName" localSheetId="7">#REF!</definedName>
    <definedName name="EngName">#REF!</definedName>
    <definedName name="EngPostal" localSheetId="12">#REF!</definedName>
    <definedName name="EngPostal" localSheetId="0">#REF!</definedName>
    <definedName name="EngPostal" localSheetId="1">#REF!</definedName>
    <definedName name="EngPostal" localSheetId="8">#REF!</definedName>
    <definedName name="EngPostal" localSheetId="11">#REF!</definedName>
    <definedName name="EngPostal" localSheetId="9">#REF!</definedName>
    <definedName name="EngPostal" localSheetId="18">#REF!</definedName>
    <definedName name="EngPostal" localSheetId="15">#REF!</definedName>
    <definedName name="EngPostal" localSheetId="7">#REF!</definedName>
    <definedName name="EngPostal">#REF!</definedName>
    <definedName name="EngPrio" localSheetId="12">#REF!</definedName>
    <definedName name="EngPrio" localSheetId="0">#REF!</definedName>
    <definedName name="EngPrio" localSheetId="1">#REF!</definedName>
    <definedName name="EngPrio" localSheetId="8">#REF!</definedName>
    <definedName name="EngPrio" localSheetId="11">#REF!</definedName>
    <definedName name="EngPrio" localSheetId="9">#REF!</definedName>
    <definedName name="EngPrio" localSheetId="18">#REF!</definedName>
    <definedName name="EngPrio" localSheetId="15">#REF!</definedName>
    <definedName name="EngPrio" localSheetId="7">#REF!</definedName>
    <definedName name="EngPrio">#REF!</definedName>
    <definedName name="EngPrio_Text" localSheetId="12">#REF!</definedName>
    <definedName name="EngPrio_Text" localSheetId="0">#REF!</definedName>
    <definedName name="EngPrio_Text" localSheetId="1">#REF!</definedName>
    <definedName name="EngPrio_Text" localSheetId="8">#REF!</definedName>
    <definedName name="EngPrio_Text" localSheetId="11">#REF!</definedName>
    <definedName name="EngPrio_Text" localSheetId="9">#REF!</definedName>
    <definedName name="EngPrio_Text" localSheetId="18">#REF!</definedName>
    <definedName name="EngPrio_Text" localSheetId="15">#REF!</definedName>
    <definedName name="EngPrio_Text" localSheetId="7">#REF!</definedName>
    <definedName name="EngPrio_Text">#REF!</definedName>
    <definedName name="EngState" localSheetId="12">#REF!</definedName>
    <definedName name="EngState" localSheetId="0">#REF!</definedName>
    <definedName name="EngState" localSheetId="1">#REF!</definedName>
    <definedName name="EngState" localSheetId="8">#REF!</definedName>
    <definedName name="EngState" localSheetId="11">#REF!</definedName>
    <definedName name="EngState" localSheetId="9">#REF!</definedName>
    <definedName name="EngState" localSheetId="18">#REF!</definedName>
    <definedName name="EngState" localSheetId="15">#REF!</definedName>
    <definedName name="EngState" localSheetId="7">#REF!</definedName>
    <definedName name="EngState">#REF!</definedName>
    <definedName name="ENTRANCES" localSheetId="12">#REF!</definedName>
    <definedName name="ENTRANCES" localSheetId="8">#REF!</definedName>
    <definedName name="ENTRANCES" localSheetId="11">#REF!</definedName>
    <definedName name="ENTRANCES" localSheetId="9">#REF!</definedName>
    <definedName name="ENTRANCES" localSheetId="18">#REF!</definedName>
    <definedName name="ENTRANCES" localSheetId="15">#REF!</definedName>
    <definedName name="ENTRANCES" localSheetId="7">#REF!</definedName>
    <definedName name="ENTRANCES">#REF!</definedName>
    <definedName name="environmentalcost" localSheetId="12">#REF!</definedName>
    <definedName name="environmentalcost" localSheetId="8">#REF!</definedName>
    <definedName name="environmentalcost" localSheetId="11">#REF!</definedName>
    <definedName name="environmentalcost" localSheetId="9">#REF!</definedName>
    <definedName name="environmentalcost" localSheetId="18">#REF!</definedName>
    <definedName name="environmentalcost" localSheetId="15">#REF!</definedName>
    <definedName name="environmentalcost" localSheetId="7">#REF!</definedName>
    <definedName name="environmentalcost">#REF!</definedName>
    <definedName name="eqjwd" localSheetId="12">#REF!</definedName>
    <definedName name="eqjwd" localSheetId="8">#REF!</definedName>
    <definedName name="eqjwd" localSheetId="11">#REF!</definedName>
    <definedName name="eqjwd" localSheetId="9">#REF!</definedName>
    <definedName name="eqjwd" localSheetId="18">#REF!</definedName>
    <definedName name="eqjwd" localSheetId="15">#REF!</definedName>
    <definedName name="eqjwd" localSheetId="7">#REF!</definedName>
    <definedName name="eqjwd">#REF!</definedName>
    <definedName name="Es" localSheetId="12">#REF!</definedName>
    <definedName name="Es" localSheetId="8">#REF!</definedName>
    <definedName name="Es" localSheetId="11">#REF!</definedName>
    <definedName name="Es" localSheetId="9">#REF!</definedName>
    <definedName name="Es" localSheetId="18">#REF!</definedName>
    <definedName name="Es" localSheetId="15">#REF!</definedName>
    <definedName name="Es" localSheetId="7">#REF!</definedName>
    <definedName name="Es">#REF!</definedName>
    <definedName name="Es___0" localSheetId="12">#REF!</definedName>
    <definedName name="Es___0" localSheetId="8">#REF!</definedName>
    <definedName name="Es___0" localSheetId="11">#REF!</definedName>
    <definedName name="Es___0" localSheetId="9">#REF!</definedName>
    <definedName name="Es___0" localSheetId="18">#REF!</definedName>
    <definedName name="Es___0" localSheetId="15">#REF!</definedName>
    <definedName name="Es___0" localSheetId="7">#REF!</definedName>
    <definedName name="Es___0">#REF!</definedName>
    <definedName name="Es___13" localSheetId="12">#REF!</definedName>
    <definedName name="Es___13" localSheetId="8">#REF!</definedName>
    <definedName name="Es___13" localSheetId="11">#REF!</definedName>
    <definedName name="Es___13" localSheetId="9">#REF!</definedName>
    <definedName name="Es___13" localSheetId="18">#REF!</definedName>
    <definedName name="Es___13" localSheetId="15">#REF!</definedName>
    <definedName name="Es___13" localSheetId="7">#REF!</definedName>
    <definedName name="Es___13">#REF!</definedName>
    <definedName name="ESSR1" localSheetId="12">#REF!</definedName>
    <definedName name="ESSR1" localSheetId="8">#REF!</definedName>
    <definedName name="ESSR1" localSheetId="11">#REF!</definedName>
    <definedName name="ESSR1" localSheetId="9">#REF!</definedName>
    <definedName name="ESSR1" localSheetId="18">#REF!</definedName>
    <definedName name="ESSR1" localSheetId="15">#REF!</definedName>
    <definedName name="ESSR1" localSheetId="7">#REF!</definedName>
    <definedName name="ESSR1">#REF!</definedName>
    <definedName name="ESSR10" localSheetId="12">#REF!</definedName>
    <definedName name="ESSR10" localSheetId="8">#REF!</definedName>
    <definedName name="ESSR10" localSheetId="11">#REF!</definedName>
    <definedName name="ESSR10" localSheetId="9">#REF!</definedName>
    <definedName name="ESSR10" localSheetId="18">#REF!</definedName>
    <definedName name="ESSR10" localSheetId="15">#REF!</definedName>
    <definedName name="ESSR10" localSheetId="7">#REF!</definedName>
    <definedName name="ESSR10">#REF!</definedName>
    <definedName name="ESSR11" localSheetId="12">#REF!</definedName>
    <definedName name="ESSR11" localSheetId="8">#REF!</definedName>
    <definedName name="ESSR11" localSheetId="11">#REF!</definedName>
    <definedName name="ESSR11" localSheetId="9">#REF!</definedName>
    <definedName name="ESSR11" localSheetId="18">#REF!</definedName>
    <definedName name="ESSR11" localSheetId="15">#REF!</definedName>
    <definedName name="ESSR11" localSheetId="7">#REF!</definedName>
    <definedName name="ESSR11">#REF!</definedName>
    <definedName name="ESSR12" localSheetId="12">#REF!</definedName>
    <definedName name="ESSR12" localSheetId="8">#REF!</definedName>
    <definedName name="ESSR12" localSheetId="11">#REF!</definedName>
    <definedName name="ESSR12" localSheetId="9">#REF!</definedName>
    <definedName name="ESSR12" localSheetId="18">#REF!</definedName>
    <definedName name="ESSR12" localSheetId="15">#REF!</definedName>
    <definedName name="ESSR12" localSheetId="7">#REF!</definedName>
    <definedName name="ESSR12">#REF!</definedName>
    <definedName name="ESSR13" localSheetId="12">#REF!</definedName>
    <definedName name="ESSR13" localSheetId="8">#REF!</definedName>
    <definedName name="ESSR13" localSheetId="11">#REF!</definedName>
    <definedName name="ESSR13" localSheetId="9">#REF!</definedName>
    <definedName name="ESSR13" localSheetId="18">#REF!</definedName>
    <definedName name="ESSR13" localSheetId="15">#REF!</definedName>
    <definedName name="ESSR13" localSheetId="7">#REF!</definedName>
    <definedName name="ESSR13">#REF!</definedName>
    <definedName name="ESSR2" localSheetId="12">#REF!</definedName>
    <definedName name="ESSR2" localSheetId="8">#REF!</definedName>
    <definedName name="ESSR2" localSheetId="11">#REF!</definedName>
    <definedName name="ESSR2" localSheetId="9">#REF!</definedName>
    <definedName name="ESSR2" localSheetId="18">#REF!</definedName>
    <definedName name="ESSR2" localSheetId="15">#REF!</definedName>
    <definedName name="ESSR2" localSheetId="7">#REF!</definedName>
    <definedName name="ESSR2">#REF!</definedName>
    <definedName name="ESSR3" localSheetId="12">#REF!</definedName>
    <definedName name="ESSR3" localSheetId="8">#REF!</definedName>
    <definedName name="ESSR3" localSheetId="11">#REF!</definedName>
    <definedName name="ESSR3" localSheetId="9">#REF!</definedName>
    <definedName name="ESSR3" localSheetId="18">#REF!</definedName>
    <definedName name="ESSR3" localSheetId="15">#REF!</definedName>
    <definedName name="ESSR3" localSheetId="7">#REF!</definedName>
    <definedName name="ESSR3">#REF!</definedName>
    <definedName name="ESSR4" localSheetId="12">#REF!</definedName>
    <definedName name="ESSR4" localSheetId="8">#REF!</definedName>
    <definedName name="ESSR4" localSheetId="11">#REF!</definedName>
    <definedName name="ESSR4" localSheetId="9">#REF!</definedName>
    <definedName name="ESSR4" localSheetId="18">#REF!</definedName>
    <definedName name="ESSR4" localSheetId="15">#REF!</definedName>
    <definedName name="ESSR4" localSheetId="7">#REF!</definedName>
    <definedName name="ESSR4">#REF!</definedName>
    <definedName name="ESSR5" localSheetId="12">#REF!</definedName>
    <definedName name="ESSR5" localSheetId="8">#REF!</definedName>
    <definedName name="ESSR5" localSheetId="11">#REF!</definedName>
    <definedName name="ESSR5" localSheetId="9">#REF!</definedName>
    <definedName name="ESSR5" localSheetId="18">#REF!</definedName>
    <definedName name="ESSR5" localSheetId="15">#REF!</definedName>
    <definedName name="ESSR5" localSheetId="7">#REF!</definedName>
    <definedName name="ESSR5">#REF!</definedName>
    <definedName name="ESSR6" localSheetId="12">#REF!</definedName>
    <definedName name="ESSR6" localSheetId="8">#REF!</definedName>
    <definedName name="ESSR6" localSheetId="11">#REF!</definedName>
    <definedName name="ESSR6" localSheetId="9">#REF!</definedName>
    <definedName name="ESSR6" localSheetId="18">#REF!</definedName>
    <definedName name="ESSR6" localSheetId="15">#REF!</definedName>
    <definedName name="ESSR6" localSheetId="7">#REF!</definedName>
    <definedName name="ESSR6">#REF!</definedName>
    <definedName name="ESSR7" localSheetId="12">#REF!</definedName>
    <definedName name="ESSR7" localSheetId="8">#REF!</definedName>
    <definedName name="ESSR7" localSheetId="11">#REF!</definedName>
    <definedName name="ESSR7" localSheetId="9">#REF!</definedName>
    <definedName name="ESSR7" localSheetId="18">#REF!</definedName>
    <definedName name="ESSR7" localSheetId="15">#REF!</definedName>
    <definedName name="ESSR7" localSheetId="7">#REF!</definedName>
    <definedName name="ESSR7">#REF!</definedName>
    <definedName name="ESSR8" localSheetId="12">#REF!</definedName>
    <definedName name="ESSR8" localSheetId="8">#REF!</definedName>
    <definedName name="ESSR8" localSheetId="11">#REF!</definedName>
    <definedName name="ESSR8" localSheetId="9">#REF!</definedName>
    <definedName name="ESSR8" localSheetId="18">#REF!</definedName>
    <definedName name="ESSR8" localSheetId="15">#REF!</definedName>
    <definedName name="ESSR8" localSheetId="7">#REF!</definedName>
    <definedName name="ESSR8">#REF!</definedName>
    <definedName name="ESSR9" localSheetId="12">#REF!</definedName>
    <definedName name="ESSR9" localSheetId="8">#REF!</definedName>
    <definedName name="ESSR9" localSheetId="11">#REF!</definedName>
    <definedName name="ESSR9" localSheetId="9">#REF!</definedName>
    <definedName name="ESSR9" localSheetId="18">#REF!</definedName>
    <definedName name="ESSR9" localSheetId="15">#REF!</definedName>
    <definedName name="ESSR9" localSheetId="7">#REF!</definedName>
    <definedName name="ESSR9">#REF!</definedName>
    <definedName name="EstCost" localSheetId="12">#REF!</definedName>
    <definedName name="EstCost" localSheetId="0">#REF!</definedName>
    <definedName name="EstCost" localSheetId="1">#REF!</definedName>
    <definedName name="EstCost" localSheetId="8">#REF!</definedName>
    <definedName name="EstCost" localSheetId="11">#REF!</definedName>
    <definedName name="EstCost" localSheetId="9">#REF!</definedName>
    <definedName name="EstCost" localSheetId="18">#REF!</definedName>
    <definedName name="EstCost" localSheetId="15">#REF!</definedName>
    <definedName name="EstCost" localSheetId="7">#REF!</definedName>
    <definedName name="EstCost">#REF!</definedName>
    <definedName name="ESTIMATING_FACTORS" localSheetId="12">#REF!</definedName>
    <definedName name="ESTIMATING_FACTORS" localSheetId="8">#REF!</definedName>
    <definedName name="ESTIMATING_FACTORS" localSheetId="11">#REF!</definedName>
    <definedName name="ESTIMATING_FACTORS" localSheetId="9">#REF!</definedName>
    <definedName name="ESTIMATING_FACTORS" localSheetId="18">#REF!</definedName>
    <definedName name="ESTIMATING_FACTORS" localSheetId="15">#REF!</definedName>
    <definedName name="ESTIMATING_FACTORS" localSheetId="7">#REF!</definedName>
    <definedName name="ESTIMATING_FACTORS">#REF!</definedName>
    <definedName name="ESTIMATING_FACTORS___FROM_JPL_TO_QUOTATION" localSheetId="12">#REF!</definedName>
    <definedName name="ESTIMATING_FACTORS___FROM_JPL_TO_QUOTATION" localSheetId="8">#REF!</definedName>
    <definedName name="ESTIMATING_FACTORS___FROM_JPL_TO_QUOTATION" localSheetId="11">#REF!</definedName>
    <definedName name="ESTIMATING_FACTORS___FROM_JPL_TO_QUOTATION" localSheetId="9">#REF!</definedName>
    <definedName name="ESTIMATING_FACTORS___FROM_JPL_TO_QUOTATION" localSheetId="18">#REF!</definedName>
    <definedName name="ESTIMATING_FACTORS___FROM_JPL_TO_QUOTATION" localSheetId="15">#REF!</definedName>
    <definedName name="ESTIMATING_FACTORS___FROM_JPL_TO_QUOTATION" localSheetId="7">#REF!</definedName>
    <definedName name="ESTIMATING_FACTORS___FROM_JPL_TO_QUOTATION">#REF!</definedName>
    <definedName name="Et" localSheetId="12">#REF!</definedName>
    <definedName name="Et" localSheetId="8">#REF!</definedName>
    <definedName name="Et" localSheetId="11">#REF!</definedName>
    <definedName name="Et" localSheetId="9">#REF!</definedName>
    <definedName name="Et" localSheetId="18">#REF!</definedName>
    <definedName name="Et" localSheetId="15">#REF!</definedName>
    <definedName name="Et" localSheetId="7">#REF!</definedName>
    <definedName name="Et">#REF!</definedName>
    <definedName name="Et___0" localSheetId="12">#REF!</definedName>
    <definedName name="Et___0" localSheetId="8">#REF!</definedName>
    <definedName name="Et___0" localSheetId="11">#REF!</definedName>
    <definedName name="Et___0" localSheetId="9">#REF!</definedName>
    <definedName name="Et___0" localSheetId="18">#REF!</definedName>
    <definedName name="Et___0" localSheetId="15">#REF!</definedName>
    <definedName name="Et___0" localSheetId="7">#REF!</definedName>
    <definedName name="Et___0">#REF!</definedName>
    <definedName name="Et___13" localSheetId="12">#REF!</definedName>
    <definedName name="Et___13" localSheetId="8">#REF!</definedName>
    <definedName name="Et___13" localSheetId="11">#REF!</definedName>
    <definedName name="Et___13" localSheetId="9">#REF!</definedName>
    <definedName name="Et___13" localSheetId="18">#REF!</definedName>
    <definedName name="Et___13" localSheetId="15">#REF!</definedName>
    <definedName name="Et___13" localSheetId="7">#REF!</definedName>
    <definedName name="Et___13">#REF!</definedName>
    <definedName name="eu" localSheetId="12">#REF!</definedName>
    <definedName name="eu" localSheetId="0">#REF!</definedName>
    <definedName name="eu" localSheetId="1">#REF!</definedName>
    <definedName name="eu" localSheetId="8">#REF!</definedName>
    <definedName name="eu" localSheetId="11">#REF!</definedName>
    <definedName name="eu" localSheetId="9">#REF!</definedName>
    <definedName name="eu" localSheetId="18">#REF!</definedName>
    <definedName name="eu" localSheetId="15">#REF!</definedName>
    <definedName name="eu" localSheetId="7">#REF!</definedName>
    <definedName name="eu">#REF!</definedName>
    <definedName name="ew" localSheetId="12">#REF!</definedName>
    <definedName name="ew" localSheetId="8">#REF!</definedName>
    <definedName name="ew" localSheetId="11">#REF!</definedName>
    <definedName name="ew" localSheetId="9">#REF!</definedName>
    <definedName name="ew" localSheetId="18">#REF!</definedName>
    <definedName name="ew" localSheetId="15">#REF!</definedName>
    <definedName name="ew" localSheetId="7">#REF!</definedName>
    <definedName name="ew">#REF!</definedName>
    <definedName name="excav" localSheetId="12">#REF!</definedName>
    <definedName name="excav" localSheetId="8">#REF!</definedName>
    <definedName name="excav" localSheetId="11">#REF!</definedName>
    <definedName name="excav" localSheetId="9">#REF!</definedName>
    <definedName name="excav" localSheetId="18">#REF!</definedName>
    <definedName name="excav" localSheetId="15">#REF!</definedName>
    <definedName name="excav" localSheetId="7">#REF!</definedName>
    <definedName name="excav">#REF!</definedName>
    <definedName name="Excavation" localSheetId="12">#REF!</definedName>
    <definedName name="Excavation" localSheetId="0">#REF!</definedName>
    <definedName name="Excavation" localSheetId="1">#REF!</definedName>
    <definedName name="Excavation" localSheetId="8">#REF!</definedName>
    <definedName name="Excavation" localSheetId="11">#REF!</definedName>
    <definedName name="Excavation" localSheetId="9">#REF!</definedName>
    <definedName name="Excavation" localSheetId="18">#REF!</definedName>
    <definedName name="Excavation" localSheetId="15">#REF!</definedName>
    <definedName name="Excavation" localSheetId="7">#REF!</definedName>
    <definedName name="Excavation">#REF!</definedName>
    <definedName name="Excel_BuiltIn__FilterDatabase_1" localSheetId="12">#REF!</definedName>
    <definedName name="Excel_BuiltIn__FilterDatabase_1" localSheetId="8">#REF!</definedName>
    <definedName name="Excel_BuiltIn__FilterDatabase_1" localSheetId="11">#REF!</definedName>
    <definedName name="Excel_BuiltIn__FilterDatabase_1" localSheetId="9">#REF!</definedName>
    <definedName name="Excel_BuiltIn__FilterDatabase_1" localSheetId="18">#REF!</definedName>
    <definedName name="Excel_BuiltIn__FilterDatabase_1" localSheetId="15">#REF!</definedName>
    <definedName name="Excel_BuiltIn__FilterDatabase_1" localSheetId="7">#REF!</definedName>
    <definedName name="Excel_BuiltIn__FilterDatabase_1">#REF!</definedName>
    <definedName name="Excel_BuiltIn__FilterDatabase_2" localSheetId="12">#REF!</definedName>
    <definedName name="Excel_BuiltIn__FilterDatabase_2" localSheetId="8">#REF!</definedName>
    <definedName name="Excel_BuiltIn__FilterDatabase_2" localSheetId="11">#REF!</definedName>
    <definedName name="Excel_BuiltIn__FilterDatabase_2" localSheetId="9">#REF!</definedName>
    <definedName name="Excel_BuiltIn__FilterDatabase_2" localSheetId="18">#REF!</definedName>
    <definedName name="Excel_BuiltIn__FilterDatabase_2" localSheetId="15">#REF!</definedName>
    <definedName name="Excel_BuiltIn__FilterDatabase_2" localSheetId="7">#REF!</definedName>
    <definedName name="Excel_BuiltIn__FilterDatabase_2">#REF!</definedName>
    <definedName name="Excel_BuiltIn__FilterDatabase_3_1" localSheetId="12">#REF!</definedName>
    <definedName name="Excel_BuiltIn__FilterDatabase_3_1" localSheetId="8">#REF!</definedName>
    <definedName name="Excel_BuiltIn__FilterDatabase_3_1" localSheetId="11">#REF!</definedName>
    <definedName name="Excel_BuiltIn__FilterDatabase_3_1" localSheetId="9">#REF!</definedName>
    <definedName name="Excel_BuiltIn__FilterDatabase_3_1" localSheetId="18">#REF!</definedName>
    <definedName name="Excel_BuiltIn__FilterDatabase_3_1" localSheetId="15">#REF!</definedName>
    <definedName name="Excel_BuiltIn__FilterDatabase_3_1" localSheetId="7">#REF!</definedName>
    <definedName name="Excel_BuiltIn__FilterDatabase_3_1">#REF!</definedName>
    <definedName name="Excel_BuiltIn_Print_Area_1" localSheetId="12">#REF!</definedName>
    <definedName name="Excel_BuiltIn_Print_Area_1" localSheetId="0">#REF!</definedName>
    <definedName name="Excel_BuiltIn_Print_Area_1" localSheetId="1">#REF!</definedName>
    <definedName name="Excel_BuiltIn_Print_Area_1" localSheetId="8">#REF!</definedName>
    <definedName name="Excel_BuiltIn_Print_Area_1" localSheetId="11">#REF!</definedName>
    <definedName name="Excel_BuiltIn_Print_Area_1" localSheetId="9">#REF!</definedName>
    <definedName name="Excel_BuiltIn_Print_Area_1" localSheetId="18">#REF!</definedName>
    <definedName name="Excel_BuiltIn_Print_Area_1" localSheetId="15">#REF!</definedName>
    <definedName name="Excel_BuiltIn_Print_Area_1" localSheetId="7">#REF!</definedName>
    <definedName name="Excel_BuiltIn_Print_Area_1">#REF!</definedName>
    <definedName name="Excel_BuiltIn_Print_Area_1_1" localSheetId="12">#REF!</definedName>
    <definedName name="Excel_BuiltIn_Print_Area_1_1" localSheetId="8">#REF!</definedName>
    <definedName name="Excel_BuiltIn_Print_Area_1_1" localSheetId="11">#REF!</definedName>
    <definedName name="Excel_BuiltIn_Print_Area_1_1" localSheetId="9">#REF!</definedName>
    <definedName name="Excel_BuiltIn_Print_Area_1_1" localSheetId="18">#REF!</definedName>
    <definedName name="Excel_BuiltIn_Print_Area_1_1" localSheetId="15">#REF!</definedName>
    <definedName name="Excel_BuiltIn_Print_Area_1_1" localSheetId="7">#REF!</definedName>
    <definedName name="Excel_BuiltIn_Print_Area_1_1">#REF!</definedName>
    <definedName name="Excel_BuiltIn_Print_Area_1_1_1" localSheetId="12">#REF!</definedName>
    <definedName name="Excel_BuiltIn_Print_Area_1_1_1" localSheetId="8">#REF!</definedName>
    <definedName name="Excel_BuiltIn_Print_Area_1_1_1" localSheetId="11">#REF!</definedName>
    <definedName name="Excel_BuiltIn_Print_Area_1_1_1" localSheetId="9">#REF!</definedName>
    <definedName name="Excel_BuiltIn_Print_Area_1_1_1" localSheetId="18">#REF!</definedName>
    <definedName name="Excel_BuiltIn_Print_Area_1_1_1" localSheetId="15">#REF!</definedName>
    <definedName name="Excel_BuiltIn_Print_Area_1_1_1" localSheetId="7">#REF!</definedName>
    <definedName name="Excel_BuiltIn_Print_Area_1_1_1">#REF!</definedName>
    <definedName name="Excel_BuiltIn_Print_Area_1_1_1_1" localSheetId="12">#REF!</definedName>
    <definedName name="Excel_BuiltIn_Print_Area_1_1_1_1" localSheetId="8">#REF!</definedName>
    <definedName name="Excel_BuiltIn_Print_Area_1_1_1_1" localSheetId="11">#REF!</definedName>
    <definedName name="Excel_BuiltIn_Print_Area_1_1_1_1" localSheetId="9">#REF!</definedName>
    <definedName name="Excel_BuiltIn_Print_Area_1_1_1_1" localSheetId="18">#REF!</definedName>
    <definedName name="Excel_BuiltIn_Print_Area_1_1_1_1" localSheetId="15">#REF!</definedName>
    <definedName name="Excel_BuiltIn_Print_Area_1_1_1_1" localSheetId="7">#REF!</definedName>
    <definedName name="Excel_BuiltIn_Print_Area_1_1_1_1">#REF!</definedName>
    <definedName name="Excel_BuiltIn_Print_Area_10" localSheetId="12">#REF!</definedName>
    <definedName name="Excel_BuiltIn_Print_Area_10" localSheetId="8">#REF!</definedName>
    <definedName name="Excel_BuiltIn_Print_Area_10" localSheetId="11">#REF!</definedName>
    <definedName name="Excel_BuiltIn_Print_Area_10" localSheetId="9">#REF!</definedName>
    <definedName name="Excel_BuiltIn_Print_Area_10" localSheetId="18">#REF!</definedName>
    <definedName name="Excel_BuiltIn_Print_Area_10" localSheetId="15">#REF!</definedName>
    <definedName name="Excel_BuiltIn_Print_Area_10" localSheetId="7">#REF!</definedName>
    <definedName name="Excel_BuiltIn_Print_Area_10">#REF!</definedName>
    <definedName name="Excel_BuiltIn_Print_Area_2" localSheetId="12">#REF!</definedName>
    <definedName name="Excel_BuiltIn_Print_Area_2" localSheetId="8">#REF!</definedName>
    <definedName name="Excel_BuiltIn_Print_Area_2" localSheetId="11">#REF!</definedName>
    <definedName name="Excel_BuiltIn_Print_Area_2" localSheetId="9">#REF!</definedName>
    <definedName name="Excel_BuiltIn_Print_Area_2" localSheetId="18">#REF!</definedName>
    <definedName name="Excel_BuiltIn_Print_Area_2" localSheetId="15">#REF!</definedName>
    <definedName name="Excel_BuiltIn_Print_Area_2" localSheetId="7">#REF!</definedName>
    <definedName name="Excel_BuiltIn_Print_Area_2">#REF!</definedName>
    <definedName name="Excel_BuiltIn_Print_Area_2_1" localSheetId="12">#REF!</definedName>
    <definedName name="Excel_BuiltIn_Print_Area_2_1" localSheetId="8">#REF!</definedName>
    <definedName name="Excel_BuiltIn_Print_Area_2_1" localSheetId="11">#REF!</definedName>
    <definedName name="Excel_BuiltIn_Print_Area_2_1" localSheetId="9">#REF!</definedName>
    <definedName name="Excel_BuiltIn_Print_Area_2_1" localSheetId="18">#REF!</definedName>
    <definedName name="Excel_BuiltIn_Print_Area_2_1" localSheetId="15">#REF!</definedName>
    <definedName name="Excel_BuiltIn_Print_Area_2_1" localSheetId="7">#REF!</definedName>
    <definedName name="Excel_BuiltIn_Print_Area_2_1">#REF!</definedName>
    <definedName name="Excel_BuiltIn_Print_Area_2_1_1" localSheetId="12">#REF!</definedName>
    <definedName name="Excel_BuiltIn_Print_Area_2_1_1" localSheetId="8">#REF!</definedName>
    <definedName name="Excel_BuiltIn_Print_Area_2_1_1" localSheetId="11">#REF!</definedName>
    <definedName name="Excel_BuiltIn_Print_Area_2_1_1" localSheetId="9">#REF!</definedName>
    <definedName name="Excel_BuiltIn_Print_Area_2_1_1" localSheetId="18">#REF!</definedName>
    <definedName name="Excel_BuiltIn_Print_Area_2_1_1" localSheetId="15">#REF!</definedName>
    <definedName name="Excel_BuiltIn_Print_Area_2_1_1" localSheetId="7">#REF!</definedName>
    <definedName name="Excel_BuiltIn_Print_Area_2_1_1">#REF!</definedName>
    <definedName name="Excel_BuiltIn_Print_Area_2_1_1_1" localSheetId="12">#REF!</definedName>
    <definedName name="Excel_BuiltIn_Print_Area_2_1_1_1" localSheetId="8">#REF!</definedName>
    <definedName name="Excel_BuiltIn_Print_Area_2_1_1_1" localSheetId="11">#REF!</definedName>
    <definedName name="Excel_BuiltIn_Print_Area_2_1_1_1" localSheetId="9">#REF!</definedName>
    <definedName name="Excel_BuiltIn_Print_Area_2_1_1_1" localSheetId="18">#REF!</definedName>
    <definedName name="Excel_BuiltIn_Print_Area_2_1_1_1" localSheetId="15">#REF!</definedName>
    <definedName name="Excel_BuiltIn_Print_Area_2_1_1_1" localSheetId="7">#REF!</definedName>
    <definedName name="Excel_BuiltIn_Print_Area_2_1_1_1">#REF!</definedName>
    <definedName name="Excel_BuiltIn_Print_Area_2_1_1_1_1" localSheetId="12">#REF!</definedName>
    <definedName name="Excel_BuiltIn_Print_Area_2_1_1_1_1" localSheetId="8">#REF!</definedName>
    <definedName name="Excel_BuiltIn_Print_Area_2_1_1_1_1" localSheetId="11">#REF!</definedName>
    <definedName name="Excel_BuiltIn_Print_Area_2_1_1_1_1" localSheetId="9">#REF!</definedName>
    <definedName name="Excel_BuiltIn_Print_Area_2_1_1_1_1" localSheetId="18">#REF!</definedName>
    <definedName name="Excel_BuiltIn_Print_Area_2_1_1_1_1" localSheetId="15">#REF!</definedName>
    <definedName name="Excel_BuiltIn_Print_Area_2_1_1_1_1" localSheetId="7">#REF!</definedName>
    <definedName name="Excel_BuiltIn_Print_Area_2_1_1_1_1">#REF!</definedName>
    <definedName name="Excel_BuiltIn_Print_Area_3_1" localSheetId="12">#REF!</definedName>
    <definedName name="Excel_BuiltIn_Print_Area_3_1" localSheetId="8">#REF!</definedName>
    <definedName name="Excel_BuiltIn_Print_Area_3_1" localSheetId="11">#REF!</definedName>
    <definedName name="Excel_BuiltIn_Print_Area_3_1" localSheetId="9">#REF!</definedName>
    <definedName name="Excel_BuiltIn_Print_Area_3_1" localSheetId="18">#REF!</definedName>
    <definedName name="Excel_BuiltIn_Print_Area_3_1" localSheetId="15">#REF!</definedName>
    <definedName name="Excel_BuiltIn_Print_Area_3_1" localSheetId="7">#REF!</definedName>
    <definedName name="Excel_BuiltIn_Print_Area_3_1">#REF!</definedName>
    <definedName name="Excel_BuiltIn_Print_Area_3_1_1" localSheetId="12">#REF!</definedName>
    <definedName name="Excel_BuiltIn_Print_Area_3_1_1" localSheetId="8">#REF!</definedName>
    <definedName name="Excel_BuiltIn_Print_Area_3_1_1" localSheetId="11">#REF!</definedName>
    <definedName name="Excel_BuiltIn_Print_Area_3_1_1" localSheetId="9">#REF!</definedName>
    <definedName name="Excel_BuiltIn_Print_Area_3_1_1" localSheetId="18">#REF!</definedName>
    <definedName name="Excel_BuiltIn_Print_Area_3_1_1" localSheetId="15">#REF!</definedName>
    <definedName name="Excel_BuiltIn_Print_Area_3_1_1" localSheetId="7">#REF!</definedName>
    <definedName name="Excel_BuiltIn_Print_Area_3_1_1">#REF!</definedName>
    <definedName name="Excel_BuiltIn_Print_Area_4" localSheetId="12">#REF!</definedName>
    <definedName name="Excel_BuiltIn_Print_Area_4" localSheetId="8">#REF!</definedName>
    <definedName name="Excel_BuiltIn_Print_Area_4" localSheetId="11">#REF!</definedName>
    <definedName name="Excel_BuiltIn_Print_Area_4" localSheetId="9">#REF!</definedName>
    <definedName name="Excel_BuiltIn_Print_Area_4" localSheetId="18">#REF!</definedName>
    <definedName name="Excel_BuiltIn_Print_Area_4" localSheetId="15">#REF!</definedName>
    <definedName name="Excel_BuiltIn_Print_Area_4" localSheetId="7">#REF!</definedName>
    <definedName name="Excel_BuiltIn_Print_Area_4">#REF!</definedName>
    <definedName name="Excel_BuiltIn_Print_Area_4_1" localSheetId="12">#REF!</definedName>
    <definedName name="Excel_BuiltIn_Print_Area_4_1" localSheetId="8">#REF!</definedName>
    <definedName name="Excel_BuiltIn_Print_Area_4_1" localSheetId="11">#REF!</definedName>
    <definedName name="Excel_BuiltIn_Print_Area_4_1" localSheetId="9">#REF!</definedName>
    <definedName name="Excel_BuiltIn_Print_Area_4_1" localSheetId="18">#REF!</definedName>
    <definedName name="Excel_BuiltIn_Print_Area_4_1" localSheetId="15">#REF!</definedName>
    <definedName name="Excel_BuiltIn_Print_Area_4_1" localSheetId="7">#REF!</definedName>
    <definedName name="Excel_BuiltIn_Print_Area_4_1">#REF!</definedName>
    <definedName name="Excel_BuiltIn_Print_Area_4_1_1" localSheetId="12">#REF!</definedName>
    <definedName name="Excel_BuiltIn_Print_Area_4_1_1" localSheetId="8">#REF!</definedName>
    <definedName name="Excel_BuiltIn_Print_Area_4_1_1" localSheetId="11">#REF!</definedName>
    <definedName name="Excel_BuiltIn_Print_Area_4_1_1" localSheetId="9">#REF!</definedName>
    <definedName name="Excel_BuiltIn_Print_Area_4_1_1" localSheetId="18">#REF!</definedName>
    <definedName name="Excel_BuiltIn_Print_Area_4_1_1" localSheetId="15">#REF!</definedName>
    <definedName name="Excel_BuiltIn_Print_Area_4_1_1" localSheetId="7">#REF!</definedName>
    <definedName name="Excel_BuiltIn_Print_Area_4_1_1">#REF!</definedName>
    <definedName name="Excel_BuiltIn_Print_Area_6" localSheetId="12">#REF!</definedName>
    <definedName name="Excel_BuiltIn_Print_Area_6" localSheetId="8">#REF!</definedName>
    <definedName name="Excel_BuiltIn_Print_Area_6" localSheetId="11">#REF!</definedName>
    <definedName name="Excel_BuiltIn_Print_Area_6" localSheetId="9">#REF!</definedName>
    <definedName name="Excel_BuiltIn_Print_Area_6" localSheetId="18">#REF!</definedName>
    <definedName name="Excel_BuiltIn_Print_Area_6" localSheetId="15">#REF!</definedName>
    <definedName name="Excel_BuiltIn_Print_Area_6" localSheetId="7">#REF!</definedName>
    <definedName name="Excel_BuiltIn_Print_Area_6">#REF!</definedName>
    <definedName name="Excel_BuiltIn_Print_Area_8_1" localSheetId="12">#REF!</definedName>
    <definedName name="Excel_BuiltIn_Print_Area_8_1" localSheetId="8">#REF!</definedName>
    <definedName name="Excel_BuiltIn_Print_Area_8_1" localSheetId="11">#REF!</definedName>
    <definedName name="Excel_BuiltIn_Print_Area_8_1" localSheetId="9">#REF!</definedName>
    <definedName name="Excel_BuiltIn_Print_Area_8_1" localSheetId="18">#REF!</definedName>
    <definedName name="Excel_BuiltIn_Print_Area_8_1" localSheetId="15">#REF!</definedName>
    <definedName name="Excel_BuiltIn_Print_Area_8_1" localSheetId="7">#REF!</definedName>
    <definedName name="Excel_BuiltIn_Print_Area_8_1">#REF!</definedName>
    <definedName name="Excel_BuiltIn_Print_Area_8_1_1" localSheetId="12">#REF!</definedName>
    <definedName name="Excel_BuiltIn_Print_Area_8_1_1" localSheetId="8">#REF!</definedName>
    <definedName name="Excel_BuiltIn_Print_Area_8_1_1" localSheetId="11">#REF!</definedName>
    <definedName name="Excel_BuiltIn_Print_Area_8_1_1" localSheetId="9">#REF!</definedName>
    <definedName name="Excel_BuiltIn_Print_Area_8_1_1" localSheetId="18">#REF!</definedName>
    <definedName name="Excel_BuiltIn_Print_Area_8_1_1" localSheetId="15">#REF!</definedName>
    <definedName name="Excel_BuiltIn_Print_Area_8_1_1" localSheetId="7">#REF!</definedName>
    <definedName name="Excel_BuiltIn_Print_Area_8_1_1">#REF!</definedName>
    <definedName name="Excel_BuiltIn_Print_Titles" localSheetId="12">#REF!,#REF!</definedName>
    <definedName name="Excel_BuiltIn_Print_Titles" localSheetId="6">#REF!,#REF!</definedName>
    <definedName name="Excel_BuiltIn_Print_Titles" localSheetId="5">#REF!,#REF!</definedName>
    <definedName name="Excel_BuiltIn_Print_Titles" localSheetId="8">#REF!,#REF!</definedName>
    <definedName name="Excel_BuiltIn_Print_Titles" localSheetId="11">#REF!,#REF!</definedName>
    <definedName name="Excel_BuiltIn_Print_Titles" localSheetId="9">#REF!,#REF!</definedName>
    <definedName name="Excel_BuiltIn_Print_Titles" localSheetId="18">#REF!,#REF!</definedName>
    <definedName name="Excel_BuiltIn_Print_Titles" localSheetId="15">#REF!,#REF!</definedName>
    <definedName name="Excel_BuiltIn_Print_Titles" localSheetId="7">#REF!,#REF!</definedName>
    <definedName name="Excel_BuiltIn_Print_Titles">#REF!,#REF!</definedName>
    <definedName name="Excel_BuiltIn_Print_Titles_1" localSheetId="12">#REF!</definedName>
    <definedName name="Excel_BuiltIn_Print_Titles_1" localSheetId="6">#REF!</definedName>
    <definedName name="Excel_BuiltIn_Print_Titles_1" localSheetId="5">#REF!</definedName>
    <definedName name="Excel_BuiltIn_Print_Titles_1" localSheetId="8">#REF!</definedName>
    <definedName name="Excel_BuiltIn_Print_Titles_1" localSheetId="11">#REF!</definedName>
    <definedName name="Excel_BuiltIn_Print_Titles_1" localSheetId="9">#REF!</definedName>
    <definedName name="Excel_BuiltIn_Print_Titles_1" localSheetId="18">#REF!</definedName>
    <definedName name="Excel_BuiltIn_Print_Titles_1" localSheetId="15">#REF!</definedName>
    <definedName name="Excel_BuiltIn_Print_Titles_1" localSheetId="7">#REF!</definedName>
    <definedName name="Excel_BuiltIn_Print_Titles_1">#REF!</definedName>
    <definedName name="Excel_BuiltIn_Print_Titles_1_1" localSheetId="12">#REF!</definedName>
    <definedName name="Excel_BuiltIn_Print_Titles_1_1" localSheetId="6">#REF!</definedName>
    <definedName name="Excel_BuiltIn_Print_Titles_1_1" localSheetId="5">#REF!</definedName>
    <definedName name="Excel_BuiltIn_Print_Titles_1_1" localSheetId="8">#REF!</definedName>
    <definedName name="Excel_BuiltIn_Print_Titles_1_1" localSheetId="11">#REF!</definedName>
    <definedName name="Excel_BuiltIn_Print_Titles_1_1" localSheetId="9">#REF!</definedName>
    <definedName name="Excel_BuiltIn_Print_Titles_1_1" localSheetId="18">#REF!</definedName>
    <definedName name="Excel_BuiltIn_Print_Titles_1_1" localSheetId="15">#REF!</definedName>
    <definedName name="Excel_BuiltIn_Print_Titles_1_1" localSheetId="7">#REF!</definedName>
    <definedName name="Excel_BuiltIn_Print_Titles_1_1">#REF!</definedName>
    <definedName name="Excel_BuiltIn_Print_Titles_10" localSheetId="12">#REF!</definedName>
    <definedName name="Excel_BuiltIn_Print_Titles_10" localSheetId="6">#REF!</definedName>
    <definedName name="Excel_BuiltIn_Print_Titles_10" localSheetId="5">#REF!</definedName>
    <definedName name="Excel_BuiltIn_Print_Titles_10" localSheetId="8">#REF!</definedName>
    <definedName name="Excel_BuiltIn_Print_Titles_10" localSheetId="11">#REF!</definedName>
    <definedName name="Excel_BuiltIn_Print_Titles_10" localSheetId="9">#REF!</definedName>
    <definedName name="Excel_BuiltIn_Print_Titles_10" localSheetId="18">#REF!</definedName>
    <definedName name="Excel_BuiltIn_Print_Titles_10" localSheetId="15">#REF!</definedName>
    <definedName name="Excel_BuiltIn_Print_Titles_10" localSheetId="7">#REF!</definedName>
    <definedName name="Excel_BuiltIn_Print_Titles_10">#REF!</definedName>
    <definedName name="Excel_BuiltIn_Print_Titles_2" localSheetId="12">#REF!</definedName>
    <definedName name="Excel_BuiltIn_Print_Titles_2" localSheetId="8">#REF!</definedName>
    <definedName name="Excel_BuiltIn_Print_Titles_2" localSheetId="11">#REF!</definedName>
    <definedName name="Excel_BuiltIn_Print_Titles_2" localSheetId="9">#REF!</definedName>
    <definedName name="Excel_BuiltIn_Print_Titles_2" localSheetId="18">#REF!</definedName>
    <definedName name="Excel_BuiltIn_Print_Titles_2" localSheetId="15">#REF!</definedName>
    <definedName name="Excel_BuiltIn_Print_Titles_2" localSheetId="7">#REF!</definedName>
    <definedName name="Excel_BuiltIn_Print_Titles_2">#REF!</definedName>
    <definedName name="Excel_BuiltIn_Print_Titles_2_1" localSheetId="12">#REF!</definedName>
    <definedName name="Excel_BuiltIn_Print_Titles_2_1" localSheetId="8">#REF!</definedName>
    <definedName name="Excel_BuiltIn_Print_Titles_2_1" localSheetId="11">#REF!</definedName>
    <definedName name="Excel_BuiltIn_Print_Titles_2_1" localSheetId="9">#REF!</definedName>
    <definedName name="Excel_BuiltIn_Print_Titles_2_1" localSheetId="18">#REF!</definedName>
    <definedName name="Excel_BuiltIn_Print_Titles_2_1" localSheetId="15">#REF!</definedName>
    <definedName name="Excel_BuiltIn_Print_Titles_2_1" localSheetId="7">#REF!</definedName>
    <definedName name="Excel_BuiltIn_Print_Titles_2_1">#REF!</definedName>
    <definedName name="Excel_BuiltIn_Print_Titles_2_1_1" localSheetId="12">#REF!</definedName>
    <definedName name="Excel_BuiltIn_Print_Titles_2_1_1" localSheetId="8">#REF!</definedName>
    <definedName name="Excel_BuiltIn_Print_Titles_2_1_1" localSheetId="11">#REF!</definedName>
    <definedName name="Excel_BuiltIn_Print_Titles_2_1_1" localSheetId="9">#REF!</definedName>
    <definedName name="Excel_BuiltIn_Print_Titles_2_1_1" localSheetId="18">#REF!</definedName>
    <definedName name="Excel_BuiltIn_Print_Titles_2_1_1" localSheetId="15">#REF!</definedName>
    <definedName name="Excel_BuiltIn_Print_Titles_2_1_1" localSheetId="7">#REF!</definedName>
    <definedName name="Excel_BuiltIn_Print_Titles_2_1_1">#REF!</definedName>
    <definedName name="Excel_BuiltIn_Print_Titles_2_1_1_1" localSheetId="12">#REF!</definedName>
    <definedName name="Excel_BuiltIn_Print_Titles_2_1_1_1" localSheetId="8">#REF!</definedName>
    <definedName name="Excel_BuiltIn_Print_Titles_2_1_1_1" localSheetId="11">#REF!</definedName>
    <definedName name="Excel_BuiltIn_Print_Titles_2_1_1_1" localSheetId="9">#REF!</definedName>
    <definedName name="Excel_BuiltIn_Print_Titles_2_1_1_1" localSheetId="18">#REF!</definedName>
    <definedName name="Excel_BuiltIn_Print_Titles_2_1_1_1" localSheetId="15">#REF!</definedName>
    <definedName name="Excel_BuiltIn_Print_Titles_2_1_1_1" localSheetId="7">#REF!</definedName>
    <definedName name="Excel_BuiltIn_Print_Titles_2_1_1_1">#REF!</definedName>
    <definedName name="Excel_BuiltIn_Print_Titles_3" localSheetId="12">(#REF!,#REF!)</definedName>
    <definedName name="Excel_BuiltIn_Print_Titles_3" localSheetId="6">(#REF!,#REF!)</definedName>
    <definedName name="Excel_BuiltIn_Print_Titles_3" localSheetId="5">(#REF!,#REF!)</definedName>
    <definedName name="Excel_BuiltIn_Print_Titles_3" localSheetId="8">(#REF!,#REF!)</definedName>
    <definedName name="Excel_BuiltIn_Print_Titles_3" localSheetId="11">(#REF!,#REF!)</definedName>
    <definedName name="Excel_BuiltIn_Print_Titles_3" localSheetId="9">(#REF!,#REF!)</definedName>
    <definedName name="Excel_BuiltIn_Print_Titles_3" localSheetId="18">(#REF!,#REF!)</definedName>
    <definedName name="Excel_BuiltIn_Print_Titles_3" localSheetId="15">(#REF!,#REF!)</definedName>
    <definedName name="Excel_BuiltIn_Print_Titles_3" localSheetId="7">(#REF!,#REF!)</definedName>
    <definedName name="Excel_BuiltIn_Print_Titles_3">(#REF!,#REF!)</definedName>
    <definedName name="Excel_BuiltIn_Print_Titles_3_1" localSheetId="12">#REF!</definedName>
    <definedName name="Excel_BuiltIn_Print_Titles_3_1" localSheetId="6">#REF!</definedName>
    <definedName name="Excel_BuiltIn_Print_Titles_3_1" localSheetId="5">#REF!</definedName>
    <definedName name="Excel_BuiltIn_Print_Titles_3_1" localSheetId="8">#REF!</definedName>
    <definedName name="Excel_BuiltIn_Print_Titles_3_1" localSheetId="11">#REF!</definedName>
    <definedName name="Excel_BuiltIn_Print_Titles_3_1" localSheetId="9">#REF!</definedName>
    <definedName name="Excel_BuiltIn_Print_Titles_3_1" localSheetId="18">#REF!</definedName>
    <definedName name="Excel_BuiltIn_Print_Titles_3_1" localSheetId="15">#REF!</definedName>
    <definedName name="Excel_BuiltIn_Print_Titles_3_1" localSheetId="7">#REF!</definedName>
    <definedName name="Excel_BuiltIn_Print_Titles_3_1">#REF!</definedName>
    <definedName name="Excel_BuiltIn_Print_Titles_4" localSheetId="12">#REF!</definedName>
    <definedName name="Excel_BuiltIn_Print_Titles_4" localSheetId="6">#REF!</definedName>
    <definedName name="Excel_BuiltIn_Print_Titles_4" localSheetId="5">#REF!</definedName>
    <definedName name="Excel_BuiltIn_Print_Titles_4" localSheetId="8">#REF!</definedName>
    <definedName name="Excel_BuiltIn_Print_Titles_4" localSheetId="11">#REF!</definedName>
    <definedName name="Excel_BuiltIn_Print_Titles_4" localSheetId="9">#REF!</definedName>
    <definedName name="Excel_BuiltIn_Print_Titles_4" localSheetId="18">#REF!</definedName>
    <definedName name="Excel_BuiltIn_Print_Titles_4" localSheetId="15">#REF!</definedName>
    <definedName name="Excel_BuiltIn_Print_Titles_4" localSheetId="7">#REF!</definedName>
    <definedName name="Excel_BuiltIn_Print_Titles_4">#REF!</definedName>
    <definedName name="Excel_BuiltIn_Print_Titles_4_1" localSheetId="12">#REF!</definedName>
    <definedName name="Excel_BuiltIn_Print_Titles_4_1" localSheetId="6">#REF!</definedName>
    <definedName name="Excel_BuiltIn_Print_Titles_4_1" localSheetId="5">#REF!</definedName>
    <definedName name="Excel_BuiltIn_Print_Titles_4_1" localSheetId="8">#REF!</definedName>
    <definedName name="Excel_BuiltIn_Print_Titles_4_1" localSheetId="11">#REF!</definedName>
    <definedName name="Excel_BuiltIn_Print_Titles_4_1" localSheetId="9">#REF!</definedName>
    <definedName name="Excel_BuiltIn_Print_Titles_4_1" localSheetId="18">#REF!</definedName>
    <definedName name="Excel_BuiltIn_Print_Titles_4_1" localSheetId="15">#REF!</definedName>
    <definedName name="Excel_BuiltIn_Print_Titles_4_1" localSheetId="7">#REF!</definedName>
    <definedName name="Excel_BuiltIn_Print_Titles_4_1">#REF!</definedName>
    <definedName name="Excel_BuiltIn_Print_Titles_4_1_1" localSheetId="12">#REF!</definedName>
    <definedName name="Excel_BuiltIn_Print_Titles_4_1_1" localSheetId="8">#REF!</definedName>
    <definedName name="Excel_BuiltIn_Print_Titles_4_1_1" localSheetId="11">#REF!</definedName>
    <definedName name="Excel_BuiltIn_Print_Titles_4_1_1" localSheetId="9">#REF!</definedName>
    <definedName name="Excel_BuiltIn_Print_Titles_4_1_1" localSheetId="18">#REF!</definedName>
    <definedName name="Excel_BuiltIn_Print_Titles_4_1_1" localSheetId="15">#REF!</definedName>
    <definedName name="Excel_BuiltIn_Print_Titles_4_1_1" localSheetId="7">#REF!</definedName>
    <definedName name="Excel_BuiltIn_Print_Titles_4_1_1">#REF!</definedName>
    <definedName name="Excel_BuiltIn_Print_Titles_4_1_1_1" localSheetId="12">#REF!</definedName>
    <definedName name="Excel_BuiltIn_Print_Titles_4_1_1_1" localSheetId="8">#REF!</definedName>
    <definedName name="Excel_BuiltIn_Print_Titles_4_1_1_1" localSheetId="11">#REF!</definedName>
    <definedName name="Excel_BuiltIn_Print_Titles_4_1_1_1" localSheetId="9">#REF!</definedName>
    <definedName name="Excel_BuiltIn_Print_Titles_4_1_1_1" localSheetId="18">#REF!</definedName>
    <definedName name="Excel_BuiltIn_Print_Titles_4_1_1_1" localSheetId="15">#REF!</definedName>
    <definedName name="Excel_BuiltIn_Print_Titles_4_1_1_1" localSheetId="7">#REF!</definedName>
    <definedName name="Excel_BuiltIn_Print_Titles_4_1_1_1">#REF!</definedName>
    <definedName name="Excel_BuiltIn_Print_Titles_4_1_1_1_1" localSheetId="12">#REF!</definedName>
    <definedName name="Excel_BuiltIn_Print_Titles_4_1_1_1_1" localSheetId="8">#REF!</definedName>
    <definedName name="Excel_BuiltIn_Print_Titles_4_1_1_1_1" localSheetId="11">#REF!</definedName>
    <definedName name="Excel_BuiltIn_Print_Titles_4_1_1_1_1" localSheetId="9">#REF!</definedName>
    <definedName name="Excel_BuiltIn_Print_Titles_4_1_1_1_1" localSheetId="18">#REF!</definedName>
    <definedName name="Excel_BuiltIn_Print_Titles_4_1_1_1_1" localSheetId="15">#REF!</definedName>
    <definedName name="Excel_BuiltIn_Print_Titles_4_1_1_1_1" localSheetId="7">#REF!</definedName>
    <definedName name="Excel_BuiltIn_Print_Titles_4_1_1_1_1">#REF!</definedName>
    <definedName name="Excel_BuiltIn_Print_Titles_5" localSheetId="12">#REF!</definedName>
    <definedName name="Excel_BuiltIn_Print_Titles_5" localSheetId="8">#REF!</definedName>
    <definedName name="Excel_BuiltIn_Print_Titles_5" localSheetId="11">#REF!</definedName>
    <definedName name="Excel_BuiltIn_Print_Titles_5" localSheetId="9">#REF!</definedName>
    <definedName name="Excel_BuiltIn_Print_Titles_5" localSheetId="18">#REF!</definedName>
    <definedName name="Excel_BuiltIn_Print_Titles_5" localSheetId="15">#REF!</definedName>
    <definedName name="Excel_BuiltIn_Print_Titles_5" localSheetId="7">#REF!</definedName>
    <definedName name="Excel_BuiltIn_Print_Titles_5">#REF!</definedName>
    <definedName name="Excel_BuiltIn_Print_Titles_6" localSheetId="12">#REF!</definedName>
    <definedName name="Excel_BuiltIn_Print_Titles_6" localSheetId="8">#REF!</definedName>
    <definedName name="Excel_BuiltIn_Print_Titles_6" localSheetId="11">#REF!</definedName>
    <definedName name="Excel_BuiltIn_Print_Titles_6" localSheetId="9">#REF!</definedName>
    <definedName name="Excel_BuiltIn_Print_Titles_6" localSheetId="18">#REF!</definedName>
    <definedName name="Excel_BuiltIn_Print_Titles_6" localSheetId="15">#REF!</definedName>
    <definedName name="Excel_BuiltIn_Print_Titles_6" localSheetId="7">#REF!</definedName>
    <definedName name="Excel_BuiltIn_Print_Titles_6">#REF!</definedName>
    <definedName name="Excel_BuiltIn_Print_Titles_7" localSheetId="12">#REF!</definedName>
    <definedName name="Excel_BuiltIn_Print_Titles_7" localSheetId="8">#REF!</definedName>
    <definedName name="Excel_BuiltIn_Print_Titles_7" localSheetId="11">#REF!</definedName>
    <definedName name="Excel_BuiltIn_Print_Titles_7" localSheetId="9">#REF!</definedName>
    <definedName name="Excel_BuiltIn_Print_Titles_7" localSheetId="18">#REF!</definedName>
    <definedName name="Excel_BuiltIn_Print_Titles_7" localSheetId="15">#REF!</definedName>
    <definedName name="Excel_BuiltIn_Print_Titles_7" localSheetId="7">#REF!</definedName>
    <definedName name="Excel_BuiltIn_Print_Titles_7">#REF!</definedName>
    <definedName name="Excel_BuiltIn_Print_Titles_7_1" localSheetId="12">#REF!</definedName>
    <definedName name="Excel_BuiltIn_Print_Titles_7_1" localSheetId="8">#REF!</definedName>
    <definedName name="Excel_BuiltIn_Print_Titles_7_1" localSheetId="11">#REF!</definedName>
    <definedName name="Excel_BuiltIn_Print_Titles_7_1" localSheetId="9">#REF!</definedName>
    <definedName name="Excel_BuiltIn_Print_Titles_7_1" localSheetId="18">#REF!</definedName>
    <definedName name="Excel_BuiltIn_Print_Titles_7_1" localSheetId="15">#REF!</definedName>
    <definedName name="Excel_BuiltIn_Print_Titles_7_1" localSheetId="7">#REF!</definedName>
    <definedName name="Excel_BuiltIn_Print_Titles_7_1">#REF!</definedName>
    <definedName name="Excel_BuiltIn_Print_Titles_7_1_1" localSheetId="12">#REF!</definedName>
    <definedName name="Excel_BuiltIn_Print_Titles_7_1_1" localSheetId="8">#REF!</definedName>
    <definedName name="Excel_BuiltIn_Print_Titles_7_1_1" localSheetId="11">#REF!</definedName>
    <definedName name="Excel_BuiltIn_Print_Titles_7_1_1" localSheetId="9">#REF!</definedName>
    <definedName name="Excel_BuiltIn_Print_Titles_7_1_1" localSheetId="18">#REF!</definedName>
    <definedName name="Excel_BuiltIn_Print_Titles_7_1_1" localSheetId="15">#REF!</definedName>
    <definedName name="Excel_BuiltIn_Print_Titles_7_1_1" localSheetId="7">#REF!</definedName>
    <definedName name="Excel_BuiltIn_Print_Titles_7_1_1">#REF!</definedName>
    <definedName name="Excel_BuiltIn_Print_Titles_8" localSheetId="12">#REF!</definedName>
    <definedName name="Excel_BuiltIn_Print_Titles_8" localSheetId="8">#REF!</definedName>
    <definedName name="Excel_BuiltIn_Print_Titles_8" localSheetId="11">#REF!</definedName>
    <definedName name="Excel_BuiltIn_Print_Titles_8" localSheetId="9">#REF!</definedName>
    <definedName name="Excel_BuiltIn_Print_Titles_8" localSheetId="18">#REF!</definedName>
    <definedName name="Excel_BuiltIn_Print_Titles_8" localSheetId="15">#REF!</definedName>
    <definedName name="Excel_BuiltIn_Print_Titles_8" localSheetId="7">#REF!</definedName>
    <definedName name="Excel_BuiltIn_Print_Titles_8">#REF!</definedName>
    <definedName name="Excel_BuiltIn_Print_Titles_9" localSheetId="12">#REF!</definedName>
    <definedName name="Excel_BuiltIn_Print_Titles_9" localSheetId="8">#REF!</definedName>
    <definedName name="Excel_BuiltIn_Print_Titles_9" localSheetId="11">#REF!</definedName>
    <definedName name="Excel_BuiltIn_Print_Titles_9" localSheetId="9">#REF!</definedName>
    <definedName name="Excel_BuiltIn_Print_Titles_9" localSheetId="18">#REF!</definedName>
    <definedName name="Excel_BuiltIn_Print_Titles_9" localSheetId="15">#REF!</definedName>
    <definedName name="Excel_BuiltIn_Print_Titles_9" localSheetId="7">#REF!</definedName>
    <definedName name="Excel_BuiltIn_Print_Titles_9">#REF!</definedName>
    <definedName name="excf" localSheetId="12">#REF!</definedName>
    <definedName name="excf" localSheetId="0">#REF!</definedName>
    <definedName name="excf" localSheetId="1">#REF!</definedName>
    <definedName name="excf" localSheetId="8">#REF!</definedName>
    <definedName name="excf" localSheetId="11">#REF!</definedName>
    <definedName name="excf" localSheetId="9">#REF!</definedName>
    <definedName name="excf" localSheetId="18">#REF!</definedName>
    <definedName name="excf" localSheetId="15">#REF!</definedName>
    <definedName name="excf" localSheetId="7">#REF!</definedName>
    <definedName name="excf">#REF!</definedName>
    <definedName name="EXIT" localSheetId="12">#REF!</definedName>
    <definedName name="EXIT" localSheetId="8">#REF!</definedName>
    <definedName name="EXIT" localSheetId="11">#REF!</definedName>
    <definedName name="EXIT" localSheetId="9">#REF!</definedName>
    <definedName name="EXIT" localSheetId="18">#REF!</definedName>
    <definedName name="EXIT" localSheetId="15">#REF!</definedName>
    <definedName name="EXIT" localSheetId="7">#REF!</definedName>
    <definedName name="EXIT">#REF!</definedName>
    <definedName name="exovhd" localSheetId="12">#REF!</definedName>
    <definedName name="exovhd" localSheetId="8">#REF!</definedName>
    <definedName name="exovhd" localSheetId="11">#REF!</definedName>
    <definedName name="exovhd" localSheetId="9">#REF!</definedName>
    <definedName name="exovhd" localSheetId="18">#REF!</definedName>
    <definedName name="exovhd" localSheetId="15">#REF!</definedName>
    <definedName name="exovhd" localSheetId="7">#REF!</definedName>
    <definedName name="exovhd">#REF!</definedName>
    <definedName name="exp.joints" localSheetId="12">#REF!</definedName>
    <definedName name="exp.joints" localSheetId="8">#REF!</definedName>
    <definedName name="exp.joints" localSheetId="11">#REF!</definedName>
    <definedName name="exp.joints" localSheetId="9">#REF!</definedName>
    <definedName name="exp.joints" localSheetId="18">#REF!</definedName>
    <definedName name="exp.joints" localSheetId="15">#REF!</definedName>
    <definedName name="exp.joints" localSheetId="7">#REF!</definedName>
    <definedName name="exp.joints">#REF!</definedName>
    <definedName name="external" localSheetId="12">#REF!</definedName>
    <definedName name="external" localSheetId="8">#REF!</definedName>
    <definedName name="external" localSheetId="11">#REF!</definedName>
    <definedName name="external" localSheetId="9">#REF!</definedName>
    <definedName name="external" localSheetId="18">#REF!</definedName>
    <definedName name="external" localSheetId="15">#REF!</definedName>
    <definedName name="external" localSheetId="7">#REF!</definedName>
    <definedName name="external">#REF!</definedName>
    <definedName name="eyrlp" localSheetId="12">#REF!</definedName>
    <definedName name="eyrlp" localSheetId="8">#REF!</definedName>
    <definedName name="eyrlp" localSheetId="11">#REF!</definedName>
    <definedName name="eyrlp" localSheetId="9">#REF!</definedName>
    <definedName name="eyrlp" localSheetId="18">#REF!</definedName>
    <definedName name="eyrlp" localSheetId="15">#REF!</definedName>
    <definedName name="eyrlp" localSheetId="7">#REF!</definedName>
    <definedName name="eyrlp">#REF!</definedName>
    <definedName name="F" localSheetId="12">#REF!</definedName>
    <definedName name="F" localSheetId="0">#REF!</definedName>
    <definedName name="F" localSheetId="1">#REF!</definedName>
    <definedName name="F" localSheetId="8">#REF!</definedName>
    <definedName name="F" localSheetId="11">#REF!</definedName>
    <definedName name="F" localSheetId="9">#REF!</definedName>
    <definedName name="F" localSheetId="18">#REF!</definedName>
    <definedName name="F" localSheetId="15">#REF!</definedName>
    <definedName name="F" localSheetId="7">#REF!</definedName>
    <definedName name="F">#REF!</definedName>
    <definedName name="fac" localSheetId="12">#REF!</definedName>
    <definedName name="fac" localSheetId="8">#REF!</definedName>
    <definedName name="fac" localSheetId="11">#REF!</definedName>
    <definedName name="fac" localSheetId="9">#REF!</definedName>
    <definedName name="fac" localSheetId="18">#REF!</definedName>
    <definedName name="fac" localSheetId="15">#REF!</definedName>
    <definedName name="fac" localSheetId="7">#REF!</definedName>
    <definedName name="fac">#REF!</definedName>
    <definedName name="facom" localSheetId="12">#REF!</definedName>
    <definedName name="facom" localSheetId="8">#REF!</definedName>
    <definedName name="facom" localSheetId="11">#REF!</definedName>
    <definedName name="facom" localSheetId="9">#REF!</definedName>
    <definedName name="facom" localSheetId="18">#REF!</definedName>
    <definedName name="facom" localSheetId="15">#REF!</definedName>
    <definedName name="facom" localSheetId="7">#REF!</definedName>
    <definedName name="facom">#REF!</definedName>
    <definedName name="fafur" localSheetId="12">#REF!</definedName>
    <definedName name="fafur" localSheetId="8">#REF!</definedName>
    <definedName name="fafur" localSheetId="11">#REF!</definedName>
    <definedName name="fafur" localSheetId="9">#REF!</definedName>
    <definedName name="fafur" localSheetId="18">#REF!</definedName>
    <definedName name="fafur" localSheetId="15">#REF!</definedName>
    <definedName name="fafur" localSheetId="7">#REF!</definedName>
    <definedName name="fafur">#REF!</definedName>
    <definedName name="faofeq" localSheetId="12">#REF!</definedName>
    <definedName name="faofeq" localSheetId="8">#REF!</definedName>
    <definedName name="faofeq" localSheetId="11">#REF!</definedName>
    <definedName name="faofeq" localSheetId="9">#REF!</definedName>
    <definedName name="faofeq" localSheetId="18">#REF!</definedName>
    <definedName name="faofeq" localSheetId="15">#REF!</definedName>
    <definedName name="faofeq" localSheetId="7">#REF!</definedName>
    <definedName name="faofeq">#REF!</definedName>
    <definedName name="faplm" localSheetId="12">#REF!</definedName>
    <definedName name="faplm" localSheetId="8">#REF!</definedName>
    <definedName name="faplm" localSheetId="11">#REF!</definedName>
    <definedName name="faplm" localSheetId="9">#REF!</definedName>
    <definedName name="faplm" localSheetId="18">#REF!</definedName>
    <definedName name="faplm" localSheetId="15">#REF!</definedName>
    <definedName name="faplm" localSheetId="7">#REF!</definedName>
    <definedName name="faplm">#REF!</definedName>
    <definedName name="fapms" localSheetId="12">#REF!</definedName>
    <definedName name="fapms" localSheetId="8">#REF!</definedName>
    <definedName name="fapms" localSheetId="11">#REF!</definedName>
    <definedName name="fapms" localSheetId="9">#REF!</definedName>
    <definedName name="fapms" localSheetId="18">#REF!</definedName>
    <definedName name="fapms" localSheetId="15">#REF!</definedName>
    <definedName name="fapms" localSheetId="7">#REF!</definedName>
    <definedName name="fapms">#REF!</definedName>
    <definedName name="faveh" localSheetId="12">#REF!</definedName>
    <definedName name="faveh" localSheetId="8">#REF!</definedName>
    <definedName name="faveh" localSheetId="11">#REF!</definedName>
    <definedName name="faveh" localSheetId="9">#REF!</definedName>
    <definedName name="faveh" localSheetId="18">#REF!</definedName>
    <definedName name="faveh" localSheetId="15">#REF!</definedName>
    <definedName name="faveh" localSheetId="7">#REF!</definedName>
    <definedName name="faveh">#REF!</definedName>
    <definedName name="Fb" localSheetId="12">#REF!</definedName>
    <definedName name="Fb" localSheetId="8">#REF!</definedName>
    <definedName name="Fb" localSheetId="11">#REF!</definedName>
    <definedName name="Fb" localSheetId="9">#REF!</definedName>
    <definedName name="Fb" localSheetId="18">#REF!</definedName>
    <definedName name="Fb" localSheetId="15">#REF!</definedName>
    <definedName name="Fb" localSheetId="7">#REF!</definedName>
    <definedName name="Fb">#REF!</definedName>
    <definedName name="fbeam" localSheetId="12">#REF!</definedName>
    <definedName name="fbeam" localSheetId="0">#REF!</definedName>
    <definedName name="fbeam" localSheetId="1">#REF!</definedName>
    <definedName name="fbeam" localSheetId="8">#REF!</definedName>
    <definedName name="fbeam" localSheetId="11">#REF!</definedName>
    <definedName name="fbeam" localSheetId="9">#REF!</definedName>
    <definedName name="fbeam" localSheetId="18">#REF!</definedName>
    <definedName name="fbeam" localSheetId="15">#REF!</definedName>
    <definedName name="fbeam" localSheetId="7">#REF!</definedName>
    <definedName name="fbeam">#REF!</definedName>
    <definedName name="FBEAM1" localSheetId="12">#REF!</definedName>
    <definedName name="FBEAM1" localSheetId="0">#REF!</definedName>
    <definedName name="FBEAM1" localSheetId="1">#REF!</definedName>
    <definedName name="FBEAM1" localSheetId="8">#REF!</definedName>
    <definedName name="FBEAM1" localSheetId="11">#REF!</definedName>
    <definedName name="FBEAM1" localSheetId="9">#REF!</definedName>
    <definedName name="FBEAM1" localSheetId="18">#REF!</definedName>
    <definedName name="FBEAM1" localSheetId="15">#REF!</definedName>
    <definedName name="FBEAM1" localSheetId="7">#REF!</definedName>
    <definedName name="FBEAM1">#REF!</definedName>
    <definedName name="fbeam10" localSheetId="12">#REF!</definedName>
    <definedName name="fbeam10" localSheetId="0">#REF!</definedName>
    <definedName name="fbeam10" localSheetId="1">#REF!</definedName>
    <definedName name="fbeam10" localSheetId="8">#REF!</definedName>
    <definedName name="fbeam10" localSheetId="11">#REF!</definedName>
    <definedName name="fbeam10" localSheetId="9">#REF!</definedName>
    <definedName name="fbeam10" localSheetId="18">#REF!</definedName>
    <definedName name="fbeam10" localSheetId="15">#REF!</definedName>
    <definedName name="fbeam10" localSheetId="7">#REF!</definedName>
    <definedName name="fbeam10">#REF!</definedName>
    <definedName name="fbeam101" localSheetId="12">#REF!</definedName>
    <definedName name="fbeam101" localSheetId="0">#REF!</definedName>
    <definedName name="fbeam101" localSheetId="1">#REF!</definedName>
    <definedName name="fbeam101" localSheetId="8">#REF!</definedName>
    <definedName name="fbeam101" localSheetId="11">#REF!</definedName>
    <definedName name="fbeam101" localSheetId="9">#REF!</definedName>
    <definedName name="fbeam101" localSheetId="18">#REF!</definedName>
    <definedName name="fbeam101" localSheetId="15">#REF!</definedName>
    <definedName name="fbeam101" localSheetId="7">#REF!</definedName>
    <definedName name="fbeam101">#REF!</definedName>
    <definedName name="FBEAM12" localSheetId="12">#REF!</definedName>
    <definedName name="FBEAM12" localSheetId="0">#REF!</definedName>
    <definedName name="FBEAM12" localSheetId="1">#REF!</definedName>
    <definedName name="FBEAM12" localSheetId="8">#REF!</definedName>
    <definedName name="FBEAM12" localSheetId="11">#REF!</definedName>
    <definedName name="FBEAM12" localSheetId="9">#REF!</definedName>
    <definedName name="FBEAM12" localSheetId="18">#REF!</definedName>
    <definedName name="FBEAM12" localSheetId="15">#REF!</definedName>
    <definedName name="FBEAM12" localSheetId="7">#REF!</definedName>
    <definedName name="FBEAM12">#REF!</definedName>
    <definedName name="FBEAM13" localSheetId="12">#REF!</definedName>
    <definedName name="FBEAM13" localSheetId="0">#REF!</definedName>
    <definedName name="FBEAM13" localSheetId="1">#REF!</definedName>
    <definedName name="FBEAM13" localSheetId="8">#REF!</definedName>
    <definedName name="FBEAM13" localSheetId="11">#REF!</definedName>
    <definedName name="FBEAM13" localSheetId="9">#REF!</definedName>
    <definedName name="FBEAM13" localSheetId="18">#REF!</definedName>
    <definedName name="FBEAM13" localSheetId="15">#REF!</definedName>
    <definedName name="FBEAM13" localSheetId="7">#REF!</definedName>
    <definedName name="FBEAM13">#REF!</definedName>
    <definedName name="fbeam2" localSheetId="12">#REF!</definedName>
    <definedName name="fbeam2" localSheetId="0">#REF!</definedName>
    <definedName name="fbeam2" localSheetId="1">#REF!</definedName>
    <definedName name="fbeam2" localSheetId="8">#REF!</definedName>
    <definedName name="fbeam2" localSheetId="11">#REF!</definedName>
    <definedName name="fbeam2" localSheetId="9">#REF!</definedName>
    <definedName name="fbeam2" localSheetId="18">#REF!</definedName>
    <definedName name="fbeam2" localSheetId="15">#REF!</definedName>
    <definedName name="fbeam2" localSheetId="7">#REF!</definedName>
    <definedName name="fbeam2">#REF!</definedName>
    <definedName name="FBEAM23" localSheetId="12">#REF!</definedName>
    <definedName name="FBEAM23" localSheetId="0">#REF!</definedName>
    <definedName name="FBEAM23" localSheetId="1">#REF!</definedName>
    <definedName name="FBEAM23" localSheetId="8">#REF!</definedName>
    <definedName name="FBEAM23" localSheetId="11">#REF!</definedName>
    <definedName name="FBEAM23" localSheetId="9">#REF!</definedName>
    <definedName name="FBEAM23" localSheetId="18">#REF!</definedName>
    <definedName name="FBEAM23" localSheetId="15">#REF!</definedName>
    <definedName name="FBEAM23" localSheetId="7">#REF!</definedName>
    <definedName name="FBEAM23">#REF!</definedName>
    <definedName name="FCD" localSheetId="12">#REF!</definedName>
    <definedName name="FCD" localSheetId="8">#REF!</definedName>
    <definedName name="FCD" localSheetId="11">#REF!</definedName>
    <definedName name="FCD" localSheetId="9">#REF!</definedName>
    <definedName name="FCD" localSheetId="18">#REF!</definedName>
    <definedName name="FCD" localSheetId="15">#REF!</definedName>
    <definedName name="FCD" localSheetId="7">#REF!</definedName>
    <definedName name="FCD">#REF!</definedName>
    <definedName name="FDC" localSheetId="12">#REF!</definedName>
    <definedName name="FDC" localSheetId="8">#REF!</definedName>
    <definedName name="FDC" localSheetId="11">#REF!</definedName>
    <definedName name="FDC" localSheetId="9">#REF!</definedName>
    <definedName name="FDC" localSheetId="18">#REF!</definedName>
    <definedName name="FDC" localSheetId="15">#REF!</definedName>
    <definedName name="FDC" localSheetId="7">#REF!</definedName>
    <definedName name="FDC">#REF!</definedName>
    <definedName name="fddefe" localSheetId="12">#REF!</definedName>
    <definedName name="fddefe" localSheetId="8">#REF!</definedName>
    <definedName name="fddefe" localSheetId="11">#REF!</definedName>
    <definedName name="fddefe" localSheetId="9">#REF!</definedName>
    <definedName name="fddefe" localSheetId="18">#REF!</definedName>
    <definedName name="fddefe" localSheetId="15">#REF!</definedName>
    <definedName name="fddefe" localSheetId="7">#REF!</definedName>
    <definedName name="fddefe">#REF!</definedName>
    <definedName name="fdrop" localSheetId="12">#REF!</definedName>
    <definedName name="fdrop" localSheetId="0">#REF!</definedName>
    <definedName name="fdrop" localSheetId="1">#REF!</definedName>
    <definedName name="fdrop" localSheetId="8">#REF!</definedName>
    <definedName name="fdrop" localSheetId="11">#REF!</definedName>
    <definedName name="fdrop" localSheetId="9">#REF!</definedName>
    <definedName name="fdrop" localSheetId="18">#REF!</definedName>
    <definedName name="fdrop" localSheetId="15">#REF!</definedName>
    <definedName name="fdrop" localSheetId="7">#REF!</definedName>
    <definedName name="fdrop">#REF!</definedName>
    <definedName name="fdrop1" localSheetId="12">#REF!</definedName>
    <definedName name="fdrop1" localSheetId="0">#REF!</definedName>
    <definedName name="fdrop1" localSheetId="1">#REF!</definedName>
    <definedName name="fdrop1" localSheetId="8">#REF!</definedName>
    <definedName name="fdrop1" localSheetId="11">#REF!</definedName>
    <definedName name="fdrop1" localSheetId="9">#REF!</definedName>
    <definedName name="fdrop1" localSheetId="18">#REF!</definedName>
    <definedName name="fdrop1" localSheetId="15">#REF!</definedName>
    <definedName name="fdrop1" localSheetId="7">#REF!</definedName>
    <definedName name="fdrop1">#REF!</definedName>
    <definedName name="fdrop10" localSheetId="12">#REF!</definedName>
    <definedName name="fdrop10" localSheetId="0">#REF!</definedName>
    <definedName name="fdrop10" localSheetId="1">#REF!</definedName>
    <definedName name="fdrop10" localSheetId="8">#REF!</definedName>
    <definedName name="fdrop10" localSheetId="11">#REF!</definedName>
    <definedName name="fdrop10" localSheetId="9">#REF!</definedName>
    <definedName name="fdrop10" localSheetId="18">#REF!</definedName>
    <definedName name="fdrop10" localSheetId="15">#REF!</definedName>
    <definedName name="fdrop10" localSheetId="7">#REF!</definedName>
    <definedName name="fdrop10">#REF!</definedName>
    <definedName name="fdrop101" localSheetId="12">#REF!</definedName>
    <definedName name="fdrop101" localSheetId="0">#REF!</definedName>
    <definedName name="fdrop101" localSheetId="1">#REF!</definedName>
    <definedName name="fdrop101" localSheetId="8">#REF!</definedName>
    <definedName name="fdrop101" localSheetId="11">#REF!</definedName>
    <definedName name="fdrop101" localSheetId="9">#REF!</definedName>
    <definedName name="fdrop101" localSheetId="18">#REF!</definedName>
    <definedName name="fdrop101" localSheetId="15">#REF!</definedName>
    <definedName name="fdrop101" localSheetId="7">#REF!</definedName>
    <definedName name="fdrop101">#REF!</definedName>
    <definedName name="fdrop102" localSheetId="12">#REF!</definedName>
    <definedName name="fdrop102" localSheetId="0">#REF!</definedName>
    <definedName name="fdrop102" localSheetId="1">#REF!</definedName>
    <definedName name="fdrop102" localSheetId="8">#REF!</definedName>
    <definedName name="fdrop102" localSheetId="11">#REF!</definedName>
    <definedName name="fdrop102" localSheetId="9">#REF!</definedName>
    <definedName name="fdrop102" localSheetId="18">#REF!</definedName>
    <definedName name="fdrop102" localSheetId="15">#REF!</definedName>
    <definedName name="fdrop102" localSheetId="7">#REF!</definedName>
    <definedName name="fdrop102">#REF!</definedName>
    <definedName name="FDROP11" localSheetId="12">#REF!</definedName>
    <definedName name="FDROP11" localSheetId="0">#REF!</definedName>
    <definedName name="FDROP11" localSheetId="1">#REF!</definedName>
    <definedName name="FDROP11" localSheetId="8">#REF!</definedName>
    <definedName name="FDROP11" localSheetId="11">#REF!</definedName>
    <definedName name="FDROP11" localSheetId="9">#REF!</definedName>
    <definedName name="FDROP11" localSheetId="18">#REF!</definedName>
    <definedName name="FDROP11" localSheetId="15">#REF!</definedName>
    <definedName name="FDROP11" localSheetId="7">#REF!</definedName>
    <definedName name="FDROP11">#REF!</definedName>
    <definedName name="fdrop111" localSheetId="12">#REF!</definedName>
    <definedName name="fdrop111" localSheetId="0">#REF!</definedName>
    <definedName name="fdrop111" localSheetId="1">#REF!</definedName>
    <definedName name="fdrop111" localSheetId="8">#REF!</definedName>
    <definedName name="fdrop111" localSheetId="11">#REF!</definedName>
    <definedName name="fdrop111" localSheetId="9">#REF!</definedName>
    <definedName name="fdrop111" localSheetId="18">#REF!</definedName>
    <definedName name="fdrop111" localSheetId="15">#REF!</definedName>
    <definedName name="fdrop111" localSheetId="7">#REF!</definedName>
    <definedName name="fdrop111">#REF!</definedName>
    <definedName name="fdrop12" localSheetId="12">#REF!</definedName>
    <definedName name="fdrop12" localSheetId="0">#REF!</definedName>
    <definedName name="fdrop12" localSheetId="1">#REF!</definedName>
    <definedName name="fdrop12" localSheetId="8">#REF!</definedName>
    <definedName name="fdrop12" localSheetId="11">#REF!</definedName>
    <definedName name="fdrop12" localSheetId="9">#REF!</definedName>
    <definedName name="fdrop12" localSheetId="18">#REF!</definedName>
    <definedName name="fdrop12" localSheetId="15">#REF!</definedName>
    <definedName name="fdrop12" localSheetId="7">#REF!</definedName>
    <definedName name="fdrop12">#REF!</definedName>
    <definedName name="FDROP121" localSheetId="12">#REF!</definedName>
    <definedName name="FDROP121" localSheetId="0">#REF!</definedName>
    <definedName name="FDROP121" localSheetId="1">#REF!</definedName>
    <definedName name="FDROP121" localSheetId="8">#REF!</definedName>
    <definedName name="FDROP121" localSheetId="11">#REF!</definedName>
    <definedName name="FDROP121" localSheetId="9">#REF!</definedName>
    <definedName name="FDROP121" localSheetId="18">#REF!</definedName>
    <definedName name="FDROP121" localSheetId="15">#REF!</definedName>
    <definedName name="FDROP121" localSheetId="7">#REF!</definedName>
    <definedName name="FDROP121">#REF!</definedName>
    <definedName name="FDROP13" localSheetId="12">#REF!</definedName>
    <definedName name="FDROP13" localSheetId="0">#REF!</definedName>
    <definedName name="FDROP13" localSheetId="1">#REF!</definedName>
    <definedName name="FDROP13" localSheetId="8">#REF!</definedName>
    <definedName name="FDROP13" localSheetId="11">#REF!</definedName>
    <definedName name="FDROP13" localSheetId="9">#REF!</definedName>
    <definedName name="FDROP13" localSheetId="18">#REF!</definedName>
    <definedName name="FDROP13" localSheetId="15">#REF!</definedName>
    <definedName name="FDROP13" localSheetId="7">#REF!</definedName>
    <definedName name="FDROP13">#REF!</definedName>
    <definedName name="FDROP14" localSheetId="12">#REF!</definedName>
    <definedName name="FDROP14" localSheetId="0">#REF!</definedName>
    <definedName name="FDROP14" localSheetId="1">#REF!</definedName>
    <definedName name="FDROP14" localSheetId="8">#REF!</definedName>
    <definedName name="FDROP14" localSheetId="11">#REF!</definedName>
    <definedName name="FDROP14" localSheetId="9">#REF!</definedName>
    <definedName name="FDROP14" localSheetId="18">#REF!</definedName>
    <definedName name="FDROP14" localSheetId="15">#REF!</definedName>
    <definedName name="FDROP14" localSheetId="7">#REF!</definedName>
    <definedName name="FDROP14">#REF!</definedName>
    <definedName name="FDROP15" localSheetId="12">#REF!</definedName>
    <definedName name="FDROP15" localSheetId="0">#REF!</definedName>
    <definedName name="FDROP15" localSheetId="1">#REF!</definedName>
    <definedName name="FDROP15" localSheetId="8">#REF!</definedName>
    <definedName name="FDROP15" localSheetId="11">#REF!</definedName>
    <definedName name="FDROP15" localSheetId="9">#REF!</definedName>
    <definedName name="FDROP15" localSheetId="18">#REF!</definedName>
    <definedName name="FDROP15" localSheetId="15">#REF!</definedName>
    <definedName name="FDROP15" localSheetId="7">#REF!</definedName>
    <definedName name="FDROP15">#REF!</definedName>
    <definedName name="FDROP16" localSheetId="12">#REF!</definedName>
    <definedName name="FDROP16" localSheetId="0">#REF!</definedName>
    <definedName name="FDROP16" localSheetId="1">#REF!</definedName>
    <definedName name="FDROP16" localSheetId="8">#REF!</definedName>
    <definedName name="FDROP16" localSheetId="11">#REF!</definedName>
    <definedName name="FDROP16" localSheetId="9">#REF!</definedName>
    <definedName name="FDROP16" localSheetId="18">#REF!</definedName>
    <definedName name="FDROP16" localSheetId="15">#REF!</definedName>
    <definedName name="FDROP16" localSheetId="7">#REF!</definedName>
    <definedName name="FDROP16">#REF!</definedName>
    <definedName name="FDROP17" localSheetId="12">#REF!</definedName>
    <definedName name="FDROP17" localSheetId="0">#REF!</definedName>
    <definedName name="FDROP17" localSheetId="1">#REF!</definedName>
    <definedName name="FDROP17" localSheetId="8">#REF!</definedName>
    <definedName name="FDROP17" localSheetId="11">#REF!</definedName>
    <definedName name="FDROP17" localSheetId="9">#REF!</definedName>
    <definedName name="FDROP17" localSheetId="18">#REF!</definedName>
    <definedName name="FDROP17" localSheetId="15">#REF!</definedName>
    <definedName name="FDROP17" localSheetId="7">#REF!</definedName>
    <definedName name="FDROP17">#REF!</definedName>
    <definedName name="FDROP2" localSheetId="12">#REF!</definedName>
    <definedName name="FDROP2" localSheetId="0">#REF!</definedName>
    <definedName name="FDROP2" localSheetId="1">#REF!</definedName>
    <definedName name="FDROP2" localSheetId="8">#REF!</definedName>
    <definedName name="FDROP2" localSheetId="11">#REF!</definedName>
    <definedName name="FDROP2" localSheetId="9">#REF!</definedName>
    <definedName name="FDROP2" localSheetId="18">#REF!</definedName>
    <definedName name="FDROP2" localSheetId="15">#REF!</definedName>
    <definedName name="FDROP2" localSheetId="7">#REF!</definedName>
    <definedName name="FDROP2">#REF!</definedName>
    <definedName name="fdrop3" localSheetId="12">#REF!</definedName>
    <definedName name="fdrop3" localSheetId="0">#REF!</definedName>
    <definedName name="fdrop3" localSheetId="1">#REF!</definedName>
    <definedName name="fdrop3" localSheetId="8">#REF!</definedName>
    <definedName name="fdrop3" localSheetId="11">#REF!</definedName>
    <definedName name="fdrop3" localSheetId="9">#REF!</definedName>
    <definedName name="fdrop3" localSheetId="18">#REF!</definedName>
    <definedName name="fdrop3" localSheetId="15">#REF!</definedName>
    <definedName name="fdrop3" localSheetId="7">#REF!</definedName>
    <definedName name="fdrop3">#REF!</definedName>
    <definedName name="FDV" localSheetId="12">#REF!</definedName>
    <definedName name="FDV" localSheetId="8">#REF!</definedName>
    <definedName name="FDV" localSheetId="11">#REF!</definedName>
    <definedName name="FDV" localSheetId="9">#REF!</definedName>
    <definedName name="FDV" localSheetId="18">#REF!</definedName>
    <definedName name="FDV" localSheetId="15">#REF!</definedName>
    <definedName name="FDV" localSheetId="7">#REF!</definedName>
    <definedName name="FDV">#REF!</definedName>
    <definedName name="FEB_05" localSheetId="12">#REF!</definedName>
    <definedName name="FEB_05" localSheetId="8">#REF!</definedName>
    <definedName name="FEB_05" localSheetId="11">#REF!</definedName>
    <definedName name="FEB_05" localSheetId="9">#REF!</definedName>
    <definedName name="FEB_05" localSheetId="18">#REF!</definedName>
    <definedName name="FEB_05" localSheetId="15">#REF!</definedName>
    <definedName name="FEB_05" localSheetId="7">#REF!</definedName>
    <definedName name="FEB_05">#REF!</definedName>
    <definedName name="feb_qty_rev_3" localSheetId="12">#REF!</definedName>
    <definedName name="feb_qty_rev_3" localSheetId="8">#REF!</definedName>
    <definedName name="feb_qty_rev_3" localSheetId="11">#REF!</definedName>
    <definedName name="feb_qty_rev_3" localSheetId="9">#REF!</definedName>
    <definedName name="feb_qty_rev_3" localSheetId="18">#REF!</definedName>
    <definedName name="feb_qty_rev_3" localSheetId="15">#REF!</definedName>
    <definedName name="feb_qty_rev_3" localSheetId="7">#REF!</definedName>
    <definedName name="feb_qty_rev_3">#REF!</definedName>
    <definedName name="feb_rev4_qty" localSheetId="12">#REF!</definedName>
    <definedName name="feb_rev4_qty" localSheetId="8">#REF!</definedName>
    <definedName name="feb_rev4_qty" localSheetId="11">#REF!</definedName>
    <definedName name="feb_rev4_qty" localSheetId="9">#REF!</definedName>
    <definedName name="feb_rev4_qty" localSheetId="18">#REF!</definedName>
    <definedName name="feb_rev4_qty" localSheetId="15">#REF!</definedName>
    <definedName name="feb_rev4_qty" localSheetId="7">#REF!</definedName>
    <definedName name="feb_rev4_qty">#REF!</definedName>
    <definedName name="FF" localSheetId="12">#REF!</definedName>
    <definedName name="FF" localSheetId="8">#REF!</definedName>
    <definedName name="FF" localSheetId="11">#REF!</definedName>
    <definedName name="FF" localSheetId="9">#REF!</definedName>
    <definedName name="FF" localSheetId="18">#REF!</definedName>
    <definedName name="FF" localSheetId="15">#REF!</definedName>
    <definedName name="FF" localSheetId="7">#REF!</definedName>
    <definedName name="FF">#REF!</definedName>
    <definedName name="fff" localSheetId="1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fff" localSheetId="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fff" localSheetId="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fff"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fff" localSheetId="1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fff" localSheetId="9"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fff" localSheetId="1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fff" localSheetId="1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fff"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fff" localSheetId="7"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fff"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ffffffffffffff" localSheetId="12">#REF!</definedName>
    <definedName name="ffffffffffffff" localSheetId="6">#REF!</definedName>
    <definedName name="ffffffffffffff" localSheetId="5">#REF!</definedName>
    <definedName name="ffffffffffffff" localSheetId="8">#REF!</definedName>
    <definedName name="ffffffffffffff" localSheetId="11">#REF!</definedName>
    <definedName name="ffffffffffffff" localSheetId="9">#REF!</definedName>
    <definedName name="ffffffffffffff" localSheetId="18">#REF!</definedName>
    <definedName name="ffffffffffffff" localSheetId="15">#REF!</definedName>
    <definedName name="ffffffffffffff" localSheetId="7">#REF!</definedName>
    <definedName name="ffffffffffffff">#REF!</definedName>
    <definedName name="FFGB28" localSheetId="12">#REF!</definedName>
    <definedName name="FFGB28" localSheetId="0">#REF!</definedName>
    <definedName name="FFGB28" localSheetId="1">#REF!</definedName>
    <definedName name="FFGB28" localSheetId="6">#REF!</definedName>
    <definedName name="FFGB28" localSheetId="5">#REF!</definedName>
    <definedName name="FFGB28" localSheetId="8">#REF!</definedName>
    <definedName name="FFGB28" localSheetId="11">#REF!</definedName>
    <definedName name="FFGB28" localSheetId="9">#REF!</definedName>
    <definedName name="FFGB28" localSheetId="18">#REF!</definedName>
    <definedName name="FFGB28" localSheetId="15">#REF!</definedName>
    <definedName name="FFGB28" localSheetId="7">#REF!</definedName>
    <definedName name="FFGB28">#REF!</definedName>
    <definedName name="FFGB5" localSheetId="12">#REF!</definedName>
    <definedName name="FFGB5" localSheetId="0">#REF!</definedName>
    <definedName name="FFGB5" localSheetId="1">#REF!</definedName>
    <definedName name="FFGB5" localSheetId="8">#REF!</definedName>
    <definedName name="FFGB5" localSheetId="11">#REF!</definedName>
    <definedName name="FFGB5" localSheetId="9">#REF!</definedName>
    <definedName name="FFGB5" localSheetId="18">#REF!</definedName>
    <definedName name="FFGB5" localSheetId="15">#REF!</definedName>
    <definedName name="FFGB5" localSheetId="7">#REF!</definedName>
    <definedName name="FFGB5">#REF!</definedName>
    <definedName name="FFGB55" localSheetId="12">#REF!</definedName>
    <definedName name="FFGB55" localSheetId="0">#REF!</definedName>
    <definedName name="FFGB55" localSheetId="1">#REF!</definedName>
    <definedName name="FFGB55" localSheetId="8">#REF!</definedName>
    <definedName name="FFGB55" localSheetId="11">#REF!</definedName>
    <definedName name="FFGB55" localSheetId="9">#REF!</definedName>
    <definedName name="FFGB55" localSheetId="18">#REF!</definedName>
    <definedName name="FFGB55" localSheetId="15">#REF!</definedName>
    <definedName name="FFGB55" localSheetId="7">#REF!</definedName>
    <definedName name="FFGB55">#REF!</definedName>
    <definedName name="FFGB56" localSheetId="12">#REF!</definedName>
    <definedName name="FFGB56" localSheetId="0">#REF!</definedName>
    <definedName name="FFGB56" localSheetId="1">#REF!</definedName>
    <definedName name="FFGB56" localSheetId="8">#REF!</definedName>
    <definedName name="FFGB56" localSheetId="11">#REF!</definedName>
    <definedName name="FFGB56" localSheetId="9">#REF!</definedName>
    <definedName name="FFGB56" localSheetId="18">#REF!</definedName>
    <definedName name="FFGB56" localSheetId="15">#REF!</definedName>
    <definedName name="FFGB56" localSheetId="7">#REF!</definedName>
    <definedName name="FFGB56">#REF!</definedName>
    <definedName name="FFGB57" localSheetId="12">#REF!</definedName>
    <definedName name="FFGB57" localSheetId="0">#REF!</definedName>
    <definedName name="FFGB57" localSheetId="1">#REF!</definedName>
    <definedName name="FFGB57" localSheetId="8">#REF!</definedName>
    <definedName name="FFGB57" localSheetId="11">#REF!</definedName>
    <definedName name="FFGB57" localSheetId="9">#REF!</definedName>
    <definedName name="FFGB57" localSheetId="18">#REF!</definedName>
    <definedName name="FFGB57" localSheetId="15">#REF!</definedName>
    <definedName name="FFGB57" localSheetId="7">#REF!</definedName>
    <definedName name="FFGB57">#REF!</definedName>
    <definedName name="FFGB58" localSheetId="12">#REF!</definedName>
    <definedName name="FFGB58" localSheetId="0">#REF!</definedName>
    <definedName name="FFGB58" localSheetId="1">#REF!</definedName>
    <definedName name="FFGB58" localSheetId="8">#REF!</definedName>
    <definedName name="FFGB58" localSheetId="11">#REF!</definedName>
    <definedName name="FFGB58" localSheetId="9">#REF!</definedName>
    <definedName name="FFGB58" localSheetId="18">#REF!</definedName>
    <definedName name="FFGB58" localSheetId="15">#REF!</definedName>
    <definedName name="FFGB58" localSheetId="7">#REF!</definedName>
    <definedName name="FFGB58">#REF!</definedName>
    <definedName name="FGDDDDDDDDDDDDDD" localSheetId="12">#REF!</definedName>
    <definedName name="FGDDDDDDDDDDDDDD" localSheetId="8">#REF!</definedName>
    <definedName name="FGDDDDDDDDDDDDDD" localSheetId="11">#REF!</definedName>
    <definedName name="FGDDDDDDDDDDDDDD" localSheetId="9">#REF!</definedName>
    <definedName name="FGDDDDDDDDDDDDDD" localSheetId="18">#REF!</definedName>
    <definedName name="FGDDDDDDDDDDDDDD" localSheetId="15">#REF!</definedName>
    <definedName name="FGDDDDDDDDDDDDDD" localSheetId="7">#REF!</definedName>
    <definedName name="FGDDDDDDDDDDDDDD">#REF!</definedName>
    <definedName name="FGDGB" localSheetId="12" hidden="1">#REF!</definedName>
    <definedName name="FGDGB" localSheetId="8" hidden="1">#REF!</definedName>
    <definedName name="FGDGB" localSheetId="11" hidden="1">#REF!</definedName>
    <definedName name="FGDGB" localSheetId="9" hidden="1">#REF!</definedName>
    <definedName name="FGDGB" localSheetId="18" hidden="1">#REF!</definedName>
    <definedName name="FGDGB" localSheetId="15" hidden="1">#REF!</definedName>
    <definedName name="FGDGB" localSheetId="7" hidden="1">#REF!</definedName>
    <definedName name="FGDGB" hidden="1">#REF!</definedName>
    <definedName name="fgf" localSheetId="12">#REF!</definedName>
    <definedName name="fgf" localSheetId="0">#REF!</definedName>
    <definedName name="fgf" localSheetId="1">#REF!</definedName>
    <definedName name="fgf" localSheetId="8">#REF!</definedName>
    <definedName name="fgf" localSheetId="11">#REF!</definedName>
    <definedName name="fgf" localSheetId="9">#REF!</definedName>
    <definedName name="fgf" localSheetId="18">#REF!</definedName>
    <definedName name="fgf" localSheetId="15">#REF!</definedName>
    <definedName name="fgf" localSheetId="7">#REF!</definedName>
    <definedName name="fgf">#REF!</definedName>
    <definedName name="FGGGGGGG" localSheetId="12">#REF!</definedName>
    <definedName name="FGGGGGGG" localSheetId="8">#REF!</definedName>
    <definedName name="FGGGGGGG" localSheetId="11">#REF!</definedName>
    <definedName name="FGGGGGGG" localSheetId="9">#REF!</definedName>
    <definedName name="FGGGGGGG" localSheetId="18">#REF!</definedName>
    <definedName name="FGGGGGGG" localSheetId="15">#REF!</definedName>
    <definedName name="FGGGGGGG" localSheetId="7">#REF!</definedName>
    <definedName name="FGGGGGGG">#REF!</definedName>
    <definedName name="FGV" localSheetId="12">#REF!</definedName>
    <definedName name="FGV" localSheetId="8">#REF!</definedName>
    <definedName name="FGV" localSheetId="11">#REF!</definedName>
    <definedName name="FGV" localSheetId="9">#REF!</definedName>
    <definedName name="FGV" localSheetId="18">#REF!</definedName>
    <definedName name="FGV" localSheetId="15">#REF!</definedName>
    <definedName name="FGV" localSheetId="7">#REF!</definedName>
    <definedName name="FGV">#REF!</definedName>
    <definedName name="Fh" localSheetId="12">#REF!</definedName>
    <definedName name="Fh" localSheetId="8">#REF!</definedName>
    <definedName name="Fh" localSheetId="11">#REF!</definedName>
    <definedName name="Fh" localSheetId="9">#REF!</definedName>
    <definedName name="Fh" localSheetId="18">#REF!</definedName>
    <definedName name="Fh" localSheetId="15">#REF!</definedName>
    <definedName name="Fh" localSheetId="7">#REF!</definedName>
    <definedName name="Fh">#REF!</definedName>
    <definedName name="fhhhh" localSheetId="12" hidden="1">{#N/A,#N/A,FALSE,"str_title";#N/A,#N/A,FALSE,"SUM";#N/A,#N/A,FALSE,"Scope";#N/A,#N/A,FALSE,"PIE-Jn";#N/A,#N/A,FALSE,"PIE-Jn_Hz";#N/A,#N/A,FALSE,"Liq_Plan";#N/A,#N/A,FALSE,"S_Curve";#N/A,#N/A,FALSE,"Liq_Prof";#N/A,#N/A,FALSE,"Man_Pwr";#N/A,#N/A,FALSE,"Man_Prof"}</definedName>
    <definedName name="fhhhh" localSheetId="6" hidden="1">{#N/A,#N/A,FALSE,"str_title";#N/A,#N/A,FALSE,"SUM";#N/A,#N/A,FALSE,"Scope";#N/A,#N/A,FALSE,"PIE-Jn";#N/A,#N/A,FALSE,"PIE-Jn_Hz";#N/A,#N/A,FALSE,"Liq_Plan";#N/A,#N/A,FALSE,"S_Curve";#N/A,#N/A,FALSE,"Liq_Prof";#N/A,#N/A,FALSE,"Man_Pwr";#N/A,#N/A,FALSE,"Man_Prof"}</definedName>
    <definedName name="fhhhh" localSheetId="5" hidden="1">{#N/A,#N/A,FALSE,"str_title";#N/A,#N/A,FALSE,"SUM";#N/A,#N/A,FALSE,"Scope";#N/A,#N/A,FALSE,"PIE-Jn";#N/A,#N/A,FALSE,"PIE-Jn_Hz";#N/A,#N/A,FALSE,"Liq_Plan";#N/A,#N/A,FALSE,"S_Curve";#N/A,#N/A,FALSE,"Liq_Prof";#N/A,#N/A,FALSE,"Man_Pwr";#N/A,#N/A,FALSE,"Man_Prof"}</definedName>
    <definedName name="fhhhh" localSheetId="8" hidden="1">{#N/A,#N/A,FALSE,"str_title";#N/A,#N/A,FALSE,"SUM";#N/A,#N/A,FALSE,"Scope";#N/A,#N/A,FALSE,"PIE-Jn";#N/A,#N/A,FALSE,"PIE-Jn_Hz";#N/A,#N/A,FALSE,"Liq_Plan";#N/A,#N/A,FALSE,"S_Curve";#N/A,#N/A,FALSE,"Liq_Prof";#N/A,#N/A,FALSE,"Man_Pwr";#N/A,#N/A,FALSE,"Man_Prof"}</definedName>
    <definedName name="fhhhh" localSheetId="11" hidden="1">{#N/A,#N/A,FALSE,"str_title";#N/A,#N/A,FALSE,"SUM";#N/A,#N/A,FALSE,"Scope";#N/A,#N/A,FALSE,"PIE-Jn";#N/A,#N/A,FALSE,"PIE-Jn_Hz";#N/A,#N/A,FALSE,"Liq_Plan";#N/A,#N/A,FALSE,"S_Curve";#N/A,#N/A,FALSE,"Liq_Prof";#N/A,#N/A,FALSE,"Man_Pwr";#N/A,#N/A,FALSE,"Man_Prof"}</definedName>
    <definedName name="fhhhh" localSheetId="9" hidden="1">{#N/A,#N/A,FALSE,"str_title";#N/A,#N/A,FALSE,"SUM";#N/A,#N/A,FALSE,"Scope";#N/A,#N/A,FALSE,"PIE-Jn";#N/A,#N/A,FALSE,"PIE-Jn_Hz";#N/A,#N/A,FALSE,"Liq_Plan";#N/A,#N/A,FALSE,"S_Curve";#N/A,#N/A,FALSE,"Liq_Prof";#N/A,#N/A,FALSE,"Man_Pwr";#N/A,#N/A,FALSE,"Man_Prof"}</definedName>
    <definedName name="fhhhh" localSheetId="13" hidden="1">{#N/A,#N/A,FALSE,"str_title";#N/A,#N/A,FALSE,"SUM";#N/A,#N/A,FALSE,"Scope";#N/A,#N/A,FALSE,"PIE-Jn";#N/A,#N/A,FALSE,"PIE-Jn_Hz";#N/A,#N/A,FALSE,"Liq_Plan";#N/A,#N/A,FALSE,"S_Curve";#N/A,#N/A,FALSE,"Liq_Prof";#N/A,#N/A,FALSE,"Man_Pwr";#N/A,#N/A,FALSE,"Man_Prof"}</definedName>
    <definedName name="fhhhh" localSheetId="18" hidden="1">{#N/A,#N/A,FALSE,"str_title";#N/A,#N/A,FALSE,"SUM";#N/A,#N/A,FALSE,"Scope";#N/A,#N/A,FALSE,"PIE-Jn";#N/A,#N/A,FALSE,"PIE-Jn_Hz";#N/A,#N/A,FALSE,"Liq_Plan";#N/A,#N/A,FALSE,"S_Curve";#N/A,#N/A,FALSE,"Liq_Prof";#N/A,#N/A,FALSE,"Man_Pwr";#N/A,#N/A,FALSE,"Man_Prof"}</definedName>
    <definedName name="fhhhh" localSheetId="15" hidden="1">{#N/A,#N/A,FALSE,"str_title";#N/A,#N/A,FALSE,"SUM";#N/A,#N/A,FALSE,"Scope";#N/A,#N/A,FALSE,"PIE-Jn";#N/A,#N/A,FALSE,"PIE-Jn_Hz";#N/A,#N/A,FALSE,"Liq_Plan";#N/A,#N/A,FALSE,"S_Curve";#N/A,#N/A,FALSE,"Liq_Prof";#N/A,#N/A,FALSE,"Man_Pwr";#N/A,#N/A,FALSE,"Man_Prof"}</definedName>
    <definedName name="fhhhh" localSheetId="7"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R" localSheetId="12">#REF!</definedName>
    <definedName name="FHR" localSheetId="6">#REF!</definedName>
    <definedName name="FHR" localSheetId="5">#REF!</definedName>
    <definedName name="FHR" localSheetId="8">#REF!</definedName>
    <definedName name="FHR" localSheetId="11">#REF!</definedName>
    <definedName name="FHR" localSheetId="9">#REF!</definedName>
    <definedName name="FHR" localSheetId="18">#REF!</definedName>
    <definedName name="FHR" localSheetId="15">#REF!</definedName>
    <definedName name="FHR" localSheetId="7">#REF!</definedName>
    <definedName name="FHR">#REF!</definedName>
    <definedName name="Fhwl" localSheetId="12">#REF!</definedName>
    <definedName name="Fhwl" localSheetId="6">#REF!</definedName>
    <definedName name="Fhwl" localSheetId="5">#REF!</definedName>
    <definedName name="Fhwl" localSheetId="8">#REF!</definedName>
    <definedName name="Fhwl" localSheetId="11">#REF!</definedName>
    <definedName name="Fhwl" localSheetId="9">#REF!</definedName>
    <definedName name="Fhwl" localSheetId="18">#REF!</definedName>
    <definedName name="Fhwl" localSheetId="15">#REF!</definedName>
    <definedName name="Fhwl" localSheetId="7">#REF!</definedName>
    <definedName name="Fhwl">#REF!</definedName>
    <definedName name="filtermaterial" localSheetId="12">#REF!</definedName>
    <definedName name="filtermaterial" localSheetId="6">#REF!</definedName>
    <definedName name="filtermaterial" localSheetId="5">#REF!</definedName>
    <definedName name="filtermaterial" localSheetId="8">#REF!</definedName>
    <definedName name="filtermaterial" localSheetId="11">#REF!</definedName>
    <definedName name="filtermaterial" localSheetId="9">#REF!</definedName>
    <definedName name="filtermaterial" localSheetId="18">#REF!</definedName>
    <definedName name="filtermaterial" localSheetId="15">#REF!</definedName>
    <definedName name="filtermaterial" localSheetId="7">#REF!</definedName>
    <definedName name="filtermaterial">#REF!</definedName>
    <definedName name="Final" localSheetId="12" hidden="1">{#N/A,#N/A,TRUE,"Front";#N/A,#N/A,TRUE,"Simple Letter";#N/A,#N/A,TRUE,"Inside";#N/A,#N/A,TRUE,"Contents";#N/A,#N/A,TRUE,"Basis";#N/A,#N/A,TRUE,"Inclusions";#N/A,#N/A,TRUE,"Exclusions";#N/A,#N/A,TRUE,"Areas";#N/A,#N/A,TRUE,"Summary";#N/A,#N/A,TRUE,"Detail"}</definedName>
    <definedName name="Final" localSheetId="6" hidden="1">{#N/A,#N/A,TRUE,"Front";#N/A,#N/A,TRUE,"Simple Letter";#N/A,#N/A,TRUE,"Inside";#N/A,#N/A,TRUE,"Contents";#N/A,#N/A,TRUE,"Basis";#N/A,#N/A,TRUE,"Inclusions";#N/A,#N/A,TRUE,"Exclusions";#N/A,#N/A,TRUE,"Areas";#N/A,#N/A,TRUE,"Summary";#N/A,#N/A,TRUE,"Detail"}</definedName>
    <definedName name="Final" localSheetId="5" hidden="1">{#N/A,#N/A,TRUE,"Front";#N/A,#N/A,TRUE,"Simple Letter";#N/A,#N/A,TRUE,"Inside";#N/A,#N/A,TRUE,"Contents";#N/A,#N/A,TRUE,"Basis";#N/A,#N/A,TRUE,"Inclusions";#N/A,#N/A,TRUE,"Exclusions";#N/A,#N/A,TRUE,"Areas";#N/A,#N/A,TRUE,"Summary";#N/A,#N/A,TRUE,"Detail"}</definedName>
    <definedName name="Final" localSheetId="8" hidden="1">{#N/A,#N/A,TRUE,"Front";#N/A,#N/A,TRUE,"Simple Letter";#N/A,#N/A,TRUE,"Inside";#N/A,#N/A,TRUE,"Contents";#N/A,#N/A,TRUE,"Basis";#N/A,#N/A,TRUE,"Inclusions";#N/A,#N/A,TRUE,"Exclusions";#N/A,#N/A,TRUE,"Areas";#N/A,#N/A,TRUE,"Summary";#N/A,#N/A,TRUE,"Detail"}</definedName>
    <definedName name="Final" localSheetId="11" hidden="1">{#N/A,#N/A,TRUE,"Front";#N/A,#N/A,TRUE,"Simple Letter";#N/A,#N/A,TRUE,"Inside";#N/A,#N/A,TRUE,"Contents";#N/A,#N/A,TRUE,"Basis";#N/A,#N/A,TRUE,"Inclusions";#N/A,#N/A,TRUE,"Exclusions";#N/A,#N/A,TRUE,"Areas";#N/A,#N/A,TRUE,"Summary";#N/A,#N/A,TRUE,"Detail"}</definedName>
    <definedName name="Final" localSheetId="9" hidden="1">{#N/A,#N/A,TRUE,"Front";#N/A,#N/A,TRUE,"Simple Letter";#N/A,#N/A,TRUE,"Inside";#N/A,#N/A,TRUE,"Contents";#N/A,#N/A,TRUE,"Basis";#N/A,#N/A,TRUE,"Inclusions";#N/A,#N/A,TRUE,"Exclusions";#N/A,#N/A,TRUE,"Areas";#N/A,#N/A,TRUE,"Summary";#N/A,#N/A,TRUE,"Detail"}</definedName>
    <definedName name="Final" localSheetId="13" hidden="1">{#N/A,#N/A,TRUE,"Front";#N/A,#N/A,TRUE,"Simple Letter";#N/A,#N/A,TRUE,"Inside";#N/A,#N/A,TRUE,"Contents";#N/A,#N/A,TRUE,"Basis";#N/A,#N/A,TRUE,"Inclusions";#N/A,#N/A,TRUE,"Exclusions";#N/A,#N/A,TRUE,"Areas";#N/A,#N/A,TRUE,"Summary";#N/A,#N/A,TRUE,"Detail"}</definedName>
    <definedName name="Final" localSheetId="18" hidden="1">{#N/A,#N/A,TRUE,"Front";#N/A,#N/A,TRUE,"Simple Letter";#N/A,#N/A,TRUE,"Inside";#N/A,#N/A,TRUE,"Contents";#N/A,#N/A,TRUE,"Basis";#N/A,#N/A,TRUE,"Inclusions";#N/A,#N/A,TRUE,"Exclusions";#N/A,#N/A,TRUE,"Areas";#N/A,#N/A,TRUE,"Summary";#N/A,#N/A,TRUE,"Detail"}</definedName>
    <definedName name="Final" localSheetId="15" hidden="1">{#N/A,#N/A,TRUE,"Front";#N/A,#N/A,TRUE,"Simple Letter";#N/A,#N/A,TRUE,"Inside";#N/A,#N/A,TRUE,"Contents";#N/A,#N/A,TRUE,"Basis";#N/A,#N/A,TRUE,"Inclusions";#N/A,#N/A,TRUE,"Exclusions";#N/A,#N/A,TRUE,"Areas";#N/A,#N/A,TRUE,"Summary";#N/A,#N/A,TRUE,"Detail"}</definedName>
    <definedName name="Final" localSheetId="7" hidden="1">{#N/A,#N/A,TRUE,"Front";#N/A,#N/A,TRUE,"Simple Letter";#N/A,#N/A,TRUE,"Inside";#N/A,#N/A,TRUE,"Contents";#N/A,#N/A,TRUE,"Basis";#N/A,#N/A,TRUE,"Inclusions";#N/A,#N/A,TRUE,"Exclusions";#N/A,#N/A,TRUE,"Areas";#N/A,#N/A,TRUE,"Summary";#N/A,#N/A,TRUE,"Detail"}</definedName>
    <definedName name="Final" hidden="1">{#N/A,#N/A,TRUE,"Front";#N/A,#N/A,TRUE,"Simple Letter";#N/A,#N/A,TRUE,"Inside";#N/A,#N/A,TRUE,"Contents";#N/A,#N/A,TRUE,"Basis";#N/A,#N/A,TRUE,"Inclusions";#N/A,#N/A,TRUE,"Exclusions";#N/A,#N/A,TRUE,"Areas";#N/A,#N/A,TRUE,"Summary";#N/A,#N/A,TRUE,"Detail"}</definedName>
    <definedName name="Fine_Sand" localSheetId="12">#REF!</definedName>
    <definedName name="Fine_Sand" localSheetId="6">#REF!</definedName>
    <definedName name="Fine_Sand" localSheetId="5">#REF!</definedName>
    <definedName name="Fine_Sand" localSheetId="8">#REF!</definedName>
    <definedName name="Fine_Sand" localSheetId="11">#REF!</definedName>
    <definedName name="Fine_Sand" localSheetId="9">#REF!</definedName>
    <definedName name="Fine_Sand" localSheetId="18">#REF!</definedName>
    <definedName name="Fine_Sand" localSheetId="15">#REF!</definedName>
    <definedName name="Fine_Sand" localSheetId="7">#REF!</definedName>
    <definedName name="Fine_Sand">#REF!</definedName>
    <definedName name="FiscalIDNum" localSheetId="12">#REF!</definedName>
    <definedName name="FiscalIDNum" localSheetId="0">#REF!</definedName>
    <definedName name="FiscalIDNum" localSheetId="1">#REF!</definedName>
    <definedName name="FiscalIDNum" localSheetId="6">#REF!</definedName>
    <definedName name="FiscalIDNum" localSheetId="5">#REF!</definedName>
    <definedName name="FiscalIDNum" localSheetId="8">#REF!</definedName>
    <definedName name="FiscalIDNum" localSheetId="11">#REF!</definedName>
    <definedName name="FiscalIDNum" localSheetId="9">#REF!</definedName>
    <definedName name="FiscalIDNum" localSheetId="18">#REF!</definedName>
    <definedName name="FiscalIDNum" localSheetId="15">#REF!</definedName>
    <definedName name="FiscalIDNum" localSheetId="7">#REF!</definedName>
    <definedName name="FiscalIDNum">#REF!</definedName>
    <definedName name="FIT" localSheetId="12">#REF!</definedName>
    <definedName name="FIT" localSheetId="8">#REF!</definedName>
    <definedName name="FIT" localSheetId="11">#REF!</definedName>
    <definedName name="FIT" localSheetId="9">#REF!</definedName>
    <definedName name="FIT" localSheetId="18">#REF!</definedName>
    <definedName name="FIT" localSheetId="15">#REF!</definedName>
    <definedName name="FIT" localSheetId="7">#REF!</definedName>
    <definedName name="FIT">#REF!</definedName>
    <definedName name="FIT___0" localSheetId="12">#REF!</definedName>
    <definedName name="FIT___0" localSheetId="8">#REF!</definedName>
    <definedName name="FIT___0" localSheetId="11">#REF!</definedName>
    <definedName name="FIT___0" localSheetId="9">#REF!</definedName>
    <definedName name="FIT___0" localSheetId="18">#REF!</definedName>
    <definedName name="FIT___0" localSheetId="15">#REF!</definedName>
    <definedName name="FIT___0" localSheetId="7">#REF!</definedName>
    <definedName name="FIT___0">#REF!</definedName>
    <definedName name="FIT___13" localSheetId="12">#REF!</definedName>
    <definedName name="FIT___13" localSheetId="8">#REF!</definedName>
    <definedName name="FIT___13" localSheetId="11">#REF!</definedName>
    <definedName name="FIT___13" localSheetId="9">#REF!</definedName>
    <definedName name="FIT___13" localSheetId="18">#REF!</definedName>
    <definedName name="FIT___13" localSheetId="15">#REF!</definedName>
    <definedName name="FIT___13" localSheetId="7">#REF!</definedName>
    <definedName name="FIT___13">#REF!</definedName>
    <definedName name="fixed_asset" localSheetId="12">#REF!</definedName>
    <definedName name="fixed_asset" localSheetId="0">#REF!</definedName>
    <definedName name="fixed_asset" localSheetId="1">#REF!</definedName>
    <definedName name="fixed_asset" localSheetId="8">#REF!</definedName>
    <definedName name="fixed_asset" localSheetId="11">#REF!</definedName>
    <definedName name="fixed_asset" localSheetId="9">#REF!</definedName>
    <definedName name="fixed_asset" localSheetId="18">#REF!</definedName>
    <definedName name="fixed_asset" localSheetId="15">#REF!</definedName>
    <definedName name="fixed_asset" localSheetId="7">#REF!</definedName>
    <definedName name="fixed_asset">#REF!</definedName>
    <definedName name="fj_100" localSheetId="12">#REF!</definedName>
    <definedName name="fj_100" localSheetId="8">#REF!</definedName>
    <definedName name="fj_100" localSheetId="11">#REF!</definedName>
    <definedName name="fj_100" localSheetId="9">#REF!</definedName>
    <definedName name="fj_100" localSheetId="18">#REF!</definedName>
    <definedName name="fj_100" localSheetId="15">#REF!</definedName>
    <definedName name="fj_100" localSheetId="7">#REF!</definedName>
    <definedName name="fj_100">#REF!</definedName>
    <definedName name="fj_150" localSheetId="12">#REF!</definedName>
    <definedName name="fj_150" localSheetId="8">#REF!</definedName>
    <definedName name="fj_150" localSheetId="11">#REF!</definedName>
    <definedName name="fj_150" localSheetId="9">#REF!</definedName>
    <definedName name="fj_150" localSheetId="18">#REF!</definedName>
    <definedName name="fj_150" localSheetId="15">#REF!</definedName>
    <definedName name="fj_150" localSheetId="7">#REF!</definedName>
    <definedName name="fj_150">#REF!</definedName>
    <definedName name="fj_200" localSheetId="12">#REF!</definedName>
    <definedName name="fj_200" localSheetId="8">#REF!</definedName>
    <definedName name="fj_200" localSheetId="11">#REF!</definedName>
    <definedName name="fj_200" localSheetId="9">#REF!</definedName>
    <definedName name="fj_200" localSheetId="18">#REF!</definedName>
    <definedName name="fj_200" localSheetId="15">#REF!</definedName>
    <definedName name="fj_200" localSheetId="7">#REF!</definedName>
    <definedName name="fj_200">#REF!</definedName>
    <definedName name="fj_25" localSheetId="12">#REF!</definedName>
    <definedName name="fj_25" localSheetId="8">#REF!</definedName>
    <definedName name="fj_25" localSheetId="11">#REF!</definedName>
    <definedName name="fj_25" localSheetId="9">#REF!</definedName>
    <definedName name="fj_25" localSheetId="18">#REF!</definedName>
    <definedName name="fj_25" localSheetId="15">#REF!</definedName>
    <definedName name="fj_25" localSheetId="7">#REF!</definedName>
    <definedName name="fj_25">#REF!</definedName>
    <definedName name="fj_250" localSheetId="12">#REF!</definedName>
    <definedName name="fj_250" localSheetId="8">#REF!</definedName>
    <definedName name="fj_250" localSheetId="11">#REF!</definedName>
    <definedName name="fj_250" localSheetId="9">#REF!</definedName>
    <definedName name="fj_250" localSheetId="18">#REF!</definedName>
    <definedName name="fj_250" localSheetId="15">#REF!</definedName>
    <definedName name="fj_250" localSheetId="7">#REF!</definedName>
    <definedName name="fj_250">#REF!</definedName>
    <definedName name="fj_300" localSheetId="12">#REF!</definedName>
    <definedName name="fj_300" localSheetId="8">#REF!</definedName>
    <definedName name="fj_300" localSheetId="11">#REF!</definedName>
    <definedName name="fj_300" localSheetId="9">#REF!</definedName>
    <definedName name="fj_300" localSheetId="18">#REF!</definedName>
    <definedName name="fj_300" localSheetId="15">#REF!</definedName>
    <definedName name="fj_300" localSheetId="7">#REF!</definedName>
    <definedName name="fj_300">#REF!</definedName>
    <definedName name="fj_32" localSheetId="12">#REF!</definedName>
    <definedName name="fj_32" localSheetId="8">#REF!</definedName>
    <definedName name="fj_32" localSheetId="11">#REF!</definedName>
    <definedName name="fj_32" localSheetId="9">#REF!</definedName>
    <definedName name="fj_32" localSheetId="18">#REF!</definedName>
    <definedName name="fj_32" localSheetId="15">#REF!</definedName>
    <definedName name="fj_32" localSheetId="7">#REF!</definedName>
    <definedName name="fj_32">#REF!</definedName>
    <definedName name="fj_40" localSheetId="12">#REF!</definedName>
    <definedName name="fj_40" localSheetId="8">#REF!</definedName>
    <definedName name="fj_40" localSheetId="11">#REF!</definedName>
    <definedName name="fj_40" localSheetId="9">#REF!</definedName>
    <definedName name="fj_40" localSheetId="18">#REF!</definedName>
    <definedName name="fj_40" localSheetId="15">#REF!</definedName>
    <definedName name="fj_40" localSheetId="7">#REF!</definedName>
    <definedName name="fj_40">#REF!</definedName>
    <definedName name="fj_400" localSheetId="12">#REF!</definedName>
    <definedName name="fj_400" localSheetId="8">#REF!</definedName>
    <definedName name="fj_400" localSheetId="11">#REF!</definedName>
    <definedName name="fj_400" localSheetId="9">#REF!</definedName>
    <definedName name="fj_400" localSheetId="18">#REF!</definedName>
    <definedName name="fj_400" localSheetId="15">#REF!</definedName>
    <definedName name="fj_400" localSheetId="7">#REF!</definedName>
    <definedName name="fj_400">#REF!</definedName>
    <definedName name="fj_50" localSheetId="12">#REF!</definedName>
    <definedName name="fj_50" localSheetId="8">#REF!</definedName>
    <definedName name="fj_50" localSheetId="11">#REF!</definedName>
    <definedName name="fj_50" localSheetId="9">#REF!</definedName>
    <definedName name="fj_50" localSheetId="18">#REF!</definedName>
    <definedName name="fj_50" localSheetId="15">#REF!</definedName>
    <definedName name="fj_50" localSheetId="7">#REF!</definedName>
    <definedName name="fj_50">#REF!</definedName>
    <definedName name="fj_500" localSheetId="12">#REF!</definedName>
    <definedName name="fj_500" localSheetId="8">#REF!</definedName>
    <definedName name="fj_500" localSheetId="11">#REF!</definedName>
    <definedName name="fj_500" localSheetId="9">#REF!</definedName>
    <definedName name="fj_500" localSheetId="18">#REF!</definedName>
    <definedName name="fj_500" localSheetId="15">#REF!</definedName>
    <definedName name="fj_500" localSheetId="7">#REF!</definedName>
    <definedName name="fj_500">#REF!</definedName>
    <definedName name="fj_65" localSheetId="12">#REF!</definedName>
    <definedName name="fj_65" localSheetId="8">#REF!</definedName>
    <definedName name="fj_65" localSheetId="11">#REF!</definedName>
    <definedName name="fj_65" localSheetId="9">#REF!</definedName>
    <definedName name="fj_65" localSheetId="18">#REF!</definedName>
    <definedName name="fj_65" localSheetId="15">#REF!</definedName>
    <definedName name="fj_65" localSheetId="7">#REF!</definedName>
    <definedName name="fj_65">#REF!</definedName>
    <definedName name="fj_80" localSheetId="12">#REF!</definedName>
    <definedName name="fj_80" localSheetId="8">#REF!</definedName>
    <definedName name="fj_80" localSheetId="11">#REF!</definedName>
    <definedName name="fj_80" localSheetId="9">#REF!</definedName>
    <definedName name="fj_80" localSheetId="18">#REF!</definedName>
    <definedName name="fj_80" localSheetId="15">#REF!</definedName>
    <definedName name="fj_80" localSheetId="7">#REF!</definedName>
    <definedName name="fj_80">#REF!</definedName>
    <definedName name="Fl" localSheetId="12">#REF!</definedName>
    <definedName name="Fl" localSheetId="8">#REF!</definedName>
    <definedName name="Fl" localSheetId="11">#REF!</definedName>
    <definedName name="Fl" localSheetId="9">#REF!</definedName>
    <definedName name="Fl" localSheetId="18">#REF!</definedName>
    <definedName name="Fl" localSheetId="15">#REF!</definedName>
    <definedName name="Fl" localSheetId="7">#REF!</definedName>
    <definedName name="Fl">#REF!</definedName>
    <definedName name="flag1" localSheetId="12">#REF!</definedName>
    <definedName name="flag1" localSheetId="8">#REF!</definedName>
    <definedName name="flag1" localSheetId="11">#REF!</definedName>
    <definedName name="flag1" localSheetId="9">#REF!</definedName>
    <definedName name="flag1" localSheetId="18">#REF!</definedName>
    <definedName name="flag1" localSheetId="15">#REF!</definedName>
    <definedName name="flag1" localSheetId="7">#REF!</definedName>
    <definedName name="flag1">#REF!</definedName>
    <definedName name="Flame_Finished_Granite_Green_Fanatsy" localSheetId="12">#REF!</definedName>
    <definedName name="Flame_Finished_Granite_Green_Fanatsy" localSheetId="8">#REF!</definedName>
    <definedName name="Flame_Finished_Granite_Green_Fanatsy" localSheetId="11">#REF!</definedName>
    <definedName name="Flame_Finished_Granite_Green_Fanatsy" localSheetId="9">#REF!</definedName>
    <definedName name="Flame_Finished_Granite_Green_Fanatsy" localSheetId="18">#REF!</definedName>
    <definedName name="Flame_Finished_Granite_Green_Fanatsy" localSheetId="15">#REF!</definedName>
    <definedName name="Flame_Finished_Granite_Green_Fanatsy" localSheetId="7">#REF!</definedName>
    <definedName name="Flame_Finished_Granite_Green_Fanatsy">#REF!</definedName>
    <definedName name="flatstone" localSheetId="12">#REF!</definedName>
    <definedName name="flatstone" localSheetId="8">#REF!</definedName>
    <definedName name="flatstone" localSheetId="11">#REF!</definedName>
    <definedName name="flatstone" localSheetId="9">#REF!</definedName>
    <definedName name="flatstone" localSheetId="18">#REF!</definedName>
    <definedName name="flatstone" localSheetId="15">#REF!</definedName>
    <definedName name="flatstone" localSheetId="7">#REF!</definedName>
    <definedName name="flatstone">#REF!</definedName>
    <definedName name="floor" localSheetId="12">#REF!</definedName>
    <definedName name="floor" localSheetId="8">#REF!</definedName>
    <definedName name="floor" localSheetId="11">#REF!</definedName>
    <definedName name="floor" localSheetId="9">#REF!</definedName>
    <definedName name="floor" localSheetId="18">#REF!</definedName>
    <definedName name="floor" localSheetId="15">#REF!</definedName>
    <definedName name="floor" localSheetId="7">#REF!</definedName>
    <definedName name="floor">#REF!</definedName>
    <definedName name="flooring" localSheetId="12">#REF!</definedName>
    <definedName name="flooring" localSheetId="8">#REF!</definedName>
    <definedName name="flooring" localSheetId="11">#REF!</definedName>
    <definedName name="flooring" localSheetId="9">#REF!</definedName>
    <definedName name="flooring" localSheetId="18">#REF!</definedName>
    <definedName name="flooring" localSheetId="15">#REF!</definedName>
    <definedName name="flooring" localSheetId="7">#REF!</definedName>
    <definedName name="flooring">#REF!</definedName>
    <definedName name="Floorsqty" localSheetId="12">#REF!</definedName>
    <definedName name="Floorsqty" localSheetId="8">#REF!</definedName>
    <definedName name="Floorsqty" localSheetId="11">#REF!</definedName>
    <definedName name="Floorsqty" localSheetId="9">#REF!</definedName>
    <definedName name="Floorsqty" localSheetId="18">#REF!</definedName>
    <definedName name="Floorsqty" localSheetId="15">#REF!</definedName>
    <definedName name="Floorsqty" localSheetId="7">#REF!</definedName>
    <definedName name="Floorsqty">#REF!</definedName>
    <definedName name="Floriana_Marble" localSheetId="12">#REF!</definedName>
    <definedName name="Floriana_Marble" localSheetId="8">#REF!</definedName>
    <definedName name="Floriana_Marble" localSheetId="11">#REF!</definedName>
    <definedName name="Floriana_Marble" localSheetId="9">#REF!</definedName>
    <definedName name="Floriana_Marble" localSheetId="18">#REF!</definedName>
    <definedName name="Floriana_Marble" localSheetId="15">#REF!</definedName>
    <definedName name="Floriana_Marble" localSheetId="7">#REF!</definedName>
    <definedName name="Floriana_Marble">#REF!</definedName>
    <definedName name="fm" localSheetId="12">#REF!</definedName>
    <definedName name="fm" localSheetId="8">#REF!</definedName>
    <definedName name="fm" localSheetId="11">#REF!</definedName>
    <definedName name="fm" localSheetId="9">#REF!</definedName>
    <definedName name="fm" localSheetId="18">#REF!</definedName>
    <definedName name="fm" localSheetId="15">#REF!</definedName>
    <definedName name="fm" localSheetId="7">#REF!</definedName>
    <definedName name="fm">#REF!</definedName>
    <definedName name="fo" localSheetId="12">#REF!</definedName>
    <definedName name="fo" localSheetId="8">#REF!</definedName>
    <definedName name="fo" localSheetId="11">#REF!</definedName>
    <definedName name="fo" localSheetId="9">#REF!</definedName>
    <definedName name="fo" localSheetId="18">#REF!</definedName>
    <definedName name="fo" localSheetId="15">#REF!</definedName>
    <definedName name="fo" localSheetId="7">#REF!</definedName>
    <definedName name="fo">#REF!</definedName>
    <definedName name="FOB" localSheetId="12">#REF!</definedName>
    <definedName name="FOB" localSheetId="8">#REF!</definedName>
    <definedName name="FOB" localSheetId="11">#REF!</definedName>
    <definedName name="FOB" localSheetId="9">#REF!</definedName>
    <definedName name="FOB" localSheetId="18">#REF!</definedName>
    <definedName name="FOB" localSheetId="15">#REF!</definedName>
    <definedName name="FOB" localSheetId="7">#REF!</definedName>
    <definedName name="FOB">#REF!</definedName>
    <definedName name="Footings" localSheetId="12">#REF!</definedName>
    <definedName name="Footings" localSheetId="0">#REF!</definedName>
    <definedName name="Footings" localSheetId="1">#REF!</definedName>
    <definedName name="Footings" localSheetId="8">#REF!</definedName>
    <definedName name="Footings" localSheetId="11">#REF!</definedName>
    <definedName name="Footings" localSheetId="9">#REF!</definedName>
    <definedName name="Footings" localSheetId="18">#REF!</definedName>
    <definedName name="Footings" localSheetId="15">#REF!</definedName>
    <definedName name="Footings" localSheetId="7">#REF!</definedName>
    <definedName name="Footings">#REF!</definedName>
    <definedName name="FOREX_YEN" localSheetId="12">#REF!</definedName>
    <definedName name="FOREX_YEN" localSheetId="8">#REF!</definedName>
    <definedName name="FOREX_YEN" localSheetId="11">#REF!</definedName>
    <definedName name="FOREX_YEN" localSheetId="9">#REF!</definedName>
    <definedName name="FOREX_YEN" localSheetId="18">#REF!</definedName>
    <definedName name="FOREX_YEN" localSheetId="15">#REF!</definedName>
    <definedName name="FOREX_YEN" localSheetId="7">#REF!</definedName>
    <definedName name="FOREX_YEN">#REF!</definedName>
    <definedName name="format" localSheetId="12">#REF!</definedName>
    <definedName name="format" localSheetId="8">#REF!</definedName>
    <definedName name="format" localSheetId="11">#REF!</definedName>
    <definedName name="format" localSheetId="9">#REF!</definedName>
    <definedName name="format" localSheetId="18">#REF!</definedName>
    <definedName name="format" localSheetId="15">#REF!</definedName>
    <definedName name="format" localSheetId="7">#REF!</definedName>
    <definedName name="format">#REF!</definedName>
    <definedName name="FormTitle" localSheetId="12">#REF!</definedName>
    <definedName name="FormTitle" localSheetId="0">#REF!</definedName>
    <definedName name="FormTitle" localSheetId="1">#REF!</definedName>
    <definedName name="FormTitle" localSheetId="8">#REF!</definedName>
    <definedName name="FormTitle" localSheetId="11">#REF!</definedName>
    <definedName name="FormTitle" localSheetId="9">#REF!</definedName>
    <definedName name="FormTitle" localSheetId="18">#REF!</definedName>
    <definedName name="FormTitle" localSheetId="15">#REF!</definedName>
    <definedName name="FormTitle" localSheetId="7">#REF!</definedName>
    <definedName name="FormTitle">#REF!</definedName>
    <definedName name="Formula" localSheetId="12">#REF!</definedName>
    <definedName name="Formula" localSheetId="8">#REF!</definedName>
    <definedName name="Formula" localSheetId="11">#REF!</definedName>
    <definedName name="Formula" localSheetId="9">#REF!</definedName>
    <definedName name="Formula" localSheetId="18">#REF!</definedName>
    <definedName name="Formula" localSheetId="15">#REF!</definedName>
    <definedName name="Formula" localSheetId="7">#REF!</definedName>
    <definedName name="Formula">#REF!</definedName>
    <definedName name="Formula1" localSheetId="12">#REF!</definedName>
    <definedName name="Formula1" localSheetId="8">#REF!</definedName>
    <definedName name="Formula1" localSheetId="11">#REF!</definedName>
    <definedName name="Formula1" localSheetId="9">#REF!</definedName>
    <definedName name="Formula1" localSheetId="18">#REF!</definedName>
    <definedName name="Formula1" localSheetId="15">#REF!</definedName>
    <definedName name="Formula1" localSheetId="7">#REF!</definedName>
    <definedName name="Formula1">#REF!</definedName>
    <definedName name="Formula2" localSheetId="12">#REF!</definedName>
    <definedName name="Formula2" localSheetId="8">#REF!</definedName>
    <definedName name="Formula2" localSheetId="11">#REF!</definedName>
    <definedName name="Formula2" localSheetId="9">#REF!</definedName>
    <definedName name="Formula2" localSheetId="18">#REF!</definedName>
    <definedName name="Formula2" localSheetId="15">#REF!</definedName>
    <definedName name="Formula2" localSheetId="7">#REF!</definedName>
    <definedName name="Formula2">#REF!</definedName>
    <definedName name="fos" localSheetId="12">#REF!</definedName>
    <definedName name="fos" localSheetId="8">#REF!</definedName>
    <definedName name="fos" localSheetId="11">#REF!</definedName>
    <definedName name="fos" localSheetId="9">#REF!</definedName>
    <definedName name="fos" localSheetId="18">#REF!</definedName>
    <definedName name="fos" localSheetId="15">#REF!</definedName>
    <definedName name="fos" localSheetId="7">#REF!</definedName>
    <definedName name="fos">#REF!</definedName>
    <definedName name="Fp" localSheetId="12">#REF!</definedName>
    <definedName name="Fp" localSheetId="8">#REF!</definedName>
    <definedName name="Fp" localSheetId="11">#REF!</definedName>
    <definedName name="Fp" localSheetId="9">#REF!</definedName>
    <definedName name="Fp" localSheetId="18">#REF!</definedName>
    <definedName name="Fp" localSheetId="15">#REF!</definedName>
    <definedName name="Fp" localSheetId="7">#REF!</definedName>
    <definedName name="Fp">#REF!</definedName>
    <definedName name="frate" localSheetId="12">#REF!</definedName>
    <definedName name="frate" localSheetId="8">#REF!</definedName>
    <definedName name="frate" localSheetId="11">#REF!</definedName>
    <definedName name="frate" localSheetId="9">#REF!</definedName>
    <definedName name="frate" localSheetId="18">#REF!</definedName>
    <definedName name="frate" localSheetId="15">#REF!</definedName>
    <definedName name="frate" localSheetId="7">#REF!</definedName>
    <definedName name="frate">#REF!</definedName>
    <definedName name="frncis" localSheetId="12">#REF!</definedName>
    <definedName name="frncis" localSheetId="0">#REF!</definedName>
    <definedName name="frncis" localSheetId="1">#REF!</definedName>
    <definedName name="frncis" localSheetId="8">#REF!</definedName>
    <definedName name="frncis" localSheetId="11">#REF!</definedName>
    <definedName name="frncis" localSheetId="9">#REF!</definedName>
    <definedName name="frncis" localSheetId="18">#REF!</definedName>
    <definedName name="frncis" localSheetId="15">#REF!</definedName>
    <definedName name="frncis" localSheetId="7">#REF!</definedName>
    <definedName name="frncis">#REF!</definedName>
    <definedName name="fs" localSheetId="12">#REF!</definedName>
    <definedName name="fs" localSheetId="8">#REF!</definedName>
    <definedName name="fs" localSheetId="11">#REF!</definedName>
    <definedName name="fs" localSheetId="9">#REF!</definedName>
    <definedName name="fs" localSheetId="18">#REF!</definedName>
    <definedName name="fs" localSheetId="15">#REF!</definedName>
    <definedName name="fs" localSheetId="7">#REF!</definedName>
    <definedName name="fs">#REF!</definedName>
    <definedName name="fsg" localSheetId="12">#REF!</definedName>
    <definedName name="fsg" localSheetId="0">#REF!</definedName>
    <definedName name="fsg" localSheetId="1">#REF!</definedName>
    <definedName name="fsg" localSheetId="8">#REF!</definedName>
    <definedName name="fsg" localSheetId="11">#REF!</definedName>
    <definedName name="fsg" localSheetId="9">#REF!</definedName>
    <definedName name="fsg" localSheetId="18">#REF!</definedName>
    <definedName name="fsg" localSheetId="15">#REF!</definedName>
    <definedName name="fsg" localSheetId="7">#REF!</definedName>
    <definedName name="fsg">#REF!</definedName>
    <definedName name="fslab" localSheetId="12">#REF!</definedName>
    <definedName name="fslab" localSheetId="0">#REF!</definedName>
    <definedName name="fslab" localSheetId="1">#REF!</definedName>
    <definedName name="fslab" localSheetId="8">#REF!</definedName>
    <definedName name="fslab" localSheetId="11">#REF!</definedName>
    <definedName name="fslab" localSheetId="9">#REF!</definedName>
    <definedName name="fslab" localSheetId="18">#REF!</definedName>
    <definedName name="fslab" localSheetId="15">#REF!</definedName>
    <definedName name="fslab" localSheetId="7">#REF!</definedName>
    <definedName name="fslab">#REF!</definedName>
    <definedName name="FSLAB1" localSheetId="12">#REF!</definedName>
    <definedName name="FSLAB1" localSheetId="0">#REF!</definedName>
    <definedName name="FSLAB1" localSheetId="1">#REF!</definedName>
    <definedName name="FSLAB1" localSheetId="8">#REF!</definedName>
    <definedName name="FSLAB1" localSheetId="11">#REF!</definedName>
    <definedName name="FSLAB1" localSheetId="9">#REF!</definedName>
    <definedName name="FSLAB1" localSheetId="18">#REF!</definedName>
    <definedName name="FSLAB1" localSheetId="15">#REF!</definedName>
    <definedName name="FSLAB1" localSheetId="7">#REF!</definedName>
    <definedName name="FSLAB1">#REF!</definedName>
    <definedName name="fslab10" localSheetId="12">#REF!</definedName>
    <definedName name="fslab10" localSheetId="0">#REF!</definedName>
    <definedName name="fslab10" localSheetId="1">#REF!</definedName>
    <definedName name="fslab10" localSheetId="8">#REF!</definedName>
    <definedName name="fslab10" localSheetId="11">#REF!</definedName>
    <definedName name="fslab10" localSheetId="9">#REF!</definedName>
    <definedName name="fslab10" localSheetId="18">#REF!</definedName>
    <definedName name="fslab10" localSheetId="15">#REF!</definedName>
    <definedName name="fslab10" localSheetId="7">#REF!</definedName>
    <definedName name="fslab10">#REF!</definedName>
    <definedName name="fslab11" localSheetId="12">#REF!</definedName>
    <definedName name="fslab11" localSheetId="0">#REF!</definedName>
    <definedName name="fslab11" localSheetId="1">#REF!</definedName>
    <definedName name="fslab11" localSheetId="8">#REF!</definedName>
    <definedName name="fslab11" localSheetId="11">#REF!</definedName>
    <definedName name="fslab11" localSheetId="9">#REF!</definedName>
    <definedName name="fslab11" localSheetId="18">#REF!</definedName>
    <definedName name="fslab11" localSheetId="15">#REF!</definedName>
    <definedName name="fslab11" localSheetId="7">#REF!</definedName>
    <definedName name="fslab11">#REF!</definedName>
    <definedName name="FSLAB12" localSheetId="12">#REF!</definedName>
    <definedName name="FSLAB12" localSheetId="0">#REF!</definedName>
    <definedName name="FSLAB12" localSheetId="1">#REF!</definedName>
    <definedName name="FSLAB12" localSheetId="8">#REF!</definedName>
    <definedName name="FSLAB12" localSheetId="11">#REF!</definedName>
    <definedName name="FSLAB12" localSheetId="9">#REF!</definedName>
    <definedName name="FSLAB12" localSheetId="18">#REF!</definedName>
    <definedName name="FSLAB12" localSheetId="15">#REF!</definedName>
    <definedName name="FSLAB12" localSheetId="7">#REF!</definedName>
    <definedName name="FSLAB12">#REF!</definedName>
    <definedName name="FSLAB13" localSheetId="12">#REF!</definedName>
    <definedName name="FSLAB13" localSheetId="0">#REF!</definedName>
    <definedName name="FSLAB13" localSheetId="1">#REF!</definedName>
    <definedName name="FSLAB13" localSheetId="8">#REF!</definedName>
    <definedName name="FSLAB13" localSheetId="11">#REF!</definedName>
    <definedName name="FSLAB13" localSheetId="9">#REF!</definedName>
    <definedName name="FSLAB13" localSheetId="18">#REF!</definedName>
    <definedName name="FSLAB13" localSheetId="15">#REF!</definedName>
    <definedName name="FSLAB13" localSheetId="7">#REF!</definedName>
    <definedName name="FSLAB13">#REF!</definedName>
    <definedName name="fslab2" localSheetId="12">#REF!</definedName>
    <definedName name="fslab2" localSheetId="0">#REF!</definedName>
    <definedName name="fslab2" localSheetId="1">#REF!</definedName>
    <definedName name="fslab2" localSheetId="8">#REF!</definedName>
    <definedName name="fslab2" localSheetId="11">#REF!</definedName>
    <definedName name="fslab2" localSheetId="9">#REF!</definedName>
    <definedName name="fslab2" localSheetId="18">#REF!</definedName>
    <definedName name="fslab2" localSheetId="15">#REF!</definedName>
    <definedName name="fslab2" localSheetId="7">#REF!</definedName>
    <definedName name="fslab2">#REF!</definedName>
    <definedName name="FSLAB23" localSheetId="12">#REF!</definedName>
    <definedName name="FSLAB23" localSheetId="0">#REF!</definedName>
    <definedName name="FSLAB23" localSheetId="1">#REF!</definedName>
    <definedName name="FSLAB23" localSheetId="8">#REF!</definedName>
    <definedName name="FSLAB23" localSheetId="11">#REF!</definedName>
    <definedName name="FSLAB23" localSheetId="9">#REF!</definedName>
    <definedName name="FSLAB23" localSheetId="18">#REF!</definedName>
    <definedName name="FSLAB23" localSheetId="15">#REF!</definedName>
    <definedName name="FSLAB23" localSheetId="7">#REF!</definedName>
    <definedName name="FSLAB23">#REF!</definedName>
    <definedName name="ftss" localSheetId="12" hidden="1">{"FTS",#N/A,FALSE,"E"}</definedName>
    <definedName name="ftss" localSheetId="6" hidden="1">{"FTS",#N/A,FALSE,"E"}</definedName>
    <definedName name="ftss" localSheetId="5" hidden="1">{"FTS",#N/A,FALSE,"E"}</definedName>
    <definedName name="ftss" localSheetId="8" hidden="1">{"FTS",#N/A,FALSE,"E"}</definedName>
    <definedName name="ftss" localSheetId="11" hidden="1">{"FTS",#N/A,FALSE,"E"}</definedName>
    <definedName name="ftss" localSheetId="9" hidden="1">{"FTS",#N/A,FALSE,"E"}</definedName>
    <definedName name="ftss" localSheetId="13" hidden="1">{"FTS",#N/A,FALSE,"E"}</definedName>
    <definedName name="ftss" localSheetId="18" hidden="1">{"FTS",#N/A,FALSE,"E"}</definedName>
    <definedName name="ftss" localSheetId="15" hidden="1">{"FTS",#N/A,FALSE,"E"}</definedName>
    <definedName name="ftss" localSheetId="7" hidden="1">{"FTS",#N/A,FALSE,"E"}</definedName>
    <definedName name="ftss" hidden="1">{"FTS",#N/A,FALSE,"E"}</definedName>
    <definedName name="Fuel_Coal" localSheetId="12">#REF!</definedName>
    <definedName name="Fuel_Coal" localSheetId="6">#REF!</definedName>
    <definedName name="Fuel_Coal" localSheetId="5">#REF!</definedName>
    <definedName name="Fuel_Coal" localSheetId="8">#REF!</definedName>
    <definedName name="Fuel_Coal" localSheetId="11">#REF!</definedName>
    <definedName name="Fuel_Coal" localSheetId="9">#REF!</definedName>
    <definedName name="Fuel_Coal" localSheetId="18">#REF!</definedName>
    <definedName name="Fuel_Coal" localSheetId="15">#REF!</definedName>
    <definedName name="Fuel_Coal" localSheetId="7">#REF!</definedName>
    <definedName name="Fuel_Coal">#REF!</definedName>
    <definedName name="Fuse" localSheetId="12">#REF!</definedName>
    <definedName name="Fuse" localSheetId="6">#REF!</definedName>
    <definedName name="Fuse" localSheetId="5">#REF!</definedName>
    <definedName name="Fuse" localSheetId="8">#REF!</definedName>
    <definedName name="Fuse" localSheetId="11">#REF!</definedName>
    <definedName name="Fuse" localSheetId="9">#REF!</definedName>
    <definedName name="Fuse" localSheetId="18">#REF!</definedName>
    <definedName name="Fuse" localSheetId="15">#REF!</definedName>
    <definedName name="Fuse" localSheetId="7">#REF!</definedName>
    <definedName name="Fuse">#REF!</definedName>
    <definedName name="fv" localSheetId="12">#REF!</definedName>
    <definedName name="fv" localSheetId="6">#REF!</definedName>
    <definedName name="fv" localSheetId="5">#REF!</definedName>
    <definedName name="fv" localSheetId="8">#REF!</definedName>
    <definedName name="fv" localSheetId="11">#REF!</definedName>
    <definedName name="fv" localSheetId="9">#REF!</definedName>
    <definedName name="fv" localSheetId="18">#REF!</definedName>
    <definedName name="fv" localSheetId="15">#REF!</definedName>
    <definedName name="fv" localSheetId="7">#REF!</definedName>
    <definedName name="fv">#REF!</definedName>
    <definedName name="FVG" localSheetId="12">#REF!</definedName>
    <definedName name="FVG" localSheetId="8">#REF!</definedName>
    <definedName name="FVG" localSheetId="11">#REF!</definedName>
    <definedName name="FVG" localSheetId="9">#REF!</definedName>
    <definedName name="FVG" localSheetId="18">#REF!</definedName>
    <definedName name="FVG" localSheetId="15">#REF!</definedName>
    <definedName name="FVG" localSheetId="7">#REF!</definedName>
    <definedName name="FVG">#REF!</definedName>
    <definedName name="g" localSheetId="12">#REF!</definedName>
    <definedName name="g" localSheetId="8">#REF!</definedName>
    <definedName name="g" localSheetId="11">#REF!</definedName>
    <definedName name="g" localSheetId="9">#REF!</definedName>
    <definedName name="g" localSheetId="18">#REF!</definedName>
    <definedName name="g" localSheetId="15">#REF!</definedName>
    <definedName name="g" localSheetId="7">#REF!</definedName>
    <definedName name="g">#REF!</definedName>
    <definedName name="g.i" localSheetId="12">#REF!</definedName>
    <definedName name="g.i" localSheetId="8">#REF!</definedName>
    <definedName name="g.i" localSheetId="11">#REF!</definedName>
    <definedName name="g.i" localSheetId="9">#REF!</definedName>
    <definedName name="g.i" localSheetId="18">#REF!</definedName>
    <definedName name="g.i" localSheetId="15">#REF!</definedName>
    <definedName name="g.i" localSheetId="7">#REF!</definedName>
    <definedName name="g.i">#REF!</definedName>
    <definedName name="g1622." localSheetId="12">#REF!</definedName>
    <definedName name="g1622." localSheetId="0">#REF!</definedName>
    <definedName name="g1622." localSheetId="1">#REF!</definedName>
    <definedName name="g1622." localSheetId="8">#REF!</definedName>
    <definedName name="g1622." localSheetId="11">#REF!</definedName>
    <definedName name="g1622." localSheetId="9">#REF!</definedName>
    <definedName name="g1622." localSheetId="18">#REF!</definedName>
    <definedName name="g1622." localSheetId="15">#REF!</definedName>
    <definedName name="g1622." localSheetId="7">#REF!</definedName>
    <definedName name="g1622.">#REF!</definedName>
    <definedName name="G31j1620" localSheetId="12">#REF!</definedName>
    <definedName name="G31j1620" localSheetId="0">#REF!</definedName>
    <definedName name="G31j1620" localSheetId="1">#REF!</definedName>
    <definedName name="G31j1620" localSheetId="8">#REF!</definedName>
    <definedName name="G31j1620" localSheetId="11">#REF!</definedName>
    <definedName name="G31j1620" localSheetId="9">#REF!</definedName>
    <definedName name="G31j1620" localSheetId="18">#REF!</definedName>
    <definedName name="G31j1620" localSheetId="15">#REF!</definedName>
    <definedName name="G31j1620" localSheetId="7">#REF!</definedName>
    <definedName name="G31j1620">#REF!</definedName>
    <definedName name="GA" localSheetId="12">#REF!</definedName>
    <definedName name="GA" localSheetId="8">#REF!</definedName>
    <definedName name="GA" localSheetId="11">#REF!</definedName>
    <definedName name="GA" localSheetId="9">#REF!</definedName>
    <definedName name="GA" localSheetId="18">#REF!</definedName>
    <definedName name="GA" localSheetId="15">#REF!</definedName>
    <definedName name="GA" localSheetId="7">#REF!</definedName>
    <definedName name="GA">#REF!</definedName>
    <definedName name="gama" localSheetId="12">#REF!</definedName>
    <definedName name="gama" localSheetId="8">#REF!</definedName>
    <definedName name="gama" localSheetId="11">#REF!</definedName>
    <definedName name="gama" localSheetId="9">#REF!</definedName>
    <definedName name="gama" localSheetId="18">#REF!</definedName>
    <definedName name="gama" localSheetId="15">#REF!</definedName>
    <definedName name="gama" localSheetId="7">#REF!</definedName>
    <definedName name="gama">#REF!</definedName>
    <definedName name="gamah" localSheetId="12">#REF!</definedName>
    <definedName name="gamah" localSheetId="8">#REF!</definedName>
    <definedName name="gamah" localSheetId="11">#REF!</definedName>
    <definedName name="gamah" localSheetId="9">#REF!</definedName>
    <definedName name="gamah" localSheetId="18">#REF!</definedName>
    <definedName name="gamah" localSheetId="15">#REF!</definedName>
    <definedName name="gamah" localSheetId="7">#REF!</definedName>
    <definedName name="gamah">#REF!</definedName>
    <definedName name="gen" localSheetId="12">#REF!</definedName>
    <definedName name="gen" localSheetId="8">#REF!</definedName>
    <definedName name="gen" localSheetId="11">#REF!</definedName>
    <definedName name="gen" localSheetId="9">#REF!</definedName>
    <definedName name="gen" localSheetId="18">#REF!</definedName>
    <definedName name="gen" localSheetId="15">#REF!</definedName>
    <definedName name="gen" localSheetId="7">#REF!</definedName>
    <definedName name="gen">#REF!</definedName>
    <definedName name="GF" localSheetId="12">#REF!</definedName>
    <definedName name="GF" localSheetId="8">#REF!</definedName>
    <definedName name="GF" localSheetId="11">#REF!</definedName>
    <definedName name="GF" localSheetId="9">#REF!</definedName>
    <definedName name="GF" localSheetId="18">#REF!</definedName>
    <definedName name="GF" localSheetId="15">#REF!</definedName>
    <definedName name="GF" localSheetId="7">#REF!</definedName>
    <definedName name="GF">#REF!</definedName>
    <definedName name="GFD" localSheetId="12">#REF!</definedName>
    <definedName name="GFD" localSheetId="8">#REF!</definedName>
    <definedName name="GFD" localSheetId="11">#REF!</definedName>
    <definedName name="GFD" localSheetId="9">#REF!</definedName>
    <definedName name="GFD" localSheetId="18">#REF!</definedName>
    <definedName name="GFD" localSheetId="15">#REF!</definedName>
    <definedName name="GFD" localSheetId="7">#REF!</definedName>
    <definedName name="GFD">#REF!</definedName>
    <definedName name="GGFG" localSheetId="12">#REF!</definedName>
    <definedName name="GGFG" localSheetId="8">#REF!</definedName>
    <definedName name="GGFG" localSheetId="11">#REF!</definedName>
    <definedName name="GGFG" localSheetId="9">#REF!</definedName>
    <definedName name="GGFG" localSheetId="18">#REF!</definedName>
    <definedName name="GGFG" localSheetId="15">#REF!</definedName>
    <definedName name="GGFG" localSheetId="7">#REF!</definedName>
    <definedName name="GGFG">#REF!</definedName>
    <definedName name="GGG"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1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gggggggggggg" localSheetId="12">#REF!</definedName>
    <definedName name="gggggggggggggggg" localSheetId="6">#REF!</definedName>
    <definedName name="gggggggggggggggg" localSheetId="5">#REF!</definedName>
    <definedName name="gggggggggggggggg" localSheetId="8">#REF!</definedName>
    <definedName name="gggggggggggggggg" localSheetId="11">#REF!</definedName>
    <definedName name="gggggggggggggggg" localSheetId="9">#REF!</definedName>
    <definedName name="gggggggggggggggg" localSheetId="18">#REF!</definedName>
    <definedName name="gggggggggggggggg" localSheetId="15">#REF!</definedName>
    <definedName name="gggggggggggggggg" localSheetId="7">#REF!</definedName>
    <definedName name="gggggggggggggggg">#REF!</definedName>
    <definedName name="gh" localSheetId="12">#REF!</definedName>
    <definedName name="gh" localSheetId="6">#REF!</definedName>
    <definedName name="gh" localSheetId="5">#REF!</definedName>
    <definedName name="gh" localSheetId="8">#REF!</definedName>
    <definedName name="gh" localSheetId="11">#REF!</definedName>
    <definedName name="gh" localSheetId="9">#REF!</definedName>
    <definedName name="gh" localSheetId="18">#REF!</definedName>
    <definedName name="gh" localSheetId="15">#REF!</definedName>
    <definedName name="gh" localSheetId="7">#REF!</definedName>
    <definedName name="gh">#REF!</definedName>
    <definedName name="GHGJ" localSheetId="12" hidden="1">#REF!</definedName>
    <definedName name="GHGJ" localSheetId="6" hidden="1">#REF!</definedName>
    <definedName name="GHGJ" localSheetId="5" hidden="1">#REF!</definedName>
    <definedName name="GHGJ" localSheetId="8" hidden="1">#REF!</definedName>
    <definedName name="GHGJ" localSheetId="11" hidden="1">#REF!</definedName>
    <definedName name="GHGJ" localSheetId="9" hidden="1">#REF!</definedName>
    <definedName name="GHGJ" localSheetId="18" hidden="1">#REF!</definedName>
    <definedName name="GHGJ" localSheetId="15" hidden="1">#REF!</definedName>
    <definedName name="GHGJ" localSheetId="7" hidden="1">#REF!</definedName>
    <definedName name="GHGJ" hidden="1">#REF!</definedName>
    <definedName name="GHJT" localSheetId="12">#REF!</definedName>
    <definedName name="GHJT" localSheetId="8">#REF!</definedName>
    <definedName name="GHJT" localSheetId="11">#REF!</definedName>
    <definedName name="GHJT" localSheetId="9">#REF!</definedName>
    <definedName name="GHJT" localSheetId="18">#REF!</definedName>
    <definedName name="GHJT" localSheetId="15">#REF!</definedName>
    <definedName name="GHJT" localSheetId="7">#REF!</definedName>
    <definedName name="GHJT">#REF!</definedName>
    <definedName name="gi_100" localSheetId="12">#REF!</definedName>
    <definedName name="gi_100" localSheetId="8">#REF!</definedName>
    <definedName name="gi_100" localSheetId="11">#REF!</definedName>
    <definedName name="gi_100" localSheetId="9">#REF!</definedName>
    <definedName name="gi_100" localSheetId="18">#REF!</definedName>
    <definedName name="gi_100" localSheetId="15">#REF!</definedName>
    <definedName name="gi_100" localSheetId="7">#REF!</definedName>
    <definedName name="gi_100">#REF!</definedName>
    <definedName name="gi_150" localSheetId="12">#REF!</definedName>
    <definedName name="gi_150" localSheetId="8">#REF!</definedName>
    <definedName name="gi_150" localSheetId="11">#REF!</definedName>
    <definedName name="gi_150" localSheetId="9">#REF!</definedName>
    <definedName name="gi_150" localSheetId="18">#REF!</definedName>
    <definedName name="gi_150" localSheetId="15">#REF!</definedName>
    <definedName name="gi_150" localSheetId="7">#REF!</definedName>
    <definedName name="gi_150">#REF!</definedName>
    <definedName name="gi_200" localSheetId="12">#REF!</definedName>
    <definedName name="gi_200" localSheetId="8">#REF!</definedName>
    <definedName name="gi_200" localSheetId="11">#REF!</definedName>
    <definedName name="gi_200" localSheetId="9">#REF!</definedName>
    <definedName name="gi_200" localSheetId="18">#REF!</definedName>
    <definedName name="gi_200" localSheetId="15">#REF!</definedName>
    <definedName name="gi_200" localSheetId="7">#REF!</definedName>
    <definedName name="gi_200">#REF!</definedName>
    <definedName name="gi_25" localSheetId="12">#REF!</definedName>
    <definedName name="gi_25" localSheetId="8">#REF!</definedName>
    <definedName name="gi_25" localSheetId="11">#REF!</definedName>
    <definedName name="gi_25" localSheetId="9">#REF!</definedName>
    <definedName name="gi_25" localSheetId="18">#REF!</definedName>
    <definedName name="gi_25" localSheetId="15">#REF!</definedName>
    <definedName name="gi_25" localSheetId="7">#REF!</definedName>
    <definedName name="gi_25">#REF!</definedName>
    <definedName name="gi_250" localSheetId="12">#REF!</definedName>
    <definedName name="gi_250" localSheetId="8">#REF!</definedName>
    <definedName name="gi_250" localSheetId="11">#REF!</definedName>
    <definedName name="gi_250" localSheetId="9">#REF!</definedName>
    <definedName name="gi_250" localSheetId="18">#REF!</definedName>
    <definedName name="gi_250" localSheetId="15">#REF!</definedName>
    <definedName name="gi_250" localSheetId="7">#REF!</definedName>
    <definedName name="gi_250">#REF!</definedName>
    <definedName name="gi_300" localSheetId="12">#REF!</definedName>
    <definedName name="gi_300" localSheetId="8">#REF!</definedName>
    <definedName name="gi_300" localSheetId="11">#REF!</definedName>
    <definedName name="gi_300" localSheetId="9">#REF!</definedName>
    <definedName name="gi_300" localSheetId="18">#REF!</definedName>
    <definedName name="gi_300" localSheetId="15">#REF!</definedName>
    <definedName name="gi_300" localSheetId="7">#REF!</definedName>
    <definedName name="gi_300">#REF!</definedName>
    <definedName name="gi_32" localSheetId="12">#REF!</definedName>
    <definedName name="gi_32" localSheetId="8">#REF!</definedName>
    <definedName name="gi_32" localSheetId="11">#REF!</definedName>
    <definedName name="gi_32" localSheetId="9">#REF!</definedName>
    <definedName name="gi_32" localSheetId="18">#REF!</definedName>
    <definedName name="gi_32" localSheetId="15">#REF!</definedName>
    <definedName name="gi_32" localSheetId="7">#REF!</definedName>
    <definedName name="gi_32">#REF!</definedName>
    <definedName name="gi_40" localSheetId="12">#REF!</definedName>
    <definedName name="gi_40" localSheetId="8">#REF!</definedName>
    <definedName name="gi_40" localSheetId="11">#REF!</definedName>
    <definedName name="gi_40" localSheetId="9">#REF!</definedName>
    <definedName name="gi_40" localSheetId="18">#REF!</definedName>
    <definedName name="gi_40" localSheetId="15">#REF!</definedName>
    <definedName name="gi_40" localSheetId="7">#REF!</definedName>
    <definedName name="gi_40">#REF!</definedName>
    <definedName name="gi_400" localSheetId="12">#REF!</definedName>
    <definedName name="gi_400" localSheetId="8">#REF!</definedName>
    <definedName name="gi_400" localSheetId="11">#REF!</definedName>
    <definedName name="gi_400" localSheetId="9">#REF!</definedName>
    <definedName name="gi_400" localSheetId="18">#REF!</definedName>
    <definedName name="gi_400" localSheetId="15">#REF!</definedName>
    <definedName name="gi_400" localSheetId="7">#REF!</definedName>
    <definedName name="gi_400">#REF!</definedName>
    <definedName name="gi_50" localSheetId="12">#REF!</definedName>
    <definedName name="gi_50" localSheetId="8">#REF!</definedName>
    <definedName name="gi_50" localSheetId="11">#REF!</definedName>
    <definedName name="gi_50" localSheetId="9">#REF!</definedName>
    <definedName name="gi_50" localSheetId="18">#REF!</definedName>
    <definedName name="gi_50" localSheetId="15">#REF!</definedName>
    <definedName name="gi_50" localSheetId="7">#REF!</definedName>
    <definedName name="gi_50">#REF!</definedName>
    <definedName name="gi_500" localSheetId="12">#REF!</definedName>
    <definedName name="gi_500" localSheetId="8">#REF!</definedName>
    <definedName name="gi_500" localSheetId="11">#REF!</definedName>
    <definedName name="gi_500" localSheetId="9">#REF!</definedName>
    <definedName name="gi_500" localSheetId="18">#REF!</definedName>
    <definedName name="gi_500" localSheetId="15">#REF!</definedName>
    <definedName name="gi_500" localSheetId="7">#REF!</definedName>
    <definedName name="gi_500">#REF!</definedName>
    <definedName name="gi_600" localSheetId="12">#REF!</definedName>
    <definedName name="gi_600" localSheetId="8">#REF!</definedName>
    <definedName name="gi_600" localSheetId="11">#REF!</definedName>
    <definedName name="gi_600" localSheetId="9">#REF!</definedName>
    <definedName name="gi_600" localSheetId="18">#REF!</definedName>
    <definedName name="gi_600" localSheetId="15">#REF!</definedName>
    <definedName name="gi_600" localSheetId="7">#REF!</definedName>
    <definedName name="gi_600">#REF!</definedName>
    <definedName name="gi_65" localSheetId="12">#REF!</definedName>
    <definedName name="gi_65" localSheetId="8">#REF!</definedName>
    <definedName name="gi_65" localSheetId="11">#REF!</definedName>
    <definedName name="gi_65" localSheetId="9">#REF!</definedName>
    <definedName name="gi_65" localSheetId="18">#REF!</definedName>
    <definedName name="gi_65" localSheetId="15">#REF!</definedName>
    <definedName name="gi_65" localSheetId="7">#REF!</definedName>
    <definedName name="gi_65">#REF!</definedName>
    <definedName name="gi_80" localSheetId="12">#REF!</definedName>
    <definedName name="gi_80" localSheetId="8">#REF!</definedName>
    <definedName name="gi_80" localSheetId="11">#REF!</definedName>
    <definedName name="gi_80" localSheetId="9">#REF!</definedName>
    <definedName name="gi_80" localSheetId="18">#REF!</definedName>
    <definedName name="gi_80" localSheetId="15">#REF!</definedName>
    <definedName name="gi_80" localSheetId="7">#REF!</definedName>
    <definedName name="gi_80">#REF!</definedName>
    <definedName name="GL" localSheetId="12">#REF!</definedName>
    <definedName name="GL" localSheetId="8">#REF!</definedName>
    <definedName name="GL" localSheetId="11">#REF!</definedName>
    <definedName name="GL" localSheetId="9">#REF!</definedName>
    <definedName name="GL" localSheetId="18">#REF!</definedName>
    <definedName name="GL" localSheetId="15">#REF!</definedName>
    <definedName name="GL" localSheetId="7">#REF!</definedName>
    <definedName name="GL">#REF!</definedName>
    <definedName name="GLA" localSheetId="12">#REF!</definedName>
    <definedName name="GLA" localSheetId="8">#REF!</definedName>
    <definedName name="GLA" localSheetId="11">#REF!</definedName>
    <definedName name="GLA" localSheetId="9">#REF!</definedName>
    <definedName name="GLA" localSheetId="18">#REF!</definedName>
    <definedName name="GLA" localSheetId="15">#REF!</definedName>
    <definedName name="GLA" localSheetId="7">#REF!</definedName>
    <definedName name="GLA">#REF!</definedName>
    <definedName name="glb_100" localSheetId="12">#REF!</definedName>
    <definedName name="glb_100" localSheetId="8">#REF!</definedName>
    <definedName name="glb_100" localSheetId="11">#REF!</definedName>
    <definedName name="glb_100" localSheetId="9">#REF!</definedName>
    <definedName name="glb_100" localSheetId="18">#REF!</definedName>
    <definedName name="glb_100" localSheetId="15">#REF!</definedName>
    <definedName name="glb_100" localSheetId="7">#REF!</definedName>
    <definedName name="glb_100">#REF!</definedName>
    <definedName name="glb_150" localSheetId="12">#REF!</definedName>
    <definedName name="glb_150" localSheetId="8">#REF!</definedName>
    <definedName name="glb_150" localSheetId="11">#REF!</definedName>
    <definedName name="glb_150" localSheetId="9">#REF!</definedName>
    <definedName name="glb_150" localSheetId="18">#REF!</definedName>
    <definedName name="glb_150" localSheetId="15">#REF!</definedName>
    <definedName name="glb_150" localSheetId="7">#REF!</definedName>
    <definedName name="glb_150">#REF!</definedName>
    <definedName name="glb_200" localSheetId="12">#REF!</definedName>
    <definedName name="glb_200" localSheetId="8">#REF!</definedName>
    <definedName name="glb_200" localSheetId="11">#REF!</definedName>
    <definedName name="glb_200" localSheetId="9">#REF!</definedName>
    <definedName name="glb_200" localSheetId="18">#REF!</definedName>
    <definedName name="glb_200" localSheetId="15">#REF!</definedName>
    <definedName name="glb_200" localSheetId="7">#REF!</definedName>
    <definedName name="glb_200">#REF!</definedName>
    <definedName name="glb_25" localSheetId="12">#REF!</definedName>
    <definedName name="glb_25" localSheetId="8">#REF!</definedName>
    <definedName name="glb_25" localSheetId="11">#REF!</definedName>
    <definedName name="glb_25" localSheetId="9">#REF!</definedName>
    <definedName name="glb_25" localSheetId="18">#REF!</definedName>
    <definedName name="glb_25" localSheetId="15">#REF!</definedName>
    <definedName name="glb_25" localSheetId="7">#REF!</definedName>
    <definedName name="glb_25">#REF!</definedName>
    <definedName name="glb_250" localSheetId="12">#REF!</definedName>
    <definedName name="glb_250" localSheetId="8">#REF!</definedName>
    <definedName name="glb_250" localSheetId="11">#REF!</definedName>
    <definedName name="glb_250" localSheetId="9">#REF!</definedName>
    <definedName name="glb_250" localSheetId="18">#REF!</definedName>
    <definedName name="glb_250" localSheetId="15">#REF!</definedName>
    <definedName name="glb_250" localSheetId="7">#REF!</definedName>
    <definedName name="glb_250">#REF!</definedName>
    <definedName name="glb_300" localSheetId="12">#REF!</definedName>
    <definedName name="glb_300" localSheetId="8">#REF!</definedName>
    <definedName name="glb_300" localSheetId="11">#REF!</definedName>
    <definedName name="glb_300" localSheetId="9">#REF!</definedName>
    <definedName name="glb_300" localSheetId="18">#REF!</definedName>
    <definedName name="glb_300" localSheetId="15">#REF!</definedName>
    <definedName name="glb_300" localSheetId="7">#REF!</definedName>
    <definedName name="glb_300">#REF!</definedName>
    <definedName name="glb_32" localSheetId="12">#REF!</definedName>
    <definedName name="glb_32" localSheetId="8">#REF!</definedName>
    <definedName name="glb_32" localSheetId="11">#REF!</definedName>
    <definedName name="glb_32" localSheetId="9">#REF!</definedName>
    <definedName name="glb_32" localSheetId="18">#REF!</definedName>
    <definedName name="glb_32" localSheetId="15">#REF!</definedName>
    <definedName name="glb_32" localSheetId="7">#REF!</definedName>
    <definedName name="glb_32">#REF!</definedName>
    <definedName name="glb_40" localSheetId="12">#REF!</definedName>
    <definedName name="glb_40" localSheetId="8">#REF!</definedName>
    <definedName name="glb_40" localSheetId="11">#REF!</definedName>
    <definedName name="glb_40" localSheetId="9">#REF!</definedName>
    <definedName name="glb_40" localSheetId="18">#REF!</definedName>
    <definedName name="glb_40" localSheetId="15">#REF!</definedName>
    <definedName name="glb_40" localSheetId="7">#REF!</definedName>
    <definedName name="glb_40">#REF!</definedName>
    <definedName name="glb_50" localSheetId="12">#REF!</definedName>
    <definedName name="glb_50" localSheetId="8">#REF!</definedName>
    <definedName name="glb_50" localSheetId="11">#REF!</definedName>
    <definedName name="glb_50" localSheetId="9">#REF!</definedName>
    <definedName name="glb_50" localSheetId="18">#REF!</definedName>
    <definedName name="glb_50" localSheetId="15">#REF!</definedName>
    <definedName name="glb_50" localSheetId="7">#REF!</definedName>
    <definedName name="glb_50">#REF!</definedName>
    <definedName name="glb_65" localSheetId="12">#REF!</definedName>
    <definedName name="glb_65" localSheetId="8">#REF!</definedName>
    <definedName name="glb_65" localSheetId="11">#REF!</definedName>
    <definedName name="glb_65" localSheetId="9">#REF!</definedName>
    <definedName name="glb_65" localSheetId="18">#REF!</definedName>
    <definedName name="glb_65" localSheetId="15">#REF!</definedName>
    <definedName name="glb_65" localSheetId="7">#REF!</definedName>
    <definedName name="glb_65">#REF!</definedName>
    <definedName name="glb_80" localSheetId="12">#REF!</definedName>
    <definedName name="glb_80" localSheetId="8">#REF!</definedName>
    <definedName name="glb_80" localSheetId="11">#REF!</definedName>
    <definedName name="glb_80" localSheetId="9">#REF!</definedName>
    <definedName name="glb_80" localSheetId="18">#REF!</definedName>
    <definedName name="glb_80" localSheetId="15">#REF!</definedName>
    <definedName name="glb_80" localSheetId="7">#REF!</definedName>
    <definedName name="glb_80">#REF!</definedName>
    <definedName name="GMAmount" localSheetId="12">#REF!</definedName>
    <definedName name="GMAmount" localSheetId="0">#REF!</definedName>
    <definedName name="GMAmount" localSheetId="1">#REF!</definedName>
    <definedName name="GMAmount" localSheetId="8">#REF!</definedName>
    <definedName name="GMAmount" localSheetId="11">#REF!</definedName>
    <definedName name="GMAmount" localSheetId="9">#REF!</definedName>
    <definedName name="GMAmount" localSheetId="18">#REF!</definedName>
    <definedName name="GMAmount" localSheetId="15">#REF!</definedName>
    <definedName name="GMAmount" localSheetId="7">#REF!</definedName>
    <definedName name="GMAmount">#REF!</definedName>
    <definedName name="GMPercent" localSheetId="12">#REF!</definedName>
    <definedName name="GMPercent" localSheetId="0">#REF!</definedName>
    <definedName name="GMPercent" localSheetId="1">#REF!</definedName>
    <definedName name="GMPercent" localSheetId="8">#REF!</definedName>
    <definedName name="GMPercent" localSheetId="11">#REF!</definedName>
    <definedName name="GMPercent" localSheetId="9">#REF!</definedName>
    <definedName name="GMPercent" localSheetId="18">#REF!</definedName>
    <definedName name="GMPercent" localSheetId="15">#REF!</definedName>
    <definedName name="GMPercent" localSheetId="7">#REF!</definedName>
    <definedName name="GMPercent">#REF!</definedName>
    <definedName name="GO" localSheetId="12">#REF!</definedName>
    <definedName name="GO" localSheetId="8">#REF!</definedName>
    <definedName name="GO" localSheetId="11">#REF!</definedName>
    <definedName name="GO" localSheetId="9">#REF!</definedName>
    <definedName name="GO" localSheetId="18">#REF!</definedName>
    <definedName name="GO" localSheetId="15">#REF!</definedName>
    <definedName name="GO" localSheetId="7">#REF!</definedName>
    <definedName name="GO">#REF!</definedName>
    <definedName name="GP" localSheetId="12">#REF!</definedName>
    <definedName name="GP" localSheetId="8">#REF!</definedName>
    <definedName name="GP" localSheetId="11">#REF!</definedName>
    <definedName name="GP" localSheetId="9">#REF!</definedName>
    <definedName name="GP" localSheetId="18">#REF!</definedName>
    <definedName name="GP" localSheetId="15">#REF!</definedName>
    <definedName name="GP" localSheetId="7">#REF!</definedName>
    <definedName name="GP">#REF!</definedName>
    <definedName name="GR" localSheetId="12">#REF!</definedName>
    <definedName name="GR" localSheetId="8">#REF!</definedName>
    <definedName name="GR" localSheetId="11">#REF!</definedName>
    <definedName name="GR" localSheetId="9">#REF!</definedName>
    <definedName name="GR" localSheetId="18">#REF!</definedName>
    <definedName name="GR" localSheetId="15">#REF!</definedName>
    <definedName name="GR" localSheetId="7">#REF!</definedName>
    <definedName name="GR">#REF!</definedName>
    <definedName name="granite_brown" localSheetId="12">#REF!</definedName>
    <definedName name="granite_brown" localSheetId="8">#REF!</definedName>
    <definedName name="granite_brown" localSheetId="11">#REF!</definedName>
    <definedName name="granite_brown" localSheetId="9">#REF!</definedName>
    <definedName name="granite_brown" localSheetId="18">#REF!</definedName>
    <definedName name="granite_brown" localSheetId="15">#REF!</definedName>
    <definedName name="granite_brown" localSheetId="7">#REF!</definedName>
    <definedName name="granite_brown">#REF!</definedName>
    <definedName name="grind" localSheetId="12">#REF!</definedName>
    <definedName name="grind" localSheetId="8">#REF!</definedName>
    <definedName name="grind" localSheetId="11">#REF!</definedName>
    <definedName name="grind" localSheetId="9">#REF!</definedName>
    <definedName name="grind" localSheetId="18">#REF!</definedName>
    <definedName name="grind" localSheetId="15">#REF!</definedName>
    <definedName name="grind" localSheetId="7">#REF!</definedName>
    <definedName name="grind">#REF!</definedName>
    <definedName name="Group1" localSheetId="12">#REF!</definedName>
    <definedName name="Group1" localSheetId="0">#REF!</definedName>
    <definedName name="Group1" localSheetId="1">#REF!</definedName>
    <definedName name="Group1" localSheetId="8">#REF!</definedName>
    <definedName name="Group1" localSheetId="11">#REF!</definedName>
    <definedName name="Group1" localSheetId="9">#REF!</definedName>
    <definedName name="Group1" localSheetId="18">#REF!</definedName>
    <definedName name="Group1" localSheetId="15">#REF!</definedName>
    <definedName name="Group1" localSheetId="7">#REF!</definedName>
    <definedName name="Group1">#REF!</definedName>
    <definedName name="Group2" localSheetId="12">#REF!</definedName>
    <definedName name="Group2" localSheetId="0">#REF!</definedName>
    <definedName name="Group2" localSheetId="1">#REF!</definedName>
    <definedName name="Group2" localSheetId="8">#REF!</definedName>
    <definedName name="Group2" localSheetId="11">#REF!</definedName>
    <definedName name="Group2" localSheetId="9">#REF!</definedName>
    <definedName name="Group2" localSheetId="18">#REF!</definedName>
    <definedName name="Group2" localSheetId="15">#REF!</definedName>
    <definedName name="Group2" localSheetId="7">#REF!</definedName>
    <definedName name="Group2">#REF!</definedName>
    <definedName name="Group3" localSheetId="12">#REF!</definedName>
    <definedName name="Group3" localSheetId="0">#REF!</definedName>
    <definedName name="Group3" localSheetId="1">#REF!</definedName>
    <definedName name="Group3" localSheetId="8">#REF!</definedName>
    <definedName name="Group3" localSheetId="11">#REF!</definedName>
    <definedName name="Group3" localSheetId="9">#REF!</definedName>
    <definedName name="Group3" localSheetId="18">#REF!</definedName>
    <definedName name="Group3" localSheetId="15">#REF!</definedName>
    <definedName name="Group3" localSheetId="7">#REF!</definedName>
    <definedName name="Group3">#REF!</definedName>
    <definedName name="Group4" localSheetId="12">#REF!</definedName>
    <definedName name="Group4" localSheetId="0">#REF!</definedName>
    <definedName name="Group4" localSheetId="1">#REF!</definedName>
    <definedName name="Group4" localSheetId="8">#REF!</definedName>
    <definedName name="Group4" localSheetId="11">#REF!</definedName>
    <definedName name="Group4" localSheetId="9">#REF!</definedName>
    <definedName name="Group4" localSheetId="18">#REF!</definedName>
    <definedName name="Group4" localSheetId="15">#REF!</definedName>
    <definedName name="Group4" localSheetId="7">#REF!</definedName>
    <definedName name="Group4">#REF!</definedName>
    <definedName name="gs" localSheetId="12">#REF!</definedName>
    <definedName name="gs" localSheetId="0">#REF!</definedName>
    <definedName name="gs" localSheetId="1">#REF!</definedName>
    <definedName name="gs" localSheetId="8">#REF!</definedName>
    <definedName name="gs" localSheetId="11">#REF!</definedName>
    <definedName name="gs" localSheetId="9">#REF!</definedName>
    <definedName name="gs" localSheetId="18">#REF!</definedName>
    <definedName name="gs" localSheetId="15">#REF!</definedName>
    <definedName name="gs" localSheetId="7">#REF!</definedName>
    <definedName name="gs">#REF!</definedName>
    <definedName name="GT" localSheetId="12">#REF!</definedName>
    <definedName name="GT" localSheetId="8">#REF!</definedName>
    <definedName name="GT" localSheetId="11">#REF!</definedName>
    <definedName name="GT" localSheetId="9">#REF!</definedName>
    <definedName name="GT" localSheetId="18">#REF!</definedName>
    <definedName name="GT" localSheetId="15">#REF!</definedName>
    <definedName name="GT" localSheetId="7">#REF!</definedName>
    <definedName name="GT">#REF!</definedName>
    <definedName name="gv_100" localSheetId="12">#REF!</definedName>
    <definedName name="gv_100" localSheetId="8">#REF!</definedName>
    <definedName name="gv_100" localSheetId="11">#REF!</definedName>
    <definedName name="gv_100" localSheetId="9">#REF!</definedName>
    <definedName name="gv_100" localSheetId="18">#REF!</definedName>
    <definedName name="gv_100" localSheetId="15">#REF!</definedName>
    <definedName name="gv_100" localSheetId="7">#REF!</definedName>
    <definedName name="gv_100">#REF!</definedName>
    <definedName name="gv_150" localSheetId="12">#REF!</definedName>
    <definedName name="gv_150" localSheetId="8">#REF!</definedName>
    <definedName name="gv_150" localSheetId="11">#REF!</definedName>
    <definedName name="gv_150" localSheetId="9">#REF!</definedName>
    <definedName name="gv_150" localSheetId="18">#REF!</definedName>
    <definedName name="gv_150" localSheetId="15">#REF!</definedName>
    <definedName name="gv_150" localSheetId="7">#REF!</definedName>
    <definedName name="gv_150">#REF!</definedName>
    <definedName name="gv_200" localSheetId="12">#REF!</definedName>
    <definedName name="gv_200" localSheetId="8">#REF!</definedName>
    <definedName name="gv_200" localSheetId="11">#REF!</definedName>
    <definedName name="gv_200" localSheetId="9">#REF!</definedName>
    <definedName name="gv_200" localSheetId="18">#REF!</definedName>
    <definedName name="gv_200" localSheetId="15">#REF!</definedName>
    <definedName name="gv_200" localSheetId="7">#REF!</definedName>
    <definedName name="gv_200">#REF!</definedName>
    <definedName name="gv_25" localSheetId="12">#REF!</definedName>
    <definedName name="gv_25" localSheetId="8">#REF!</definedName>
    <definedName name="gv_25" localSheetId="11">#REF!</definedName>
    <definedName name="gv_25" localSheetId="9">#REF!</definedName>
    <definedName name="gv_25" localSheetId="18">#REF!</definedName>
    <definedName name="gv_25" localSheetId="15">#REF!</definedName>
    <definedName name="gv_25" localSheetId="7">#REF!</definedName>
    <definedName name="gv_25">#REF!</definedName>
    <definedName name="gv_250" localSheetId="12">#REF!</definedName>
    <definedName name="gv_250" localSheetId="8">#REF!</definedName>
    <definedName name="gv_250" localSheetId="11">#REF!</definedName>
    <definedName name="gv_250" localSheetId="9">#REF!</definedName>
    <definedName name="gv_250" localSheetId="18">#REF!</definedName>
    <definedName name="gv_250" localSheetId="15">#REF!</definedName>
    <definedName name="gv_250" localSheetId="7">#REF!</definedName>
    <definedName name="gv_250">#REF!</definedName>
    <definedName name="gv_300" localSheetId="12">#REF!</definedName>
    <definedName name="gv_300" localSheetId="8">#REF!</definedName>
    <definedName name="gv_300" localSheetId="11">#REF!</definedName>
    <definedName name="gv_300" localSheetId="9">#REF!</definedName>
    <definedName name="gv_300" localSheetId="18">#REF!</definedName>
    <definedName name="gv_300" localSheetId="15">#REF!</definedName>
    <definedName name="gv_300" localSheetId="7">#REF!</definedName>
    <definedName name="gv_300">#REF!</definedName>
    <definedName name="gv_32" localSheetId="12">#REF!</definedName>
    <definedName name="gv_32" localSheetId="8">#REF!</definedName>
    <definedName name="gv_32" localSheetId="11">#REF!</definedName>
    <definedName name="gv_32" localSheetId="9">#REF!</definedName>
    <definedName name="gv_32" localSheetId="18">#REF!</definedName>
    <definedName name="gv_32" localSheetId="15">#REF!</definedName>
    <definedName name="gv_32" localSheetId="7">#REF!</definedName>
    <definedName name="gv_32">#REF!</definedName>
    <definedName name="gv_40" localSheetId="12">#REF!</definedName>
    <definedName name="gv_40" localSheetId="8">#REF!</definedName>
    <definedName name="gv_40" localSheetId="11">#REF!</definedName>
    <definedName name="gv_40" localSheetId="9">#REF!</definedName>
    <definedName name="gv_40" localSheetId="18">#REF!</definedName>
    <definedName name="gv_40" localSheetId="15">#REF!</definedName>
    <definedName name="gv_40" localSheetId="7">#REF!</definedName>
    <definedName name="gv_40">#REF!</definedName>
    <definedName name="gv_400" localSheetId="12">#REF!</definedName>
    <definedName name="gv_400" localSheetId="8">#REF!</definedName>
    <definedName name="gv_400" localSheetId="11">#REF!</definedName>
    <definedName name="gv_400" localSheetId="9">#REF!</definedName>
    <definedName name="gv_400" localSheetId="18">#REF!</definedName>
    <definedName name="gv_400" localSheetId="15">#REF!</definedName>
    <definedName name="gv_400" localSheetId="7">#REF!</definedName>
    <definedName name="gv_400">#REF!</definedName>
    <definedName name="gv_50" localSheetId="12">#REF!</definedName>
    <definedName name="gv_50" localSheetId="8">#REF!</definedName>
    <definedName name="gv_50" localSheetId="11">#REF!</definedName>
    <definedName name="gv_50" localSheetId="9">#REF!</definedName>
    <definedName name="gv_50" localSheetId="18">#REF!</definedName>
    <definedName name="gv_50" localSheetId="15">#REF!</definedName>
    <definedName name="gv_50" localSheetId="7">#REF!</definedName>
    <definedName name="gv_50">#REF!</definedName>
    <definedName name="gv_500" localSheetId="12">#REF!</definedName>
    <definedName name="gv_500" localSheetId="8">#REF!</definedName>
    <definedName name="gv_500" localSheetId="11">#REF!</definedName>
    <definedName name="gv_500" localSheetId="9">#REF!</definedName>
    <definedName name="gv_500" localSheetId="18">#REF!</definedName>
    <definedName name="gv_500" localSheetId="15">#REF!</definedName>
    <definedName name="gv_500" localSheetId="7">#REF!</definedName>
    <definedName name="gv_500">#REF!</definedName>
    <definedName name="gv_65" localSheetId="12">#REF!</definedName>
    <definedName name="gv_65" localSheetId="8">#REF!</definedName>
    <definedName name="gv_65" localSheetId="11">#REF!</definedName>
    <definedName name="gv_65" localSheetId="9">#REF!</definedName>
    <definedName name="gv_65" localSheetId="18">#REF!</definedName>
    <definedName name="gv_65" localSheetId="15">#REF!</definedName>
    <definedName name="gv_65" localSheetId="7">#REF!</definedName>
    <definedName name="gv_65">#REF!</definedName>
    <definedName name="gv_80" localSheetId="12">#REF!</definedName>
    <definedName name="gv_80" localSheetId="8">#REF!</definedName>
    <definedName name="gv_80" localSheetId="11">#REF!</definedName>
    <definedName name="gv_80" localSheetId="9">#REF!</definedName>
    <definedName name="gv_80" localSheetId="18">#REF!</definedName>
    <definedName name="gv_80" localSheetId="15">#REF!</definedName>
    <definedName name="gv_80" localSheetId="7">#REF!</definedName>
    <definedName name="gv_80">#REF!</definedName>
    <definedName name="h" comment="T12 IS USED IN MID MAIN LINKS" localSheetId="12">#REF!</definedName>
    <definedName name="h" comment="T12 IS USED IN MID MAIN LINKS" localSheetId="8">#REF!</definedName>
    <definedName name="h" comment="T12 IS USED IN MID MAIN LINKS" localSheetId="11">#REF!</definedName>
    <definedName name="h" comment="T12 IS USED IN MID MAIN LINKS" localSheetId="9">#REF!</definedName>
    <definedName name="h" comment="T12 IS USED IN MID MAIN LINKS" localSheetId="18">#REF!</definedName>
    <definedName name="h" comment="T12 IS USED IN MID MAIN LINKS" localSheetId="15">#REF!</definedName>
    <definedName name="h" comment="T12 IS USED IN MID MAIN LINKS" localSheetId="7">#REF!</definedName>
    <definedName name="h" comment="T12 IS USED IN MID MAIN LINKS">#REF!</definedName>
    <definedName name="H___0" localSheetId="12">#REF!</definedName>
    <definedName name="H___0" localSheetId="8">#REF!</definedName>
    <definedName name="H___0" localSheetId="11">#REF!</definedName>
    <definedName name="H___0" localSheetId="9">#REF!</definedName>
    <definedName name="H___0" localSheetId="18">#REF!</definedName>
    <definedName name="H___0" localSheetId="15">#REF!</definedName>
    <definedName name="H___0" localSheetId="7">#REF!</definedName>
    <definedName name="H___0">#REF!</definedName>
    <definedName name="H___13" localSheetId="12">#REF!</definedName>
    <definedName name="H___13" localSheetId="8">#REF!</definedName>
    <definedName name="H___13" localSheetId="11">#REF!</definedName>
    <definedName name="H___13" localSheetId="9">#REF!</definedName>
    <definedName name="H___13" localSheetId="18">#REF!</definedName>
    <definedName name="H___13" localSheetId="15">#REF!</definedName>
    <definedName name="H___13" localSheetId="7">#REF!</definedName>
    <definedName name="H___13">#REF!</definedName>
    <definedName name="H0" localSheetId="12">#REF!</definedName>
    <definedName name="H0" localSheetId="8">#REF!</definedName>
    <definedName name="H0" localSheetId="11">#REF!</definedName>
    <definedName name="H0" localSheetId="9">#REF!</definedName>
    <definedName name="H0" localSheetId="18">#REF!</definedName>
    <definedName name="H0" localSheetId="15">#REF!</definedName>
    <definedName name="H0" localSheetId="7">#REF!</definedName>
    <definedName name="H0">#REF!</definedName>
    <definedName name="H0___0" localSheetId="12">#REF!</definedName>
    <definedName name="H0___0" localSheetId="8">#REF!</definedName>
    <definedName name="H0___0" localSheetId="11">#REF!</definedName>
    <definedName name="H0___0" localSheetId="9">#REF!</definedName>
    <definedName name="H0___0" localSheetId="18">#REF!</definedName>
    <definedName name="H0___0" localSheetId="15">#REF!</definedName>
    <definedName name="H0___0" localSheetId="7">#REF!</definedName>
    <definedName name="H0___0">#REF!</definedName>
    <definedName name="H0___13" localSheetId="12">#REF!</definedName>
    <definedName name="H0___13" localSheetId="8">#REF!</definedName>
    <definedName name="H0___13" localSheetId="11">#REF!</definedName>
    <definedName name="H0___13" localSheetId="9">#REF!</definedName>
    <definedName name="H0___13" localSheetId="18">#REF!</definedName>
    <definedName name="H0___13" localSheetId="15">#REF!</definedName>
    <definedName name="H0___13" localSheetId="7">#REF!</definedName>
    <definedName name="H0___13">#REF!</definedName>
    <definedName name="hap" localSheetId="12" hidden="1">{#N/A,#N/A,FALSE,"COVER1.XLS ";#N/A,#N/A,FALSE,"RACT1.XLS";#N/A,#N/A,FALSE,"RACT2.XLS";#N/A,#N/A,FALSE,"ECCMP";#N/A,#N/A,FALSE,"WELDER.XLS"}</definedName>
    <definedName name="hap" localSheetId="6" hidden="1">{#N/A,#N/A,FALSE,"COVER1.XLS ";#N/A,#N/A,FALSE,"RACT1.XLS";#N/A,#N/A,FALSE,"RACT2.XLS";#N/A,#N/A,FALSE,"ECCMP";#N/A,#N/A,FALSE,"WELDER.XLS"}</definedName>
    <definedName name="hap" localSheetId="5" hidden="1">{#N/A,#N/A,FALSE,"COVER1.XLS ";#N/A,#N/A,FALSE,"RACT1.XLS";#N/A,#N/A,FALSE,"RACT2.XLS";#N/A,#N/A,FALSE,"ECCMP";#N/A,#N/A,FALSE,"WELDER.XLS"}</definedName>
    <definedName name="hap" localSheetId="8" hidden="1">{#N/A,#N/A,FALSE,"COVER1.XLS ";#N/A,#N/A,FALSE,"RACT1.XLS";#N/A,#N/A,FALSE,"RACT2.XLS";#N/A,#N/A,FALSE,"ECCMP";#N/A,#N/A,FALSE,"WELDER.XLS"}</definedName>
    <definedName name="hap" localSheetId="11" hidden="1">{#N/A,#N/A,FALSE,"COVER1.XLS ";#N/A,#N/A,FALSE,"RACT1.XLS";#N/A,#N/A,FALSE,"RACT2.XLS";#N/A,#N/A,FALSE,"ECCMP";#N/A,#N/A,FALSE,"WELDER.XLS"}</definedName>
    <definedName name="hap" localSheetId="9" hidden="1">{#N/A,#N/A,FALSE,"COVER1.XLS ";#N/A,#N/A,FALSE,"RACT1.XLS";#N/A,#N/A,FALSE,"RACT2.XLS";#N/A,#N/A,FALSE,"ECCMP";#N/A,#N/A,FALSE,"WELDER.XLS"}</definedName>
    <definedName name="hap" localSheetId="13" hidden="1">{#N/A,#N/A,FALSE,"COVER1.XLS ";#N/A,#N/A,FALSE,"RACT1.XLS";#N/A,#N/A,FALSE,"RACT2.XLS";#N/A,#N/A,FALSE,"ECCMP";#N/A,#N/A,FALSE,"WELDER.XLS"}</definedName>
    <definedName name="hap" localSheetId="18" hidden="1">{#N/A,#N/A,FALSE,"COVER1.XLS ";#N/A,#N/A,FALSE,"RACT1.XLS";#N/A,#N/A,FALSE,"RACT2.XLS";#N/A,#N/A,FALSE,"ECCMP";#N/A,#N/A,FALSE,"WELDER.XLS"}</definedName>
    <definedName name="hap" localSheetId="15" hidden="1">{#N/A,#N/A,FALSE,"COVER1.XLS ";#N/A,#N/A,FALSE,"RACT1.XLS";#N/A,#N/A,FALSE,"RACT2.XLS";#N/A,#N/A,FALSE,"ECCMP";#N/A,#N/A,FALSE,"WELDER.XLS"}</definedName>
    <definedName name="hap" localSheetId="7" hidden="1">{#N/A,#N/A,FALSE,"COVER1.XLS ";#N/A,#N/A,FALSE,"RACT1.XLS";#N/A,#N/A,FALSE,"RACT2.XLS";#N/A,#N/A,FALSE,"ECCMP";#N/A,#N/A,FALSE,"WELDER.XLS"}</definedName>
    <definedName name="hap" hidden="1">{#N/A,#N/A,FALSE,"COVER1.XLS ";#N/A,#N/A,FALSE,"RACT1.XLS";#N/A,#N/A,FALSE,"RACT2.XLS";#N/A,#N/A,FALSE,"ECCMP";#N/A,#N/A,FALSE,"WELDER.XLS"}</definedName>
    <definedName name="HARI" localSheetId="12">#REF!</definedName>
    <definedName name="HARI" localSheetId="6">#REF!</definedName>
    <definedName name="HARI" localSheetId="5">#REF!</definedName>
    <definedName name="HARI" localSheetId="8">#REF!</definedName>
    <definedName name="HARI" localSheetId="11">#REF!</definedName>
    <definedName name="HARI" localSheetId="9">#REF!</definedName>
    <definedName name="HARI" localSheetId="18">#REF!</definedName>
    <definedName name="HARI" localSheetId="15">#REF!</definedName>
    <definedName name="HARI" localSheetId="7">#REF!</definedName>
    <definedName name="HARI">#REF!</definedName>
    <definedName name="hdg" localSheetId="12">#REF!</definedName>
    <definedName name="hdg" localSheetId="0">#REF!</definedName>
    <definedName name="hdg" localSheetId="1">#REF!</definedName>
    <definedName name="hdg" localSheetId="6">#REF!</definedName>
    <definedName name="hdg" localSheetId="5">#REF!</definedName>
    <definedName name="hdg" localSheetId="8">#REF!</definedName>
    <definedName name="hdg" localSheetId="11">#REF!</definedName>
    <definedName name="hdg" localSheetId="9">#REF!</definedName>
    <definedName name="hdg" localSheetId="18">#REF!</definedName>
    <definedName name="hdg" localSheetId="15">#REF!</definedName>
    <definedName name="hdg" localSheetId="7">#REF!</definedName>
    <definedName name="hdg">#REF!</definedName>
    <definedName name="Hel" localSheetId="12">#REF!</definedName>
    <definedName name="Hel" localSheetId="8">#REF!</definedName>
    <definedName name="Hel" localSheetId="11">#REF!</definedName>
    <definedName name="Hel" localSheetId="9">#REF!</definedName>
    <definedName name="Hel" localSheetId="18">#REF!</definedName>
    <definedName name="Hel" localSheetId="15">#REF!</definedName>
    <definedName name="Hel" localSheetId="7">#REF!</definedName>
    <definedName name="Hel">#REF!</definedName>
    <definedName name="HEMANT" comment="T12 IS USED IN MID MAIN LINKS" localSheetId="12">#REF!</definedName>
    <definedName name="HEMANT" comment="T12 IS USED IN MID MAIN LINKS" localSheetId="8">#REF!</definedName>
    <definedName name="HEMANT" comment="T12 IS USED IN MID MAIN LINKS" localSheetId="11">#REF!</definedName>
    <definedName name="HEMANT" comment="T12 IS USED IN MID MAIN LINKS" localSheetId="9">#REF!</definedName>
    <definedName name="HEMANT" comment="T12 IS USED IN MID MAIN LINKS" localSheetId="18">#REF!</definedName>
    <definedName name="HEMANT" comment="T12 IS USED IN MID MAIN LINKS" localSheetId="15">#REF!</definedName>
    <definedName name="HEMANT" comment="T12 IS USED IN MID MAIN LINKS" localSheetId="7">#REF!</definedName>
    <definedName name="HEMANT" comment="T12 IS USED IN MID MAIN LINKS">#REF!</definedName>
    <definedName name="hf" localSheetId="12">#REF!</definedName>
    <definedName name="hf" localSheetId="8">#REF!</definedName>
    <definedName name="hf" localSheetId="11">#REF!</definedName>
    <definedName name="hf" localSheetId="9">#REF!</definedName>
    <definedName name="hf" localSheetId="18">#REF!</definedName>
    <definedName name="hf" localSheetId="15">#REF!</definedName>
    <definedName name="hf" localSheetId="7">#REF!</definedName>
    <definedName name="hf">#REF!</definedName>
    <definedName name="hh" localSheetId="12">#REF!</definedName>
    <definedName name="hh" localSheetId="8">#REF!</definedName>
    <definedName name="hh" localSheetId="11">#REF!</definedName>
    <definedName name="hh" localSheetId="9">#REF!</definedName>
    <definedName name="hh" localSheetId="18">#REF!</definedName>
    <definedName name="hh" localSheetId="15">#REF!</definedName>
    <definedName name="hh" localSheetId="7">#REF!</definedName>
    <definedName name="hh">#REF!</definedName>
    <definedName name="hh___0" localSheetId="12">#REF!</definedName>
    <definedName name="hh___0" localSheetId="8">#REF!</definedName>
    <definedName name="hh___0" localSheetId="11">#REF!</definedName>
    <definedName name="hh___0" localSheetId="9">#REF!</definedName>
    <definedName name="hh___0" localSheetId="18">#REF!</definedName>
    <definedName name="hh___0" localSheetId="15">#REF!</definedName>
    <definedName name="hh___0" localSheetId="7">#REF!</definedName>
    <definedName name="hh___0">#REF!</definedName>
    <definedName name="hh___13" localSheetId="12">#REF!</definedName>
    <definedName name="hh___13" localSheetId="8">#REF!</definedName>
    <definedName name="hh___13" localSheetId="11">#REF!</definedName>
    <definedName name="hh___13" localSheetId="9">#REF!</definedName>
    <definedName name="hh___13" localSheetId="18">#REF!</definedName>
    <definedName name="hh___13" localSheetId="15">#REF!</definedName>
    <definedName name="hh___13" localSheetId="7">#REF!</definedName>
    <definedName name="hh___13">#REF!</definedName>
    <definedName name="hhh" localSheetId="12">#REF!</definedName>
    <definedName name="hhh" localSheetId="8">#REF!</definedName>
    <definedName name="hhh" localSheetId="11">#REF!</definedName>
    <definedName name="hhh" localSheetId="9">#REF!</definedName>
    <definedName name="hhh" localSheetId="18">#REF!</definedName>
    <definedName name="hhh" localSheetId="15">#REF!</definedName>
    <definedName name="hhh" localSheetId="7">#REF!</definedName>
    <definedName name="hhh">#REF!</definedName>
    <definedName name="hhhhhhhhhhhhhhhhhh" localSheetId="12">#REF!</definedName>
    <definedName name="hhhhhhhhhhhhhhhhhh" localSheetId="8">#REF!</definedName>
    <definedName name="hhhhhhhhhhhhhhhhhh" localSheetId="11">#REF!</definedName>
    <definedName name="hhhhhhhhhhhhhhhhhh" localSheetId="9">#REF!</definedName>
    <definedName name="hhhhhhhhhhhhhhhhhh" localSheetId="18">#REF!</definedName>
    <definedName name="hhhhhhhhhhhhhhhhhh" localSheetId="15">#REF!</definedName>
    <definedName name="hhhhhhhhhhhhhhhhhh" localSheetId="7">#REF!</definedName>
    <definedName name="hhhhhhhhhhhhhhhhhh">#REF!</definedName>
    <definedName name="hi" localSheetId="12" hidden="1">{#N/A,#N/A,TRUE,"Front";#N/A,#N/A,TRUE,"Simple Letter";#N/A,#N/A,TRUE,"Inside";#N/A,#N/A,TRUE,"Contents";#N/A,#N/A,TRUE,"Basis";#N/A,#N/A,TRUE,"Inclusions";#N/A,#N/A,TRUE,"Exclusions";#N/A,#N/A,TRUE,"Areas";#N/A,#N/A,TRUE,"Summary";#N/A,#N/A,TRUE,"Detail"}</definedName>
    <definedName name="hi" localSheetId="6" hidden="1">{#N/A,#N/A,TRUE,"Front";#N/A,#N/A,TRUE,"Simple Letter";#N/A,#N/A,TRUE,"Inside";#N/A,#N/A,TRUE,"Contents";#N/A,#N/A,TRUE,"Basis";#N/A,#N/A,TRUE,"Inclusions";#N/A,#N/A,TRUE,"Exclusions";#N/A,#N/A,TRUE,"Areas";#N/A,#N/A,TRUE,"Summary";#N/A,#N/A,TRUE,"Detail"}</definedName>
    <definedName name="hi" localSheetId="5" hidden="1">{#N/A,#N/A,TRUE,"Front";#N/A,#N/A,TRUE,"Simple Letter";#N/A,#N/A,TRUE,"Inside";#N/A,#N/A,TRUE,"Contents";#N/A,#N/A,TRUE,"Basis";#N/A,#N/A,TRUE,"Inclusions";#N/A,#N/A,TRUE,"Exclusions";#N/A,#N/A,TRUE,"Areas";#N/A,#N/A,TRUE,"Summary";#N/A,#N/A,TRUE,"Detail"}</definedName>
    <definedName name="hi" localSheetId="8" hidden="1">{#N/A,#N/A,TRUE,"Front";#N/A,#N/A,TRUE,"Simple Letter";#N/A,#N/A,TRUE,"Inside";#N/A,#N/A,TRUE,"Contents";#N/A,#N/A,TRUE,"Basis";#N/A,#N/A,TRUE,"Inclusions";#N/A,#N/A,TRUE,"Exclusions";#N/A,#N/A,TRUE,"Areas";#N/A,#N/A,TRUE,"Summary";#N/A,#N/A,TRUE,"Detail"}</definedName>
    <definedName name="hi" localSheetId="11" hidden="1">{#N/A,#N/A,TRUE,"Front";#N/A,#N/A,TRUE,"Simple Letter";#N/A,#N/A,TRUE,"Inside";#N/A,#N/A,TRUE,"Contents";#N/A,#N/A,TRUE,"Basis";#N/A,#N/A,TRUE,"Inclusions";#N/A,#N/A,TRUE,"Exclusions";#N/A,#N/A,TRUE,"Areas";#N/A,#N/A,TRUE,"Summary";#N/A,#N/A,TRUE,"Detail"}</definedName>
    <definedName name="hi" localSheetId="9" hidden="1">{#N/A,#N/A,TRUE,"Front";#N/A,#N/A,TRUE,"Simple Letter";#N/A,#N/A,TRUE,"Inside";#N/A,#N/A,TRUE,"Contents";#N/A,#N/A,TRUE,"Basis";#N/A,#N/A,TRUE,"Inclusions";#N/A,#N/A,TRUE,"Exclusions";#N/A,#N/A,TRUE,"Areas";#N/A,#N/A,TRUE,"Summary";#N/A,#N/A,TRUE,"Detail"}</definedName>
    <definedName name="hi" localSheetId="13" hidden="1">{#N/A,#N/A,TRUE,"Front";#N/A,#N/A,TRUE,"Simple Letter";#N/A,#N/A,TRUE,"Inside";#N/A,#N/A,TRUE,"Contents";#N/A,#N/A,TRUE,"Basis";#N/A,#N/A,TRUE,"Inclusions";#N/A,#N/A,TRUE,"Exclusions";#N/A,#N/A,TRUE,"Areas";#N/A,#N/A,TRUE,"Summary";#N/A,#N/A,TRUE,"Detail"}</definedName>
    <definedName name="hi" localSheetId="18" hidden="1">{#N/A,#N/A,TRUE,"Front";#N/A,#N/A,TRUE,"Simple Letter";#N/A,#N/A,TRUE,"Inside";#N/A,#N/A,TRUE,"Contents";#N/A,#N/A,TRUE,"Basis";#N/A,#N/A,TRUE,"Inclusions";#N/A,#N/A,TRUE,"Exclusions";#N/A,#N/A,TRUE,"Areas";#N/A,#N/A,TRUE,"Summary";#N/A,#N/A,TRUE,"Detail"}</definedName>
    <definedName name="hi" localSheetId="15" hidden="1">{#N/A,#N/A,TRUE,"Front";#N/A,#N/A,TRUE,"Simple Letter";#N/A,#N/A,TRUE,"Inside";#N/A,#N/A,TRUE,"Contents";#N/A,#N/A,TRUE,"Basis";#N/A,#N/A,TRUE,"Inclusions";#N/A,#N/A,TRUE,"Exclusions";#N/A,#N/A,TRUE,"Areas";#N/A,#N/A,TRUE,"Summary";#N/A,#N/A,TRUE,"Detail"}</definedName>
    <definedName name="hi" localSheetId="7" hidden="1">{#N/A,#N/A,TRUE,"Front";#N/A,#N/A,TRUE,"Simple Letter";#N/A,#N/A,TRUE,"Inside";#N/A,#N/A,TRUE,"Contents";#N/A,#N/A,TRUE,"Basis";#N/A,#N/A,TRUE,"Inclusions";#N/A,#N/A,TRUE,"Exclusions";#N/A,#N/A,TRUE,"Areas";#N/A,#N/A,TRUE,"Summary";#N/A,#N/A,TRUE,"Detail"}</definedName>
    <definedName name="hi" hidden="1">{#N/A,#N/A,TRUE,"Front";#N/A,#N/A,TRUE,"Simple Letter";#N/A,#N/A,TRUE,"Inside";#N/A,#N/A,TRUE,"Contents";#N/A,#N/A,TRUE,"Basis";#N/A,#N/A,TRUE,"Inclusions";#N/A,#N/A,TRUE,"Exclusions";#N/A,#N/A,TRUE,"Areas";#N/A,#N/A,TRUE,"Summary";#N/A,#N/A,TRUE,"Detail"}</definedName>
    <definedName name="HINDHUSTAN" localSheetId="12">#REF!</definedName>
    <definedName name="HINDHUSTAN" localSheetId="6">#REF!</definedName>
    <definedName name="HINDHUSTAN" localSheetId="5">#REF!</definedName>
    <definedName name="HINDHUSTAN" localSheetId="8">#REF!</definedName>
    <definedName name="HINDHUSTAN" localSheetId="11">#REF!</definedName>
    <definedName name="HINDHUSTAN" localSheetId="9">#REF!</definedName>
    <definedName name="HINDHUSTAN" localSheetId="18">#REF!</definedName>
    <definedName name="HINDHUSTAN" localSheetId="15">#REF!</definedName>
    <definedName name="HINDHUSTAN" localSheetId="7">#REF!</definedName>
    <definedName name="HINDHUSTAN">#REF!</definedName>
    <definedName name="HIns" localSheetId="12">#REF!</definedName>
    <definedName name="HIns" localSheetId="6">#REF!</definedName>
    <definedName name="HIns" localSheetId="5">#REF!</definedName>
    <definedName name="HIns" localSheetId="8">#REF!</definedName>
    <definedName name="HIns" localSheetId="11">#REF!</definedName>
    <definedName name="HIns" localSheetId="9">#REF!</definedName>
    <definedName name="HIns" localSheetId="18">#REF!</definedName>
    <definedName name="HIns" localSheetId="15">#REF!</definedName>
    <definedName name="HIns" localSheetId="7">#REF!</definedName>
    <definedName name="HIns">#REF!</definedName>
    <definedName name="hmp" localSheetId="12">#REF!</definedName>
    <definedName name="hmp" localSheetId="6">#REF!</definedName>
    <definedName name="hmp" localSheetId="5">#REF!</definedName>
    <definedName name="hmp" localSheetId="8">#REF!</definedName>
    <definedName name="hmp" localSheetId="11">#REF!</definedName>
    <definedName name="hmp" localSheetId="9">#REF!</definedName>
    <definedName name="hmp" localSheetId="18">#REF!</definedName>
    <definedName name="hmp" localSheetId="15">#REF!</definedName>
    <definedName name="hmp" localSheetId="7">#REF!</definedName>
    <definedName name="hmp">#REF!</definedName>
    <definedName name="ho" localSheetId="12">#REF!</definedName>
    <definedName name="ho" localSheetId="8">#REF!</definedName>
    <definedName name="ho" localSheetId="11">#REF!</definedName>
    <definedName name="ho" localSheetId="9">#REF!</definedName>
    <definedName name="ho" localSheetId="18">#REF!</definedName>
    <definedName name="ho" localSheetId="15">#REF!</definedName>
    <definedName name="ho" localSheetId="7">#REF!</definedName>
    <definedName name="ho">#REF!</definedName>
    <definedName name="ho___0" localSheetId="12">#REF!</definedName>
    <definedName name="ho___0" localSheetId="8">#REF!</definedName>
    <definedName name="ho___0" localSheetId="11">#REF!</definedName>
    <definedName name="ho___0" localSheetId="9">#REF!</definedName>
    <definedName name="ho___0" localSheetId="18">#REF!</definedName>
    <definedName name="ho___0" localSheetId="15">#REF!</definedName>
    <definedName name="ho___0" localSheetId="7">#REF!</definedName>
    <definedName name="ho___0">#REF!</definedName>
    <definedName name="ho___13" localSheetId="12">#REF!</definedName>
    <definedName name="ho___13" localSheetId="8">#REF!</definedName>
    <definedName name="ho___13" localSheetId="11">#REF!</definedName>
    <definedName name="ho___13" localSheetId="9">#REF!</definedName>
    <definedName name="ho___13" localSheetId="18">#REF!</definedName>
    <definedName name="ho___13" localSheetId="15">#REF!</definedName>
    <definedName name="ho___13" localSheetId="7">#REF!</definedName>
    <definedName name="ho___13">#REF!</definedName>
    <definedName name="hoi" localSheetId="12">#REF!</definedName>
    <definedName name="hoi" localSheetId="8">#REF!</definedName>
    <definedName name="hoi" localSheetId="11">#REF!</definedName>
    <definedName name="hoi" localSheetId="9">#REF!</definedName>
    <definedName name="hoi" localSheetId="18">#REF!</definedName>
    <definedName name="hoi" localSheetId="15">#REF!</definedName>
    <definedName name="hoi" localSheetId="7">#REF!</definedName>
    <definedName name="hoi">#REF!</definedName>
    <definedName name="hoisting" localSheetId="12">#REF!</definedName>
    <definedName name="hoisting" localSheetId="8">#REF!</definedName>
    <definedName name="hoisting" localSheetId="11">#REF!</definedName>
    <definedName name="hoisting" localSheetId="9">#REF!</definedName>
    <definedName name="hoisting" localSheetId="18">#REF!</definedName>
    <definedName name="hoisting" localSheetId="15">#REF!</definedName>
    <definedName name="hoisting" localSheetId="7">#REF!</definedName>
    <definedName name="hoisting">#REF!</definedName>
    <definedName name="horticulture" localSheetId="12">#REF!</definedName>
    <definedName name="horticulture" localSheetId="8">#REF!</definedName>
    <definedName name="horticulture" localSheetId="11">#REF!</definedName>
    <definedName name="horticulture" localSheetId="9">#REF!</definedName>
    <definedName name="horticulture" localSheetId="18">#REF!</definedName>
    <definedName name="horticulture" localSheetId="15">#REF!</definedName>
    <definedName name="horticulture" localSheetId="7">#REF!</definedName>
    <definedName name="horticulture">#REF!</definedName>
    <definedName name="HPI_IN_TRANSOM" localSheetId="12">#REF!</definedName>
    <definedName name="HPI_IN_TRANSOM" localSheetId="8">#REF!</definedName>
    <definedName name="HPI_IN_TRANSOM" localSheetId="11">#REF!</definedName>
    <definedName name="HPI_IN_TRANSOM" localSheetId="9">#REF!</definedName>
    <definedName name="HPI_IN_TRANSOM" localSheetId="18">#REF!</definedName>
    <definedName name="HPI_IN_TRANSOM" localSheetId="15">#REF!</definedName>
    <definedName name="HPI_IN_TRANSOM" localSheetId="7">#REF!</definedName>
    <definedName name="HPI_IN_TRANSOM">#REF!</definedName>
    <definedName name="hS" localSheetId="12">#REF!</definedName>
    <definedName name="hS" localSheetId="8">#REF!</definedName>
    <definedName name="hS" localSheetId="11">#REF!</definedName>
    <definedName name="hS" localSheetId="9">#REF!</definedName>
    <definedName name="hS" localSheetId="18">#REF!</definedName>
    <definedName name="hS" localSheetId="15">#REF!</definedName>
    <definedName name="hS" localSheetId="7">#REF!</definedName>
    <definedName name="hS">#REF!</definedName>
    <definedName name="hS___0" localSheetId="12">#REF!</definedName>
    <definedName name="hS___0" localSheetId="8">#REF!</definedName>
    <definedName name="hS___0" localSheetId="11">#REF!</definedName>
    <definedName name="hS___0" localSheetId="9">#REF!</definedName>
    <definedName name="hS___0" localSheetId="18">#REF!</definedName>
    <definedName name="hS___0" localSheetId="15">#REF!</definedName>
    <definedName name="hS___0" localSheetId="7">#REF!</definedName>
    <definedName name="hS___0">#REF!</definedName>
    <definedName name="hS___13" localSheetId="12">#REF!</definedName>
    <definedName name="hS___13" localSheetId="8">#REF!</definedName>
    <definedName name="hS___13" localSheetId="11">#REF!</definedName>
    <definedName name="hS___13" localSheetId="9">#REF!</definedName>
    <definedName name="hS___13" localSheetId="18">#REF!</definedName>
    <definedName name="hS___13" localSheetId="15">#REF!</definedName>
    <definedName name="hS___13" localSheetId="7">#REF!</definedName>
    <definedName name="hS___13">#REF!</definedName>
    <definedName name="HTML_CodePage" hidden="1">1252</definedName>
    <definedName name="HTML_Control" localSheetId="12" hidden="1">{"'Sheet1'!$A$4386:$N$4591"}</definedName>
    <definedName name="HTML_Control" localSheetId="6" hidden="1">{"'Sheet1'!$A$4386:$N$4591"}</definedName>
    <definedName name="HTML_Control" localSheetId="5" hidden="1">{"'Sheet1'!$A$4386:$N$4591"}</definedName>
    <definedName name="HTML_Control" localSheetId="8" hidden="1">{"'Sheet1'!$A$4386:$N$4591"}</definedName>
    <definedName name="HTML_Control" localSheetId="11" hidden="1">{"'Sheet1'!$A$4386:$N$4591"}</definedName>
    <definedName name="HTML_Control" localSheetId="9" hidden="1">{"'Sheet1'!$A$4386:$N$4591"}</definedName>
    <definedName name="HTML_Control" localSheetId="13" hidden="1">{"'Sheet1'!$A$4386:$N$4591"}</definedName>
    <definedName name="HTML_Control" localSheetId="18" hidden="1">{"'Sheet1'!$A$4386:$N$4591"}</definedName>
    <definedName name="HTML_Control" localSheetId="15" hidden="1">{"'Sheet1'!$A$4386:$N$4591"}</definedName>
    <definedName name="HTML_Control" localSheetId="7" hidden="1">{"'Sheet1'!$A$4386:$N$4591"}</definedName>
    <definedName name="HTML_Control"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4" hidden="1">TRUE</definedName>
    <definedName name="HTML_OS" hidden="1">0</definedName>
    <definedName name="HTML_PathFile" hidden="1">"A:\MyHTML.htm"</definedName>
    <definedName name="HTML_Title" hidden="1">"SGSDaily Progress Report Piyaj toDharoi Pipeline"</definedName>
    <definedName name="Hu" localSheetId="12">#REF!</definedName>
    <definedName name="Hu" localSheetId="6">#REF!</definedName>
    <definedName name="Hu" localSheetId="5">#REF!</definedName>
    <definedName name="Hu" localSheetId="8">#REF!</definedName>
    <definedName name="Hu" localSheetId="11">#REF!</definedName>
    <definedName name="Hu" localSheetId="9">#REF!</definedName>
    <definedName name="Hu" localSheetId="18">#REF!</definedName>
    <definedName name="Hu" localSheetId="15">#REF!</definedName>
    <definedName name="Hu" localSheetId="7">#REF!</definedName>
    <definedName name="Hu">#REF!</definedName>
    <definedName name="Hu___0" localSheetId="12">#REF!</definedName>
    <definedName name="Hu___0" localSheetId="6">#REF!</definedName>
    <definedName name="Hu___0" localSheetId="5">#REF!</definedName>
    <definedName name="Hu___0" localSheetId="8">#REF!</definedName>
    <definedName name="Hu___0" localSheetId="11">#REF!</definedName>
    <definedName name="Hu___0" localSheetId="9">#REF!</definedName>
    <definedName name="Hu___0" localSheetId="18">#REF!</definedName>
    <definedName name="Hu___0" localSheetId="15">#REF!</definedName>
    <definedName name="Hu___0" localSheetId="7">#REF!</definedName>
    <definedName name="Hu___0">#REF!</definedName>
    <definedName name="Hu___13" localSheetId="12">#REF!</definedName>
    <definedName name="Hu___13" localSheetId="6">#REF!</definedName>
    <definedName name="Hu___13" localSheetId="5">#REF!</definedName>
    <definedName name="Hu___13" localSheetId="8">#REF!</definedName>
    <definedName name="Hu___13" localSheetId="11">#REF!</definedName>
    <definedName name="Hu___13" localSheetId="9">#REF!</definedName>
    <definedName name="Hu___13" localSheetId="18">#REF!</definedName>
    <definedName name="Hu___13" localSheetId="15">#REF!</definedName>
    <definedName name="Hu___13" localSheetId="7">#REF!</definedName>
    <definedName name="Hu___13">#REF!</definedName>
    <definedName name="hvacrates" localSheetId="12">#REF!</definedName>
    <definedName name="hvacrates" localSheetId="8">#REF!</definedName>
    <definedName name="hvacrates" localSheetId="11">#REF!</definedName>
    <definedName name="hvacrates" localSheetId="9">#REF!</definedName>
    <definedName name="hvacrates" localSheetId="18">#REF!</definedName>
    <definedName name="hvacrates" localSheetId="15">#REF!</definedName>
    <definedName name="hvacrates" localSheetId="7">#REF!</definedName>
    <definedName name="hvacrates">#REF!</definedName>
    <definedName name="hxb" localSheetId="12">#REF!</definedName>
    <definedName name="hxb" localSheetId="8">#REF!</definedName>
    <definedName name="hxb" localSheetId="11">#REF!</definedName>
    <definedName name="hxb" localSheetId="9">#REF!</definedName>
    <definedName name="hxb" localSheetId="18">#REF!</definedName>
    <definedName name="hxb" localSheetId="15">#REF!</definedName>
    <definedName name="hxb" localSheetId="7">#REF!</definedName>
    <definedName name="hxb">#REF!</definedName>
    <definedName name="hxi" localSheetId="12">#REF!</definedName>
    <definedName name="hxi" localSheetId="8">#REF!</definedName>
    <definedName name="hxi" localSheetId="11">#REF!</definedName>
    <definedName name="hxi" localSheetId="9">#REF!</definedName>
    <definedName name="hxi" localSheetId="18">#REF!</definedName>
    <definedName name="hxi" localSheetId="15">#REF!</definedName>
    <definedName name="hxi" localSheetId="7">#REF!</definedName>
    <definedName name="hxi">#REF!</definedName>
    <definedName name="hysd" localSheetId="12">#REF!</definedName>
    <definedName name="hysd" localSheetId="8">#REF!</definedName>
    <definedName name="hysd" localSheetId="11">#REF!</definedName>
    <definedName name="hysd" localSheetId="9">#REF!</definedName>
    <definedName name="hysd" localSheetId="18">#REF!</definedName>
    <definedName name="hysd" localSheetId="15">#REF!</definedName>
    <definedName name="hysd" localSheetId="7">#REF!</definedName>
    <definedName name="hysd">#REF!</definedName>
    <definedName name="HYTRH" localSheetId="12">#REF!</definedName>
    <definedName name="HYTRH" localSheetId="8">#REF!</definedName>
    <definedName name="HYTRH" localSheetId="11">#REF!</definedName>
    <definedName name="HYTRH" localSheetId="9">#REF!</definedName>
    <definedName name="HYTRH" localSheetId="18">#REF!</definedName>
    <definedName name="HYTRH" localSheetId="15">#REF!</definedName>
    <definedName name="HYTRH" localSheetId="7">#REF!</definedName>
    <definedName name="HYTRH">#REF!</definedName>
    <definedName name="i" localSheetId="12">#REF!</definedName>
    <definedName name="i" localSheetId="8">#REF!</definedName>
    <definedName name="i" localSheetId="11">#REF!</definedName>
    <definedName name="i" localSheetId="9">#REF!</definedName>
    <definedName name="i" localSheetId="18">#REF!</definedName>
    <definedName name="i" localSheetId="15">#REF!</definedName>
    <definedName name="i" localSheetId="7">#REF!</definedName>
    <definedName name="i">#REF!</definedName>
    <definedName name="I___0" localSheetId="12">#REF!</definedName>
    <definedName name="I___0" localSheetId="8">#REF!</definedName>
    <definedName name="I___0" localSheetId="11">#REF!</definedName>
    <definedName name="I___0" localSheetId="9">#REF!</definedName>
    <definedName name="I___0" localSheetId="18">#REF!</definedName>
    <definedName name="I___0" localSheetId="15">#REF!</definedName>
    <definedName name="I___0" localSheetId="7">#REF!</definedName>
    <definedName name="I___0">#REF!</definedName>
    <definedName name="I___13" localSheetId="12">#REF!</definedName>
    <definedName name="I___13" localSheetId="8">#REF!</definedName>
    <definedName name="I___13" localSheetId="11">#REF!</definedName>
    <definedName name="I___13" localSheetId="9">#REF!</definedName>
    <definedName name="I___13" localSheetId="18">#REF!</definedName>
    <definedName name="I___13" localSheetId="15">#REF!</definedName>
    <definedName name="I___13" localSheetId="7">#REF!</definedName>
    <definedName name="I___13">#REF!</definedName>
    <definedName name="If" localSheetId="12">#REF!</definedName>
    <definedName name="If" localSheetId="8">#REF!</definedName>
    <definedName name="If" localSheetId="11">#REF!</definedName>
    <definedName name="If" localSheetId="9">#REF!</definedName>
    <definedName name="If" localSheetId="18">#REF!</definedName>
    <definedName name="If" localSheetId="15">#REF!</definedName>
    <definedName name="If" localSheetId="7">#REF!</definedName>
    <definedName name="If">#REF!</definedName>
    <definedName name="Ig" localSheetId="12">#REF!</definedName>
    <definedName name="Ig" localSheetId="8">#REF!</definedName>
    <definedName name="Ig" localSheetId="11">#REF!</definedName>
    <definedName name="Ig" localSheetId="9">#REF!</definedName>
    <definedName name="Ig" localSheetId="18">#REF!</definedName>
    <definedName name="Ig" localSheetId="15">#REF!</definedName>
    <definedName name="Ig" localSheetId="7">#REF!</definedName>
    <definedName name="Ig">#REF!</definedName>
    <definedName name="Ig___0" localSheetId="12">#REF!</definedName>
    <definedName name="Ig___0" localSheetId="8">#REF!</definedName>
    <definedName name="Ig___0" localSheetId="11">#REF!</definedName>
    <definedName name="Ig___0" localSheetId="9">#REF!</definedName>
    <definedName name="Ig___0" localSheetId="18">#REF!</definedName>
    <definedName name="Ig___0" localSheetId="15">#REF!</definedName>
    <definedName name="Ig___0" localSheetId="7">#REF!</definedName>
    <definedName name="Ig___0">#REF!</definedName>
    <definedName name="Ig___13" localSheetId="12">#REF!</definedName>
    <definedName name="Ig___13" localSheetId="8">#REF!</definedName>
    <definedName name="Ig___13" localSheetId="11">#REF!</definedName>
    <definedName name="Ig___13" localSheetId="9">#REF!</definedName>
    <definedName name="Ig___13" localSheetId="18">#REF!</definedName>
    <definedName name="Ig___13" localSheetId="15">#REF!</definedName>
    <definedName name="Ig___13" localSheetId="7">#REF!</definedName>
    <definedName name="Ig___13">#REF!</definedName>
    <definedName name="iiiiiiiiiiiii" localSheetId="12">#REF!</definedName>
    <definedName name="iiiiiiiiiiiii" localSheetId="8">#REF!</definedName>
    <definedName name="iiiiiiiiiiiii" localSheetId="11">#REF!</definedName>
    <definedName name="iiiiiiiiiiiii" localSheetId="9">#REF!</definedName>
    <definedName name="iiiiiiiiiiiii" localSheetId="18">#REF!</definedName>
    <definedName name="iiiiiiiiiiiii" localSheetId="15">#REF!</definedName>
    <definedName name="iiiiiiiiiiiii" localSheetId="7">#REF!</definedName>
    <definedName name="iiiiiiiiiiiii">#REF!</definedName>
    <definedName name="iiiiiiiiiiiiii" localSheetId="12">#REF!</definedName>
    <definedName name="iiiiiiiiiiiiii" localSheetId="8">#REF!</definedName>
    <definedName name="iiiiiiiiiiiiii" localSheetId="11">#REF!</definedName>
    <definedName name="iiiiiiiiiiiiii" localSheetId="9">#REF!</definedName>
    <definedName name="iiiiiiiiiiiiii" localSheetId="18">#REF!</definedName>
    <definedName name="iiiiiiiiiiiiii" localSheetId="15">#REF!</definedName>
    <definedName name="iiiiiiiiiiiiii" localSheetId="7">#REF!</definedName>
    <definedName name="iiiiiiiiiiiiii">#REF!</definedName>
    <definedName name="in_100" localSheetId="12">#REF!</definedName>
    <definedName name="in_100" localSheetId="8">#REF!</definedName>
    <definedName name="in_100" localSheetId="11">#REF!</definedName>
    <definedName name="in_100" localSheetId="9">#REF!</definedName>
    <definedName name="in_100" localSheetId="18">#REF!</definedName>
    <definedName name="in_100" localSheetId="15">#REF!</definedName>
    <definedName name="in_100" localSheetId="7">#REF!</definedName>
    <definedName name="in_100">#REF!</definedName>
    <definedName name="in_150" localSheetId="12">#REF!</definedName>
    <definedName name="in_150" localSheetId="8">#REF!</definedName>
    <definedName name="in_150" localSheetId="11">#REF!</definedName>
    <definedName name="in_150" localSheetId="9">#REF!</definedName>
    <definedName name="in_150" localSheetId="18">#REF!</definedName>
    <definedName name="in_150" localSheetId="15">#REF!</definedName>
    <definedName name="in_150" localSheetId="7">#REF!</definedName>
    <definedName name="in_150">#REF!</definedName>
    <definedName name="in_200" localSheetId="12">#REF!</definedName>
    <definedName name="in_200" localSheetId="8">#REF!</definedName>
    <definedName name="in_200" localSheetId="11">#REF!</definedName>
    <definedName name="in_200" localSheetId="9">#REF!</definedName>
    <definedName name="in_200" localSheetId="18">#REF!</definedName>
    <definedName name="in_200" localSheetId="15">#REF!</definedName>
    <definedName name="in_200" localSheetId="7">#REF!</definedName>
    <definedName name="in_200">#REF!</definedName>
    <definedName name="in_25" localSheetId="12">#REF!</definedName>
    <definedName name="in_25" localSheetId="8">#REF!</definedName>
    <definedName name="in_25" localSheetId="11">#REF!</definedName>
    <definedName name="in_25" localSheetId="9">#REF!</definedName>
    <definedName name="in_25" localSheetId="18">#REF!</definedName>
    <definedName name="in_25" localSheetId="15">#REF!</definedName>
    <definedName name="in_25" localSheetId="7">#REF!</definedName>
    <definedName name="in_25">#REF!</definedName>
    <definedName name="in_250" localSheetId="12">#REF!</definedName>
    <definedName name="in_250" localSheetId="8">#REF!</definedName>
    <definedName name="in_250" localSheetId="11">#REF!</definedName>
    <definedName name="in_250" localSheetId="9">#REF!</definedName>
    <definedName name="in_250" localSheetId="18">#REF!</definedName>
    <definedName name="in_250" localSheetId="15">#REF!</definedName>
    <definedName name="in_250" localSheetId="7">#REF!</definedName>
    <definedName name="in_250">#REF!</definedName>
    <definedName name="in_300" localSheetId="12">#REF!</definedName>
    <definedName name="in_300" localSheetId="8">#REF!</definedName>
    <definedName name="in_300" localSheetId="11">#REF!</definedName>
    <definedName name="in_300" localSheetId="9">#REF!</definedName>
    <definedName name="in_300" localSheetId="18">#REF!</definedName>
    <definedName name="in_300" localSheetId="15">#REF!</definedName>
    <definedName name="in_300" localSheetId="7">#REF!</definedName>
    <definedName name="in_300">#REF!</definedName>
    <definedName name="in_32" localSheetId="12">#REF!</definedName>
    <definedName name="in_32" localSheetId="8">#REF!</definedName>
    <definedName name="in_32" localSheetId="11">#REF!</definedName>
    <definedName name="in_32" localSheetId="9">#REF!</definedName>
    <definedName name="in_32" localSheetId="18">#REF!</definedName>
    <definedName name="in_32" localSheetId="15">#REF!</definedName>
    <definedName name="in_32" localSheetId="7">#REF!</definedName>
    <definedName name="in_32">#REF!</definedName>
    <definedName name="in_40" localSheetId="12">#REF!</definedName>
    <definedName name="in_40" localSheetId="8">#REF!</definedName>
    <definedName name="in_40" localSheetId="11">#REF!</definedName>
    <definedName name="in_40" localSheetId="9">#REF!</definedName>
    <definedName name="in_40" localSheetId="18">#REF!</definedName>
    <definedName name="in_40" localSheetId="15">#REF!</definedName>
    <definedName name="in_40" localSheetId="7">#REF!</definedName>
    <definedName name="in_40">#REF!</definedName>
    <definedName name="in_400" localSheetId="12">#REF!</definedName>
    <definedName name="in_400" localSheetId="8">#REF!</definedName>
    <definedName name="in_400" localSheetId="11">#REF!</definedName>
    <definedName name="in_400" localSheetId="9">#REF!</definedName>
    <definedName name="in_400" localSheetId="18">#REF!</definedName>
    <definedName name="in_400" localSheetId="15">#REF!</definedName>
    <definedName name="in_400" localSheetId="7">#REF!</definedName>
    <definedName name="in_400">#REF!</definedName>
    <definedName name="in_50" localSheetId="12">#REF!</definedName>
    <definedName name="in_50" localSheetId="8">#REF!</definedName>
    <definedName name="in_50" localSheetId="11">#REF!</definedName>
    <definedName name="in_50" localSheetId="9">#REF!</definedName>
    <definedName name="in_50" localSheetId="18">#REF!</definedName>
    <definedName name="in_50" localSheetId="15">#REF!</definedName>
    <definedName name="in_50" localSheetId="7">#REF!</definedName>
    <definedName name="in_50">#REF!</definedName>
    <definedName name="in_500" localSheetId="12">#REF!</definedName>
    <definedName name="in_500" localSheetId="8">#REF!</definedName>
    <definedName name="in_500" localSheetId="11">#REF!</definedName>
    <definedName name="in_500" localSheetId="9">#REF!</definedName>
    <definedName name="in_500" localSheetId="18">#REF!</definedName>
    <definedName name="in_500" localSheetId="15">#REF!</definedName>
    <definedName name="in_500" localSheetId="7">#REF!</definedName>
    <definedName name="in_500">#REF!</definedName>
    <definedName name="in_600" localSheetId="12">#REF!</definedName>
    <definedName name="in_600" localSheetId="8">#REF!</definedName>
    <definedName name="in_600" localSheetId="11">#REF!</definedName>
    <definedName name="in_600" localSheetId="9">#REF!</definedName>
    <definedName name="in_600" localSheetId="18">#REF!</definedName>
    <definedName name="in_600" localSheetId="15">#REF!</definedName>
    <definedName name="in_600" localSheetId="7">#REF!</definedName>
    <definedName name="in_600">#REF!</definedName>
    <definedName name="in_65" localSheetId="12">#REF!</definedName>
    <definedName name="in_65" localSheetId="8">#REF!</definedName>
    <definedName name="in_65" localSheetId="11">#REF!</definedName>
    <definedName name="in_65" localSheetId="9">#REF!</definedName>
    <definedName name="in_65" localSheetId="18">#REF!</definedName>
    <definedName name="in_65" localSheetId="15">#REF!</definedName>
    <definedName name="in_65" localSheetId="7">#REF!</definedName>
    <definedName name="in_65">#REF!</definedName>
    <definedName name="in_80" localSheetId="12">#REF!</definedName>
    <definedName name="in_80" localSheetId="8">#REF!</definedName>
    <definedName name="in_80" localSheetId="11">#REF!</definedName>
    <definedName name="in_80" localSheetId="9">#REF!</definedName>
    <definedName name="in_80" localSheetId="18">#REF!</definedName>
    <definedName name="in_80" localSheetId="15">#REF!</definedName>
    <definedName name="in_80" localSheetId="7">#REF!</definedName>
    <definedName name="in_80">#REF!</definedName>
    <definedName name="Incline" localSheetId="12">#REF!</definedName>
    <definedName name="Incline" localSheetId="8">#REF!</definedName>
    <definedName name="Incline" localSheetId="11">#REF!</definedName>
    <definedName name="Incline" localSheetId="9">#REF!</definedName>
    <definedName name="Incline" localSheetId="18">#REF!</definedName>
    <definedName name="Incline" localSheetId="15">#REF!</definedName>
    <definedName name="Incline" localSheetId="7">#REF!</definedName>
    <definedName name="Incline">#REF!</definedName>
    <definedName name="income" localSheetId="12">#REF!</definedName>
    <definedName name="income" localSheetId="0">#REF!</definedName>
    <definedName name="income" localSheetId="1">#REF!</definedName>
    <definedName name="income" localSheetId="8">#REF!</definedName>
    <definedName name="income" localSheetId="11">#REF!</definedName>
    <definedName name="income" localSheetId="9">#REF!</definedName>
    <definedName name="income" localSheetId="18">#REF!</definedName>
    <definedName name="income" localSheetId="15">#REF!</definedName>
    <definedName name="income" localSheetId="7">#REF!</definedName>
    <definedName name="income">#REF!</definedName>
    <definedName name="ind" localSheetId="12">#REF!</definedName>
    <definedName name="ind" localSheetId="0">#REF!</definedName>
    <definedName name="ind" localSheetId="1">#REF!</definedName>
    <definedName name="ind" localSheetId="8">#REF!</definedName>
    <definedName name="ind" localSheetId="11">#REF!</definedName>
    <definedName name="ind" localSheetId="9">#REF!</definedName>
    <definedName name="ind" localSheetId="18">#REF!</definedName>
    <definedName name="ind" localSheetId="15">#REF!</definedName>
    <definedName name="ind" localSheetId="7">#REF!</definedName>
    <definedName name="ind">#REF!</definedName>
    <definedName name="indf" localSheetId="12">#REF!</definedName>
    <definedName name="indf" localSheetId="0">#REF!</definedName>
    <definedName name="indf" localSheetId="1">#REF!</definedName>
    <definedName name="indf" localSheetId="8">#REF!</definedName>
    <definedName name="indf" localSheetId="11">#REF!</definedName>
    <definedName name="indf" localSheetId="9">#REF!</definedName>
    <definedName name="indf" localSheetId="18">#REF!</definedName>
    <definedName name="indf" localSheetId="15">#REF!</definedName>
    <definedName name="indf" localSheetId="7">#REF!</definedName>
    <definedName name="indf">#REF!</definedName>
    <definedName name="insert_rows_1" localSheetId="12">#REF!</definedName>
    <definedName name="insert_rows_1" localSheetId="8">#REF!</definedName>
    <definedName name="insert_rows_1" localSheetId="11">#REF!</definedName>
    <definedName name="insert_rows_1" localSheetId="9">#REF!</definedName>
    <definedName name="insert_rows_1" localSheetId="18">#REF!</definedName>
    <definedName name="insert_rows_1" localSheetId="15">#REF!</definedName>
    <definedName name="insert_rows_1" localSheetId="7">#REF!</definedName>
    <definedName name="insert_rows_1">#REF!</definedName>
    <definedName name="insertplate_and_exp_joint" localSheetId="12">#REF!</definedName>
    <definedName name="insertplate_and_exp_joint" localSheetId="8">#REF!</definedName>
    <definedName name="insertplate_and_exp_joint" localSheetId="11">#REF!</definedName>
    <definedName name="insertplate_and_exp_joint" localSheetId="9">#REF!</definedName>
    <definedName name="insertplate_and_exp_joint" localSheetId="18">#REF!</definedName>
    <definedName name="insertplate_and_exp_joint" localSheetId="15">#REF!</definedName>
    <definedName name="insertplate_and_exp_joint" localSheetId="7">#REF!</definedName>
    <definedName name="insertplate_and_exp_joint">#REF!</definedName>
    <definedName name="insertplate_and_exp_joint_1" localSheetId="12">#REF!</definedName>
    <definedName name="insertplate_and_exp_joint_1" localSheetId="8">#REF!</definedName>
    <definedName name="insertplate_and_exp_joint_1" localSheetId="11">#REF!</definedName>
    <definedName name="insertplate_and_exp_joint_1" localSheetId="9">#REF!</definedName>
    <definedName name="insertplate_and_exp_joint_1" localSheetId="18">#REF!</definedName>
    <definedName name="insertplate_and_exp_joint_1" localSheetId="15">#REF!</definedName>
    <definedName name="insertplate_and_exp_joint_1" localSheetId="7">#REF!</definedName>
    <definedName name="insertplate_and_exp_joint_1">#REF!</definedName>
    <definedName name="insertplate_and_exp_joint_3" localSheetId="12">#REF!</definedName>
    <definedName name="insertplate_and_exp_joint_3" localSheetId="8">#REF!</definedName>
    <definedName name="insertplate_and_exp_joint_3" localSheetId="11">#REF!</definedName>
    <definedName name="insertplate_and_exp_joint_3" localSheetId="9">#REF!</definedName>
    <definedName name="insertplate_and_exp_joint_3" localSheetId="18">#REF!</definedName>
    <definedName name="insertplate_and_exp_joint_3" localSheetId="15">#REF!</definedName>
    <definedName name="insertplate_and_exp_joint_3" localSheetId="7">#REF!</definedName>
    <definedName name="insertplate_and_exp_joint_3">#REF!</definedName>
    <definedName name="insertplate_and_exp_joint_3_1" localSheetId="12">#REF!</definedName>
    <definedName name="insertplate_and_exp_joint_3_1" localSheetId="8">#REF!</definedName>
    <definedName name="insertplate_and_exp_joint_3_1" localSheetId="11">#REF!</definedName>
    <definedName name="insertplate_and_exp_joint_3_1" localSheetId="9">#REF!</definedName>
    <definedName name="insertplate_and_exp_joint_3_1" localSheetId="18">#REF!</definedName>
    <definedName name="insertplate_and_exp_joint_3_1" localSheetId="15">#REF!</definedName>
    <definedName name="insertplate_and_exp_joint_3_1" localSheetId="7">#REF!</definedName>
    <definedName name="insertplate_and_exp_joint_3_1">#REF!</definedName>
    <definedName name="INSTALLATION_LABOR" localSheetId="12">#REF!</definedName>
    <definedName name="INSTALLATION_LABOR" localSheetId="8">#REF!</definedName>
    <definedName name="INSTALLATION_LABOR" localSheetId="11">#REF!</definedName>
    <definedName name="INSTALLATION_LABOR" localSheetId="9">#REF!</definedName>
    <definedName name="INSTALLATION_LABOR" localSheetId="18">#REF!</definedName>
    <definedName name="INSTALLATION_LABOR" localSheetId="15">#REF!</definedName>
    <definedName name="INSTALLATION_LABOR" localSheetId="7">#REF!</definedName>
    <definedName name="INSTALLATION_LABOR">#REF!</definedName>
    <definedName name="InstBillingMethod" localSheetId="12">#REF!</definedName>
    <definedName name="InstBillingMethod" localSheetId="0">#REF!</definedName>
    <definedName name="InstBillingMethod" localSheetId="1">#REF!</definedName>
    <definedName name="InstBillingMethod" localSheetId="8">#REF!</definedName>
    <definedName name="InstBillingMethod" localSheetId="11">#REF!</definedName>
    <definedName name="InstBillingMethod" localSheetId="9">#REF!</definedName>
    <definedName name="InstBillingMethod" localSheetId="18">#REF!</definedName>
    <definedName name="InstBillingMethod" localSheetId="15">#REF!</definedName>
    <definedName name="InstBillingMethod" localSheetId="7">#REF!</definedName>
    <definedName name="InstBillingMethod">#REF!</definedName>
    <definedName name="instf" localSheetId="12">#REF!</definedName>
    <definedName name="instf" localSheetId="0">#REF!</definedName>
    <definedName name="instf" localSheetId="1">#REF!</definedName>
    <definedName name="instf" localSheetId="8">#REF!</definedName>
    <definedName name="instf" localSheetId="11">#REF!</definedName>
    <definedName name="instf" localSheetId="9">#REF!</definedName>
    <definedName name="instf" localSheetId="18">#REF!</definedName>
    <definedName name="instf" localSheetId="15">#REF!</definedName>
    <definedName name="instf" localSheetId="7">#REF!</definedName>
    <definedName name="instf">#REF!</definedName>
    <definedName name="INV_SCH" localSheetId="12">#REF!</definedName>
    <definedName name="INV_SCH" localSheetId="0">#REF!</definedName>
    <definedName name="INV_SCH" localSheetId="1">#REF!</definedName>
    <definedName name="INV_SCH" localSheetId="8">#REF!</definedName>
    <definedName name="INV_SCH" localSheetId="11">#REF!</definedName>
    <definedName name="INV_SCH" localSheetId="9">#REF!</definedName>
    <definedName name="INV_SCH" localSheetId="18">#REF!</definedName>
    <definedName name="INV_SCH" localSheetId="15">#REF!</definedName>
    <definedName name="INV_SCH" localSheetId="7">#REF!</definedName>
    <definedName name="INV_SCH">#REF!</definedName>
    <definedName name="investment" localSheetId="12">#REF!</definedName>
    <definedName name="investment" localSheetId="0">#REF!</definedName>
    <definedName name="investment" localSheetId="1">#REF!</definedName>
    <definedName name="investment" localSheetId="8">#REF!</definedName>
    <definedName name="investment" localSheetId="11">#REF!</definedName>
    <definedName name="investment" localSheetId="9">#REF!</definedName>
    <definedName name="investment" localSheetId="18">#REF!</definedName>
    <definedName name="investment" localSheetId="15">#REF!</definedName>
    <definedName name="investment" localSheetId="7">#REF!</definedName>
    <definedName name="investment">#REF!</definedName>
    <definedName name="IOLIST" localSheetId="12">#REF!</definedName>
    <definedName name="IOLIST" localSheetId="8">#REF!</definedName>
    <definedName name="IOLIST" localSheetId="11">#REF!</definedName>
    <definedName name="IOLIST" localSheetId="9">#REF!</definedName>
    <definedName name="IOLIST" localSheetId="18">#REF!</definedName>
    <definedName name="IOLIST" localSheetId="15">#REF!</definedName>
    <definedName name="IOLIST" localSheetId="7">#REF!</definedName>
    <definedName name="IOLIST">#REF!</definedName>
    <definedName name="iprac" localSheetId="12">#REF!</definedName>
    <definedName name="iprac" localSheetId="8">#REF!</definedName>
    <definedName name="iprac" localSheetId="11">#REF!</definedName>
    <definedName name="iprac" localSheetId="9">#REF!</definedName>
    <definedName name="iprac" localSheetId="18">#REF!</definedName>
    <definedName name="iprac" localSheetId="15">#REF!</definedName>
    <definedName name="iprac" localSheetId="7">#REF!</definedName>
    <definedName name="iprac">#REF!</definedName>
    <definedName name="ipu" localSheetId="12">#REF!</definedName>
    <definedName name="ipu" localSheetId="8">#REF!</definedName>
    <definedName name="ipu" localSheetId="11">#REF!</definedName>
    <definedName name="ipu" localSheetId="9">#REF!</definedName>
    <definedName name="ipu" localSheetId="18">#REF!</definedName>
    <definedName name="ipu" localSheetId="15">#REF!</definedName>
    <definedName name="ipu" localSheetId="7">#REF!</definedName>
    <definedName name="ipu">#REF!</definedName>
    <definedName name="ipu___0" localSheetId="12">#REF!</definedName>
    <definedName name="ipu___0" localSheetId="8">#REF!</definedName>
    <definedName name="ipu___0" localSheetId="11">#REF!</definedName>
    <definedName name="ipu___0" localSheetId="9">#REF!</definedName>
    <definedName name="ipu___0" localSheetId="18">#REF!</definedName>
    <definedName name="ipu___0" localSheetId="15">#REF!</definedName>
    <definedName name="ipu___0" localSheetId="7">#REF!</definedName>
    <definedName name="ipu___0">#REF!</definedName>
    <definedName name="ipu___13" localSheetId="12">#REF!</definedName>
    <definedName name="ipu___13" localSheetId="8">#REF!</definedName>
    <definedName name="ipu___13" localSheetId="11">#REF!</definedName>
    <definedName name="ipu___13" localSheetId="9">#REF!</definedName>
    <definedName name="ipu___13" localSheetId="18">#REF!</definedName>
    <definedName name="ipu___13" localSheetId="15">#REF!</definedName>
    <definedName name="ipu___13" localSheetId="7">#REF!</definedName>
    <definedName name="ipu___13">#REF!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39303.3449421296</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 localSheetId="12">#REF!</definedName>
    <definedName name="Is" localSheetId="6">#REF!</definedName>
    <definedName name="Is" localSheetId="5">#REF!</definedName>
    <definedName name="Is" localSheetId="8">#REF!</definedName>
    <definedName name="Is" localSheetId="11">#REF!</definedName>
    <definedName name="Is" localSheetId="9">#REF!</definedName>
    <definedName name="Is" localSheetId="18">#REF!</definedName>
    <definedName name="Is" localSheetId="15">#REF!</definedName>
    <definedName name="Is" localSheetId="7">#REF!</definedName>
    <definedName name="Is">#REF!</definedName>
    <definedName name="isec12" localSheetId="12">#REF!</definedName>
    <definedName name="isec12" localSheetId="0">#REF!</definedName>
    <definedName name="isec12" localSheetId="1">#REF!</definedName>
    <definedName name="isec12" localSheetId="6">#REF!</definedName>
    <definedName name="isec12" localSheetId="5">#REF!</definedName>
    <definedName name="isec12" localSheetId="8">#REF!</definedName>
    <definedName name="isec12" localSheetId="11">#REF!</definedName>
    <definedName name="isec12" localSheetId="9">#REF!</definedName>
    <definedName name="isec12" localSheetId="18">#REF!</definedName>
    <definedName name="isec12" localSheetId="15">#REF!</definedName>
    <definedName name="isec12" localSheetId="7">#REF!</definedName>
    <definedName name="isec12">#REF!</definedName>
    <definedName name="ISEC22" localSheetId="12">#REF!</definedName>
    <definedName name="ISEC22" localSheetId="0">#REF!</definedName>
    <definedName name="ISEC22" localSheetId="1">#REF!</definedName>
    <definedName name="ISEC22" localSheetId="8">#REF!</definedName>
    <definedName name="ISEC22" localSheetId="11">#REF!</definedName>
    <definedName name="ISEC22" localSheetId="9">#REF!</definedName>
    <definedName name="ISEC22" localSheetId="18">#REF!</definedName>
    <definedName name="ISEC22" localSheetId="15">#REF!</definedName>
    <definedName name="ISEC22" localSheetId="7">#REF!</definedName>
    <definedName name="ISEC22">#REF!</definedName>
    <definedName name="ISEC7" localSheetId="12">#REF!</definedName>
    <definedName name="ISEC7" localSheetId="0">#REF!</definedName>
    <definedName name="ISEC7" localSheetId="1">#REF!</definedName>
    <definedName name="ISEC7" localSheetId="8">#REF!</definedName>
    <definedName name="ISEC7" localSheetId="11">#REF!</definedName>
    <definedName name="ISEC7" localSheetId="9">#REF!</definedName>
    <definedName name="ISEC7" localSheetId="18">#REF!</definedName>
    <definedName name="ISEC7" localSheetId="15">#REF!</definedName>
    <definedName name="ISEC7" localSheetId="7">#REF!</definedName>
    <definedName name="ISEC7">#REF!</definedName>
    <definedName name="isec71" localSheetId="12">#REF!</definedName>
    <definedName name="isec71" localSheetId="0">#REF!</definedName>
    <definedName name="isec71" localSheetId="1">#REF!</definedName>
    <definedName name="isec71" localSheetId="8">#REF!</definedName>
    <definedName name="isec71" localSheetId="11">#REF!</definedName>
    <definedName name="isec71" localSheetId="9">#REF!</definedName>
    <definedName name="isec71" localSheetId="18">#REF!</definedName>
    <definedName name="isec71" localSheetId="15">#REF!</definedName>
    <definedName name="isec71" localSheetId="7">#REF!</definedName>
    <definedName name="isec71">#REF!</definedName>
    <definedName name="ISEC72" localSheetId="12">#REF!</definedName>
    <definedName name="ISEC72" localSheetId="0">#REF!</definedName>
    <definedName name="ISEC72" localSheetId="1">#REF!</definedName>
    <definedName name="ISEC72" localSheetId="8">#REF!</definedName>
    <definedName name="ISEC72" localSheetId="11">#REF!</definedName>
    <definedName name="ISEC72" localSheetId="9">#REF!</definedName>
    <definedName name="ISEC72" localSheetId="18">#REF!</definedName>
    <definedName name="ISEC72" localSheetId="15">#REF!</definedName>
    <definedName name="ISEC72" localSheetId="7">#REF!</definedName>
    <definedName name="ISEC72">#REF!</definedName>
    <definedName name="ISEC77" localSheetId="12">#REF!</definedName>
    <definedName name="ISEC77" localSheetId="0">#REF!</definedName>
    <definedName name="ISEC77" localSheetId="1">#REF!</definedName>
    <definedName name="ISEC77" localSheetId="8">#REF!</definedName>
    <definedName name="ISEC77" localSheetId="11">#REF!</definedName>
    <definedName name="ISEC77" localSheetId="9">#REF!</definedName>
    <definedName name="ISEC77" localSheetId="18">#REF!</definedName>
    <definedName name="ISEC77" localSheetId="15">#REF!</definedName>
    <definedName name="ISEC77" localSheetId="7">#REF!</definedName>
    <definedName name="ISEC77">#REF!</definedName>
    <definedName name="ISEC78" localSheetId="12">#REF!</definedName>
    <definedName name="ISEC78" localSheetId="0">#REF!</definedName>
    <definedName name="ISEC78" localSheetId="1">#REF!</definedName>
    <definedName name="ISEC78" localSheetId="8">#REF!</definedName>
    <definedName name="ISEC78" localSheetId="11">#REF!</definedName>
    <definedName name="ISEC78" localSheetId="9">#REF!</definedName>
    <definedName name="ISEC78" localSheetId="18">#REF!</definedName>
    <definedName name="ISEC78" localSheetId="15">#REF!</definedName>
    <definedName name="ISEC78" localSheetId="7">#REF!</definedName>
    <definedName name="ISEC78">#REF!</definedName>
    <definedName name="isec8" localSheetId="12">#REF!</definedName>
    <definedName name="isec8" localSheetId="0">#REF!</definedName>
    <definedName name="isec8" localSheetId="1">#REF!</definedName>
    <definedName name="isec8" localSheetId="8">#REF!</definedName>
    <definedName name="isec8" localSheetId="11">#REF!</definedName>
    <definedName name="isec8" localSheetId="9">#REF!</definedName>
    <definedName name="isec8" localSheetId="18">#REF!</definedName>
    <definedName name="isec8" localSheetId="15">#REF!</definedName>
    <definedName name="isec8" localSheetId="7">#REF!</definedName>
    <definedName name="isec8">#REF!</definedName>
    <definedName name="J" localSheetId="12">#REF!</definedName>
    <definedName name="J" localSheetId="8">#REF!</definedName>
    <definedName name="J" localSheetId="11">#REF!</definedName>
    <definedName name="J" localSheetId="9">#REF!</definedName>
    <definedName name="J" localSheetId="18">#REF!</definedName>
    <definedName name="J" localSheetId="15">#REF!</definedName>
    <definedName name="J" localSheetId="7">#REF!</definedName>
    <definedName name="J">#REF!</definedName>
    <definedName name="Jamuna_Sand" localSheetId="12">#REF!</definedName>
    <definedName name="Jamuna_Sand" localSheetId="8">#REF!</definedName>
    <definedName name="Jamuna_Sand" localSheetId="11">#REF!</definedName>
    <definedName name="Jamuna_Sand" localSheetId="9">#REF!</definedName>
    <definedName name="Jamuna_Sand" localSheetId="18">#REF!</definedName>
    <definedName name="Jamuna_Sand" localSheetId="15">#REF!</definedName>
    <definedName name="Jamuna_Sand" localSheetId="7">#REF!</definedName>
    <definedName name="Jamuna_Sand">#REF!</definedName>
    <definedName name="JEJS" localSheetId="12">#REF!</definedName>
    <definedName name="JEJS" localSheetId="8">#REF!</definedName>
    <definedName name="JEJS" localSheetId="11">#REF!</definedName>
    <definedName name="JEJS" localSheetId="9">#REF!</definedName>
    <definedName name="JEJS" localSheetId="18">#REF!</definedName>
    <definedName name="JEJS" localSheetId="15">#REF!</definedName>
    <definedName name="JEJS" localSheetId="7">#REF!</definedName>
    <definedName name="JEJS">#REF!</definedName>
    <definedName name="JEJS___0" localSheetId="12">#REF!</definedName>
    <definedName name="JEJS___0" localSheetId="8">#REF!</definedName>
    <definedName name="JEJS___0" localSheetId="11">#REF!</definedName>
    <definedName name="JEJS___0" localSheetId="9">#REF!</definedName>
    <definedName name="JEJS___0" localSheetId="18">#REF!</definedName>
    <definedName name="JEJS___0" localSheetId="15">#REF!</definedName>
    <definedName name="JEJS___0" localSheetId="7">#REF!</definedName>
    <definedName name="JEJS___0">#REF!</definedName>
    <definedName name="JEJS___11" localSheetId="12">#REF!</definedName>
    <definedName name="JEJS___11" localSheetId="8">#REF!</definedName>
    <definedName name="JEJS___11" localSheetId="11">#REF!</definedName>
    <definedName name="JEJS___11" localSheetId="9">#REF!</definedName>
    <definedName name="JEJS___11" localSheetId="18">#REF!</definedName>
    <definedName name="JEJS___11" localSheetId="15">#REF!</definedName>
    <definedName name="JEJS___11" localSheetId="7">#REF!</definedName>
    <definedName name="JEJS___11">#REF!</definedName>
    <definedName name="JEJS___12" localSheetId="12">#REF!</definedName>
    <definedName name="JEJS___12" localSheetId="8">#REF!</definedName>
    <definedName name="JEJS___12" localSheetId="11">#REF!</definedName>
    <definedName name="JEJS___12" localSheetId="9">#REF!</definedName>
    <definedName name="JEJS___12" localSheetId="18">#REF!</definedName>
    <definedName name="JEJS___12" localSheetId="15">#REF!</definedName>
    <definedName name="JEJS___12" localSheetId="7">#REF!</definedName>
    <definedName name="JEJS___12">#REF!</definedName>
    <definedName name="JEJS___13" localSheetId="12">#REF!</definedName>
    <definedName name="JEJS___13" localSheetId="8">#REF!</definedName>
    <definedName name="JEJS___13" localSheetId="11">#REF!</definedName>
    <definedName name="JEJS___13" localSheetId="9">#REF!</definedName>
    <definedName name="JEJS___13" localSheetId="18">#REF!</definedName>
    <definedName name="JEJS___13" localSheetId="15">#REF!</definedName>
    <definedName name="JEJS___13" localSheetId="7">#REF!</definedName>
    <definedName name="JEJS___13">#REF!</definedName>
    <definedName name="JEJS___4" localSheetId="12">#REF!</definedName>
    <definedName name="JEJS___4" localSheetId="8">#REF!</definedName>
    <definedName name="JEJS___4" localSheetId="11">#REF!</definedName>
    <definedName name="JEJS___4" localSheetId="9">#REF!</definedName>
    <definedName name="JEJS___4" localSheetId="18">#REF!</definedName>
    <definedName name="JEJS___4" localSheetId="15">#REF!</definedName>
    <definedName name="JEJS___4" localSheetId="7">#REF!</definedName>
    <definedName name="JEJS___4">#REF!</definedName>
    <definedName name="jjj" localSheetId="12" hidden="1">{"PLANT BREAKUP",#N/A,FALSE,"E"}</definedName>
    <definedName name="jjj" localSheetId="6" hidden="1">{"PLANT BREAKUP",#N/A,FALSE,"E"}</definedName>
    <definedName name="jjj" localSheetId="5" hidden="1">{"PLANT BREAKUP",#N/A,FALSE,"E"}</definedName>
    <definedName name="jjj" localSheetId="8" hidden="1">{"PLANT BREAKUP",#N/A,FALSE,"E"}</definedName>
    <definedName name="jjj" localSheetId="11" hidden="1">{"PLANT BREAKUP",#N/A,FALSE,"E"}</definedName>
    <definedName name="jjj" localSheetId="9" hidden="1">{"PLANT BREAKUP",#N/A,FALSE,"E"}</definedName>
    <definedName name="jjj" localSheetId="13" hidden="1">{"PLANT BREAKUP",#N/A,FALSE,"E"}</definedName>
    <definedName name="jjj" localSheetId="18" hidden="1">{"PLANT BREAKUP",#N/A,FALSE,"E"}</definedName>
    <definedName name="jjj" localSheetId="15" hidden="1">{"PLANT BREAKUP",#N/A,FALSE,"E"}</definedName>
    <definedName name="jjj" localSheetId="7" hidden="1">{"PLANT BREAKUP",#N/A,FALSE,"E"}</definedName>
    <definedName name="jjj" hidden="1">{"PLANT BREAKUP",#N/A,FALSE,"E"}</definedName>
    <definedName name="jjjjjjjjjjjjjjj" localSheetId="12">#REF!</definedName>
    <definedName name="jjjjjjjjjjjjjjj" localSheetId="6">#REF!</definedName>
    <definedName name="jjjjjjjjjjjjjjj" localSheetId="5">#REF!</definedName>
    <definedName name="jjjjjjjjjjjjjjj" localSheetId="8">#REF!</definedName>
    <definedName name="jjjjjjjjjjjjjjj" localSheetId="11">#REF!</definedName>
    <definedName name="jjjjjjjjjjjjjjj" localSheetId="9">#REF!</definedName>
    <definedName name="jjjjjjjjjjjjjjj" localSheetId="18">#REF!</definedName>
    <definedName name="jjjjjjjjjjjjjjj" localSheetId="15">#REF!</definedName>
    <definedName name="jjjjjjjjjjjjjjj" localSheetId="7">#REF!</definedName>
    <definedName name="jjjjjjjjjjjjjjj">#REF!</definedName>
    <definedName name="JK" localSheetId="12" hidden="1">#REF!</definedName>
    <definedName name="JK" localSheetId="6" hidden="1">#REF!</definedName>
    <definedName name="JK" localSheetId="5" hidden="1">#REF!</definedName>
    <definedName name="JK" localSheetId="8" hidden="1">#REF!</definedName>
    <definedName name="JK" localSheetId="11" hidden="1">#REF!</definedName>
    <definedName name="JK" localSheetId="9" hidden="1">#REF!</definedName>
    <definedName name="JK" localSheetId="18" hidden="1">#REF!</definedName>
    <definedName name="JK" localSheetId="15" hidden="1">#REF!</definedName>
    <definedName name="JK" localSheetId="7" hidden="1">#REF!</definedName>
    <definedName name="JK" hidden="1">#REF!</definedName>
    <definedName name="JKK" localSheetId="12" hidden="1">#REF!</definedName>
    <definedName name="JKK" localSheetId="6" hidden="1">#REF!</definedName>
    <definedName name="JKK" localSheetId="5" hidden="1">#REF!</definedName>
    <definedName name="JKK" localSheetId="8" hidden="1">#REF!</definedName>
    <definedName name="JKK" localSheetId="11" hidden="1">#REF!</definedName>
    <definedName name="JKK" localSheetId="9" hidden="1">#REF!</definedName>
    <definedName name="JKK" localSheetId="18" hidden="1">#REF!</definedName>
    <definedName name="JKK" localSheetId="15" hidden="1">#REF!</definedName>
    <definedName name="JKK" localSheetId="7" hidden="1">#REF!</definedName>
    <definedName name="JKK" hidden="1">#REF!</definedName>
    <definedName name="job" localSheetId="12">#REF!</definedName>
    <definedName name="job" localSheetId="8">#REF!</definedName>
    <definedName name="job" localSheetId="11">#REF!</definedName>
    <definedName name="job" localSheetId="9">#REF!</definedName>
    <definedName name="job" localSheetId="18">#REF!</definedName>
    <definedName name="job" localSheetId="15">#REF!</definedName>
    <definedName name="job" localSheetId="7">#REF!</definedName>
    <definedName name="job">#REF!</definedName>
    <definedName name="job.no" localSheetId="12" hidden="1">#REF!</definedName>
    <definedName name="job.no" localSheetId="8" hidden="1">#REF!</definedName>
    <definedName name="job.no" localSheetId="11" hidden="1">#REF!</definedName>
    <definedName name="job.no" localSheetId="9" hidden="1">#REF!</definedName>
    <definedName name="job.no" localSheetId="18" hidden="1">#REF!</definedName>
    <definedName name="job.no" localSheetId="15" hidden="1">#REF!</definedName>
    <definedName name="job.no" localSheetId="7" hidden="1">#REF!</definedName>
    <definedName name="job.no" hidden="1">#REF!</definedName>
    <definedName name="job___0" localSheetId="12">#REF!</definedName>
    <definedName name="job___0" localSheetId="8">#REF!</definedName>
    <definedName name="job___0" localSheetId="11">#REF!</definedName>
    <definedName name="job___0" localSheetId="9">#REF!</definedName>
    <definedName name="job___0" localSheetId="18">#REF!</definedName>
    <definedName name="job___0" localSheetId="15">#REF!</definedName>
    <definedName name="job___0" localSheetId="7">#REF!</definedName>
    <definedName name="job___0">#REF!</definedName>
    <definedName name="job___11" localSheetId="12">#REF!</definedName>
    <definedName name="job___11" localSheetId="8">#REF!</definedName>
    <definedName name="job___11" localSheetId="11">#REF!</definedName>
    <definedName name="job___11" localSheetId="9">#REF!</definedName>
    <definedName name="job___11" localSheetId="18">#REF!</definedName>
    <definedName name="job___11" localSheetId="15">#REF!</definedName>
    <definedName name="job___11" localSheetId="7">#REF!</definedName>
    <definedName name="job___11">#REF!</definedName>
    <definedName name="job___12" localSheetId="12">#REF!</definedName>
    <definedName name="job___12" localSheetId="8">#REF!</definedName>
    <definedName name="job___12" localSheetId="11">#REF!</definedName>
    <definedName name="job___12" localSheetId="9">#REF!</definedName>
    <definedName name="job___12" localSheetId="18">#REF!</definedName>
    <definedName name="job___12" localSheetId="15">#REF!</definedName>
    <definedName name="job___12" localSheetId="7">#REF!</definedName>
    <definedName name="job___12">#REF!</definedName>
    <definedName name="JobID" localSheetId="12">#REF!</definedName>
    <definedName name="JobID" localSheetId="0">#REF!</definedName>
    <definedName name="JobID" localSheetId="1">#REF!</definedName>
    <definedName name="JobID" localSheetId="8">#REF!</definedName>
    <definedName name="JobID" localSheetId="11">#REF!</definedName>
    <definedName name="JobID" localSheetId="9">#REF!</definedName>
    <definedName name="JobID" localSheetId="18">#REF!</definedName>
    <definedName name="JobID" localSheetId="15">#REF!</definedName>
    <definedName name="JobID" localSheetId="7">#REF!</definedName>
    <definedName name="JobID">#REF!</definedName>
    <definedName name="Jobtypes" localSheetId="12">#REF!</definedName>
    <definedName name="Jobtypes" localSheetId="8">#REF!</definedName>
    <definedName name="Jobtypes" localSheetId="11">#REF!</definedName>
    <definedName name="Jobtypes" localSheetId="9">#REF!</definedName>
    <definedName name="Jobtypes" localSheetId="18">#REF!</definedName>
    <definedName name="Jobtypes" localSheetId="15">#REF!</definedName>
    <definedName name="Jobtypes" localSheetId="7">#REF!</definedName>
    <definedName name="Jobtypes">#REF!</definedName>
    <definedName name="Jobtypes_3" localSheetId="12">#REF!</definedName>
    <definedName name="Jobtypes_3" localSheetId="8">#REF!</definedName>
    <definedName name="Jobtypes_3" localSheetId="11">#REF!</definedName>
    <definedName name="Jobtypes_3" localSheetId="9">#REF!</definedName>
    <definedName name="Jobtypes_3" localSheetId="18">#REF!</definedName>
    <definedName name="Jobtypes_3" localSheetId="15">#REF!</definedName>
    <definedName name="Jobtypes_3" localSheetId="7">#REF!</definedName>
    <definedName name="Jobtypes_3">#REF!</definedName>
    <definedName name="johnson1" localSheetId="12">#REF!</definedName>
    <definedName name="johnson1" localSheetId="8">#REF!</definedName>
    <definedName name="johnson1" localSheetId="11">#REF!</definedName>
    <definedName name="johnson1" localSheetId="9">#REF!</definedName>
    <definedName name="johnson1" localSheetId="18">#REF!</definedName>
    <definedName name="johnson1" localSheetId="15">#REF!</definedName>
    <definedName name="johnson1" localSheetId="7">#REF!</definedName>
    <definedName name="johnson1">#REF!</definedName>
    <definedName name="joint" localSheetId="12">#REF!</definedName>
    <definedName name="joint" localSheetId="8">#REF!</definedName>
    <definedName name="joint" localSheetId="11">#REF!</definedName>
    <definedName name="joint" localSheetId="9">#REF!</definedName>
    <definedName name="joint" localSheetId="18">#REF!</definedName>
    <definedName name="joint" localSheetId="15">#REF!</definedName>
    <definedName name="joint" localSheetId="7">#REF!</definedName>
    <definedName name="joint">#REF!</definedName>
    <definedName name="JPL_PASSENGER" localSheetId="12">#REF!</definedName>
    <definedName name="JPL_PASSENGER" localSheetId="8">#REF!</definedName>
    <definedName name="JPL_PASSENGER" localSheetId="11">#REF!</definedName>
    <definedName name="JPL_PASSENGER" localSheetId="9">#REF!</definedName>
    <definedName name="JPL_PASSENGER" localSheetId="18">#REF!</definedName>
    <definedName name="JPL_PASSENGER" localSheetId="15">#REF!</definedName>
    <definedName name="JPL_PASSENGER" localSheetId="7">#REF!</definedName>
    <definedName name="JPL_PASSENGER">#REF!</definedName>
    <definedName name="june" localSheetId="12">#REF!</definedName>
    <definedName name="june" localSheetId="8">#REF!</definedName>
    <definedName name="june" localSheetId="11">#REF!</definedName>
    <definedName name="june" localSheetId="9">#REF!</definedName>
    <definedName name="june" localSheetId="18">#REF!</definedName>
    <definedName name="june" localSheetId="15">#REF!</definedName>
    <definedName name="june" localSheetId="7">#REF!</definedName>
    <definedName name="june">#REF!</definedName>
    <definedName name="JWM" localSheetId="12" hidden="1">{#N/A,#N/A,TRUE,"Front";#N/A,#N/A,TRUE,"Simple Letter";#N/A,#N/A,TRUE,"Inside";#N/A,#N/A,TRUE,"Contents";#N/A,#N/A,TRUE,"Basis";#N/A,#N/A,TRUE,"Inclusions";#N/A,#N/A,TRUE,"Exclusions";#N/A,#N/A,TRUE,"Areas";#N/A,#N/A,TRUE,"Summary";#N/A,#N/A,TRUE,"Detail"}</definedName>
    <definedName name="JWM" localSheetId="6" hidden="1">{#N/A,#N/A,TRUE,"Front";#N/A,#N/A,TRUE,"Simple Letter";#N/A,#N/A,TRUE,"Inside";#N/A,#N/A,TRUE,"Contents";#N/A,#N/A,TRUE,"Basis";#N/A,#N/A,TRUE,"Inclusions";#N/A,#N/A,TRUE,"Exclusions";#N/A,#N/A,TRUE,"Areas";#N/A,#N/A,TRUE,"Summary";#N/A,#N/A,TRUE,"Detail"}</definedName>
    <definedName name="JWM" localSheetId="5" hidden="1">{#N/A,#N/A,TRUE,"Front";#N/A,#N/A,TRUE,"Simple Letter";#N/A,#N/A,TRUE,"Inside";#N/A,#N/A,TRUE,"Contents";#N/A,#N/A,TRUE,"Basis";#N/A,#N/A,TRUE,"Inclusions";#N/A,#N/A,TRUE,"Exclusions";#N/A,#N/A,TRUE,"Areas";#N/A,#N/A,TRUE,"Summary";#N/A,#N/A,TRUE,"Detail"}</definedName>
    <definedName name="JWM" localSheetId="8" hidden="1">{#N/A,#N/A,TRUE,"Front";#N/A,#N/A,TRUE,"Simple Letter";#N/A,#N/A,TRUE,"Inside";#N/A,#N/A,TRUE,"Contents";#N/A,#N/A,TRUE,"Basis";#N/A,#N/A,TRUE,"Inclusions";#N/A,#N/A,TRUE,"Exclusions";#N/A,#N/A,TRUE,"Areas";#N/A,#N/A,TRUE,"Summary";#N/A,#N/A,TRUE,"Detail"}</definedName>
    <definedName name="JWM" localSheetId="11" hidden="1">{#N/A,#N/A,TRUE,"Front";#N/A,#N/A,TRUE,"Simple Letter";#N/A,#N/A,TRUE,"Inside";#N/A,#N/A,TRUE,"Contents";#N/A,#N/A,TRUE,"Basis";#N/A,#N/A,TRUE,"Inclusions";#N/A,#N/A,TRUE,"Exclusions";#N/A,#N/A,TRUE,"Areas";#N/A,#N/A,TRUE,"Summary";#N/A,#N/A,TRUE,"Detail"}</definedName>
    <definedName name="JWM" localSheetId="9" hidden="1">{#N/A,#N/A,TRUE,"Front";#N/A,#N/A,TRUE,"Simple Letter";#N/A,#N/A,TRUE,"Inside";#N/A,#N/A,TRUE,"Contents";#N/A,#N/A,TRUE,"Basis";#N/A,#N/A,TRUE,"Inclusions";#N/A,#N/A,TRUE,"Exclusions";#N/A,#N/A,TRUE,"Areas";#N/A,#N/A,TRUE,"Summary";#N/A,#N/A,TRUE,"Detail"}</definedName>
    <definedName name="JWM" localSheetId="13" hidden="1">{#N/A,#N/A,TRUE,"Front";#N/A,#N/A,TRUE,"Simple Letter";#N/A,#N/A,TRUE,"Inside";#N/A,#N/A,TRUE,"Contents";#N/A,#N/A,TRUE,"Basis";#N/A,#N/A,TRUE,"Inclusions";#N/A,#N/A,TRUE,"Exclusions";#N/A,#N/A,TRUE,"Areas";#N/A,#N/A,TRUE,"Summary";#N/A,#N/A,TRUE,"Detail"}</definedName>
    <definedName name="JWM" localSheetId="18" hidden="1">{#N/A,#N/A,TRUE,"Front";#N/A,#N/A,TRUE,"Simple Letter";#N/A,#N/A,TRUE,"Inside";#N/A,#N/A,TRUE,"Contents";#N/A,#N/A,TRUE,"Basis";#N/A,#N/A,TRUE,"Inclusions";#N/A,#N/A,TRUE,"Exclusions";#N/A,#N/A,TRUE,"Areas";#N/A,#N/A,TRUE,"Summary";#N/A,#N/A,TRUE,"Detail"}</definedName>
    <definedName name="JWM" localSheetId="15" hidden="1">{#N/A,#N/A,TRUE,"Front";#N/A,#N/A,TRUE,"Simple Letter";#N/A,#N/A,TRUE,"Inside";#N/A,#N/A,TRUE,"Contents";#N/A,#N/A,TRUE,"Basis";#N/A,#N/A,TRUE,"Inclusions";#N/A,#N/A,TRUE,"Exclusions";#N/A,#N/A,TRUE,"Areas";#N/A,#N/A,TRUE,"Summary";#N/A,#N/A,TRUE,"Detail"}</definedName>
    <definedName name="JWM" localSheetId="7" hidden="1">{#N/A,#N/A,TRUE,"Front";#N/A,#N/A,TRUE,"Simple Letter";#N/A,#N/A,TRUE,"Inside";#N/A,#N/A,TRUE,"Contents";#N/A,#N/A,TRUE,"Basis";#N/A,#N/A,TRUE,"Inclusions";#N/A,#N/A,TRUE,"Exclusions";#N/A,#N/A,TRUE,"Areas";#N/A,#N/A,TRUE,"Summary";#N/A,#N/A,TRUE,"Detail"}</definedName>
    <definedName name="JWM" hidden="1">{#N/A,#N/A,TRUE,"Front";#N/A,#N/A,TRUE,"Simple Letter";#N/A,#N/A,TRUE,"Inside";#N/A,#N/A,TRUE,"Contents";#N/A,#N/A,TRUE,"Basis";#N/A,#N/A,TRUE,"Inclusions";#N/A,#N/A,TRUE,"Exclusions";#N/A,#N/A,TRUE,"Areas";#N/A,#N/A,TRUE,"Summary";#N/A,#N/A,TRUE,"Detail"}</definedName>
    <definedName name="K" comment="T12 IS USED IN MID MAIN LINKS" localSheetId="12">#REF!</definedName>
    <definedName name="K" comment="T12 IS USED IN MID MAIN LINKS" localSheetId="6">#REF!</definedName>
    <definedName name="K" comment="T12 IS USED IN MID MAIN LINKS" localSheetId="5">#REF!</definedName>
    <definedName name="K" comment="T12 IS USED IN MID MAIN LINKS" localSheetId="8">#REF!</definedName>
    <definedName name="K" comment="T12 IS USED IN MID MAIN LINKS" localSheetId="11">#REF!</definedName>
    <definedName name="K" comment="T12 IS USED IN MID MAIN LINKS" localSheetId="9">#REF!</definedName>
    <definedName name="K" comment="T12 IS USED IN MID MAIN LINKS" localSheetId="18">#REF!</definedName>
    <definedName name="K" comment="T12 IS USED IN MID MAIN LINKS" localSheetId="15">#REF!</definedName>
    <definedName name="K" comment="T12 IS USED IN MID MAIN LINKS" localSheetId="7">#REF!</definedName>
    <definedName name="K" comment="T12 IS USED IN MID MAIN LINKS">#REF!</definedName>
    <definedName name="K___0" localSheetId="12">#REF!</definedName>
    <definedName name="K___0" localSheetId="6">#REF!</definedName>
    <definedName name="K___0" localSheetId="5">#REF!</definedName>
    <definedName name="K___0" localSheetId="8">#REF!</definedName>
    <definedName name="K___0" localSheetId="11">#REF!</definedName>
    <definedName name="K___0" localSheetId="9">#REF!</definedName>
    <definedName name="K___0" localSheetId="18">#REF!</definedName>
    <definedName name="K___0" localSheetId="15">#REF!</definedName>
    <definedName name="K___0" localSheetId="7">#REF!</definedName>
    <definedName name="K___0">#REF!</definedName>
    <definedName name="K___13" localSheetId="12">#REF!</definedName>
    <definedName name="K___13" localSheetId="6">#REF!</definedName>
    <definedName name="K___13" localSheetId="5">#REF!</definedName>
    <definedName name="K___13" localSheetId="8">#REF!</definedName>
    <definedName name="K___13" localSheetId="11">#REF!</definedName>
    <definedName name="K___13" localSheetId="9">#REF!</definedName>
    <definedName name="K___13" localSheetId="18">#REF!</definedName>
    <definedName name="K___13" localSheetId="15">#REF!</definedName>
    <definedName name="K___13" localSheetId="7">#REF!</definedName>
    <definedName name="K___13">#REF!</definedName>
    <definedName name="k1_table" localSheetId="12">#REF!</definedName>
    <definedName name="k1_table" localSheetId="8">#REF!</definedName>
    <definedName name="k1_table" localSheetId="11">#REF!</definedName>
    <definedName name="k1_table" localSheetId="9">#REF!</definedName>
    <definedName name="k1_table" localSheetId="18">#REF!</definedName>
    <definedName name="k1_table" localSheetId="15">#REF!</definedName>
    <definedName name="k1_table" localSheetId="7">#REF!</definedName>
    <definedName name="k1_table">#REF!</definedName>
    <definedName name="k1x" localSheetId="12">#REF!</definedName>
    <definedName name="k1x" localSheetId="8">#REF!</definedName>
    <definedName name="k1x" localSheetId="11">#REF!</definedName>
    <definedName name="k1x" localSheetId="9">#REF!</definedName>
    <definedName name="k1x" localSheetId="18">#REF!</definedName>
    <definedName name="k1x" localSheetId="15">#REF!</definedName>
    <definedName name="k1x" localSheetId="7">#REF!</definedName>
    <definedName name="k1x">#REF!</definedName>
    <definedName name="k1y" localSheetId="12">#REF!</definedName>
    <definedName name="k1y" localSheetId="8">#REF!</definedName>
    <definedName name="k1y" localSheetId="11">#REF!</definedName>
    <definedName name="k1y" localSheetId="9">#REF!</definedName>
    <definedName name="k1y" localSheetId="18">#REF!</definedName>
    <definedName name="k1y" localSheetId="15">#REF!</definedName>
    <definedName name="k1y" localSheetId="7">#REF!</definedName>
    <definedName name="k1y">#REF!</definedName>
    <definedName name="k2x" localSheetId="12">#REF!</definedName>
    <definedName name="k2x" localSheetId="8">#REF!</definedName>
    <definedName name="k2x" localSheetId="11">#REF!</definedName>
    <definedName name="k2x" localSheetId="9">#REF!</definedName>
    <definedName name="k2x" localSheetId="18">#REF!</definedName>
    <definedName name="k2x" localSheetId="15">#REF!</definedName>
    <definedName name="k2x" localSheetId="7">#REF!</definedName>
    <definedName name="k2x">#REF!</definedName>
    <definedName name="k2y" localSheetId="12">#REF!</definedName>
    <definedName name="k2y" localSheetId="8">#REF!</definedName>
    <definedName name="k2y" localSheetId="11">#REF!</definedName>
    <definedName name="k2y" localSheetId="9">#REF!</definedName>
    <definedName name="k2y" localSheetId="18">#REF!</definedName>
    <definedName name="k2y" localSheetId="15">#REF!</definedName>
    <definedName name="k2y" localSheetId="7">#REF!</definedName>
    <definedName name="k2y">#REF!</definedName>
    <definedName name="ka" localSheetId="12">#REF!</definedName>
    <definedName name="ka" localSheetId="8">#REF!</definedName>
    <definedName name="ka" localSheetId="11">#REF!</definedName>
    <definedName name="ka" localSheetId="9">#REF!</definedName>
    <definedName name="ka" localSheetId="18">#REF!</definedName>
    <definedName name="ka" localSheetId="15">#REF!</definedName>
    <definedName name="ka" localSheetId="7">#REF!</definedName>
    <definedName name="ka">#REF!</definedName>
    <definedName name="Kail_II_nd_class_board" localSheetId="12">#REF!</definedName>
    <definedName name="Kail_II_nd_class_board" localSheetId="8">#REF!</definedName>
    <definedName name="Kail_II_nd_class_board" localSheetId="11">#REF!</definedName>
    <definedName name="Kail_II_nd_class_board" localSheetId="9">#REF!</definedName>
    <definedName name="Kail_II_nd_class_board" localSheetId="18">#REF!</definedName>
    <definedName name="Kail_II_nd_class_board" localSheetId="15">#REF!</definedName>
    <definedName name="Kail_II_nd_class_board" localSheetId="7">#REF!</definedName>
    <definedName name="Kail_II_nd_class_board">#REF!</definedName>
    <definedName name="Kail_II_nd_class_scantling" localSheetId="12">#REF!</definedName>
    <definedName name="Kail_II_nd_class_scantling" localSheetId="8">#REF!</definedName>
    <definedName name="Kail_II_nd_class_scantling" localSheetId="11">#REF!</definedName>
    <definedName name="Kail_II_nd_class_scantling" localSheetId="9">#REF!</definedName>
    <definedName name="Kail_II_nd_class_scantling" localSheetId="18">#REF!</definedName>
    <definedName name="Kail_II_nd_class_scantling" localSheetId="15">#REF!</definedName>
    <definedName name="Kail_II_nd_class_scantling" localSheetId="7">#REF!</definedName>
    <definedName name="Kail_II_nd_class_scantling">#REF!</definedName>
    <definedName name="kal" localSheetId="12">#REF!</definedName>
    <definedName name="kal" localSheetId="8">#REF!</definedName>
    <definedName name="kal" localSheetId="11">#REF!</definedName>
    <definedName name="kal" localSheetId="9">#REF!</definedName>
    <definedName name="kal" localSheetId="18">#REF!</definedName>
    <definedName name="kal" localSheetId="15">#REF!</definedName>
    <definedName name="kal" localSheetId="7">#REF!</definedName>
    <definedName name="kal">#REF!</definedName>
    <definedName name="KARNA" localSheetId="12">#REF!</definedName>
    <definedName name="KARNA" localSheetId="8">#REF!</definedName>
    <definedName name="KARNA" localSheetId="11">#REF!</definedName>
    <definedName name="KARNA" localSheetId="9">#REF!</definedName>
    <definedName name="KARNA" localSheetId="18">#REF!</definedName>
    <definedName name="KARNA" localSheetId="15">#REF!</definedName>
    <definedName name="KARNA" localSheetId="7">#REF!</definedName>
    <definedName name="KARNA">#REF!</definedName>
    <definedName name="kb" localSheetId="12">#REF!</definedName>
    <definedName name="kb" localSheetId="8">#REF!</definedName>
    <definedName name="kb" localSheetId="11">#REF!</definedName>
    <definedName name="kb" localSheetId="9">#REF!</definedName>
    <definedName name="kb" localSheetId="18">#REF!</definedName>
    <definedName name="kb" localSheetId="15">#REF!</definedName>
    <definedName name="kb" localSheetId="7">#REF!</definedName>
    <definedName name="kb">#REF!</definedName>
    <definedName name="kc" localSheetId="12">#REF!</definedName>
    <definedName name="kc" localSheetId="8">#REF!</definedName>
    <definedName name="kc" localSheetId="11">#REF!</definedName>
    <definedName name="kc" localSheetId="9">#REF!</definedName>
    <definedName name="kc" localSheetId="18">#REF!</definedName>
    <definedName name="kc" localSheetId="15">#REF!</definedName>
    <definedName name="kc" localSheetId="7">#REF!</definedName>
    <definedName name="kc">#REF!</definedName>
    <definedName name="Kerosene_Oil" localSheetId="12">#REF!</definedName>
    <definedName name="Kerosene_Oil" localSheetId="8">#REF!</definedName>
    <definedName name="Kerosene_Oil" localSheetId="11">#REF!</definedName>
    <definedName name="Kerosene_Oil" localSheetId="9">#REF!</definedName>
    <definedName name="Kerosene_Oil" localSheetId="18">#REF!</definedName>
    <definedName name="Kerosene_Oil" localSheetId="15">#REF!</definedName>
    <definedName name="Kerosene_Oil" localSheetId="7">#REF!</definedName>
    <definedName name="Kerosene_Oil">#REF!</definedName>
    <definedName name="Kh" localSheetId="12">#REF!</definedName>
    <definedName name="Kh" localSheetId="8">#REF!</definedName>
    <definedName name="Kh" localSheetId="11">#REF!</definedName>
    <definedName name="Kh" localSheetId="9">#REF!</definedName>
    <definedName name="Kh" localSheetId="18">#REF!</definedName>
    <definedName name="Kh" localSheetId="15">#REF!</definedName>
    <definedName name="Kh" localSheetId="7">#REF!</definedName>
    <definedName name="Kh">#REF!</definedName>
    <definedName name="Kh___0" localSheetId="12">#REF!</definedName>
    <definedName name="Kh___0" localSheetId="8">#REF!</definedName>
    <definedName name="Kh___0" localSheetId="11">#REF!</definedName>
    <definedName name="Kh___0" localSheetId="9">#REF!</definedName>
    <definedName name="Kh___0" localSheetId="18">#REF!</definedName>
    <definedName name="Kh___0" localSheetId="15">#REF!</definedName>
    <definedName name="Kh___0" localSheetId="7">#REF!</definedName>
    <definedName name="Kh___0">#REF!</definedName>
    <definedName name="Kh___13" localSheetId="12">#REF!</definedName>
    <definedName name="Kh___13" localSheetId="8">#REF!</definedName>
    <definedName name="Kh___13" localSheetId="11">#REF!</definedName>
    <definedName name="Kh___13" localSheetId="9">#REF!</definedName>
    <definedName name="Kh___13" localSheetId="18">#REF!</definedName>
    <definedName name="Kh___13" localSheetId="15">#REF!</definedName>
    <definedName name="Kh___13" localSheetId="7">#REF!</definedName>
    <definedName name="Kh___13">#REF!</definedName>
    <definedName name="khal" localSheetId="12">#REF!</definedName>
    <definedName name="khal" localSheetId="8">#REF!</definedName>
    <definedName name="khal" localSheetId="11">#REF!</definedName>
    <definedName name="khal" localSheetId="9">#REF!</definedName>
    <definedName name="khal" localSheetId="18">#REF!</definedName>
    <definedName name="khal" localSheetId="15">#REF!</definedName>
    <definedName name="khal" localSheetId="7">#REF!</definedName>
    <definedName name="khal">#REF!</definedName>
    <definedName name="khd" localSheetId="12">#REF!</definedName>
    <definedName name="khd" localSheetId="8">#REF!</definedName>
    <definedName name="khd" localSheetId="11">#REF!</definedName>
    <definedName name="khd" localSheetId="9">#REF!</definedName>
    <definedName name="khd" localSheetId="18">#REF!</definedName>
    <definedName name="khd" localSheetId="15">#REF!</definedName>
    <definedName name="khd" localSheetId="7">#REF!</definedName>
    <definedName name="khd">#REF!</definedName>
    <definedName name="khf" localSheetId="12">#REF!</definedName>
    <definedName name="khf" localSheetId="8">#REF!</definedName>
    <definedName name="khf" localSheetId="11">#REF!</definedName>
    <definedName name="khf" localSheetId="9">#REF!</definedName>
    <definedName name="khf" localSheetId="18">#REF!</definedName>
    <definedName name="khf" localSheetId="15">#REF!</definedName>
    <definedName name="khf" localSheetId="7">#REF!</definedName>
    <definedName name="khf">#REF!</definedName>
    <definedName name="Ki" localSheetId="12">#REF!</definedName>
    <definedName name="Ki" localSheetId="8">#REF!</definedName>
    <definedName name="Ki" localSheetId="11">#REF!</definedName>
    <definedName name="Ki" localSheetId="9">#REF!</definedName>
    <definedName name="Ki" localSheetId="18">#REF!</definedName>
    <definedName name="Ki" localSheetId="15">#REF!</definedName>
    <definedName name="Ki" localSheetId="7">#REF!</definedName>
    <definedName name="Ki">#REF!</definedName>
    <definedName name="Ki___0" localSheetId="12">#REF!</definedName>
    <definedName name="Ki___0" localSheetId="8">#REF!</definedName>
    <definedName name="Ki___0" localSheetId="11">#REF!</definedName>
    <definedName name="Ki___0" localSheetId="9">#REF!</definedName>
    <definedName name="Ki___0" localSheetId="18">#REF!</definedName>
    <definedName name="Ki___0" localSheetId="15">#REF!</definedName>
    <definedName name="Ki___0" localSheetId="7">#REF!</definedName>
    <definedName name="Ki___0">#REF!</definedName>
    <definedName name="Ki___13" localSheetId="12">#REF!</definedName>
    <definedName name="Ki___13" localSheetId="8">#REF!</definedName>
    <definedName name="Ki___13" localSheetId="11">#REF!</definedName>
    <definedName name="Ki___13" localSheetId="9">#REF!</definedName>
    <definedName name="Ki___13" localSheetId="18">#REF!</definedName>
    <definedName name="Ki___13" localSheetId="15">#REF!</definedName>
    <definedName name="Ki___13" localSheetId="7">#REF!</definedName>
    <definedName name="Ki___13">#REF!</definedName>
    <definedName name="Ki1___0" localSheetId="12">#REF!</definedName>
    <definedName name="Ki1___0" localSheetId="8">#REF!</definedName>
    <definedName name="Ki1___0" localSheetId="11">#REF!</definedName>
    <definedName name="Ki1___0" localSheetId="9">#REF!</definedName>
    <definedName name="Ki1___0" localSheetId="18">#REF!</definedName>
    <definedName name="Ki1___0" localSheetId="15">#REF!</definedName>
    <definedName name="Ki1___0" localSheetId="7">#REF!</definedName>
    <definedName name="Ki1___0">#REF!</definedName>
    <definedName name="Ki1___13" localSheetId="12">#REF!</definedName>
    <definedName name="Ki1___13" localSheetId="8">#REF!</definedName>
    <definedName name="Ki1___13" localSheetId="11">#REF!</definedName>
    <definedName name="Ki1___13" localSheetId="9">#REF!</definedName>
    <definedName name="Ki1___13" localSheetId="18">#REF!</definedName>
    <definedName name="Ki1___13" localSheetId="15">#REF!</definedName>
    <definedName name="Ki1___13" localSheetId="7">#REF!</definedName>
    <definedName name="Ki1___13">#REF!</definedName>
    <definedName name="Ki2___0" localSheetId="12">#REF!</definedName>
    <definedName name="Ki2___0" localSheetId="8">#REF!</definedName>
    <definedName name="Ki2___0" localSheetId="11">#REF!</definedName>
    <definedName name="Ki2___0" localSheetId="9">#REF!</definedName>
    <definedName name="Ki2___0" localSheetId="18">#REF!</definedName>
    <definedName name="Ki2___0" localSheetId="15">#REF!</definedName>
    <definedName name="Ki2___0" localSheetId="7">#REF!</definedName>
    <definedName name="Ki2___0">#REF!</definedName>
    <definedName name="Ki2___13" localSheetId="12">#REF!</definedName>
    <definedName name="Ki2___13" localSheetId="8">#REF!</definedName>
    <definedName name="Ki2___13" localSheetId="11">#REF!</definedName>
    <definedName name="Ki2___13" localSheetId="9">#REF!</definedName>
    <definedName name="Ki2___13" localSheetId="18">#REF!</definedName>
    <definedName name="Ki2___13" localSheetId="15">#REF!</definedName>
    <definedName name="Ki2___13" localSheetId="7">#REF!</definedName>
    <definedName name="Ki2___13">#REF!</definedName>
    <definedName name="Kii" localSheetId="12">#REF!</definedName>
    <definedName name="Kii" localSheetId="8">#REF!</definedName>
    <definedName name="Kii" localSheetId="11">#REF!</definedName>
    <definedName name="Kii" localSheetId="9">#REF!</definedName>
    <definedName name="Kii" localSheetId="18">#REF!</definedName>
    <definedName name="Kii" localSheetId="15">#REF!</definedName>
    <definedName name="Kii" localSheetId="7">#REF!</definedName>
    <definedName name="Kii">#REF!</definedName>
    <definedName name="Kii___0" localSheetId="12">#REF!</definedName>
    <definedName name="Kii___0" localSheetId="8">#REF!</definedName>
    <definedName name="Kii___0" localSheetId="11">#REF!</definedName>
    <definedName name="Kii___0" localSheetId="9">#REF!</definedName>
    <definedName name="Kii___0" localSheetId="18">#REF!</definedName>
    <definedName name="Kii___0" localSheetId="15">#REF!</definedName>
    <definedName name="Kii___0" localSheetId="7">#REF!</definedName>
    <definedName name="Kii___0">#REF!</definedName>
    <definedName name="Kii___13" localSheetId="12">#REF!</definedName>
    <definedName name="Kii___13" localSheetId="8">#REF!</definedName>
    <definedName name="Kii___13" localSheetId="11">#REF!</definedName>
    <definedName name="Kii___13" localSheetId="9">#REF!</definedName>
    <definedName name="Kii___13" localSheetId="18">#REF!</definedName>
    <definedName name="Kii___13" localSheetId="15">#REF!</definedName>
    <definedName name="Kii___13" localSheetId="7">#REF!</definedName>
    <definedName name="Kii___13">#REF!</definedName>
    <definedName name="KK"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 localSheetId="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 localSheetId="1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k" localSheetId="12" hidden="1">{#N/A,#N/A,FALSE,"COVER1.XLS ";#N/A,#N/A,FALSE,"RACT1.XLS";#N/A,#N/A,FALSE,"RACT2.XLS";#N/A,#N/A,FALSE,"ECCMP";#N/A,#N/A,FALSE,"WELDER.XLS"}</definedName>
    <definedName name="kkk" localSheetId="6" hidden="1">{#N/A,#N/A,FALSE,"COVER1.XLS ";#N/A,#N/A,FALSE,"RACT1.XLS";#N/A,#N/A,FALSE,"RACT2.XLS";#N/A,#N/A,FALSE,"ECCMP";#N/A,#N/A,FALSE,"WELDER.XLS"}</definedName>
    <definedName name="kkk" localSheetId="5" hidden="1">{#N/A,#N/A,FALSE,"COVER1.XLS ";#N/A,#N/A,FALSE,"RACT1.XLS";#N/A,#N/A,FALSE,"RACT2.XLS";#N/A,#N/A,FALSE,"ECCMP";#N/A,#N/A,FALSE,"WELDER.XLS"}</definedName>
    <definedName name="kkk" localSheetId="8" hidden="1">{#N/A,#N/A,FALSE,"COVER1.XLS ";#N/A,#N/A,FALSE,"RACT1.XLS";#N/A,#N/A,FALSE,"RACT2.XLS";#N/A,#N/A,FALSE,"ECCMP";#N/A,#N/A,FALSE,"WELDER.XLS"}</definedName>
    <definedName name="kkk" localSheetId="11" hidden="1">{#N/A,#N/A,FALSE,"COVER1.XLS ";#N/A,#N/A,FALSE,"RACT1.XLS";#N/A,#N/A,FALSE,"RACT2.XLS";#N/A,#N/A,FALSE,"ECCMP";#N/A,#N/A,FALSE,"WELDER.XLS"}</definedName>
    <definedName name="kkk" localSheetId="9" hidden="1">{#N/A,#N/A,FALSE,"COVER1.XLS ";#N/A,#N/A,FALSE,"RACT1.XLS";#N/A,#N/A,FALSE,"RACT2.XLS";#N/A,#N/A,FALSE,"ECCMP";#N/A,#N/A,FALSE,"WELDER.XLS"}</definedName>
    <definedName name="kkk" localSheetId="13" hidden="1">{#N/A,#N/A,FALSE,"COVER1.XLS ";#N/A,#N/A,FALSE,"RACT1.XLS";#N/A,#N/A,FALSE,"RACT2.XLS";#N/A,#N/A,FALSE,"ECCMP";#N/A,#N/A,FALSE,"WELDER.XLS"}</definedName>
    <definedName name="kkk" localSheetId="18" hidden="1">{#N/A,#N/A,FALSE,"COVER1.XLS ";#N/A,#N/A,FALSE,"RACT1.XLS";#N/A,#N/A,FALSE,"RACT2.XLS";#N/A,#N/A,FALSE,"ECCMP";#N/A,#N/A,FALSE,"WELDER.XLS"}</definedName>
    <definedName name="kkk" localSheetId="15" hidden="1">{#N/A,#N/A,FALSE,"COVER1.XLS ";#N/A,#N/A,FALSE,"RACT1.XLS";#N/A,#N/A,FALSE,"RACT2.XLS";#N/A,#N/A,FALSE,"ECCMP";#N/A,#N/A,FALSE,"WELDER.XLS"}</definedName>
    <definedName name="kkk" localSheetId="7" hidden="1">{#N/A,#N/A,FALSE,"COVER1.XLS ";#N/A,#N/A,FALSE,"RACT1.XLS";#N/A,#N/A,FALSE,"RACT2.XLS";#N/A,#N/A,FALSE,"ECCMP";#N/A,#N/A,FALSE,"WELDER.XLS"}</definedName>
    <definedName name="kkk" hidden="1">{#N/A,#N/A,FALSE,"COVER1.XLS ";#N/A,#N/A,FALSE,"RACT1.XLS";#N/A,#N/A,FALSE,"RACT2.XLS";#N/A,#N/A,FALSE,"ECCMP";#N/A,#N/A,FALSE,"WELDER.XLS"}</definedName>
    <definedName name="kkkkkkkkkkkkkk" localSheetId="12">#REF!</definedName>
    <definedName name="kkkkkkkkkkkkkk" localSheetId="6">#REF!</definedName>
    <definedName name="kkkkkkkkkkkkkk" localSheetId="5">#REF!</definedName>
    <definedName name="kkkkkkkkkkkkkk" localSheetId="8">#REF!</definedName>
    <definedName name="kkkkkkkkkkkkkk" localSheetId="11">#REF!</definedName>
    <definedName name="kkkkkkkkkkkkkk" localSheetId="9">#REF!</definedName>
    <definedName name="kkkkkkkkkkkkkk" localSheetId="18">#REF!</definedName>
    <definedName name="kkkkkkkkkkkkkk" localSheetId="15">#REF!</definedName>
    <definedName name="kkkkkkkkkkkkkk" localSheetId="7">#REF!</definedName>
    <definedName name="kkkkkkkkkkkkkk">#REF!</definedName>
    <definedName name="KL" localSheetId="12" hidden="1">#REF!</definedName>
    <definedName name="KL" localSheetId="6" hidden="1">#REF!</definedName>
    <definedName name="KL" localSheetId="5" hidden="1">#REF!</definedName>
    <definedName name="KL" localSheetId="8" hidden="1">#REF!</definedName>
    <definedName name="KL" localSheetId="11" hidden="1">#REF!</definedName>
    <definedName name="KL" localSheetId="9" hidden="1">#REF!</definedName>
    <definedName name="KL" localSheetId="18" hidden="1">#REF!</definedName>
    <definedName name="KL" localSheetId="15" hidden="1">#REF!</definedName>
    <definedName name="KL" localSheetId="7" hidden="1">#REF!</definedName>
    <definedName name="KL" hidden="1">#REF!</definedName>
    <definedName name="klm" localSheetId="12">#REF!</definedName>
    <definedName name="klm" localSheetId="6">#REF!</definedName>
    <definedName name="klm" localSheetId="5">#REF!</definedName>
    <definedName name="klm" localSheetId="8">#REF!</definedName>
    <definedName name="klm" localSheetId="11">#REF!</definedName>
    <definedName name="klm" localSheetId="9">#REF!</definedName>
    <definedName name="klm" localSheetId="18">#REF!</definedName>
    <definedName name="klm" localSheetId="15">#REF!</definedName>
    <definedName name="klm" localSheetId="7">#REF!</definedName>
    <definedName name="klm">#REF!</definedName>
    <definedName name="Km" localSheetId="12">#REF!</definedName>
    <definedName name="Km" localSheetId="8">#REF!</definedName>
    <definedName name="Km" localSheetId="11">#REF!</definedName>
    <definedName name="Km" localSheetId="9">#REF!</definedName>
    <definedName name="Km" localSheetId="18">#REF!</definedName>
    <definedName name="Km" localSheetId="15">#REF!</definedName>
    <definedName name="Km" localSheetId="7">#REF!</definedName>
    <definedName name="Km">#REF!</definedName>
    <definedName name="Km___0" localSheetId="12">#REF!</definedName>
    <definedName name="Km___0" localSheetId="8">#REF!</definedName>
    <definedName name="Km___0" localSheetId="11">#REF!</definedName>
    <definedName name="Km___0" localSheetId="9">#REF!</definedName>
    <definedName name="Km___0" localSheetId="18">#REF!</definedName>
    <definedName name="Km___0" localSheetId="15">#REF!</definedName>
    <definedName name="Km___0" localSheetId="7">#REF!</definedName>
    <definedName name="Km___0">#REF!</definedName>
    <definedName name="Km___13" localSheetId="12">#REF!</definedName>
    <definedName name="Km___13" localSheetId="8">#REF!</definedName>
    <definedName name="Km___13" localSheetId="11">#REF!</definedName>
    <definedName name="Km___13" localSheetId="9">#REF!</definedName>
    <definedName name="Km___13" localSheetId="18">#REF!</definedName>
    <definedName name="Km___13" localSheetId="15">#REF!</definedName>
    <definedName name="Km___13" localSheetId="7">#REF!</definedName>
    <definedName name="Km___13">#REF!</definedName>
    <definedName name="Ks" localSheetId="12">#REF!</definedName>
    <definedName name="Ks" localSheetId="8">#REF!</definedName>
    <definedName name="Ks" localSheetId="11">#REF!</definedName>
    <definedName name="Ks" localSheetId="9">#REF!</definedName>
    <definedName name="Ks" localSheetId="18">#REF!</definedName>
    <definedName name="Ks" localSheetId="15">#REF!</definedName>
    <definedName name="Ks" localSheetId="7">#REF!</definedName>
    <definedName name="Ks">#REF!</definedName>
    <definedName name="Ks___0" localSheetId="12">#REF!</definedName>
    <definedName name="Ks___0" localSheetId="8">#REF!</definedName>
    <definedName name="Ks___0" localSheetId="11">#REF!</definedName>
    <definedName name="Ks___0" localSheetId="9">#REF!</definedName>
    <definedName name="Ks___0" localSheetId="18">#REF!</definedName>
    <definedName name="Ks___0" localSheetId="15">#REF!</definedName>
    <definedName name="Ks___0" localSheetId="7">#REF!</definedName>
    <definedName name="Ks___0">#REF!</definedName>
    <definedName name="Ks___13" localSheetId="12">#REF!</definedName>
    <definedName name="Ks___13" localSheetId="8">#REF!</definedName>
    <definedName name="Ks___13" localSheetId="11">#REF!</definedName>
    <definedName name="Ks___13" localSheetId="9">#REF!</definedName>
    <definedName name="Ks___13" localSheetId="18">#REF!</definedName>
    <definedName name="Ks___13" localSheetId="15">#REF!</definedName>
    <definedName name="Ks___13" localSheetId="7">#REF!</definedName>
    <definedName name="Ks___13">#REF!</definedName>
    <definedName name="ksd" localSheetId="12">#REF!</definedName>
    <definedName name="ksd" localSheetId="8">#REF!</definedName>
    <definedName name="ksd" localSheetId="11">#REF!</definedName>
    <definedName name="ksd" localSheetId="9">#REF!</definedName>
    <definedName name="ksd" localSheetId="18">#REF!</definedName>
    <definedName name="ksd" localSheetId="15">#REF!</definedName>
    <definedName name="ksd" localSheetId="7">#REF!</definedName>
    <definedName name="ksd">#REF!</definedName>
    <definedName name="ksf" localSheetId="12">#REF!</definedName>
    <definedName name="ksf" localSheetId="8">#REF!</definedName>
    <definedName name="ksf" localSheetId="11">#REF!</definedName>
    <definedName name="ksf" localSheetId="9">#REF!</definedName>
    <definedName name="ksf" localSheetId="18">#REF!</definedName>
    <definedName name="ksf" localSheetId="15">#REF!</definedName>
    <definedName name="ksf" localSheetId="7">#REF!</definedName>
    <definedName name="ksf">#REF!</definedName>
    <definedName name="kskk" localSheetId="12" hidden="1">{#N/A,#N/A,FALSE,"COVER.XLS";#N/A,#N/A,FALSE,"RACT1.XLS";#N/A,#N/A,FALSE,"RACT2.XLS";#N/A,#N/A,FALSE,"ECCMP";#N/A,#N/A,FALSE,"WELDER.XLS"}</definedName>
    <definedName name="kskk" localSheetId="6" hidden="1">{#N/A,#N/A,FALSE,"COVER.XLS";#N/A,#N/A,FALSE,"RACT1.XLS";#N/A,#N/A,FALSE,"RACT2.XLS";#N/A,#N/A,FALSE,"ECCMP";#N/A,#N/A,FALSE,"WELDER.XLS"}</definedName>
    <definedName name="kskk" localSheetId="5" hidden="1">{#N/A,#N/A,FALSE,"COVER.XLS";#N/A,#N/A,FALSE,"RACT1.XLS";#N/A,#N/A,FALSE,"RACT2.XLS";#N/A,#N/A,FALSE,"ECCMP";#N/A,#N/A,FALSE,"WELDER.XLS"}</definedName>
    <definedName name="kskk" localSheetId="8" hidden="1">{#N/A,#N/A,FALSE,"COVER.XLS";#N/A,#N/A,FALSE,"RACT1.XLS";#N/A,#N/A,FALSE,"RACT2.XLS";#N/A,#N/A,FALSE,"ECCMP";#N/A,#N/A,FALSE,"WELDER.XLS"}</definedName>
    <definedName name="kskk" localSheetId="11" hidden="1">{#N/A,#N/A,FALSE,"COVER.XLS";#N/A,#N/A,FALSE,"RACT1.XLS";#N/A,#N/A,FALSE,"RACT2.XLS";#N/A,#N/A,FALSE,"ECCMP";#N/A,#N/A,FALSE,"WELDER.XLS"}</definedName>
    <definedName name="kskk" localSheetId="9" hidden="1">{#N/A,#N/A,FALSE,"COVER.XLS";#N/A,#N/A,FALSE,"RACT1.XLS";#N/A,#N/A,FALSE,"RACT2.XLS";#N/A,#N/A,FALSE,"ECCMP";#N/A,#N/A,FALSE,"WELDER.XLS"}</definedName>
    <definedName name="kskk" localSheetId="13" hidden="1">{#N/A,#N/A,FALSE,"COVER.XLS";#N/A,#N/A,FALSE,"RACT1.XLS";#N/A,#N/A,FALSE,"RACT2.XLS";#N/A,#N/A,FALSE,"ECCMP";#N/A,#N/A,FALSE,"WELDER.XLS"}</definedName>
    <definedName name="kskk" localSheetId="18" hidden="1">{#N/A,#N/A,FALSE,"COVER.XLS";#N/A,#N/A,FALSE,"RACT1.XLS";#N/A,#N/A,FALSE,"RACT2.XLS";#N/A,#N/A,FALSE,"ECCMP";#N/A,#N/A,FALSE,"WELDER.XLS"}</definedName>
    <definedName name="kskk" localSheetId="15" hidden="1">{#N/A,#N/A,FALSE,"COVER.XLS";#N/A,#N/A,FALSE,"RACT1.XLS";#N/A,#N/A,FALSE,"RACT2.XLS";#N/A,#N/A,FALSE,"ECCMP";#N/A,#N/A,FALSE,"WELDER.XLS"}</definedName>
    <definedName name="kskk" localSheetId="7" hidden="1">{#N/A,#N/A,FALSE,"COVER.XLS";#N/A,#N/A,FALSE,"RACT1.XLS";#N/A,#N/A,FALSE,"RACT2.XLS";#N/A,#N/A,FALSE,"ECCMP";#N/A,#N/A,FALSE,"WELDER.XLS"}</definedName>
    <definedName name="kskk" hidden="1">{#N/A,#N/A,FALSE,"COVER.XLS";#N/A,#N/A,FALSE,"RACT1.XLS";#N/A,#N/A,FALSE,"RACT2.XLS";#N/A,#N/A,FALSE,"ECCMP";#N/A,#N/A,FALSE,"WELDER.XLS"}</definedName>
    <definedName name="kvs" localSheetId="12" hidden="1">{#N/A,#N/A,FALSE,"COVER1.XLS ";#N/A,#N/A,FALSE,"RACT1.XLS";#N/A,#N/A,FALSE,"RACT2.XLS";#N/A,#N/A,FALSE,"ECCMP";#N/A,#N/A,FALSE,"WELDER.XLS"}</definedName>
    <definedName name="kvs" localSheetId="6" hidden="1">{#N/A,#N/A,FALSE,"COVER1.XLS ";#N/A,#N/A,FALSE,"RACT1.XLS";#N/A,#N/A,FALSE,"RACT2.XLS";#N/A,#N/A,FALSE,"ECCMP";#N/A,#N/A,FALSE,"WELDER.XLS"}</definedName>
    <definedName name="kvs" localSheetId="5" hidden="1">{#N/A,#N/A,FALSE,"COVER1.XLS ";#N/A,#N/A,FALSE,"RACT1.XLS";#N/A,#N/A,FALSE,"RACT2.XLS";#N/A,#N/A,FALSE,"ECCMP";#N/A,#N/A,FALSE,"WELDER.XLS"}</definedName>
    <definedName name="kvs" localSheetId="8" hidden="1">{#N/A,#N/A,FALSE,"COVER1.XLS ";#N/A,#N/A,FALSE,"RACT1.XLS";#N/A,#N/A,FALSE,"RACT2.XLS";#N/A,#N/A,FALSE,"ECCMP";#N/A,#N/A,FALSE,"WELDER.XLS"}</definedName>
    <definedName name="kvs" localSheetId="11" hidden="1">{#N/A,#N/A,FALSE,"COVER1.XLS ";#N/A,#N/A,FALSE,"RACT1.XLS";#N/A,#N/A,FALSE,"RACT2.XLS";#N/A,#N/A,FALSE,"ECCMP";#N/A,#N/A,FALSE,"WELDER.XLS"}</definedName>
    <definedName name="kvs" localSheetId="9" hidden="1">{#N/A,#N/A,FALSE,"COVER1.XLS ";#N/A,#N/A,FALSE,"RACT1.XLS";#N/A,#N/A,FALSE,"RACT2.XLS";#N/A,#N/A,FALSE,"ECCMP";#N/A,#N/A,FALSE,"WELDER.XLS"}</definedName>
    <definedName name="kvs" localSheetId="13" hidden="1">{#N/A,#N/A,FALSE,"COVER1.XLS ";#N/A,#N/A,FALSE,"RACT1.XLS";#N/A,#N/A,FALSE,"RACT2.XLS";#N/A,#N/A,FALSE,"ECCMP";#N/A,#N/A,FALSE,"WELDER.XLS"}</definedName>
    <definedName name="kvs" localSheetId="18" hidden="1">{#N/A,#N/A,FALSE,"COVER1.XLS ";#N/A,#N/A,FALSE,"RACT1.XLS";#N/A,#N/A,FALSE,"RACT2.XLS";#N/A,#N/A,FALSE,"ECCMP";#N/A,#N/A,FALSE,"WELDER.XLS"}</definedName>
    <definedName name="kvs" localSheetId="15" hidden="1">{#N/A,#N/A,FALSE,"COVER1.XLS ";#N/A,#N/A,FALSE,"RACT1.XLS";#N/A,#N/A,FALSE,"RACT2.XLS";#N/A,#N/A,FALSE,"ECCMP";#N/A,#N/A,FALSE,"WELDER.XLS"}</definedName>
    <definedName name="kvs" localSheetId="7" hidden="1">{#N/A,#N/A,FALSE,"COVER1.XLS ";#N/A,#N/A,FALSE,"RACT1.XLS";#N/A,#N/A,FALSE,"RACT2.XLS";#N/A,#N/A,FALSE,"ECCMP";#N/A,#N/A,FALSE,"WELDER.XLS"}</definedName>
    <definedName name="kvs" hidden="1">{#N/A,#N/A,FALSE,"COVER1.XLS ";#N/A,#N/A,FALSE,"RACT1.XLS";#N/A,#N/A,FALSE,"RACT2.XLS";#N/A,#N/A,FALSE,"ECCMP";#N/A,#N/A,FALSE,"WELDER.XLS"}</definedName>
    <definedName name="L" localSheetId="12">#REF!</definedName>
    <definedName name="L" localSheetId="6">#REF!</definedName>
    <definedName name="L" localSheetId="5">#REF!</definedName>
    <definedName name="L" localSheetId="8">#REF!</definedName>
    <definedName name="L" localSheetId="11">#REF!</definedName>
    <definedName name="L" localSheetId="9">#REF!</definedName>
    <definedName name="L" localSheetId="18">#REF!</definedName>
    <definedName name="L" localSheetId="15">#REF!</definedName>
    <definedName name="L" localSheetId="7">#REF!</definedName>
    <definedName name="L">#REF!</definedName>
    <definedName name="L.WALL" localSheetId="12">#REF!</definedName>
    <definedName name="L.WALL" localSheetId="0">#REF!</definedName>
    <definedName name="L.WALL" localSheetId="1">#REF!</definedName>
    <definedName name="L.WALL" localSheetId="6">#REF!</definedName>
    <definedName name="L.WALL" localSheetId="5">#REF!</definedName>
    <definedName name="L.WALL" localSheetId="8">#REF!</definedName>
    <definedName name="L.WALL" localSheetId="11">#REF!</definedName>
    <definedName name="L.WALL" localSheetId="9">#REF!</definedName>
    <definedName name="L.WALL" localSheetId="18">#REF!</definedName>
    <definedName name="L.WALL" localSheetId="15">#REF!</definedName>
    <definedName name="L.WALL" localSheetId="7">#REF!</definedName>
    <definedName name="L.WALL">#REF!</definedName>
    <definedName name="L___0" localSheetId="12">#REF!</definedName>
    <definedName name="L___0" localSheetId="8">#REF!</definedName>
    <definedName name="L___0" localSheetId="11">#REF!</definedName>
    <definedName name="L___0" localSheetId="9">#REF!</definedName>
    <definedName name="L___0" localSheetId="18">#REF!</definedName>
    <definedName name="L___0" localSheetId="15">#REF!</definedName>
    <definedName name="L___0" localSheetId="7">#REF!</definedName>
    <definedName name="L___0">#REF!</definedName>
    <definedName name="L___13" localSheetId="12">#REF!</definedName>
    <definedName name="L___13" localSheetId="8">#REF!</definedName>
    <definedName name="L___13" localSheetId="11">#REF!</definedName>
    <definedName name="L___13" localSheetId="9">#REF!</definedName>
    <definedName name="L___13" localSheetId="18">#REF!</definedName>
    <definedName name="L___13" localSheetId="15">#REF!</definedName>
    <definedName name="L___13" localSheetId="7">#REF!</definedName>
    <definedName name="L___13">#REF!</definedName>
    <definedName name="labor_multiple" localSheetId="12">#REF!</definedName>
    <definedName name="labor_multiple" localSheetId="8">#REF!</definedName>
    <definedName name="labor_multiple" localSheetId="11">#REF!</definedName>
    <definedName name="labor_multiple" localSheetId="9">#REF!</definedName>
    <definedName name="labor_multiple" localSheetId="18">#REF!</definedName>
    <definedName name="labor_multiple" localSheetId="15">#REF!</definedName>
    <definedName name="labor_multiple" localSheetId="7">#REF!</definedName>
    <definedName name="labor_multiple">#REF!</definedName>
    <definedName name="LAMP" localSheetId="12">#REF!</definedName>
    <definedName name="LAMP" localSheetId="8">#REF!</definedName>
    <definedName name="LAMP" localSheetId="11">#REF!</definedName>
    <definedName name="LAMP" localSheetId="9">#REF!</definedName>
    <definedName name="LAMP" localSheetId="18">#REF!</definedName>
    <definedName name="LAMP" localSheetId="15">#REF!</definedName>
    <definedName name="LAMP" localSheetId="7">#REF!</definedName>
    <definedName name="LAMP">#REF!</definedName>
    <definedName name="LAMP___0" localSheetId="12">#REF!</definedName>
    <definedName name="LAMP___0" localSheetId="8">#REF!</definedName>
    <definedName name="LAMP___0" localSheetId="11">#REF!</definedName>
    <definedName name="LAMP___0" localSheetId="9">#REF!</definedName>
    <definedName name="LAMP___0" localSheetId="18">#REF!</definedName>
    <definedName name="LAMP___0" localSheetId="15">#REF!</definedName>
    <definedName name="LAMP___0" localSheetId="7">#REF!</definedName>
    <definedName name="LAMP___0">#REF!</definedName>
    <definedName name="LAMP___13" localSheetId="12">#REF!</definedName>
    <definedName name="LAMP___13" localSheetId="8">#REF!</definedName>
    <definedName name="LAMP___13" localSheetId="11">#REF!</definedName>
    <definedName name="LAMP___13" localSheetId="9">#REF!</definedName>
    <definedName name="LAMP___13" localSheetId="18">#REF!</definedName>
    <definedName name="LAMP___13" localSheetId="15">#REF!</definedName>
    <definedName name="LAMP___13" localSheetId="7">#REF!</definedName>
    <definedName name="LAMP___13">#REF!</definedName>
    <definedName name="Land_adv" localSheetId="12">#REF!</definedName>
    <definedName name="Land_adv" localSheetId="0">#REF!</definedName>
    <definedName name="Land_adv" localSheetId="1">#REF!</definedName>
    <definedName name="Land_adv" localSheetId="8">#REF!</definedName>
    <definedName name="Land_adv" localSheetId="11">#REF!</definedName>
    <definedName name="Land_adv" localSheetId="9">#REF!</definedName>
    <definedName name="Land_adv" localSheetId="18">#REF!</definedName>
    <definedName name="Land_adv" localSheetId="15">#REF!</definedName>
    <definedName name="Land_adv" localSheetId="7">#REF!</definedName>
    <definedName name="Land_adv">#REF!</definedName>
    <definedName name="landacqcost" localSheetId="12">#REF!</definedName>
    <definedName name="landacqcost" localSheetId="8">#REF!</definedName>
    <definedName name="landacqcost" localSheetId="11">#REF!</definedName>
    <definedName name="landacqcost" localSheetId="9">#REF!</definedName>
    <definedName name="landacqcost" localSheetId="18">#REF!</definedName>
    <definedName name="landacqcost" localSheetId="15">#REF!</definedName>
    <definedName name="landacqcost" localSheetId="7">#REF!</definedName>
    <definedName name="landacqcost">#REF!</definedName>
    <definedName name="Larsen___Toubro_Limited___ECC_Construction_Division" localSheetId="12">#REF!</definedName>
    <definedName name="Larsen___Toubro_Limited___ECC_Construction_Division" localSheetId="8">#REF!</definedName>
    <definedName name="Larsen___Toubro_Limited___ECC_Construction_Division" localSheetId="11">#REF!</definedName>
    <definedName name="Larsen___Toubro_Limited___ECC_Construction_Division" localSheetId="9">#REF!</definedName>
    <definedName name="Larsen___Toubro_Limited___ECC_Construction_Division" localSheetId="18">#REF!</definedName>
    <definedName name="Larsen___Toubro_Limited___ECC_Construction_Division" localSheetId="15">#REF!</definedName>
    <definedName name="Larsen___Toubro_Limited___ECC_Construction_Division" localSheetId="7">#REF!</definedName>
    <definedName name="Larsen___Toubro_Limited___ECC_Construction_Division">#REF!</definedName>
    <definedName name="Lc" localSheetId="12">#REF!</definedName>
    <definedName name="Lc" localSheetId="8">#REF!</definedName>
    <definedName name="Lc" localSheetId="11">#REF!</definedName>
    <definedName name="Lc" localSheetId="9">#REF!</definedName>
    <definedName name="Lc" localSheetId="18">#REF!</definedName>
    <definedName name="Lc" localSheetId="15">#REF!</definedName>
    <definedName name="Lc" localSheetId="7">#REF!</definedName>
    <definedName name="Lc">#REF!</definedName>
    <definedName name="Lc___0" localSheetId="12">#REF!</definedName>
    <definedName name="Lc___0" localSheetId="8">#REF!</definedName>
    <definedName name="Lc___0" localSheetId="11">#REF!</definedName>
    <definedName name="Lc___0" localSheetId="9">#REF!</definedName>
    <definedName name="Lc___0" localSheetId="18">#REF!</definedName>
    <definedName name="Lc___0" localSheetId="15">#REF!</definedName>
    <definedName name="Lc___0" localSheetId="7">#REF!</definedName>
    <definedName name="Lc___0">#REF!</definedName>
    <definedName name="Lc___13" localSheetId="12">#REF!</definedName>
    <definedName name="Lc___13" localSheetId="8">#REF!</definedName>
    <definedName name="Lc___13" localSheetId="11">#REF!</definedName>
    <definedName name="Lc___13" localSheetId="9">#REF!</definedName>
    <definedName name="Lc___13" localSheetId="18">#REF!</definedName>
    <definedName name="Lc___13" localSheetId="15">#REF!</definedName>
    <definedName name="Lc___13" localSheetId="7">#REF!</definedName>
    <definedName name="Lc___13">#REF!</definedName>
    <definedName name="LCAR100" localSheetId="12">#REF!</definedName>
    <definedName name="LCAR100" localSheetId="8">#REF!</definedName>
    <definedName name="LCAR100" localSheetId="11">#REF!</definedName>
    <definedName name="LCAR100" localSheetId="9">#REF!</definedName>
    <definedName name="LCAR100" localSheetId="18">#REF!</definedName>
    <definedName name="LCAR100" localSheetId="15">#REF!</definedName>
    <definedName name="LCAR100" localSheetId="7">#REF!</definedName>
    <definedName name="LCAR100">#REF!</definedName>
    <definedName name="Lead" localSheetId="12">#REF!</definedName>
    <definedName name="Lead" localSheetId="8">#REF!</definedName>
    <definedName name="Lead" localSheetId="11">#REF!</definedName>
    <definedName name="Lead" localSheetId="9">#REF!</definedName>
    <definedName name="Lead" localSheetId="18">#REF!</definedName>
    <definedName name="Lead" localSheetId="15">#REF!</definedName>
    <definedName name="Lead" localSheetId="7">#REF!</definedName>
    <definedName name="Lead">#REF!</definedName>
    <definedName name="lef" localSheetId="12">#REF!</definedName>
    <definedName name="lef" localSheetId="0">#REF!</definedName>
    <definedName name="lef" localSheetId="1">#REF!</definedName>
    <definedName name="lef" localSheetId="8">#REF!</definedName>
    <definedName name="lef" localSheetId="11">#REF!</definedName>
    <definedName name="lef" localSheetId="9">#REF!</definedName>
    <definedName name="lef" localSheetId="18">#REF!</definedName>
    <definedName name="lef" localSheetId="15">#REF!</definedName>
    <definedName name="lef" localSheetId="7">#REF!</definedName>
    <definedName name="lef">#REF!</definedName>
    <definedName name="lef_1" localSheetId="12">#REF!</definedName>
    <definedName name="lef_1" localSheetId="8">#REF!</definedName>
    <definedName name="lef_1" localSheetId="11">#REF!</definedName>
    <definedName name="lef_1" localSheetId="9">#REF!</definedName>
    <definedName name="lef_1" localSheetId="18">#REF!</definedName>
    <definedName name="lef_1" localSheetId="15">#REF!</definedName>
    <definedName name="lef_1" localSheetId="7">#REF!</definedName>
    <definedName name="lef_1">#REF!</definedName>
    <definedName name="lel" localSheetId="12">#REF!</definedName>
    <definedName name="lel" localSheetId="0">#REF!</definedName>
    <definedName name="lel" localSheetId="1">#REF!</definedName>
    <definedName name="lel" localSheetId="8">#REF!</definedName>
    <definedName name="lel" localSheetId="11">#REF!</definedName>
    <definedName name="lel" localSheetId="9">#REF!</definedName>
    <definedName name="lel" localSheetId="18">#REF!</definedName>
    <definedName name="lel" localSheetId="15">#REF!</definedName>
    <definedName name="lel" localSheetId="7">#REF!</definedName>
    <definedName name="lel">#REF!</definedName>
    <definedName name="lel_1" localSheetId="12">#REF!</definedName>
    <definedName name="lel_1" localSheetId="8">#REF!</definedName>
    <definedName name="lel_1" localSheetId="11">#REF!</definedName>
    <definedName name="lel_1" localSheetId="9">#REF!</definedName>
    <definedName name="lel_1" localSheetId="18">#REF!</definedName>
    <definedName name="lel_1" localSheetId="15">#REF!</definedName>
    <definedName name="lel_1" localSheetId="7">#REF!</definedName>
    <definedName name="lel_1">#REF!</definedName>
    <definedName name="len" localSheetId="12">#REF!</definedName>
    <definedName name="len" localSheetId="8">#REF!</definedName>
    <definedName name="len" localSheetId="11">#REF!</definedName>
    <definedName name="len" localSheetId="9">#REF!</definedName>
    <definedName name="len" localSheetId="18">#REF!</definedName>
    <definedName name="len" localSheetId="15">#REF!</definedName>
    <definedName name="len" localSheetId="7">#REF!</definedName>
    <definedName name="len">#REF!</definedName>
    <definedName name="levelling" localSheetId="12">#REF!</definedName>
    <definedName name="levelling" localSheetId="8">#REF!</definedName>
    <definedName name="levelling" localSheetId="11">#REF!</definedName>
    <definedName name="levelling" localSheetId="9">#REF!</definedName>
    <definedName name="levelling" localSheetId="18">#REF!</definedName>
    <definedName name="levelling" localSheetId="15">#REF!</definedName>
    <definedName name="levelling" localSheetId="7">#REF!</definedName>
    <definedName name="levelling">#REF!</definedName>
    <definedName name="lij" localSheetId="12">#REF!</definedName>
    <definedName name="lij" localSheetId="8">#REF!</definedName>
    <definedName name="lij" localSheetId="11">#REF!</definedName>
    <definedName name="lij" localSheetId="9">#REF!</definedName>
    <definedName name="lij" localSheetId="18">#REF!</definedName>
    <definedName name="lij" localSheetId="15">#REF!</definedName>
    <definedName name="lij" localSheetId="7">#REF!</definedName>
    <definedName name="lij">#REF!</definedName>
    <definedName name="limcount" hidden="1">1</definedName>
    <definedName name="liner" localSheetId="12" hidden="1">{#N/A,#N/A,TRUE,"Front";#N/A,#N/A,TRUE,"Simple Letter";#N/A,#N/A,TRUE,"Inside";#N/A,#N/A,TRUE,"Contents";#N/A,#N/A,TRUE,"Basis";#N/A,#N/A,TRUE,"Inclusions";#N/A,#N/A,TRUE,"Exclusions";#N/A,#N/A,TRUE,"Areas";#N/A,#N/A,TRUE,"Summary";#N/A,#N/A,TRUE,"Detail"}</definedName>
    <definedName name="liner" localSheetId="6" hidden="1">{#N/A,#N/A,TRUE,"Front";#N/A,#N/A,TRUE,"Simple Letter";#N/A,#N/A,TRUE,"Inside";#N/A,#N/A,TRUE,"Contents";#N/A,#N/A,TRUE,"Basis";#N/A,#N/A,TRUE,"Inclusions";#N/A,#N/A,TRUE,"Exclusions";#N/A,#N/A,TRUE,"Areas";#N/A,#N/A,TRUE,"Summary";#N/A,#N/A,TRUE,"Detail"}</definedName>
    <definedName name="liner" localSheetId="5" hidden="1">{#N/A,#N/A,TRUE,"Front";#N/A,#N/A,TRUE,"Simple Letter";#N/A,#N/A,TRUE,"Inside";#N/A,#N/A,TRUE,"Contents";#N/A,#N/A,TRUE,"Basis";#N/A,#N/A,TRUE,"Inclusions";#N/A,#N/A,TRUE,"Exclusions";#N/A,#N/A,TRUE,"Areas";#N/A,#N/A,TRUE,"Summary";#N/A,#N/A,TRUE,"Detail"}</definedName>
    <definedName name="liner" localSheetId="8" hidden="1">{#N/A,#N/A,TRUE,"Front";#N/A,#N/A,TRUE,"Simple Letter";#N/A,#N/A,TRUE,"Inside";#N/A,#N/A,TRUE,"Contents";#N/A,#N/A,TRUE,"Basis";#N/A,#N/A,TRUE,"Inclusions";#N/A,#N/A,TRUE,"Exclusions";#N/A,#N/A,TRUE,"Areas";#N/A,#N/A,TRUE,"Summary";#N/A,#N/A,TRUE,"Detail"}</definedName>
    <definedName name="liner" localSheetId="11" hidden="1">{#N/A,#N/A,TRUE,"Front";#N/A,#N/A,TRUE,"Simple Letter";#N/A,#N/A,TRUE,"Inside";#N/A,#N/A,TRUE,"Contents";#N/A,#N/A,TRUE,"Basis";#N/A,#N/A,TRUE,"Inclusions";#N/A,#N/A,TRUE,"Exclusions";#N/A,#N/A,TRUE,"Areas";#N/A,#N/A,TRUE,"Summary";#N/A,#N/A,TRUE,"Detail"}</definedName>
    <definedName name="liner" localSheetId="9" hidden="1">{#N/A,#N/A,TRUE,"Front";#N/A,#N/A,TRUE,"Simple Letter";#N/A,#N/A,TRUE,"Inside";#N/A,#N/A,TRUE,"Contents";#N/A,#N/A,TRUE,"Basis";#N/A,#N/A,TRUE,"Inclusions";#N/A,#N/A,TRUE,"Exclusions";#N/A,#N/A,TRUE,"Areas";#N/A,#N/A,TRUE,"Summary";#N/A,#N/A,TRUE,"Detail"}</definedName>
    <definedName name="liner" localSheetId="13" hidden="1">{#N/A,#N/A,TRUE,"Front";#N/A,#N/A,TRUE,"Simple Letter";#N/A,#N/A,TRUE,"Inside";#N/A,#N/A,TRUE,"Contents";#N/A,#N/A,TRUE,"Basis";#N/A,#N/A,TRUE,"Inclusions";#N/A,#N/A,TRUE,"Exclusions";#N/A,#N/A,TRUE,"Areas";#N/A,#N/A,TRUE,"Summary";#N/A,#N/A,TRUE,"Detail"}</definedName>
    <definedName name="liner" localSheetId="18" hidden="1">{#N/A,#N/A,TRUE,"Front";#N/A,#N/A,TRUE,"Simple Letter";#N/A,#N/A,TRUE,"Inside";#N/A,#N/A,TRUE,"Contents";#N/A,#N/A,TRUE,"Basis";#N/A,#N/A,TRUE,"Inclusions";#N/A,#N/A,TRUE,"Exclusions";#N/A,#N/A,TRUE,"Areas";#N/A,#N/A,TRUE,"Summary";#N/A,#N/A,TRUE,"Detail"}</definedName>
    <definedName name="liner" localSheetId="15" hidden="1">{#N/A,#N/A,TRUE,"Front";#N/A,#N/A,TRUE,"Simple Letter";#N/A,#N/A,TRUE,"Inside";#N/A,#N/A,TRUE,"Contents";#N/A,#N/A,TRUE,"Basis";#N/A,#N/A,TRUE,"Inclusions";#N/A,#N/A,TRUE,"Exclusions";#N/A,#N/A,TRUE,"Areas";#N/A,#N/A,TRUE,"Summary";#N/A,#N/A,TRUE,"Detail"}</definedName>
    <definedName name="liner" localSheetId="7" hidden="1">{#N/A,#N/A,TRUE,"Front";#N/A,#N/A,TRUE,"Simple Letter";#N/A,#N/A,TRUE,"Inside";#N/A,#N/A,TRUE,"Contents";#N/A,#N/A,TRUE,"Basis";#N/A,#N/A,TRUE,"Inclusions";#N/A,#N/A,TRUE,"Exclusions";#N/A,#N/A,TRUE,"Areas";#N/A,#N/A,TRUE,"Summary";#N/A,#N/A,TRUE,"Detail"}</definedName>
    <definedName name="liner" hidden="1">{#N/A,#N/A,TRUE,"Front";#N/A,#N/A,TRUE,"Simple Letter";#N/A,#N/A,TRUE,"Inside";#N/A,#N/A,TRUE,"Contents";#N/A,#N/A,TRUE,"Basis";#N/A,#N/A,TRUE,"Inclusions";#N/A,#N/A,TRUE,"Exclusions";#N/A,#N/A,TRUE,"Areas";#N/A,#N/A,TRUE,"Summary";#N/A,#N/A,TRUE,"Detail"}</definedName>
    <definedName name="LinkRef" localSheetId="12">#REF!</definedName>
    <definedName name="LinkRef" localSheetId="6">#REF!</definedName>
    <definedName name="LinkRef" localSheetId="5">#REF!</definedName>
    <definedName name="LinkRef" localSheetId="8">#REF!</definedName>
    <definedName name="LinkRef" localSheetId="11">#REF!</definedName>
    <definedName name="LinkRef" localSheetId="9">#REF!</definedName>
    <definedName name="LinkRef" localSheetId="18">#REF!</definedName>
    <definedName name="LinkRef" localSheetId="15">#REF!</definedName>
    <definedName name="LinkRef" localSheetId="7">#REF!</definedName>
    <definedName name="LinkRef">#REF!</definedName>
    <definedName name="List_Categories" localSheetId="12">#REF!</definedName>
    <definedName name="List_Categories" localSheetId="6">#REF!</definedName>
    <definedName name="List_Categories" localSheetId="5">#REF!</definedName>
    <definedName name="List_Categories" localSheetId="8">#REF!</definedName>
    <definedName name="List_Categories" localSheetId="11">#REF!</definedName>
    <definedName name="List_Categories" localSheetId="9">#REF!</definedName>
    <definedName name="List_Categories" localSheetId="18">#REF!</definedName>
    <definedName name="List_Categories" localSheetId="15">#REF!</definedName>
    <definedName name="List_Categories" localSheetId="7">#REF!</definedName>
    <definedName name="List_Categories">#REF!</definedName>
    <definedName name="lk" localSheetId="12" hidden="1">{"PLANT BREAKUP",#N/A,FALSE,"E"}</definedName>
    <definedName name="lk" localSheetId="6" hidden="1">{"PLANT BREAKUP",#N/A,FALSE,"E"}</definedName>
    <definedName name="lk" localSheetId="5" hidden="1">{"PLANT BREAKUP",#N/A,FALSE,"E"}</definedName>
    <definedName name="lk" localSheetId="8" hidden="1">{"PLANT BREAKUP",#N/A,FALSE,"E"}</definedName>
    <definedName name="lk" localSheetId="11" hidden="1">{"PLANT BREAKUP",#N/A,FALSE,"E"}</definedName>
    <definedName name="lk" localSheetId="9" hidden="1">{"PLANT BREAKUP",#N/A,FALSE,"E"}</definedName>
    <definedName name="lk" localSheetId="13" hidden="1">{"PLANT BREAKUP",#N/A,FALSE,"E"}</definedName>
    <definedName name="lk" localSheetId="18" hidden="1">{"PLANT BREAKUP",#N/A,FALSE,"E"}</definedName>
    <definedName name="lk" localSheetId="15" hidden="1">{"PLANT BREAKUP",#N/A,FALSE,"E"}</definedName>
    <definedName name="lk" localSheetId="7" hidden="1">{"PLANT BREAKUP",#N/A,FALSE,"E"}</definedName>
    <definedName name="lk" hidden="1">{"PLANT BREAKUP",#N/A,FALSE,"E"}</definedName>
    <definedName name="lll"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1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lllllllllll" localSheetId="12">#REF!</definedName>
    <definedName name="llllllllllllll" localSheetId="6">#REF!</definedName>
    <definedName name="llllllllllllll" localSheetId="5">#REF!</definedName>
    <definedName name="llllllllllllll" localSheetId="8">#REF!</definedName>
    <definedName name="llllllllllllll" localSheetId="11">#REF!</definedName>
    <definedName name="llllllllllllll" localSheetId="9">#REF!</definedName>
    <definedName name="llllllllllllll" localSheetId="18">#REF!</definedName>
    <definedName name="llllllllllllll" localSheetId="15">#REF!</definedName>
    <definedName name="llllllllllllll" localSheetId="7">#REF!</definedName>
    <definedName name="llllllllllllll">#REF!</definedName>
    <definedName name="LO" localSheetId="12">#REF!</definedName>
    <definedName name="LO" localSheetId="6">#REF!</definedName>
    <definedName name="LO" localSheetId="5">#REF!</definedName>
    <definedName name="LO" localSheetId="8">#REF!</definedName>
    <definedName name="LO" localSheetId="11">#REF!</definedName>
    <definedName name="LO" localSheetId="9">#REF!</definedName>
    <definedName name="LO" localSheetId="18">#REF!</definedName>
    <definedName name="LO" localSheetId="15">#REF!</definedName>
    <definedName name="LO" localSheetId="7">#REF!</definedName>
    <definedName name="LO">#REF!</definedName>
    <definedName name="LOAD" localSheetId="12">#REF!</definedName>
    <definedName name="LOAD" localSheetId="6">#REF!</definedName>
    <definedName name="LOAD" localSheetId="5">#REF!</definedName>
    <definedName name="LOAD" localSheetId="8">#REF!</definedName>
    <definedName name="LOAD" localSheetId="11">#REF!</definedName>
    <definedName name="LOAD" localSheetId="9">#REF!</definedName>
    <definedName name="LOAD" localSheetId="18">#REF!</definedName>
    <definedName name="LOAD" localSheetId="15">#REF!</definedName>
    <definedName name="LOAD" localSheetId="7">#REF!</definedName>
    <definedName name="LOAD">#REF!</definedName>
    <definedName name="loan" localSheetId="12">#REF!</definedName>
    <definedName name="loan" localSheetId="8">#REF!</definedName>
    <definedName name="loan" localSheetId="11">#REF!</definedName>
    <definedName name="loan" localSheetId="9">#REF!</definedName>
    <definedName name="loan" localSheetId="18">#REF!</definedName>
    <definedName name="loan" localSheetId="15">#REF!</definedName>
    <definedName name="loan" localSheetId="7">#REF!</definedName>
    <definedName name="loan">#REF!</definedName>
    <definedName name="loans_adv" localSheetId="12">#REF!</definedName>
    <definedName name="loans_adv" localSheetId="0">#REF!</definedName>
    <definedName name="loans_adv" localSheetId="1">#REF!</definedName>
    <definedName name="loans_adv" localSheetId="8">#REF!</definedName>
    <definedName name="loans_adv" localSheetId="11">#REF!</definedName>
    <definedName name="loans_adv" localSheetId="9">#REF!</definedName>
    <definedName name="loans_adv" localSheetId="18">#REF!</definedName>
    <definedName name="loans_adv" localSheetId="15">#REF!</definedName>
    <definedName name="loans_adv" localSheetId="7">#REF!</definedName>
    <definedName name="loans_adv">#REF!</definedName>
    <definedName name="LOCAL_COSTS" localSheetId="12">#REF!</definedName>
    <definedName name="LOCAL_COSTS" localSheetId="8">#REF!</definedName>
    <definedName name="LOCAL_COSTS" localSheetId="11">#REF!</definedName>
    <definedName name="LOCAL_COSTS" localSheetId="9">#REF!</definedName>
    <definedName name="LOCAL_COSTS" localSheetId="18">#REF!</definedName>
    <definedName name="LOCAL_COSTS" localSheetId="15">#REF!</definedName>
    <definedName name="LOCAL_COSTS" localSheetId="7">#REF!</definedName>
    <definedName name="LOCAL_COSTS">#REF!</definedName>
    <definedName name="local_materials" localSheetId="12">#REF!</definedName>
    <definedName name="local_materials" localSheetId="8">#REF!</definedName>
    <definedName name="local_materials" localSheetId="11">#REF!</definedName>
    <definedName name="local_materials" localSheetId="9">#REF!</definedName>
    <definedName name="local_materials" localSheetId="18">#REF!</definedName>
    <definedName name="local_materials" localSheetId="15">#REF!</definedName>
    <definedName name="local_materials" localSheetId="7">#REF!</definedName>
    <definedName name="local_materials">#REF!</definedName>
    <definedName name="LOCALIZATION" localSheetId="12">#REF!</definedName>
    <definedName name="LOCALIZATION" localSheetId="8">#REF!</definedName>
    <definedName name="LOCALIZATION" localSheetId="11">#REF!</definedName>
    <definedName name="LOCALIZATION" localSheetId="9">#REF!</definedName>
    <definedName name="LOCALIZATION" localSheetId="18">#REF!</definedName>
    <definedName name="LOCALIZATION" localSheetId="15">#REF!</definedName>
    <definedName name="LOCALIZATION" localSheetId="7">#REF!</definedName>
    <definedName name="LOCALIZATION">#REF!</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dr" localSheetId="12">#REF!</definedName>
    <definedName name="lodr" localSheetId="6">#REF!</definedName>
    <definedName name="lodr" localSheetId="5">#REF!</definedName>
    <definedName name="lodr" localSheetId="8">#REF!</definedName>
    <definedName name="lodr" localSheetId="11">#REF!</definedName>
    <definedName name="lodr" localSheetId="9">#REF!</definedName>
    <definedName name="lodr" localSheetId="18">#REF!</definedName>
    <definedName name="lodr" localSheetId="15">#REF!</definedName>
    <definedName name="lodr" localSheetId="7">#REF!</definedName>
    <definedName name="lodr">#REF!</definedName>
    <definedName name="look" localSheetId="12">#REF!</definedName>
    <definedName name="look" localSheetId="6">#REF!</definedName>
    <definedName name="look" localSheetId="5">#REF!</definedName>
    <definedName name="look" localSheetId="8">#REF!</definedName>
    <definedName name="look" localSheetId="11">#REF!</definedName>
    <definedName name="look" localSheetId="9">#REF!</definedName>
    <definedName name="look" localSheetId="18">#REF!</definedName>
    <definedName name="look" localSheetId="15">#REF!</definedName>
    <definedName name="look" localSheetId="7">#REF!</definedName>
    <definedName name="look">#REF!</definedName>
    <definedName name="Lr" localSheetId="12">#REF!</definedName>
    <definedName name="Lr" localSheetId="6">#REF!</definedName>
    <definedName name="Lr" localSheetId="5">#REF!</definedName>
    <definedName name="Lr" localSheetId="8">#REF!</definedName>
    <definedName name="Lr" localSheetId="11">#REF!</definedName>
    <definedName name="Lr" localSheetId="9">#REF!</definedName>
    <definedName name="Lr" localSheetId="18">#REF!</definedName>
    <definedName name="Lr" localSheetId="15">#REF!</definedName>
    <definedName name="Lr" localSheetId="7">#REF!</definedName>
    <definedName name="Lr">#REF!</definedName>
    <definedName name="Lr___0" localSheetId="12">#REF!</definedName>
    <definedName name="Lr___0" localSheetId="8">#REF!</definedName>
    <definedName name="Lr___0" localSheetId="11">#REF!</definedName>
    <definedName name="Lr___0" localSheetId="9">#REF!</definedName>
    <definedName name="Lr___0" localSheetId="18">#REF!</definedName>
    <definedName name="Lr___0" localSheetId="15">#REF!</definedName>
    <definedName name="Lr___0" localSheetId="7">#REF!</definedName>
    <definedName name="Lr___0">#REF!</definedName>
    <definedName name="Lr___13" localSheetId="12">#REF!</definedName>
    <definedName name="Lr___13" localSheetId="8">#REF!</definedName>
    <definedName name="Lr___13" localSheetId="11">#REF!</definedName>
    <definedName name="Lr___13" localSheetId="9">#REF!</definedName>
    <definedName name="Lr___13" localSheetId="18">#REF!</definedName>
    <definedName name="Lr___13" localSheetId="15">#REF!</definedName>
    <definedName name="Lr___13" localSheetId="7">#REF!</definedName>
    <definedName name="Lr___13">#REF!</definedName>
    <definedName name="lsec" localSheetId="12">#REF!</definedName>
    <definedName name="lsec" localSheetId="0">#REF!</definedName>
    <definedName name="lsec" localSheetId="1">#REF!</definedName>
    <definedName name="lsec" localSheetId="8">#REF!</definedName>
    <definedName name="lsec" localSheetId="11">#REF!</definedName>
    <definedName name="lsec" localSheetId="9">#REF!</definedName>
    <definedName name="lsec" localSheetId="18">#REF!</definedName>
    <definedName name="lsec" localSheetId="15">#REF!</definedName>
    <definedName name="lsec" localSheetId="7">#REF!</definedName>
    <definedName name="lsec">#REF!</definedName>
    <definedName name="Lsec1" localSheetId="12">#REF!</definedName>
    <definedName name="Lsec1" localSheetId="0">#REF!</definedName>
    <definedName name="Lsec1" localSheetId="1">#REF!</definedName>
    <definedName name="Lsec1" localSheetId="8">#REF!</definedName>
    <definedName name="Lsec1" localSheetId="11">#REF!</definedName>
    <definedName name="Lsec1" localSheetId="9">#REF!</definedName>
    <definedName name="Lsec1" localSheetId="18">#REF!</definedName>
    <definedName name="Lsec1" localSheetId="15">#REF!</definedName>
    <definedName name="Lsec1" localSheetId="7">#REF!</definedName>
    <definedName name="Lsec1">#REF!</definedName>
    <definedName name="lsec12" localSheetId="12">#REF!</definedName>
    <definedName name="lsec12" localSheetId="0">#REF!</definedName>
    <definedName name="lsec12" localSheetId="1">#REF!</definedName>
    <definedName name="lsec12" localSheetId="8">#REF!</definedName>
    <definedName name="lsec12" localSheetId="11">#REF!</definedName>
    <definedName name="lsec12" localSheetId="9">#REF!</definedName>
    <definedName name="lsec12" localSheetId="18">#REF!</definedName>
    <definedName name="lsec12" localSheetId="15">#REF!</definedName>
    <definedName name="lsec12" localSheetId="7">#REF!</definedName>
    <definedName name="lsec12">#REF!</definedName>
    <definedName name="LSEC13" localSheetId="12">#REF!</definedName>
    <definedName name="LSEC13" localSheetId="0">#REF!</definedName>
    <definedName name="LSEC13" localSheetId="1">#REF!</definedName>
    <definedName name="LSEC13" localSheetId="8">#REF!</definedName>
    <definedName name="LSEC13" localSheetId="11">#REF!</definedName>
    <definedName name="LSEC13" localSheetId="9">#REF!</definedName>
    <definedName name="LSEC13" localSheetId="18">#REF!</definedName>
    <definedName name="LSEC13" localSheetId="15">#REF!</definedName>
    <definedName name="LSEC13" localSheetId="7">#REF!</definedName>
    <definedName name="LSEC13">#REF!</definedName>
    <definedName name="Lsec2" localSheetId="12">#REF!</definedName>
    <definedName name="Lsec2" localSheetId="0">#REF!</definedName>
    <definedName name="Lsec2" localSheetId="1">#REF!</definedName>
    <definedName name="Lsec2" localSheetId="8">#REF!</definedName>
    <definedName name="Lsec2" localSheetId="11">#REF!</definedName>
    <definedName name="Lsec2" localSheetId="9">#REF!</definedName>
    <definedName name="Lsec2" localSheetId="18">#REF!</definedName>
    <definedName name="Lsec2" localSheetId="15">#REF!</definedName>
    <definedName name="Lsec2" localSheetId="7">#REF!</definedName>
    <definedName name="Lsec2">#REF!</definedName>
    <definedName name="lsec22" localSheetId="12">#REF!</definedName>
    <definedName name="lsec22" localSheetId="0">#REF!</definedName>
    <definedName name="lsec22" localSheetId="1">#REF!</definedName>
    <definedName name="lsec22" localSheetId="8">#REF!</definedName>
    <definedName name="lsec22" localSheetId="11">#REF!</definedName>
    <definedName name="lsec22" localSheetId="9">#REF!</definedName>
    <definedName name="lsec22" localSheetId="18">#REF!</definedName>
    <definedName name="lsec22" localSheetId="15">#REF!</definedName>
    <definedName name="lsec22" localSheetId="7">#REF!</definedName>
    <definedName name="lsec22">#REF!</definedName>
    <definedName name="LSEC23" localSheetId="12">#REF!</definedName>
    <definedName name="LSEC23" localSheetId="0">#REF!</definedName>
    <definedName name="LSEC23" localSheetId="1">#REF!</definedName>
    <definedName name="LSEC23" localSheetId="8">#REF!</definedName>
    <definedName name="LSEC23" localSheetId="11">#REF!</definedName>
    <definedName name="LSEC23" localSheetId="9">#REF!</definedName>
    <definedName name="LSEC23" localSheetId="18">#REF!</definedName>
    <definedName name="LSEC23" localSheetId="15">#REF!</definedName>
    <definedName name="LSEC23" localSheetId="7">#REF!</definedName>
    <definedName name="LSEC23">#REF!</definedName>
    <definedName name="Lsec3" localSheetId="12">#REF!</definedName>
    <definedName name="Lsec3" localSheetId="0">#REF!</definedName>
    <definedName name="Lsec3" localSheetId="1">#REF!</definedName>
    <definedName name="Lsec3" localSheetId="8">#REF!</definedName>
    <definedName name="Lsec3" localSheetId="11">#REF!</definedName>
    <definedName name="Lsec3" localSheetId="9">#REF!</definedName>
    <definedName name="Lsec3" localSheetId="18">#REF!</definedName>
    <definedName name="Lsec3" localSheetId="15">#REF!</definedName>
    <definedName name="Lsec3" localSheetId="7">#REF!</definedName>
    <definedName name="Lsec3">#REF!</definedName>
    <definedName name="LSEC31" localSheetId="12">#REF!</definedName>
    <definedName name="LSEC31" localSheetId="0">#REF!</definedName>
    <definedName name="LSEC31" localSheetId="1">#REF!</definedName>
    <definedName name="LSEC31" localSheetId="8">#REF!</definedName>
    <definedName name="LSEC31" localSheetId="11">#REF!</definedName>
    <definedName name="LSEC31" localSheetId="9">#REF!</definedName>
    <definedName name="LSEC31" localSheetId="18">#REF!</definedName>
    <definedName name="LSEC31" localSheetId="15">#REF!</definedName>
    <definedName name="LSEC31" localSheetId="7">#REF!</definedName>
    <definedName name="LSEC31">#REF!</definedName>
    <definedName name="lsec33" localSheetId="12">#REF!</definedName>
    <definedName name="lsec33" localSheetId="0">#REF!</definedName>
    <definedName name="lsec33" localSheetId="1">#REF!</definedName>
    <definedName name="lsec33" localSheetId="8">#REF!</definedName>
    <definedName name="lsec33" localSheetId="11">#REF!</definedName>
    <definedName name="lsec33" localSheetId="9">#REF!</definedName>
    <definedName name="lsec33" localSheetId="18">#REF!</definedName>
    <definedName name="lsec33" localSheetId="15">#REF!</definedName>
    <definedName name="lsec33" localSheetId="7">#REF!</definedName>
    <definedName name="lsec33">#REF!</definedName>
    <definedName name="Lsec4" localSheetId="12">#REF!</definedName>
    <definedName name="Lsec4" localSheetId="0">#REF!</definedName>
    <definedName name="Lsec4" localSheetId="1">#REF!</definedName>
    <definedName name="Lsec4" localSheetId="8">#REF!</definedName>
    <definedName name="Lsec4" localSheetId="11">#REF!</definedName>
    <definedName name="Lsec4" localSheetId="9">#REF!</definedName>
    <definedName name="Lsec4" localSheetId="18">#REF!</definedName>
    <definedName name="Lsec4" localSheetId="15">#REF!</definedName>
    <definedName name="Lsec4" localSheetId="7">#REF!</definedName>
    <definedName name="Lsec4">#REF!</definedName>
    <definedName name="LSEC45" localSheetId="12">#REF!</definedName>
    <definedName name="LSEC45" localSheetId="0">#REF!</definedName>
    <definedName name="LSEC45" localSheetId="1">#REF!</definedName>
    <definedName name="LSEC45" localSheetId="8">#REF!</definedName>
    <definedName name="LSEC45" localSheetId="11">#REF!</definedName>
    <definedName name="LSEC45" localSheetId="9">#REF!</definedName>
    <definedName name="LSEC45" localSheetId="18">#REF!</definedName>
    <definedName name="LSEC45" localSheetId="15">#REF!</definedName>
    <definedName name="LSEC45" localSheetId="7">#REF!</definedName>
    <definedName name="LSEC45">#REF!</definedName>
    <definedName name="Lsec5" localSheetId="12">#REF!</definedName>
    <definedName name="Lsec5" localSheetId="0">#REF!</definedName>
    <definedName name="Lsec5" localSheetId="1">#REF!</definedName>
    <definedName name="Lsec5" localSheetId="8">#REF!</definedName>
    <definedName name="Lsec5" localSheetId="11">#REF!</definedName>
    <definedName name="Lsec5" localSheetId="9">#REF!</definedName>
    <definedName name="Lsec5" localSheetId="18">#REF!</definedName>
    <definedName name="Lsec5" localSheetId="15">#REF!</definedName>
    <definedName name="Lsec5" localSheetId="7">#REF!</definedName>
    <definedName name="Lsec5">#REF!</definedName>
    <definedName name="LSEC54" localSheetId="12">#REF!</definedName>
    <definedName name="LSEC54" localSheetId="0">#REF!</definedName>
    <definedName name="LSEC54" localSheetId="1">#REF!</definedName>
    <definedName name="LSEC54" localSheetId="8">#REF!</definedName>
    <definedName name="LSEC54" localSheetId="11">#REF!</definedName>
    <definedName name="LSEC54" localSheetId="9">#REF!</definedName>
    <definedName name="LSEC54" localSheetId="18">#REF!</definedName>
    <definedName name="LSEC54" localSheetId="15">#REF!</definedName>
    <definedName name="LSEC54" localSheetId="7">#REF!</definedName>
    <definedName name="LSEC54">#REF!</definedName>
    <definedName name="lsec55" localSheetId="12">#REF!</definedName>
    <definedName name="lsec55" localSheetId="0">#REF!</definedName>
    <definedName name="lsec55" localSheetId="1">#REF!</definedName>
    <definedName name="lsec55" localSheetId="8">#REF!</definedName>
    <definedName name="lsec55" localSheetId="11">#REF!</definedName>
    <definedName name="lsec55" localSheetId="9">#REF!</definedName>
    <definedName name="lsec55" localSheetId="18">#REF!</definedName>
    <definedName name="lsec55" localSheetId="15">#REF!</definedName>
    <definedName name="lsec55" localSheetId="7">#REF!</definedName>
    <definedName name="lsec55">#REF!</definedName>
    <definedName name="Lsec6" localSheetId="12">#REF!</definedName>
    <definedName name="Lsec6" localSheetId="0">#REF!</definedName>
    <definedName name="Lsec6" localSheetId="1">#REF!</definedName>
    <definedName name="Lsec6" localSheetId="8">#REF!</definedName>
    <definedName name="Lsec6" localSheetId="11">#REF!</definedName>
    <definedName name="Lsec6" localSheetId="9">#REF!</definedName>
    <definedName name="Lsec6" localSheetId="18">#REF!</definedName>
    <definedName name="Lsec6" localSheetId="15">#REF!</definedName>
    <definedName name="Lsec6" localSheetId="7">#REF!</definedName>
    <definedName name="Lsec6">#REF!</definedName>
    <definedName name="lsec66" localSheetId="12">#REF!</definedName>
    <definedName name="lsec66" localSheetId="0">#REF!</definedName>
    <definedName name="lsec66" localSheetId="1">#REF!</definedName>
    <definedName name="lsec66" localSheetId="8">#REF!</definedName>
    <definedName name="lsec66" localSheetId="11">#REF!</definedName>
    <definedName name="lsec66" localSheetId="9">#REF!</definedName>
    <definedName name="lsec66" localSheetId="18">#REF!</definedName>
    <definedName name="lsec66" localSheetId="15">#REF!</definedName>
    <definedName name="lsec66" localSheetId="7">#REF!</definedName>
    <definedName name="lsec66">#REF!</definedName>
    <definedName name="LSEC67" localSheetId="12">#REF!</definedName>
    <definedName name="LSEC67" localSheetId="0">#REF!</definedName>
    <definedName name="LSEC67" localSheetId="1">#REF!</definedName>
    <definedName name="LSEC67" localSheetId="8">#REF!</definedName>
    <definedName name="LSEC67" localSheetId="11">#REF!</definedName>
    <definedName name="LSEC67" localSheetId="9">#REF!</definedName>
    <definedName name="LSEC67" localSheetId="18">#REF!</definedName>
    <definedName name="LSEC67" localSheetId="15">#REF!</definedName>
    <definedName name="LSEC67" localSheetId="7">#REF!</definedName>
    <definedName name="LSEC67">#REF!</definedName>
    <definedName name="lsec7" localSheetId="12">#REF!</definedName>
    <definedName name="lsec7" localSheetId="0">#REF!</definedName>
    <definedName name="lsec7" localSheetId="1">#REF!</definedName>
    <definedName name="lsec7" localSheetId="8">#REF!</definedName>
    <definedName name="lsec7" localSheetId="11">#REF!</definedName>
    <definedName name="lsec7" localSheetId="9">#REF!</definedName>
    <definedName name="lsec7" localSheetId="18">#REF!</definedName>
    <definedName name="lsec7" localSheetId="15">#REF!</definedName>
    <definedName name="lsec7" localSheetId="7">#REF!</definedName>
    <definedName name="lsec7">#REF!</definedName>
    <definedName name="lsec77" localSheetId="12">#REF!</definedName>
    <definedName name="lsec77" localSheetId="0">#REF!</definedName>
    <definedName name="lsec77" localSheetId="1">#REF!</definedName>
    <definedName name="lsec77" localSheetId="8">#REF!</definedName>
    <definedName name="lsec77" localSheetId="11">#REF!</definedName>
    <definedName name="lsec77" localSheetId="9">#REF!</definedName>
    <definedName name="lsec77" localSheetId="18">#REF!</definedName>
    <definedName name="lsec77" localSheetId="15">#REF!</definedName>
    <definedName name="lsec77" localSheetId="7">#REF!</definedName>
    <definedName name="lsec77">#REF!</definedName>
    <definedName name="lsest" localSheetId="12">#REF!</definedName>
    <definedName name="lsest" localSheetId="0">#REF!</definedName>
    <definedName name="lsest" localSheetId="1">#REF!</definedName>
    <definedName name="lsest" localSheetId="8">#REF!</definedName>
    <definedName name="lsest" localSheetId="11">#REF!</definedName>
    <definedName name="lsest" localSheetId="9">#REF!</definedName>
    <definedName name="lsest" localSheetId="18">#REF!</definedName>
    <definedName name="lsest" localSheetId="15">#REF!</definedName>
    <definedName name="lsest" localSheetId="7">#REF!</definedName>
    <definedName name="lsest">#REF!</definedName>
    <definedName name="lshead" localSheetId="12">#REF!</definedName>
    <definedName name="lshead" localSheetId="0">#REF!</definedName>
    <definedName name="lshead" localSheetId="1">#REF!</definedName>
    <definedName name="lshead" localSheetId="8">#REF!</definedName>
    <definedName name="lshead" localSheetId="11">#REF!</definedName>
    <definedName name="lshead" localSheetId="9">#REF!</definedName>
    <definedName name="lshead" localSheetId="18">#REF!</definedName>
    <definedName name="lshead" localSheetId="15">#REF!</definedName>
    <definedName name="lshead" localSheetId="7">#REF!</definedName>
    <definedName name="lshead">#REF!</definedName>
    <definedName name="LSNO1" localSheetId="12">#REF!</definedName>
    <definedName name="LSNO1" localSheetId="8">#REF!</definedName>
    <definedName name="LSNO1" localSheetId="11">#REF!</definedName>
    <definedName name="LSNO1" localSheetId="9">#REF!</definedName>
    <definedName name="LSNO1" localSheetId="18">#REF!</definedName>
    <definedName name="LSNO1" localSheetId="15">#REF!</definedName>
    <definedName name="LSNO1" localSheetId="7">#REF!</definedName>
    <definedName name="LSNO1">#REF!</definedName>
    <definedName name="LSNO12" localSheetId="12">#REF!</definedName>
    <definedName name="LSNO12" localSheetId="8">#REF!</definedName>
    <definedName name="LSNO12" localSheetId="11">#REF!</definedName>
    <definedName name="LSNO12" localSheetId="9">#REF!</definedName>
    <definedName name="LSNO12" localSheetId="18">#REF!</definedName>
    <definedName name="LSNO12" localSheetId="15">#REF!</definedName>
    <definedName name="LSNO12" localSheetId="7">#REF!</definedName>
    <definedName name="LSNO12">#REF!</definedName>
    <definedName name="LSNO13" localSheetId="12">#REF!</definedName>
    <definedName name="LSNO13" localSheetId="8">#REF!</definedName>
    <definedName name="LSNO13" localSheetId="11">#REF!</definedName>
    <definedName name="LSNO13" localSheetId="9">#REF!</definedName>
    <definedName name="LSNO13" localSheetId="18">#REF!</definedName>
    <definedName name="LSNO13" localSheetId="15">#REF!</definedName>
    <definedName name="LSNO13" localSheetId="7">#REF!</definedName>
    <definedName name="LSNO13">#REF!</definedName>
    <definedName name="LSNO14" localSheetId="12">#REF!</definedName>
    <definedName name="LSNO14" localSheetId="8">#REF!</definedName>
    <definedName name="LSNO14" localSheetId="11">#REF!</definedName>
    <definedName name="LSNO14" localSheetId="9">#REF!</definedName>
    <definedName name="LSNO14" localSheetId="18">#REF!</definedName>
    <definedName name="LSNO14" localSheetId="15">#REF!</definedName>
    <definedName name="LSNO14" localSheetId="7">#REF!</definedName>
    <definedName name="LSNO14">#REF!</definedName>
    <definedName name="LSNO15" localSheetId="12">#REF!</definedName>
    <definedName name="LSNO15" localSheetId="8">#REF!</definedName>
    <definedName name="LSNO15" localSheetId="11">#REF!</definedName>
    <definedName name="LSNO15" localSheetId="9">#REF!</definedName>
    <definedName name="LSNO15" localSheetId="18">#REF!</definedName>
    <definedName name="LSNO15" localSheetId="15">#REF!</definedName>
    <definedName name="LSNO15" localSheetId="7">#REF!</definedName>
    <definedName name="LSNO15">#REF!</definedName>
    <definedName name="LSNO17" localSheetId="12">#REF!</definedName>
    <definedName name="LSNO17" localSheetId="8">#REF!</definedName>
    <definedName name="LSNO17" localSheetId="11">#REF!</definedName>
    <definedName name="LSNO17" localSheetId="9">#REF!</definedName>
    <definedName name="LSNO17" localSheetId="18">#REF!</definedName>
    <definedName name="LSNO17" localSheetId="15">#REF!</definedName>
    <definedName name="LSNO17" localSheetId="7">#REF!</definedName>
    <definedName name="LSNO17">#REF!</definedName>
    <definedName name="LSNO2" localSheetId="12">#REF!</definedName>
    <definedName name="LSNO2" localSheetId="8">#REF!</definedName>
    <definedName name="LSNO2" localSheetId="11">#REF!</definedName>
    <definedName name="LSNO2" localSheetId="9">#REF!</definedName>
    <definedName name="LSNO2" localSheetId="18">#REF!</definedName>
    <definedName name="LSNO2" localSheetId="15">#REF!</definedName>
    <definedName name="LSNO2" localSheetId="7">#REF!</definedName>
    <definedName name="LSNO2">#REF!</definedName>
    <definedName name="LSNO21" localSheetId="12">#REF!</definedName>
    <definedName name="LSNO21" localSheetId="8">#REF!</definedName>
    <definedName name="LSNO21" localSheetId="11">#REF!</definedName>
    <definedName name="LSNO21" localSheetId="9">#REF!</definedName>
    <definedName name="LSNO21" localSheetId="18">#REF!</definedName>
    <definedName name="LSNO21" localSheetId="15">#REF!</definedName>
    <definedName name="LSNO21" localSheetId="7">#REF!</definedName>
    <definedName name="LSNO21">#REF!</definedName>
    <definedName name="LSNO23" localSheetId="12">#REF!</definedName>
    <definedName name="LSNO23" localSheetId="8">#REF!</definedName>
    <definedName name="LSNO23" localSheetId="11">#REF!</definedName>
    <definedName name="LSNO23" localSheetId="9">#REF!</definedName>
    <definedName name="LSNO23" localSheetId="18">#REF!</definedName>
    <definedName name="LSNO23" localSheetId="15">#REF!</definedName>
    <definedName name="LSNO23" localSheetId="7">#REF!</definedName>
    <definedName name="LSNO23">#REF!</definedName>
    <definedName name="LSNO24" localSheetId="12">#REF!</definedName>
    <definedName name="LSNO24" localSheetId="8">#REF!</definedName>
    <definedName name="LSNO24" localSheetId="11">#REF!</definedName>
    <definedName name="LSNO24" localSheetId="9">#REF!</definedName>
    <definedName name="LSNO24" localSheetId="18">#REF!</definedName>
    <definedName name="LSNO24" localSheetId="15">#REF!</definedName>
    <definedName name="LSNO24" localSheetId="7">#REF!</definedName>
    <definedName name="LSNO24">#REF!</definedName>
    <definedName name="LSNO25" localSheetId="12">#REF!</definedName>
    <definedName name="LSNO25" localSheetId="8">#REF!</definedName>
    <definedName name="LSNO25" localSheetId="11">#REF!</definedName>
    <definedName name="LSNO25" localSheetId="9">#REF!</definedName>
    <definedName name="LSNO25" localSheetId="18">#REF!</definedName>
    <definedName name="LSNO25" localSheetId="15">#REF!</definedName>
    <definedName name="LSNO25" localSheetId="7">#REF!</definedName>
    <definedName name="LSNO25">#REF!</definedName>
    <definedName name="LSNO26" localSheetId="12">#REF!</definedName>
    <definedName name="LSNO26" localSheetId="8">#REF!</definedName>
    <definedName name="LSNO26" localSheetId="11">#REF!</definedName>
    <definedName name="LSNO26" localSheetId="9">#REF!</definedName>
    <definedName name="LSNO26" localSheetId="18">#REF!</definedName>
    <definedName name="LSNO26" localSheetId="15">#REF!</definedName>
    <definedName name="LSNO26" localSheetId="7">#REF!</definedName>
    <definedName name="LSNO26">#REF!</definedName>
    <definedName name="LSNO27" localSheetId="12">#REF!</definedName>
    <definedName name="LSNO27" localSheetId="8">#REF!</definedName>
    <definedName name="LSNO27" localSheetId="11">#REF!</definedName>
    <definedName name="LSNO27" localSheetId="9">#REF!</definedName>
    <definedName name="LSNO27" localSheetId="18">#REF!</definedName>
    <definedName name="LSNO27" localSheetId="15">#REF!</definedName>
    <definedName name="LSNO27" localSheetId="7">#REF!</definedName>
    <definedName name="LSNO27">#REF!</definedName>
    <definedName name="LSNO28" localSheetId="12">#REF!</definedName>
    <definedName name="LSNO28" localSheetId="8">#REF!</definedName>
    <definedName name="LSNO28" localSheetId="11">#REF!</definedName>
    <definedName name="LSNO28" localSheetId="9">#REF!</definedName>
    <definedName name="LSNO28" localSheetId="18">#REF!</definedName>
    <definedName name="LSNO28" localSheetId="15">#REF!</definedName>
    <definedName name="LSNO28" localSheetId="7">#REF!</definedName>
    <definedName name="LSNO28">#REF!</definedName>
    <definedName name="LSNO29" localSheetId="12">#REF!</definedName>
    <definedName name="LSNO29" localSheetId="8">#REF!</definedName>
    <definedName name="LSNO29" localSheetId="11">#REF!</definedName>
    <definedName name="LSNO29" localSheetId="9">#REF!</definedName>
    <definedName name="LSNO29" localSheetId="18">#REF!</definedName>
    <definedName name="LSNO29" localSheetId="15">#REF!</definedName>
    <definedName name="LSNO29" localSheetId="7">#REF!</definedName>
    <definedName name="LSNO29">#REF!</definedName>
    <definedName name="LSNO3" localSheetId="12">#REF!</definedName>
    <definedName name="LSNO3" localSheetId="8">#REF!</definedName>
    <definedName name="LSNO3" localSheetId="11">#REF!</definedName>
    <definedName name="LSNO3" localSheetId="9">#REF!</definedName>
    <definedName name="LSNO3" localSheetId="18">#REF!</definedName>
    <definedName name="LSNO3" localSheetId="15">#REF!</definedName>
    <definedName name="LSNO3" localSheetId="7">#REF!</definedName>
    <definedName name="LSNO3">#REF!</definedName>
    <definedName name="LSNO30" localSheetId="12">#REF!</definedName>
    <definedName name="LSNO30" localSheetId="8">#REF!</definedName>
    <definedName name="LSNO30" localSheetId="11">#REF!</definedName>
    <definedName name="LSNO30" localSheetId="9">#REF!</definedName>
    <definedName name="LSNO30" localSheetId="18">#REF!</definedName>
    <definedName name="LSNO30" localSheetId="15">#REF!</definedName>
    <definedName name="LSNO30" localSheetId="7">#REF!</definedName>
    <definedName name="LSNO30">#REF!</definedName>
    <definedName name="LSNO31" localSheetId="12">#REF!</definedName>
    <definedName name="LSNO31" localSheetId="8">#REF!</definedName>
    <definedName name="LSNO31" localSheetId="11">#REF!</definedName>
    <definedName name="LSNO31" localSheetId="9">#REF!</definedName>
    <definedName name="LSNO31" localSheetId="18">#REF!</definedName>
    <definedName name="LSNO31" localSheetId="15">#REF!</definedName>
    <definedName name="LSNO31" localSheetId="7">#REF!</definedName>
    <definedName name="LSNO31">#REF!</definedName>
    <definedName name="LSNO32" localSheetId="12">#REF!</definedName>
    <definedName name="LSNO32" localSheetId="8">#REF!</definedName>
    <definedName name="LSNO32" localSheetId="11">#REF!</definedName>
    <definedName name="LSNO32" localSheetId="9">#REF!</definedName>
    <definedName name="LSNO32" localSheetId="18">#REF!</definedName>
    <definedName name="LSNO32" localSheetId="15">#REF!</definedName>
    <definedName name="LSNO32" localSheetId="7">#REF!</definedName>
    <definedName name="LSNO32">#REF!</definedName>
    <definedName name="LSNO33" localSheetId="12">#REF!</definedName>
    <definedName name="LSNO33" localSheetId="8">#REF!</definedName>
    <definedName name="LSNO33" localSheetId="11">#REF!</definedName>
    <definedName name="LSNO33" localSheetId="9">#REF!</definedName>
    <definedName name="LSNO33" localSheetId="18">#REF!</definedName>
    <definedName name="LSNO33" localSheetId="15">#REF!</definedName>
    <definedName name="LSNO33" localSheetId="7">#REF!</definedName>
    <definedName name="LSNO33">#REF!</definedName>
    <definedName name="LSNO34" localSheetId="12">#REF!</definedName>
    <definedName name="LSNO34" localSheetId="8">#REF!</definedName>
    <definedName name="LSNO34" localSheetId="11">#REF!</definedName>
    <definedName name="LSNO34" localSheetId="9">#REF!</definedName>
    <definedName name="LSNO34" localSheetId="18">#REF!</definedName>
    <definedName name="LSNO34" localSheetId="15">#REF!</definedName>
    <definedName name="LSNO34" localSheetId="7">#REF!</definedName>
    <definedName name="LSNO34">#REF!</definedName>
    <definedName name="LSNO35" localSheetId="12">#REF!</definedName>
    <definedName name="LSNO35" localSheetId="8">#REF!</definedName>
    <definedName name="LSNO35" localSheetId="11">#REF!</definedName>
    <definedName name="LSNO35" localSheetId="9">#REF!</definedName>
    <definedName name="LSNO35" localSheetId="18">#REF!</definedName>
    <definedName name="LSNO35" localSheetId="15">#REF!</definedName>
    <definedName name="LSNO35" localSheetId="7">#REF!</definedName>
    <definedName name="LSNO35">#REF!</definedName>
    <definedName name="LSNO36" localSheetId="12">#REF!</definedName>
    <definedName name="LSNO36" localSheetId="8">#REF!</definedName>
    <definedName name="LSNO36" localSheetId="11">#REF!</definedName>
    <definedName name="LSNO36" localSheetId="9">#REF!</definedName>
    <definedName name="LSNO36" localSheetId="18">#REF!</definedName>
    <definedName name="LSNO36" localSheetId="15">#REF!</definedName>
    <definedName name="LSNO36" localSheetId="7">#REF!</definedName>
    <definedName name="LSNO36">#REF!</definedName>
    <definedName name="LSNO7" localSheetId="12">#REF!</definedName>
    <definedName name="LSNO7" localSheetId="8">#REF!</definedName>
    <definedName name="LSNO7" localSheetId="11">#REF!</definedName>
    <definedName name="LSNO7" localSheetId="9">#REF!</definedName>
    <definedName name="LSNO7" localSheetId="18">#REF!</definedName>
    <definedName name="LSNO7" localSheetId="15">#REF!</definedName>
    <definedName name="LSNO7" localSheetId="7">#REF!</definedName>
    <definedName name="LSNO7">#REF!</definedName>
    <definedName name="LSNO9" localSheetId="12">#REF!</definedName>
    <definedName name="LSNO9" localSheetId="8">#REF!</definedName>
    <definedName name="LSNO9" localSheetId="11">#REF!</definedName>
    <definedName name="LSNO9" localSheetId="9">#REF!</definedName>
    <definedName name="LSNO9" localSheetId="18">#REF!</definedName>
    <definedName name="LSNO9" localSheetId="15">#REF!</definedName>
    <definedName name="LSNO9" localSheetId="7">#REF!</definedName>
    <definedName name="LSNO9">#REF!</definedName>
    <definedName name="ltf" localSheetId="12">#REF!</definedName>
    <definedName name="ltf" localSheetId="8">#REF!</definedName>
    <definedName name="ltf" localSheetId="11">#REF!</definedName>
    <definedName name="ltf" localSheetId="9">#REF!</definedName>
    <definedName name="ltf" localSheetId="18">#REF!</definedName>
    <definedName name="ltf" localSheetId="15">#REF!</definedName>
    <definedName name="ltf" localSheetId="7">#REF!</definedName>
    <definedName name="ltf">#REF!</definedName>
    <definedName name="LUMEN" localSheetId="12">#REF!</definedName>
    <definedName name="LUMEN" localSheetId="8">#REF!</definedName>
    <definedName name="LUMEN" localSheetId="11">#REF!</definedName>
    <definedName name="LUMEN" localSheetId="9">#REF!</definedName>
    <definedName name="LUMEN" localSheetId="18">#REF!</definedName>
    <definedName name="LUMEN" localSheetId="15">#REF!</definedName>
    <definedName name="LUMEN" localSheetId="7">#REF!</definedName>
    <definedName name="LUMEN">#REF!</definedName>
    <definedName name="LUMEN___0" localSheetId="12">#REF!</definedName>
    <definedName name="LUMEN___0" localSheetId="8">#REF!</definedName>
    <definedName name="LUMEN___0" localSheetId="11">#REF!</definedName>
    <definedName name="LUMEN___0" localSheetId="9">#REF!</definedName>
    <definedName name="LUMEN___0" localSheetId="18">#REF!</definedName>
    <definedName name="LUMEN___0" localSheetId="15">#REF!</definedName>
    <definedName name="LUMEN___0" localSheetId="7">#REF!</definedName>
    <definedName name="LUMEN___0">#REF!</definedName>
    <definedName name="LUMEN___13" localSheetId="12">#REF!</definedName>
    <definedName name="LUMEN___13" localSheetId="8">#REF!</definedName>
    <definedName name="LUMEN___13" localSheetId="11">#REF!</definedName>
    <definedName name="LUMEN___13" localSheetId="9">#REF!</definedName>
    <definedName name="LUMEN___13" localSheetId="18">#REF!</definedName>
    <definedName name="LUMEN___13" localSheetId="15">#REF!</definedName>
    <definedName name="LUMEN___13" localSheetId="7">#REF!</definedName>
    <definedName name="LUMEN___13">#REF!</definedName>
    <definedName name="LUX" localSheetId="12">#REF!</definedName>
    <definedName name="LUX" localSheetId="8">#REF!</definedName>
    <definedName name="LUX" localSheetId="11">#REF!</definedName>
    <definedName name="LUX" localSheetId="9">#REF!</definedName>
    <definedName name="LUX" localSheetId="18">#REF!</definedName>
    <definedName name="LUX" localSheetId="15">#REF!</definedName>
    <definedName name="LUX" localSheetId="7">#REF!</definedName>
    <definedName name="LUX">#REF!</definedName>
    <definedName name="LUX___0" localSheetId="12">#REF!</definedName>
    <definedName name="LUX___0" localSheetId="8">#REF!</definedName>
    <definedName name="LUX___0" localSheetId="11">#REF!</definedName>
    <definedName name="LUX___0" localSheetId="9">#REF!</definedName>
    <definedName name="LUX___0" localSheetId="18">#REF!</definedName>
    <definedName name="LUX___0" localSheetId="15">#REF!</definedName>
    <definedName name="LUX___0" localSheetId="7">#REF!</definedName>
    <definedName name="LUX___0">#REF!</definedName>
    <definedName name="LUX___13" localSheetId="12">#REF!</definedName>
    <definedName name="LUX___13" localSheetId="8">#REF!</definedName>
    <definedName name="LUX___13" localSheetId="11">#REF!</definedName>
    <definedName name="LUX___13" localSheetId="9">#REF!</definedName>
    <definedName name="LUX___13" localSheetId="18">#REF!</definedName>
    <definedName name="LUX___13" localSheetId="15">#REF!</definedName>
    <definedName name="LUX___13" localSheetId="7">#REF!</definedName>
    <definedName name="LUX___13">#REF!</definedName>
    <definedName name="Lx" localSheetId="12">#REF!</definedName>
    <definedName name="Lx" localSheetId="8">#REF!</definedName>
    <definedName name="Lx" localSheetId="11">#REF!</definedName>
    <definedName name="Lx" localSheetId="9">#REF!</definedName>
    <definedName name="Lx" localSheetId="18">#REF!</definedName>
    <definedName name="Lx" localSheetId="15">#REF!</definedName>
    <definedName name="Lx" localSheetId="7">#REF!</definedName>
    <definedName name="Lx">#REF!</definedName>
    <definedName name="Lx___0" localSheetId="12">#REF!</definedName>
    <definedName name="Lx___0" localSheetId="8">#REF!</definedName>
    <definedName name="Lx___0" localSheetId="11">#REF!</definedName>
    <definedName name="Lx___0" localSheetId="9">#REF!</definedName>
    <definedName name="Lx___0" localSheetId="18">#REF!</definedName>
    <definedName name="Lx___0" localSheetId="15">#REF!</definedName>
    <definedName name="Lx___0" localSheetId="7">#REF!</definedName>
    <definedName name="Lx___0">#REF!</definedName>
    <definedName name="Lx___13" localSheetId="12">#REF!</definedName>
    <definedName name="Lx___13" localSheetId="8">#REF!</definedName>
    <definedName name="Lx___13" localSheetId="11">#REF!</definedName>
    <definedName name="Lx___13" localSheetId="9">#REF!</definedName>
    <definedName name="Lx___13" localSheetId="18">#REF!</definedName>
    <definedName name="Lx___13" localSheetId="15">#REF!</definedName>
    <definedName name="Lx___13" localSheetId="7">#REF!</definedName>
    <definedName name="Lx___13">#REF!</definedName>
    <definedName name="m" localSheetId="12">#REF!</definedName>
    <definedName name="m" localSheetId="8">#REF!</definedName>
    <definedName name="m" localSheetId="11">#REF!</definedName>
    <definedName name="m" localSheetId="9">#REF!</definedName>
    <definedName name="m" localSheetId="18">#REF!</definedName>
    <definedName name="m" localSheetId="15">#REF!</definedName>
    <definedName name="m" localSheetId="7">#REF!</definedName>
    <definedName name="m">#REF!</definedName>
    <definedName name="m___0" localSheetId="12">#REF!</definedName>
    <definedName name="m___0" localSheetId="8">#REF!</definedName>
    <definedName name="m___0" localSheetId="11">#REF!</definedName>
    <definedName name="m___0" localSheetId="9">#REF!</definedName>
    <definedName name="m___0" localSheetId="18">#REF!</definedName>
    <definedName name="m___0" localSheetId="15">#REF!</definedName>
    <definedName name="m___0" localSheetId="7">#REF!</definedName>
    <definedName name="m___0">#REF!</definedName>
    <definedName name="m___13" localSheetId="12">#REF!</definedName>
    <definedName name="m___13" localSheetId="8">#REF!</definedName>
    <definedName name="m___13" localSheetId="11">#REF!</definedName>
    <definedName name="m___13" localSheetId="9">#REF!</definedName>
    <definedName name="m___13" localSheetId="18">#REF!</definedName>
    <definedName name="m___13" localSheetId="15">#REF!</definedName>
    <definedName name="m___13" localSheetId="7">#REF!</definedName>
    <definedName name="m___13">#REF!</definedName>
    <definedName name="M_25_box_Culvert" localSheetId="12">#REF!</definedName>
    <definedName name="M_25_box_Culvert" localSheetId="8">#REF!</definedName>
    <definedName name="M_25_box_Culvert" localSheetId="11">#REF!</definedName>
    <definedName name="M_25_box_Culvert" localSheetId="9">#REF!</definedName>
    <definedName name="M_25_box_Culvert" localSheetId="18">#REF!</definedName>
    <definedName name="M_25_box_Culvert" localSheetId="15">#REF!</definedName>
    <definedName name="M_25_box_Culvert" localSheetId="7">#REF!</definedName>
    <definedName name="M_25_box_Culvert">#REF!</definedName>
    <definedName name="M1_" localSheetId="12">#REF!</definedName>
    <definedName name="M1_" localSheetId="8">#REF!</definedName>
    <definedName name="M1_" localSheetId="11">#REF!</definedName>
    <definedName name="M1_" localSheetId="9">#REF!</definedName>
    <definedName name="M1_" localSheetId="18">#REF!</definedName>
    <definedName name="M1_" localSheetId="15">#REF!</definedName>
    <definedName name="M1_" localSheetId="7">#REF!</definedName>
    <definedName name="M1_">#REF!</definedName>
    <definedName name="m15flooring" localSheetId="12">#REF!</definedName>
    <definedName name="m15flooring" localSheetId="8">#REF!</definedName>
    <definedName name="m15flooring" localSheetId="11">#REF!</definedName>
    <definedName name="m15flooring" localSheetId="9">#REF!</definedName>
    <definedName name="m15flooring" localSheetId="18">#REF!</definedName>
    <definedName name="m15flooring" localSheetId="15">#REF!</definedName>
    <definedName name="m15flooring" localSheetId="7">#REF!</definedName>
    <definedName name="m15flooring">#REF!</definedName>
    <definedName name="M1x" localSheetId="12">#REF!</definedName>
    <definedName name="M1x" localSheetId="8">#REF!</definedName>
    <definedName name="M1x" localSheetId="11">#REF!</definedName>
    <definedName name="M1x" localSheetId="9">#REF!</definedName>
    <definedName name="M1x" localSheetId="18">#REF!</definedName>
    <definedName name="M1x" localSheetId="15">#REF!</definedName>
    <definedName name="M1x" localSheetId="7">#REF!</definedName>
    <definedName name="M1x">#REF!</definedName>
    <definedName name="M1y" localSheetId="12">#REF!</definedName>
    <definedName name="M1y" localSheetId="8">#REF!</definedName>
    <definedName name="M1y" localSheetId="11">#REF!</definedName>
    <definedName name="M1y" localSheetId="9">#REF!</definedName>
    <definedName name="M1y" localSheetId="18">#REF!</definedName>
    <definedName name="M1y" localSheetId="15">#REF!</definedName>
    <definedName name="M1y" localSheetId="7">#REF!</definedName>
    <definedName name="M1y">#REF!</definedName>
    <definedName name="M2_" localSheetId="12">#REF!</definedName>
    <definedName name="M2_" localSheetId="8">#REF!</definedName>
    <definedName name="M2_" localSheetId="11">#REF!</definedName>
    <definedName name="M2_" localSheetId="9">#REF!</definedName>
    <definedName name="M2_" localSheetId="18">#REF!</definedName>
    <definedName name="M2_" localSheetId="15">#REF!</definedName>
    <definedName name="M2_" localSheetId="7">#REF!</definedName>
    <definedName name="M2_">#REF!</definedName>
    <definedName name="M2x" localSheetId="12">#REF!</definedName>
    <definedName name="M2x" localSheetId="8">#REF!</definedName>
    <definedName name="M2x" localSheetId="11">#REF!</definedName>
    <definedName name="M2x" localSheetId="9">#REF!</definedName>
    <definedName name="M2x" localSheetId="18">#REF!</definedName>
    <definedName name="M2x" localSheetId="15">#REF!</definedName>
    <definedName name="M2x" localSheetId="7">#REF!</definedName>
    <definedName name="M2x">#REF!</definedName>
    <definedName name="M2y" localSheetId="12">#REF!</definedName>
    <definedName name="M2y" localSheetId="8">#REF!</definedName>
    <definedName name="M2y" localSheetId="11">#REF!</definedName>
    <definedName name="M2y" localSheetId="9">#REF!</definedName>
    <definedName name="M2y" localSheetId="18">#REF!</definedName>
    <definedName name="M2y" localSheetId="15">#REF!</definedName>
    <definedName name="M2y" localSheetId="7">#REF!</definedName>
    <definedName name="M2y">#REF!</definedName>
    <definedName name="ma" localSheetId="12">#REF!</definedName>
    <definedName name="ma" localSheetId="8">#REF!</definedName>
    <definedName name="ma" localSheetId="11">#REF!</definedName>
    <definedName name="ma" localSheetId="9">#REF!</definedName>
    <definedName name="ma" localSheetId="18">#REF!</definedName>
    <definedName name="ma" localSheetId="15">#REF!</definedName>
    <definedName name="ma" localSheetId="7">#REF!</definedName>
    <definedName name="ma">#REF!</definedName>
    <definedName name="Mach" localSheetId="12" hidden="1">{"SUMMARY",#N/A,FALSE,"C"}</definedName>
    <definedName name="Mach" localSheetId="6" hidden="1">{"SUMMARY",#N/A,FALSE,"C"}</definedName>
    <definedName name="Mach" localSheetId="5" hidden="1">{"SUMMARY",#N/A,FALSE,"C"}</definedName>
    <definedName name="Mach" localSheetId="8" hidden="1">{"SUMMARY",#N/A,FALSE,"C"}</definedName>
    <definedName name="Mach" localSheetId="11" hidden="1">{"SUMMARY",#N/A,FALSE,"C"}</definedName>
    <definedName name="Mach" localSheetId="9" hidden="1">{"SUMMARY",#N/A,FALSE,"C"}</definedName>
    <definedName name="Mach" localSheetId="13" hidden="1">{"SUMMARY",#N/A,FALSE,"C"}</definedName>
    <definedName name="Mach" localSheetId="18" hidden="1">{"SUMMARY",#N/A,FALSE,"C"}</definedName>
    <definedName name="Mach" localSheetId="15" hidden="1">{"SUMMARY",#N/A,FALSE,"C"}</definedName>
    <definedName name="Mach" localSheetId="7" hidden="1">{"SUMMARY",#N/A,FALSE,"C"}</definedName>
    <definedName name="Mach" hidden="1">{"SUMMARY",#N/A,FALSE,"C"}</definedName>
    <definedName name="man" localSheetId="12">#REF!</definedName>
    <definedName name="man" localSheetId="6">#REF!</definedName>
    <definedName name="man" localSheetId="5">#REF!</definedName>
    <definedName name="man" localSheetId="8">#REF!</definedName>
    <definedName name="man" localSheetId="11">#REF!</definedName>
    <definedName name="man" localSheetId="9">#REF!</definedName>
    <definedName name="man" localSheetId="18">#REF!</definedName>
    <definedName name="man" localSheetId="15">#REF!</definedName>
    <definedName name="man" localSheetId="7">#REF!</definedName>
    <definedName name="man">#REF!</definedName>
    <definedName name="man___0" localSheetId="12">#REF!</definedName>
    <definedName name="man___0" localSheetId="6">#REF!</definedName>
    <definedName name="man___0" localSheetId="5">#REF!</definedName>
    <definedName name="man___0" localSheetId="8">#REF!</definedName>
    <definedName name="man___0" localSheetId="11">#REF!</definedName>
    <definedName name="man___0" localSheetId="9">#REF!</definedName>
    <definedName name="man___0" localSheetId="18">#REF!</definedName>
    <definedName name="man___0" localSheetId="15">#REF!</definedName>
    <definedName name="man___0" localSheetId="7">#REF!</definedName>
    <definedName name="man___0">#REF!</definedName>
    <definedName name="man___11" localSheetId="12">#REF!</definedName>
    <definedName name="man___11" localSheetId="6">#REF!</definedName>
    <definedName name="man___11" localSheetId="5">#REF!</definedName>
    <definedName name="man___11" localSheetId="8">#REF!</definedName>
    <definedName name="man___11" localSheetId="11">#REF!</definedName>
    <definedName name="man___11" localSheetId="9">#REF!</definedName>
    <definedName name="man___11" localSheetId="18">#REF!</definedName>
    <definedName name="man___11" localSheetId="15">#REF!</definedName>
    <definedName name="man___11" localSheetId="7">#REF!</definedName>
    <definedName name="man___11">#REF!</definedName>
    <definedName name="man___12" localSheetId="12">#REF!</definedName>
    <definedName name="man___12" localSheetId="8">#REF!</definedName>
    <definedName name="man___12" localSheetId="11">#REF!</definedName>
    <definedName name="man___12" localSheetId="9">#REF!</definedName>
    <definedName name="man___12" localSheetId="18">#REF!</definedName>
    <definedName name="man___12" localSheetId="15">#REF!</definedName>
    <definedName name="man___12" localSheetId="7">#REF!</definedName>
    <definedName name="man___12">#REF!</definedName>
    <definedName name="manday1" localSheetId="12">#REF!</definedName>
    <definedName name="manday1" localSheetId="8">#REF!</definedName>
    <definedName name="manday1" localSheetId="11">#REF!</definedName>
    <definedName name="manday1" localSheetId="9">#REF!</definedName>
    <definedName name="manday1" localSheetId="18">#REF!</definedName>
    <definedName name="manday1" localSheetId="15">#REF!</definedName>
    <definedName name="manday1" localSheetId="7">#REF!</definedName>
    <definedName name="manday1">#REF!</definedName>
    <definedName name="manday1___0" localSheetId="12">#REF!</definedName>
    <definedName name="manday1___0" localSheetId="8">#REF!</definedName>
    <definedName name="manday1___0" localSheetId="11">#REF!</definedName>
    <definedName name="manday1___0" localSheetId="9">#REF!</definedName>
    <definedName name="manday1___0" localSheetId="18">#REF!</definedName>
    <definedName name="manday1___0" localSheetId="15">#REF!</definedName>
    <definedName name="manday1___0" localSheetId="7">#REF!</definedName>
    <definedName name="manday1___0">#REF!</definedName>
    <definedName name="manday1___11" localSheetId="12">#REF!</definedName>
    <definedName name="manday1___11" localSheetId="8">#REF!</definedName>
    <definedName name="manday1___11" localSheetId="11">#REF!</definedName>
    <definedName name="manday1___11" localSheetId="9">#REF!</definedName>
    <definedName name="manday1___11" localSheetId="18">#REF!</definedName>
    <definedName name="manday1___11" localSheetId="15">#REF!</definedName>
    <definedName name="manday1___11" localSheetId="7">#REF!</definedName>
    <definedName name="manday1___11">#REF!</definedName>
    <definedName name="manday1___12" localSheetId="12">#REF!</definedName>
    <definedName name="manday1___12" localSheetId="8">#REF!</definedName>
    <definedName name="manday1___12" localSheetId="11">#REF!</definedName>
    <definedName name="manday1___12" localSheetId="9">#REF!</definedName>
    <definedName name="manday1___12" localSheetId="18">#REF!</definedName>
    <definedName name="manday1___12" localSheetId="15">#REF!</definedName>
    <definedName name="manday1___12" localSheetId="7">#REF!</definedName>
    <definedName name="manday1___12">#REF!</definedName>
    <definedName name="Marble_Dust" localSheetId="12">#REF!</definedName>
    <definedName name="Marble_Dust" localSheetId="8">#REF!</definedName>
    <definedName name="Marble_Dust" localSheetId="11">#REF!</definedName>
    <definedName name="Marble_Dust" localSheetId="9">#REF!</definedName>
    <definedName name="Marble_Dust" localSheetId="18">#REF!</definedName>
    <definedName name="Marble_Dust" localSheetId="15">#REF!</definedName>
    <definedName name="Marble_Dust" localSheetId="7">#REF!</definedName>
    <definedName name="Marble_Dust">#REF!</definedName>
    <definedName name="march_qty" localSheetId="12">#REF!</definedName>
    <definedName name="march_qty" localSheetId="8">#REF!</definedName>
    <definedName name="march_qty" localSheetId="11">#REF!</definedName>
    <definedName name="march_qty" localSheetId="9">#REF!</definedName>
    <definedName name="march_qty" localSheetId="18">#REF!</definedName>
    <definedName name="march_qty" localSheetId="15">#REF!</definedName>
    <definedName name="march_qty" localSheetId="7">#REF!</definedName>
    <definedName name="march_qty">#REF!</definedName>
    <definedName name="margin_on_labor" localSheetId="12">#REF!</definedName>
    <definedName name="margin_on_labor" localSheetId="8">#REF!</definedName>
    <definedName name="margin_on_labor" localSheetId="11">#REF!</definedName>
    <definedName name="margin_on_labor" localSheetId="9">#REF!</definedName>
    <definedName name="margin_on_labor" localSheetId="18">#REF!</definedName>
    <definedName name="margin_on_labor" localSheetId="15">#REF!</definedName>
    <definedName name="margin_on_labor" localSheetId="7">#REF!</definedName>
    <definedName name="margin_on_labor">#REF!</definedName>
    <definedName name="MARGIN_RATE" localSheetId="12">#REF!</definedName>
    <definedName name="MARGIN_RATE" localSheetId="8">#REF!</definedName>
    <definedName name="MARGIN_RATE" localSheetId="11">#REF!</definedName>
    <definedName name="MARGIN_RATE" localSheetId="9">#REF!</definedName>
    <definedName name="MARGIN_RATE" localSheetId="18">#REF!</definedName>
    <definedName name="MARGIN_RATE" localSheetId="15">#REF!</definedName>
    <definedName name="MARGIN_RATE" localSheetId="7">#REF!</definedName>
    <definedName name="MARGIN_RATE">#REF!</definedName>
    <definedName name="MARINE_MULTIPLE" localSheetId="12">#REF!</definedName>
    <definedName name="MARINE_MULTIPLE" localSheetId="8">#REF!</definedName>
    <definedName name="MARINE_MULTIPLE" localSheetId="11">#REF!</definedName>
    <definedName name="MARINE_MULTIPLE" localSheetId="9">#REF!</definedName>
    <definedName name="MARINE_MULTIPLE" localSheetId="18">#REF!</definedName>
    <definedName name="MARINE_MULTIPLE" localSheetId="15">#REF!</definedName>
    <definedName name="MARINE_MULTIPLE" localSheetId="7">#REF!</definedName>
    <definedName name="MARINE_MULTIPLE">#REF!</definedName>
    <definedName name="MarketType" localSheetId="12">#REF!</definedName>
    <definedName name="MarketType" localSheetId="0">#REF!</definedName>
    <definedName name="MarketType" localSheetId="1">#REF!</definedName>
    <definedName name="MarketType" localSheetId="8">#REF!</definedName>
    <definedName name="MarketType" localSheetId="11">#REF!</definedName>
    <definedName name="MarketType" localSheetId="9">#REF!</definedName>
    <definedName name="MarketType" localSheetId="18">#REF!</definedName>
    <definedName name="MarketType" localSheetId="15">#REF!</definedName>
    <definedName name="MarketType" localSheetId="7">#REF!</definedName>
    <definedName name="MarketType">#REF!</definedName>
    <definedName name="MarketType_Text" localSheetId="12">#REF!</definedName>
    <definedName name="MarketType_Text" localSheetId="0">#REF!</definedName>
    <definedName name="MarketType_Text" localSheetId="1">#REF!</definedName>
    <definedName name="MarketType_Text" localSheetId="8">#REF!</definedName>
    <definedName name="MarketType_Text" localSheetId="11">#REF!</definedName>
    <definedName name="MarketType_Text" localSheetId="9">#REF!</definedName>
    <definedName name="MarketType_Text" localSheetId="18">#REF!</definedName>
    <definedName name="MarketType_Text" localSheetId="15">#REF!</definedName>
    <definedName name="MarketType_Text" localSheetId="7">#REF!</definedName>
    <definedName name="MarketType_Text">#REF!</definedName>
    <definedName name="MAS" localSheetId="12">#REF!</definedName>
    <definedName name="MAS" localSheetId="8">#REF!</definedName>
    <definedName name="MAS" localSheetId="11">#REF!</definedName>
    <definedName name="MAS" localSheetId="9">#REF!</definedName>
    <definedName name="MAS" localSheetId="18">#REF!</definedName>
    <definedName name="MAS" localSheetId="15">#REF!</definedName>
    <definedName name="MAS" localSheetId="7">#REF!</definedName>
    <definedName name="MAS">#REF!</definedName>
    <definedName name="MATE" localSheetId="12">#REF!</definedName>
    <definedName name="MATE" localSheetId="8">#REF!</definedName>
    <definedName name="MATE" localSheetId="11">#REF!</definedName>
    <definedName name="MATE" localSheetId="9">#REF!</definedName>
    <definedName name="MATE" localSheetId="18">#REF!</definedName>
    <definedName name="MATE" localSheetId="15">#REF!</definedName>
    <definedName name="MATE" localSheetId="7">#REF!</definedName>
    <definedName name="MATE">#REF!</definedName>
    <definedName name="MaterialList" localSheetId="12">#REF!</definedName>
    <definedName name="MaterialList" localSheetId="8">#REF!</definedName>
    <definedName name="MaterialList" localSheetId="11">#REF!</definedName>
    <definedName name="MaterialList" localSheetId="9">#REF!</definedName>
    <definedName name="MaterialList" localSheetId="18">#REF!</definedName>
    <definedName name="MaterialList" localSheetId="15">#REF!</definedName>
    <definedName name="MaterialList" localSheetId="7">#REF!</definedName>
    <definedName name="MaterialList">#REF!</definedName>
    <definedName name="MaterialList1" localSheetId="12">#REF!</definedName>
    <definedName name="MaterialList1" localSheetId="8">#REF!</definedName>
    <definedName name="MaterialList1" localSheetId="11">#REF!</definedName>
    <definedName name="MaterialList1" localSheetId="9">#REF!</definedName>
    <definedName name="MaterialList1" localSheetId="18">#REF!</definedName>
    <definedName name="MaterialList1" localSheetId="15">#REF!</definedName>
    <definedName name="MaterialList1" localSheetId="7">#REF!</definedName>
    <definedName name="MaterialList1">#REF!</definedName>
    <definedName name="MAZI" localSheetId="12">#REF!</definedName>
    <definedName name="MAZI" localSheetId="8">#REF!</definedName>
    <definedName name="MAZI" localSheetId="11">#REF!</definedName>
    <definedName name="MAZI" localSheetId="9">#REF!</definedName>
    <definedName name="MAZI" localSheetId="18">#REF!</definedName>
    <definedName name="MAZI" localSheetId="15">#REF!</definedName>
    <definedName name="MAZI" localSheetId="7">#REF!</definedName>
    <definedName name="MAZI">#REF!</definedName>
    <definedName name="MCBDB" localSheetId="12" hidden="1">{#N/A,#N/A,FALSE,"mpph1";#N/A,#N/A,FALSE,"mpmseb";#N/A,#N/A,FALSE,"mpph2"}</definedName>
    <definedName name="MCBDB" localSheetId="6" hidden="1">{#N/A,#N/A,FALSE,"mpph1";#N/A,#N/A,FALSE,"mpmseb";#N/A,#N/A,FALSE,"mpph2"}</definedName>
    <definedName name="MCBDB" localSheetId="5" hidden="1">{#N/A,#N/A,FALSE,"mpph1";#N/A,#N/A,FALSE,"mpmseb";#N/A,#N/A,FALSE,"mpph2"}</definedName>
    <definedName name="MCBDB" localSheetId="8" hidden="1">{#N/A,#N/A,FALSE,"mpph1";#N/A,#N/A,FALSE,"mpmseb";#N/A,#N/A,FALSE,"mpph2"}</definedName>
    <definedName name="MCBDB" localSheetId="11" hidden="1">{#N/A,#N/A,FALSE,"mpph1";#N/A,#N/A,FALSE,"mpmseb";#N/A,#N/A,FALSE,"mpph2"}</definedName>
    <definedName name="MCBDB" localSheetId="9" hidden="1">{#N/A,#N/A,FALSE,"mpph1";#N/A,#N/A,FALSE,"mpmseb";#N/A,#N/A,FALSE,"mpph2"}</definedName>
    <definedName name="MCBDB" localSheetId="13" hidden="1">{#N/A,#N/A,FALSE,"mpph1";#N/A,#N/A,FALSE,"mpmseb";#N/A,#N/A,FALSE,"mpph2"}</definedName>
    <definedName name="MCBDB" localSheetId="18" hidden="1">{#N/A,#N/A,FALSE,"mpph1";#N/A,#N/A,FALSE,"mpmseb";#N/A,#N/A,FALSE,"mpph2"}</definedName>
    <definedName name="MCBDB" localSheetId="15" hidden="1">{#N/A,#N/A,FALSE,"mpph1";#N/A,#N/A,FALSE,"mpmseb";#N/A,#N/A,FALSE,"mpph2"}</definedName>
    <definedName name="MCBDB" localSheetId="7" hidden="1">{#N/A,#N/A,FALSE,"mpph1";#N/A,#N/A,FALSE,"mpmseb";#N/A,#N/A,FALSE,"mpph2"}</definedName>
    <definedName name="MCBDB" hidden="1">{#N/A,#N/A,FALSE,"mpph1";#N/A,#N/A,FALSE,"mpmseb";#N/A,#N/A,FALSE,"mpph2"}</definedName>
    <definedName name="meest" localSheetId="12">#REF!</definedName>
    <definedName name="meest" localSheetId="0">#REF!</definedName>
    <definedName name="meest" localSheetId="1">#REF!</definedName>
    <definedName name="meest" localSheetId="6">#REF!</definedName>
    <definedName name="meest" localSheetId="5">#REF!</definedName>
    <definedName name="meest" localSheetId="8">#REF!</definedName>
    <definedName name="meest" localSheetId="11">#REF!</definedName>
    <definedName name="meest" localSheetId="9">#REF!</definedName>
    <definedName name="meest" localSheetId="18">#REF!</definedName>
    <definedName name="meest" localSheetId="15">#REF!</definedName>
    <definedName name="meest" localSheetId="7">#REF!</definedName>
    <definedName name="meest">#REF!</definedName>
    <definedName name="mehead" localSheetId="12">#REF!</definedName>
    <definedName name="mehead" localSheetId="0">#REF!</definedName>
    <definedName name="mehead" localSheetId="1">#REF!</definedName>
    <definedName name="mehead" localSheetId="8">#REF!</definedName>
    <definedName name="mehead" localSheetId="11">#REF!</definedName>
    <definedName name="mehead" localSheetId="9">#REF!</definedName>
    <definedName name="mehead" localSheetId="18">#REF!</definedName>
    <definedName name="mehead" localSheetId="15">#REF!</definedName>
    <definedName name="mehead" localSheetId="7">#REF!</definedName>
    <definedName name="mehead">#REF!</definedName>
    <definedName name="MER" localSheetId="12">#REF!</definedName>
    <definedName name="MER" localSheetId="8">#REF!</definedName>
    <definedName name="MER" localSheetId="11">#REF!</definedName>
    <definedName name="MER" localSheetId="9">#REF!</definedName>
    <definedName name="MER" localSheetId="18">#REF!</definedName>
    <definedName name="MER" localSheetId="15">#REF!</definedName>
    <definedName name="MER" localSheetId="7">#REF!</definedName>
    <definedName name="MER">#REF!</definedName>
    <definedName name="MF" localSheetId="12">#REF!</definedName>
    <definedName name="MF" localSheetId="8">#REF!</definedName>
    <definedName name="MF" localSheetId="11">#REF!</definedName>
    <definedName name="MF" localSheetId="9">#REF!</definedName>
    <definedName name="MF" localSheetId="18">#REF!</definedName>
    <definedName name="MF" localSheetId="15">#REF!</definedName>
    <definedName name="MF" localSheetId="7">#REF!</definedName>
    <definedName name="MF">#REF!</definedName>
    <definedName name="MF___0" localSheetId="12">#REF!</definedName>
    <definedName name="MF___0" localSheetId="8">#REF!</definedName>
    <definedName name="MF___0" localSheetId="11">#REF!</definedName>
    <definedName name="MF___0" localSheetId="9">#REF!</definedName>
    <definedName name="MF___0" localSheetId="18">#REF!</definedName>
    <definedName name="MF___0" localSheetId="15">#REF!</definedName>
    <definedName name="MF___0" localSheetId="7">#REF!</definedName>
    <definedName name="MF___0">#REF!</definedName>
    <definedName name="MF___13" localSheetId="12">#REF!</definedName>
    <definedName name="MF___13" localSheetId="8">#REF!</definedName>
    <definedName name="MF___13" localSheetId="11">#REF!</definedName>
    <definedName name="MF___13" localSheetId="9">#REF!</definedName>
    <definedName name="MF___13" localSheetId="18">#REF!</definedName>
    <definedName name="MF___13" localSheetId="15">#REF!</definedName>
    <definedName name="MF___13" localSheetId="7">#REF!</definedName>
    <definedName name="MF___13">#REF!</definedName>
    <definedName name="mgf" localSheetId="12">#REF!</definedName>
    <definedName name="mgf" localSheetId="8">#REF!</definedName>
    <definedName name="mgf" localSheetId="11">#REF!</definedName>
    <definedName name="mgf" localSheetId="9">#REF!</definedName>
    <definedName name="mgf" localSheetId="18">#REF!</definedName>
    <definedName name="mgf" localSheetId="15">#REF!</definedName>
    <definedName name="mgf" localSheetId="7">#REF!</definedName>
    <definedName name="mgf">#REF!</definedName>
    <definedName name="MI" localSheetId="12">#REF!</definedName>
    <definedName name="MI" localSheetId="8">#REF!</definedName>
    <definedName name="MI" localSheetId="11">#REF!</definedName>
    <definedName name="MI" localSheetId="9">#REF!</definedName>
    <definedName name="MI" localSheetId="18">#REF!</definedName>
    <definedName name="MI" localSheetId="15">#REF!</definedName>
    <definedName name="MI" localSheetId="7">#REF!</definedName>
    <definedName name="MI">#REF!</definedName>
    <definedName name="ML" localSheetId="12">#REF!</definedName>
    <definedName name="ML" localSheetId="8">#REF!</definedName>
    <definedName name="ML" localSheetId="11">#REF!</definedName>
    <definedName name="ML" localSheetId="9">#REF!</definedName>
    <definedName name="ML" localSheetId="18">#REF!</definedName>
    <definedName name="ML" localSheetId="15">#REF!</definedName>
    <definedName name="ML" localSheetId="7">#REF!</definedName>
    <definedName name="ML">#REF!</definedName>
    <definedName name="MMList" localSheetId="12">#REF!</definedName>
    <definedName name="MMList" localSheetId="8">#REF!</definedName>
    <definedName name="MMList" localSheetId="11">#REF!</definedName>
    <definedName name="MMList" localSheetId="9">#REF!</definedName>
    <definedName name="MMList" localSheetId="18">#REF!</definedName>
    <definedName name="MMList" localSheetId="15">#REF!</definedName>
    <definedName name="MMList" localSheetId="7">#REF!</definedName>
    <definedName name="MMList">#REF!</definedName>
    <definedName name="MMList1" localSheetId="12">#REF!</definedName>
    <definedName name="MMList1" localSheetId="8">#REF!</definedName>
    <definedName name="MMList1" localSheetId="11">#REF!</definedName>
    <definedName name="MMList1" localSheetId="9">#REF!</definedName>
    <definedName name="MMList1" localSheetId="18">#REF!</definedName>
    <definedName name="MMList1" localSheetId="15">#REF!</definedName>
    <definedName name="MMList1" localSheetId="7">#REF!</definedName>
    <definedName name="MMList1">#REF!</definedName>
    <definedName name="MMList2" localSheetId="12">#REF!</definedName>
    <definedName name="MMList2" localSheetId="8">#REF!</definedName>
    <definedName name="MMList2" localSheetId="11">#REF!</definedName>
    <definedName name="MMList2" localSheetId="9">#REF!</definedName>
    <definedName name="MMList2" localSheetId="18">#REF!</definedName>
    <definedName name="MMList2" localSheetId="15">#REF!</definedName>
    <definedName name="MMList2" localSheetId="7">#REF!</definedName>
    <definedName name="MMList2">#REF!</definedName>
    <definedName name="MMList3" localSheetId="12">#REF!</definedName>
    <definedName name="MMList3" localSheetId="8">#REF!</definedName>
    <definedName name="MMList3" localSheetId="11">#REF!</definedName>
    <definedName name="MMList3" localSheetId="9">#REF!</definedName>
    <definedName name="MMList3" localSheetId="18">#REF!</definedName>
    <definedName name="MMList3" localSheetId="15">#REF!</definedName>
    <definedName name="MMList3" localSheetId="7">#REF!</definedName>
    <definedName name="MMList3">#REF!</definedName>
    <definedName name="mmmmmmmmmmmmm" localSheetId="12">#REF!</definedName>
    <definedName name="mmmmmmmmmmmmm" localSheetId="8">#REF!</definedName>
    <definedName name="mmmmmmmmmmmmm" localSheetId="11">#REF!</definedName>
    <definedName name="mmmmmmmmmmmmm" localSheetId="9">#REF!</definedName>
    <definedName name="mmmmmmmmmmmmm" localSheetId="18">#REF!</definedName>
    <definedName name="mmmmmmmmmmmmm" localSheetId="15">#REF!</definedName>
    <definedName name="mmmmmmmmmmmmm" localSheetId="7">#REF!</definedName>
    <definedName name="mmmmmmmmmmmmm">#REF!</definedName>
    <definedName name="mn" localSheetId="12">#REF!,#REF!,#REF!,#REF!,#REF!,#REF!,#REF!,#REF!,#REF!</definedName>
    <definedName name="mn" localSheetId="6">#REF!,#REF!,#REF!,#REF!,#REF!,#REF!,#REF!,#REF!,#REF!</definedName>
    <definedName name="mn" localSheetId="5">#REF!,#REF!,#REF!,#REF!,#REF!,#REF!,#REF!,#REF!,#REF!</definedName>
    <definedName name="mn" localSheetId="8">#REF!,#REF!,#REF!,#REF!,#REF!,#REF!,#REF!,#REF!,#REF!</definedName>
    <definedName name="mn" localSheetId="11">#REF!,#REF!,#REF!,#REF!,#REF!,#REF!,#REF!,#REF!,#REF!</definedName>
    <definedName name="mn" localSheetId="9">#REF!,#REF!,#REF!,#REF!,#REF!,#REF!,#REF!,#REF!,#REF!</definedName>
    <definedName name="mn" localSheetId="18">#REF!,#REF!,#REF!,#REF!,#REF!,#REF!,#REF!,#REF!,#REF!</definedName>
    <definedName name="mn" localSheetId="15">#REF!,#REF!,#REF!,#REF!,#REF!,#REF!,#REF!,#REF!,#REF!</definedName>
    <definedName name="mn" localSheetId="7">#REF!,#REF!,#REF!,#REF!,#REF!,#REF!,#REF!,#REF!,#REF!</definedName>
    <definedName name="mn">#REF!,#REF!,#REF!,#REF!,#REF!,#REF!,#REF!,#REF!,#REF!</definedName>
    <definedName name="mnb" localSheetId="12">#REF!,#REF!,#REF!,#REF!,#REF!,#REF!,#REF!,#REF!,#REF!</definedName>
    <definedName name="mnb" localSheetId="6">#REF!,#REF!,#REF!,#REF!,#REF!,#REF!,#REF!,#REF!,#REF!</definedName>
    <definedName name="mnb" localSheetId="5">#REF!,#REF!,#REF!,#REF!,#REF!,#REF!,#REF!,#REF!,#REF!</definedName>
    <definedName name="mnb" localSheetId="8">#REF!,#REF!,#REF!,#REF!,#REF!,#REF!,#REF!,#REF!,#REF!</definedName>
    <definedName name="mnb" localSheetId="11">#REF!,#REF!,#REF!,#REF!,#REF!,#REF!,#REF!,#REF!,#REF!</definedName>
    <definedName name="mnb" localSheetId="9">#REF!,#REF!,#REF!,#REF!,#REF!,#REF!,#REF!,#REF!,#REF!</definedName>
    <definedName name="mnb" localSheetId="18">#REF!,#REF!,#REF!,#REF!,#REF!,#REF!,#REF!,#REF!,#REF!</definedName>
    <definedName name="mnb" localSheetId="15">#REF!,#REF!,#REF!,#REF!,#REF!,#REF!,#REF!,#REF!,#REF!</definedName>
    <definedName name="mnb" localSheetId="7">#REF!,#REF!,#REF!,#REF!,#REF!,#REF!,#REF!,#REF!,#REF!</definedName>
    <definedName name="mnb">#REF!,#REF!,#REF!,#REF!,#REF!,#REF!,#REF!,#REF!,#REF!</definedName>
    <definedName name="MO" localSheetId="12">#REF!</definedName>
    <definedName name="MO" localSheetId="6">#REF!</definedName>
    <definedName name="MO" localSheetId="5">#REF!</definedName>
    <definedName name="MO" localSheetId="8">#REF!</definedName>
    <definedName name="MO" localSheetId="11">#REF!</definedName>
    <definedName name="MO" localSheetId="9">#REF!</definedName>
    <definedName name="MO" localSheetId="18">#REF!</definedName>
    <definedName name="MO" localSheetId="15">#REF!</definedName>
    <definedName name="MO" localSheetId="7">#REF!</definedName>
    <definedName name="MO">#REF!</definedName>
    <definedName name="Mobile_crane" localSheetId="12">#REF!</definedName>
    <definedName name="Mobile_crane" localSheetId="6">#REF!</definedName>
    <definedName name="Mobile_crane" localSheetId="5">#REF!</definedName>
    <definedName name="Mobile_crane" localSheetId="8">#REF!</definedName>
    <definedName name="Mobile_crane" localSheetId="11">#REF!</definedName>
    <definedName name="Mobile_crane" localSheetId="9">#REF!</definedName>
    <definedName name="Mobile_crane" localSheetId="18">#REF!</definedName>
    <definedName name="Mobile_crane" localSheetId="15">#REF!</definedName>
    <definedName name="Mobile_crane" localSheetId="7">#REF!</definedName>
    <definedName name="Mobile_crane">#REF!</definedName>
    <definedName name="MODEL_NO" localSheetId="12">#REF!</definedName>
    <definedName name="MODEL_NO" localSheetId="6">#REF!</definedName>
    <definedName name="MODEL_NO" localSheetId="5">#REF!</definedName>
    <definedName name="MODEL_NO" localSheetId="8">#REF!</definedName>
    <definedName name="MODEL_NO" localSheetId="11">#REF!</definedName>
    <definedName name="MODEL_NO" localSheetId="9">#REF!</definedName>
    <definedName name="MODEL_NO" localSheetId="18">#REF!</definedName>
    <definedName name="MODEL_NO" localSheetId="15">#REF!</definedName>
    <definedName name="MODEL_NO" localSheetId="7">#REF!</definedName>
    <definedName name="MODEL_NO">#REF!</definedName>
    <definedName name="MOH" comment="T12 IS USED IN MID MAIN LINKS" localSheetId="12">#REF!</definedName>
    <definedName name="MOH" comment="T12 IS USED IN MID MAIN LINKS" localSheetId="8">#REF!</definedName>
    <definedName name="MOH" comment="T12 IS USED IN MID MAIN LINKS" localSheetId="11">#REF!</definedName>
    <definedName name="MOH" comment="T12 IS USED IN MID MAIN LINKS" localSheetId="9">#REF!</definedName>
    <definedName name="MOH" comment="T12 IS USED IN MID MAIN LINKS" localSheetId="18">#REF!</definedName>
    <definedName name="MOH" comment="T12 IS USED IN MID MAIN LINKS" localSheetId="15">#REF!</definedName>
    <definedName name="MOH" comment="T12 IS USED IN MID MAIN LINKS" localSheetId="7">#REF!</definedName>
    <definedName name="MOH" comment="T12 IS USED IN MID MAIN LINKS">#REF!</definedName>
    <definedName name="MOHSIN" comment="T12 IS USED IN MID MAIN LINKS" localSheetId="12">#REF!</definedName>
    <definedName name="MOHSIN" comment="T12 IS USED IN MID MAIN LINKS" localSheetId="8">#REF!</definedName>
    <definedName name="MOHSIN" comment="T12 IS USED IN MID MAIN LINKS" localSheetId="11">#REF!</definedName>
    <definedName name="MOHSIN" comment="T12 IS USED IN MID MAIN LINKS" localSheetId="9">#REF!</definedName>
    <definedName name="MOHSIN" comment="T12 IS USED IN MID MAIN LINKS" localSheetId="18">#REF!</definedName>
    <definedName name="MOHSIN" comment="T12 IS USED IN MID MAIN LINKS" localSheetId="15">#REF!</definedName>
    <definedName name="MOHSIN" comment="T12 IS USED IN MID MAIN LINKS" localSheetId="7">#REF!</definedName>
    <definedName name="MOHSIN" comment="T12 IS USED IN MID MAIN LINKS">#REF!</definedName>
    <definedName name="MP" localSheetId="12">#REF!</definedName>
    <definedName name="MP" localSheetId="8">#REF!</definedName>
    <definedName name="MP" localSheetId="11">#REF!</definedName>
    <definedName name="MP" localSheetId="9">#REF!</definedName>
    <definedName name="MP" localSheetId="18">#REF!</definedName>
    <definedName name="MP" localSheetId="15">#REF!</definedName>
    <definedName name="MP" localSheetId="7">#REF!</definedName>
    <definedName name="MP">#REF!</definedName>
    <definedName name="MS_bar" localSheetId="12">#REF!</definedName>
    <definedName name="MS_bar" localSheetId="8">#REF!</definedName>
    <definedName name="MS_bar" localSheetId="11">#REF!</definedName>
    <definedName name="MS_bar" localSheetId="9">#REF!</definedName>
    <definedName name="MS_bar" localSheetId="18">#REF!</definedName>
    <definedName name="MS_bar" localSheetId="15">#REF!</definedName>
    <definedName name="MS_bar" localSheetId="7">#REF!</definedName>
    <definedName name="MS_bar">#REF!</definedName>
    <definedName name="MS_bar_6mm" localSheetId="12">#REF!</definedName>
    <definedName name="MS_bar_6mm" localSheetId="8">#REF!</definedName>
    <definedName name="MS_bar_6mm" localSheetId="11">#REF!</definedName>
    <definedName name="MS_bar_6mm" localSheetId="9">#REF!</definedName>
    <definedName name="MS_bar_6mm" localSheetId="18">#REF!</definedName>
    <definedName name="MS_bar_6mm" localSheetId="15">#REF!</definedName>
    <definedName name="MS_bar_6mm" localSheetId="7">#REF!</definedName>
    <definedName name="MS_bar_6mm">#REF!</definedName>
    <definedName name="MS_Tube_40mm" localSheetId="12">#REF!</definedName>
    <definedName name="MS_Tube_40mm" localSheetId="8">#REF!</definedName>
    <definedName name="MS_Tube_40mm" localSheetId="11">#REF!</definedName>
    <definedName name="MS_Tube_40mm" localSheetId="9">#REF!</definedName>
    <definedName name="MS_Tube_40mm" localSheetId="18">#REF!</definedName>
    <definedName name="MS_Tube_40mm" localSheetId="15">#REF!</definedName>
    <definedName name="MS_Tube_40mm" localSheetId="7">#REF!</definedName>
    <definedName name="MS_Tube_40mm">#REF!</definedName>
    <definedName name="MS200202rev2" localSheetId="12">#REF!</definedName>
    <definedName name="MS200202rev2" localSheetId="8">#REF!</definedName>
    <definedName name="MS200202rev2" localSheetId="11">#REF!</definedName>
    <definedName name="MS200202rev2" localSheetId="9">#REF!</definedName>
    <definedName name="MS200202rev2" localSheetId="18">#REF!</definedName>
    <definedName name="MS200202rev2" localSheetId="15">#REF!</definedName>
    <definedName name="MS200202rev2" localSheetId="7">#REF!</definedName>
    <definedName name="MS200202rev2">#REF!</definedName>
    <definedName name="ms2002may1706" localSheetId="12">#REF!</definedName>
    <definedName name="ms2002may1706" localSheetId="8">#REF!</definedName>
    <definedName name="ms2002may1706" localSheetId="11">#REF!</definedName>
    <definedName name="ms2002may1706" localSheetId="9">#REF!</definedName>
    <definedName name="ms2002may1706" localSheetId="18">#REF!</definedName>
    <definedName name="ms2002may1706" localSheetId="15">#REF!</definedName>
    <definedName name="ms2002may1706" localSheetId="7">#REF!</definedName>
    <definedName name="ms2002may1706">#REF!</definedName>
    <definedName name="msjune1807" localSheetId="12">#REF!</definedName>
    <definedName name="msjune1807" localSheetId="8">#REF!</definedName>
    <definedName name="msjune1807" localSheetId="11">#REF!</definedName>
    <definedName name="msjune1807" localSheetId="9">#REF!</definedName>
    <definedName name="msjune1807" localSheetId="18">#REF!</definedName>
    <definedName name="msjune1807" localSheetId="15">#REF!</definedName>
    <definedName name="msjune1807" localSheetId="7">#REF!</definedName>
    <definedName name="msjune1807">#REF!</definedName>
    <definedName name="multicar" localSheetId="12">#REF!</definedName>
    <definedName name="multicar" localSheetId="8">#REF!</definedName>
    <definedName name="multicar" localSheetId="11">#REF!</definedName>
    <definedName name="multicar" localSheetId="9">#REF!</definedName>
    <definedName name="multicar" localSheetId="18">#REF!</definedName>
    <definedName name="multicar" localSheetId="15">#REF!</definedName>
    <definedName name="multicar" localSheetId="7">#REF!</definedName>
    <definedName name="multicar">#REF!</definedName>
    <definedName name="Mural_Tiles" localSheetId="12">#REF!</definedName>
    <definedName name="Mural_Tiles" localSheetId="8">#REF!</definedName>
    <definedName name="Mural_Tiles" localSheetId="11">#REF!</definedName>
    <definedName name="Mural_Tiles" localSheetId="9">#REF!</definedName>
    <definedName name="Mural_Tiles" localSheetId="18">#REF!</definedName>
    <definedName name="Mural_Tiles" localSheetId="15">#REF!</definedName>
    <definedName name="Mural_Tiles" localSheetId="7">#REF!</definedName>
    <definedName name="Mural_Tiles">#REF!</definedName>
    <definedName name="MY" localSheetId="12" hidden="1">#REF!</definedName>
    <definedName name="MY" localSheetId="8" hidden="1">#REF!</definedName>
    <definedName name="MY" localSheetId="11" hidden="1">#REF!</definedName>
    <definedName name="MY" localSheetId="9" hidden="1">#REF!</definedName>
    <definedName name="MY" localSheetId="18" hidden="1">#REF!</definedName>
    <definedName name="MY" localSheetId="15" hidden="1">#REF!</definedName>
    <definedName name="MY" localSheetId="7" hidden="1">#REF!</definedName>
    <definedName name="MY" hidden="1">#REF!</definedName>
    <definedName name="N" localSheetId="12">#REF!</definedName>
    <definedName name="N" localSheetId="0">#REF!</definedName>
    <definedName name="N" localSheetId="1">#REF!</definedName>
    <definedName name="N" localSheetId="8">#REF!</definedName>
    <definedName name="N" localSheetId="11">#REF!</definedName>
    <definedName name="N" localSheetId="9">#REF!</definedName>
    <definedName name="N" localSheetId="18">#REF!</definedName>
    <definedName name="N" localSheetId="15">#REF!</definedName>
    <definedName name="N" localSheetId="7">#REF!</definedName>
    <definedName name="N">#REF!</definedName>
    <definedName name="N___0" localSheetId="12">#REF!</definedName>
    <definedName name="N___0" localSheetId="8">#REF!</definedName>
    <definedName name="N___0" localSheetId="11">#REF!</definedName>
    <definedName name="N___0" localSheetId="9">#REF!</definedName>
    <definedName name="N___0" localSheetId="18">#REF!</definedName>
    <definedName name="N___0" localSheetId="15">#REF!</definedName>
    <definedName name="N___0" localSheetId="7">#REF!</definedName>
    <definedName name="N___0">#REF!</definedName>
    <definedName name="N___13" localSheetId="12">#REF!</definedName>
    <definedName name="N___13" localSheetId="8">#REF!</definedName>
    <definedName name="N___13" localSheetId="11">#REF!</definedName>
    <definedName name="N___13" localSheetId="9">#REF!</definedName>
    <definedName name="N___13" localSheetId="18">#REF!</definedName>
    <definedName name="N___13" localSheetId="15">#REF!</definedName>
    <definedName name="N___13" localSheetId="7">#REF!</definedName>
    <definedName name="N___13">#REF!</definedName>
    <definedName name="na"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1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MT" localSheetId="12">#REF!</definedName>
    <definedName name="NAMT" localSheetId="6">#REF!</definedName>
    <definedName name="NAMT" localSheetId="5">#REF!</definedName>
    <definedName name="NAMT" localSheetId="8">#REF!</definedName>
    <definedName name="NAMT" localSheetId="11">#REF!</definedName>
    <definedName name="NAMT" localSheetId="9">#REF!</definedName>
    <definedName name="NAMT" localSheetId="18">#REF!</definedName>
    <definedName name="NAMT" localSheetId="15">#REF!</definedName>
    <definedName name="NAMT" localSheetId="7">#REF!</definedName>
    <definedName name="NAMT">#REF!</definedName>
    <definedName name="NAR" localSheetId="12">#REF!</definedName>
    <definedName name="NAR" localSheetId="0">#REF!</definedName>
    <definedName name="NAR" localSheetId="1">#REF!</definedName>
    <definedName name="NAR" localSheetId="6">#REF!</definedName>
    <definedName name="NAR" localSheetId="5">#REF!</definedName>
    <definedName name="NAR" localSheetId="8">#REF!</definedName>
    <definedName name="NAR" localSheetId="11">#REF!</definedName>
    <definedName name="NAR" localSheetId="9">#REF!</definedName>
    <definedName name="NAR" localSheetId="18">#REF!</definedName>
    <definedName name="NAR" localSheetId="15">#REF!</definedName>
    <definedName name="NAR" localSheetId="7">#REF!</definedName>
    <definedName name="NAR">#REF!</definedName>
    <definedName name="Nariman_Point_Car_Parking_Site" localSheetId="12">#REF!</definedName>
    <definedName name="Nariman_Point_Car_Parking_Site" localSheetId="8">#REF!</definedName>
    <definedName name="Nariman_Point_Car_Parking_Site" localSheetId="11">#REF!</definedName>
    <definedName name="Nariman_Point_Car_Parking_Site" localSheetId="9">#REF!</definedName>
    <definedName name="Nariman_Point_Car_Parking_Site" localSheetId="18">#REF!</definedName>
    <definedName name="Nariman_Point_Car_Parking_Site" localSheetId="15">#REF!</definedName>
    <definedName name="Nariman_Point_Car_Parking_Site" localSheetId="7">#REF!</definedName>
    <definedName name="Nariman_Point_Car_Parking_Site">#REF!</definedName>
    <definedName name="NB" localSheetId="12">#REF!</definedName>
    <definedName name="NB" localSheetId="8">#REF!</definedName>
    <definedName name="NB" localSheetId="11">#REF!</definedName>
    <definedName name="NB" localSheetId="9">#REF!</definedName>
    <definedName name="NB" localSheetId="18">#REF!</definedName>
    <definedName name="NB" localSheetId="15">#REF!</definedName>
    <definedName name="NB" localSheetId="7">#REF!</definedName>
    <definedName name="NB">#REF!</definedName>
    <definedName name="NBN" localSheetId="12" hidden="1">#REF!</definedName>
    <definedName name="NBN" localSheetId="8" hidden="1">#REF!</definedName>
    <definedName name="NBN" localSheetId="11" hidden="1">#REF!</definedName>
    <definedName name="NBN" localSheetId="9" hidden="1">#REF!</definedName>
    <definedName name="NBN" localSheetId="18" hidden="1">#REF!</definedName>
    <definedName name="NBN" localSheetId="15" hidden="1">#REF!</definedName>
    <definedName name="NBN" localSheetId="7" hidden="1">#REF!</definedName>
    <definedName name="NBN" hidden="1">#REF!</definedName>
    <definedName name="net_cost_list" localSheetId="12">#REF!</definedName>
    <definedName name="net_cost_list" localSheetId="8">#REF!</definedName>
    <definedName name="net_cost_list" localSheetId="11">#REF!</definedName>
    <definedName name="net_cost_list" localSheetId="9">#REF!</definedName>
    <definedName name="net_cost_list" localSheetId="18">#REF!</definedName>
    <definedName name="net_cost_list" localSheetId="15">#REF!</definedName>
    <definedName name="net_cost_list" localSheetId="7">#REF!</definedName>
    <definedName name="net_cost_list">#REF!</definedName>
    <definedName name="New"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jk" localSheetId="12" hidden="1">{"CASH FLOW",#N/A,FALSE,"A"}</definedName>
    <definedName name="njk" localSheetId="6" hidden="1">{"CASH FLOW",#N/A,FALSE,"A"}</definedName>
    <definedName name="njk" localSheetId="5" hidden="1">{"CASH FLOW",#N/A,FALSE,"A"}</definedName>
    <definedName name="njk" localSheetId="8" hidden="1">{"CASH FLOW",#N/A,FALSE,"A"}</definedName>
    <definedName name="njk" localSheetId="11" hidden="1">{"CASH FLOW",#N/A,FALSE,"A"}</definedName>
    <definedName name="njk" localSheetId="9" hidden="1">{"CASH FLOW",#N/A,FALSE,"A"}</definedName>
    <definedName name="njk" localSheetId="13" hidden="1">{"CASH FLOW",#N/A,FALSE,"A"}</definedName>
    <definedName name="njk" localSheetId="18" hidden="1">{"CASH FLOW",#N/A,FALSE,"A"}</definedName>
    <definedName name="njk" localSheetId="15" hidden="1">{"CASH FLOW",#N/A,FALSE,"A"}</definedName>
    <definedName name="njk" localSheetId="7" hidden="1">{"CASH FLOW",#N/A,FALSE,"A"}</definedName>
    <definedName name="njk" hidden="1">{"CASH FLOW",#N/A,FALSE,"A"}</definedName>
    <definedName name="NN" localSheetId="12">#REF!</definedName>
    <definedName name="NN" localSheetId="6">#REF!</definedName>
    <definedName name="NN" localSheetId="5">#REF!</definedName>
    <definedName name="NN" localSheetId="8">#REF!</definedName>
    <definedName name="NN" localSheetId="11">#REF!</definedName>
    <definedName name="NN" localSheetId="9">#REF!</definedName>
    <definedName name="NN" localSheetId="18">#REF!</definedName>
    <definedName name="NN" localSheetId="15">#REF!</definedName>
    <definedName name="NN" localSheetId="7">#REF!</definedName>
    <definedName name="NN">#REF!</definedName>
    <definedName name="NN___0" localSheetId="12">#REF!</definedName>
    <definedName name="NN___0" localSheetId="6">#REF!</definedName>
    <definedName name="NN___0" localSheetId="5">#REF!</definedName>
    <definedName name="NN___0" localSheetId="8">#REF!</definedName>
    <definedName name="NN___0" localSheetId="11">#REF!</definedName>
    <definedName name="NN___0" localSheetId="9">#REF!</definedName>
    <definedName name="NN___0" localSheetId="18">#REF!</definedName>
    <definedName name="NN___0" localSheetId="15">#REF!</definedName>
    <definedName name="NN___0" localSheetId="7">#REF!</definedName>
    <definedName name="NN___0">#REF!</definedName>
    <definedName name="NN___13" localSheetId="12">#REF!</definedName>
    <definedName name="NN___13" localSheetId="6">#REF!</definedName>
    <definedName name="NN___13" localSheetId="5">#REF!</definedName>
    <definedName name="NN___13" localSheetId="8">#REF!</definedName>
    <definedName name="NN___13" localSheetId="11">#REF!</definedName>
    <definedName name="NN___13" localSheetId="9">#REF!</definedName>
    <definedName name="NN___13" localSheetId="18">#REF!</definedName>
    <definedName name="NN___13" localSheetId="15">#REF!</definedName>
    <definedName name="NN___13" localSheetId="7">#REF!</definedName>
    <definedName name="NN___13">#REF!</definedName>
    <definedName name="NNNNNN" localSheetId="12">#REF!</definedName>
    <definedName name="NNNNNN" localSheetId="8">#REF!</definedName>
    <definedName name="NNNNNN" localSheetId="11">#REF!</definedName>
    <definedName name="NNNNNN" localSheetId="9">#REF!</definedName>
    <definedName name="NNNNNN" localSheetId="18">#REF!</definedName>
    <definedName name="NNNNNN" localSheetId="15">#REF!</definedName>
    <definedName name="NNNNNN" localSheetId="7">#REF!</definedName>
    <definedName name="NNNNNN">#REF!</definedName>
    <definedName name="nnnnnnnnnnnnn" localSheetId="12">#REF!</definedName>
    <definedName name="nnnnnnnnnnnnn" localSheetId="8">#REF!</definedName>
    <definedName name="nnnnnnnnnnnnn" localSheetId="11">#REF!</definedName>
    <definedName name="nnnnnnnnnnnnn" localSheetId="9">#REF!</definedName>
    <definedName name="nnnnnnnnnnnnn" localSheetId="18">#REF!</definedName>
    <definedName name="nnnnnnnnnnnnn" localSheetId="15">#REF!</definedName>
    <definedName name="nnnnnnnnnnnnn" localSheetId="7">#REF!</definedName>
    <definedName name="nnnnnnnnnnnnn">#REF!</definedName>
    <definedName name="NorthAndSouth" localSheetId="12">#REF!,#REF!</definedName>
    <definedName name="NorthAndSouth" localSheetId="6">#REF!,#REF!</definedName>
    <definedName name="NorthAndSouth" localSheetId="5">#REF!,#REF!</definedName>
    <definedName name="NorthAndSouth" localSheetId="8">#REF!,#REF!</definedName>
    <definedName name="NorthAndSouth" localSheetId="11">#REF!,#REF!</definedName>
    <definedName name="NorthAndSouth" localSheetId="9">#REF!,#REF!</definedName>
    <definedName name="NorthAndSouth" localSheetId="18">#REF!,#REF!</definedName>
    <definedName name="NorthAndSouth" localSheetId="15">#REF!,#REF!</definedName>
    <definedName name="NorthAndSouth" localSheetId="7">#REF!,#REF!</definedName>
    <definedName name="NorthAndSouth">#REF!,#REF!</definedName>
    <definedName name="notok" localSheetId="12">#REF!</definedName>
    <definedName name="notok" localSheetId="0">#REF!</definedName>
    <definedName name="notok" localSheetId="1">#REF!</definedName>
    <definedName name="notok" localSheetId="6">#REF!</definedName>
    <definedName name="notok" localSheetId="5">#REF!</definedName>
    <definedName name="notok" localSheetId="8">#REF!</definedName>
    <definedName name="notok" localSheetId="11">#REF!</definedName>
    <definedName name="notok" localSheetId="9">#REF!</definedName>
    <definedName name="notok" localSheetId="18">#REF!</definedName>
    <definedName name="notok" localSheetId="15">#REF!</definedName>
    <definedName name="notok" localSheetId="7">#REF!</definedName>
    <definedName name="notok">#REF!</definedName>
    <definedName name="nss" localSheetId="12" hidden="1">{#N/A,#N/A,FALSE,"consu_cover";#N/A,#N/A,FALSE,"consu_strategy";#N/A,#N/A,FALSE,"consu_flow";#N/A,#N/A,FALSE,"Summary_reqmt";#N/A,#N/A,FALSE,"field_ppg";#N/A,#N/A,FALSE,"ppg_shop";#N/A,#N/A,FALSE,"strl";#N/A,#N/A,FALSE,"tankages";#N/A,#N/A,FALSE,"gases"}</definedName>
    <definedName name="nss" localSheetId="6" hidden="1">{#N/A,#N/A,FALSE,"consu_cover";#N/A,#N/A,FALSE,"consu_strategy";#N/A,#N/A,FALSE,"consu_flow";#N/A,#N/A,FALSE,"Summary_reqmt";#N/A,#N/A,FALSE,"field_ppg";#N/A,#N/A,FALSE,"ppg_shop";#N/A,#N/A,FALSE,"strl";#N/A,#N/A,FALSE,"tankages";#N/A,#N/A,FALSE,"gases"}</definedName>
    <definedName name="nss" localSheetId="5" hidden="1">{#N/A,#N/A,FALSE,"consu_cover";#N/A,#N/A,FALSE,"consu_strategy";#N/A,#N/A,FALSE,"consu_flow";#N/A,#N/A,FALSE,"Summary_reqmt";#N/A,#N/A,FALSE,"field_ppg";#N/A,#N/A,FALSE,"ppg_shop";#N/A,#N/A,FALSE,"strl";#N/A,#N/A,FALSE,"tankages";#N/A,#N/A,FALSE,"gases"}</definedName>
    <definedName name="nss" localSheetId="8" hidden="1">{#N/A,#N/A,FALSE,"consu_cover";#N/A,#N/A,FALSE,"consu_strategy";#N/A,#N/A,FALSE,"consu_flow";#N/A,#N/A,FALSE,"Summary_reqmt";#N/A,#N/A,FALSE,"field_ppg";#N/A,#N/A,FALSE,"ppg_shop";#N/A,#N/A,FALSE,"strl";#N/A,#N/A,FALSE,"tankages";#N/A,#N/A,FALSE,"gases"}</definedName>
    <definedName name="nss" localSheetId="11" hidden="1">{#N/A,#N/A,FALSE,"consu_cover";#N/A,#N/A,FALSE,"consu_strategy";#N/A,#N/A,FALSE,"consu_flow";#N/A,#N/A,FALSE,"Summary_reqmt";#N/A,#N/A,FALSE,"field_ppg";#N/A,#N/A,FALSE,"ppg_shop";#N/A,#N/A,FALSE,"strl";#N/A,#N/A,FALSE,"tankages";#N/A,#N/A,FALSE,"gases"}</definedName>
    <definedName name="nss" localSheetId="9" hidden="1">{#N/A,#N/A,FALSE,"consu_cover";#N/A,#N/A,FALSE,"consu_strategy";#N/A,#N/A,FALSE,"consu_flow";#N/A,#N/A,FALSE,"Summary_reqmt";#N/A,#N/A,FALSE,"field_ppg";#N/A,#N/A,FALSE,"ppg_shop";#N/A,#N/A,FALSE,"strl";#N/A,#N/A,FALSE,"tankages";#N/A,#N/A,FALSE,"gases"}</definedName>
    <definedName name="nss" localSheetId="13" hidden="1">{#N/A,#N/A,FALSE,"consu_cover";#N/A,#N/A,FALSE,"consu_strategy";#N/A,#N/A,FALSE,"consu_flow";#N/A,#N/A,FALSE,"Summary_reqmt";#N/A,#N/A,FALSE,"field_ppg";#N/A,#N/A,FALSE,"ppg_shop";#N/A,#N/A,FALSE,"strl";#N/A,#N/A,FALSE,"tankages";#N/A,#N/A,FALSE,"gases"}</definedName>
    <definedName name="nss" localSheetId="18" hidden="1">{#N/A,#N/A,FALSE,"consu_cover";#N/A,#N/A,FALSE,"consu_strategy";#N/A,#N/A,FALSE,"consu_flow";#N/A,#N/A,FALSE,"Summary_reqmt";#N/A,#N/A,FALSE,"field_ppg";#N/A,#N/A,FALSE,"ppg_shop";#N/A,#N/A,FALSE,"strl";#N/A,#N/A,FALSE,"tankages";#N/A,#N/A,FALSE,"gases"}</definedName>
    <definedName name="nss" localSheetId="15" hidden="1">{#N/A,#N/A,FALSE,"consu_cover";#N/A,#N/A,FALSE,"consu_strategy";#N/A,#N/A,FALSE,"consu_flow";#N/A,#N/A,FALSE,"Summary_reqmt";#N/A,#N/A,FALSE,"field_ppg";#N/A,#N/A,FALSE,"ppg_shop";#N/A,#N/A,FALSE,"strl";#N/A,#N/A,FALSE,"tankages";#N/A,#N/A,FALSE,"gases"}</definedName>
    <definedName name="nss" localSheetId="7" hidden="1">{#N/A,#N/A,FALSE,"consu_cover";#N/A,#N/A,FALSE,"consu_strategy";#N/A,#N/A,FALSE,"consu_flow";#N/A,#N/A,FALSE,"Summary_reqmt";#N/A,#N/A,FALSE,"field_ppg";#N/A,#N/A,FALSE,"ppg_shop";#N/A,#N/A,FALSE,"strl";#N/A,#N/A,FALSE,"tankages";#N/A,#N/A,FALSE,"gases"}</definedName>
    <definedName name="nss" hidden="1">{#N/A,#N/A,FALSE,"consu_cover";#N/A,#N/A,FALSE,"consu_strategy";#N/A,#N/A,FALSE,"consu_flow";#N/A,#N/A,FALSE,"Summary_reqmt";#N/A,#N/A,FALSE,"field_ppg";#N/A,#N/A,FALSE,"ppg_shop";#N/A,#N/A,FALSE,"strl";#N/A,#N/A,FALSE,"tankages";#N/A,#N/A,FALSE,"gases"}</definedName>
    <definedName name="NSSR1" localSheetId="12">#REF!</definedName>
    <definedName name="NSSR1" localSheetId="6">#REF!</definedName>
    <definedName name="NSSR1" localSheetId="5">#REF!</definedName>
    <definedName name="NSSR1" localSheetId="8">#REF!</definedName>
    <definedName name="NSSR1" localSheetId="11">#REF!</definedName>
    <definedName name="NSSR1" localSheetId="9">#REF!</definedName>
    <definedName name="NSSR1" localSheetId="18">#REF!</definedName>
    <definedName name="NSSR1" localSheetId="15">#REF!</definedName>
    <definedName name="NSSR1" localSheetId="7">#REF!</definedName>
    <definedName name="NSSR1">#REF!</definedName>
    <definedName name="NSSR10" localSheetId="12">#REF!</definedName>
    <definedName name="NSSR10" localSheetId="6">#REF!</definedName>
    <definedName name="NSSR10" localSheetId="5">#REF!</definedName>
    <definedName name="NSSR10" localSheetId="8">#REF!</definedName>
    <definedName name="NSSR10" localSheetId="11">#REF!</definedName>
    <definedName name="NSSR10" localSheetId="9">#REF!</definedName>
    <definedName name="NSSR10" localSheetId="18">#REF!</definedName>
    <definedName name="NSSR10" localSheetId="15">#REF!</definedName>
    <definedName name="NSSR10" localSheetId="7">#REF!</definedName>
    <definedName name="NSSR10">#REF!</definedName>
    <definedName name="NSSR100" localSheetId="12">#REF!</definedName>
    <definedName name="NSSR100" localSheetId="6">#REF!</definedName>
    <definedName name="NSSR100" localSheetId="5">#REF!</definedName>
    <definedName name="NSSR100" localSheetId="8">#REF!</definedName>
    <definedName name="NSSR100" localSheetId="11">#REF!</definedName>
    <definedName name="NSSR100" localSheetId="9">#REF!</definedName>
    <definedName name="NSSR100" localSheetId="18">#REF!</definedName>
    <definedName name="NSSR100" localSheetId="15">#REF!</definedName>
    <definedName name="NSSR100" localSheetId="7">#REF!</definedName>
    <definedName name="NSSR100">#REF!</definedName>
    <definedName name="NSSR101" localSheetId="12">#REF!</definedName>
    <definedName name="NSSR101" localSheetId="8">#REF!</definedName>
    <definedName name="NSSR101" localSheetId="11">#REF!</definedName>
    <definedName name="NSSR101" localSheetId="9">#REF!</definedName>
    <definedName name="NSSR101" localSheetId="18">#REF!</definedName>
    <definedName name="NSSR101" localSheetId="15">#REF!</definedName>
    <definedName name="NSSR101" localSheetId="7">#REF!</definedName>
    <definedName name="NSSR101">#REF!</definedName>
    <definedName name="NSSR102" localSheetId="12">#REF!</definedName>
    <definedName name="NSSR102" localSheetId="8">#REF!</definedName>
    <definedName name="NSSR102" localSheetId="11">#REF!</definedName>
    <definedName name="NSSR102" localSheetId="9">#REF!</definedName>
    <definedName name="NSSR102" localSheetId="18">#REF!</definedName>
    <definedName name="NSSR102" localSheetId="15">#REF!</definedName>
    <definedName name="NSSR102" localSheetId="7">#REF!</definedName>
    <definedName name="NSSR102">#REF!</definedName>
    <definedName name="NSSR103" localSheetId="12">#REF!</definedName>
    <definedName name="NSSR103" localSheetId="8">#REF!</definedName>
    <definedName name="NSSR103" localSheetId="11">#REF!</definedName>
    <definedName name="NSSR103" localSheetId="9">#REF!</definedName>
    <definedName name="NSSR103" localSheetId="18">#REF!</definedName>
    <definedName name="NSSR103" localSheetId="15">#REF!</definedName>
    <definedName name="NSSR103" localSheetId="7">#REF!</definedName>
    <definedName name="NSSR103">#REF!</definedName>
    <definedName name="NSSR104" localSheetId="12">#REF!</definedName>
    <definedName name="NSSR104" localSheetId="8">#REF!</definedName>
    <definedName name="NSSR104" localSheetId="11">#REF!</definedName>
    <definedName name="NSSR104" localSheetId="9">#REF!</definedName>
    <definedName name="NSSR104" localSheetId="18">#REF!</definedName>
    <definedName name="NSSR104" localSheetId="15">#REF!</definedName>
    <definedName name="NSSR104" localSheetId="7">#REF!</definedName>
    <definedName name="NSSR104">#REF!</definedName>
    <definedName name="NSSR105" localSheetId="12">#REF!</definedName>
    <definedName name="NSSR105" localSheetId="8">#REF!</definedName>
    <definedName name="NSSR105" localSheetId="11">#REF!</definedName>
    <definedName name="NSSR105" localSheetId="9">#REF!</definedName>
    <definedName name="NSSR105" localSheetId="18">#REF!</definedName>
    <definedName name="NSSR105" localSheetId="15">#REF!</definedName>
    <definedName name="NSSR105" localSheetId="7">#REF!</definedName>
    <definedName name="NSSR105">#REF!</definedName>
    <definedName name="NSSR106" localSheetId="12">#REF!</definedName>
    <definedName name="NSSR106" localSheetId="8">#REF!</definedName>
    <definedName name="NSSR106" localSheetId="11">#REF!</definedName>
    <definedName name="NSSR106" localSheetId="9">#REF!</definedName>
    <definedName name="NSSR106" localSheetId="18">#REF!</definedName>
    <definedName name="NSSR106" localSheetId="15">#REF!</definedName>
    <definedName name="NSSR106" localSheetId="7">#REF!</definedName>
    <definedName name="NSSR106">#REF!</definedName>
    <definedName name="NSSR107" localSheetId="12">#REF!</definedName>
    <definedName name="NSSR107" localSheetId="8">#REF!</definedName>
    <definedName name="NSSR107" localSheetId="11">#REF!</definedName>
    <definedName name="NSSR107" localSheetId="9">#REF!</definedName>
    <definedName name="NSSR107" localSheetId="18">#REF!</definedName>
    <definedName name="NSSR107" localSheetId="15">#REF!</definedName>
    <definedName name="NSSR107" localSheetId="7">#REF!</definedName>
    <definedName name="NSSR107">#REF!</definedName>
    <definedName name="NSSR108" localSheetId="12">#REF!</definedName>
    <definedName name="NSSR108" localSheetId="8">#REF!</definedName>
    <definedName name="NSSR108" localSheetId="11">#REF!</definedName>
    <definedName name="NSSR108" localSheetId="9">#REF!</definedName>
    <definedName name="NSSR108" localSheetId="18">#REF!</definedName>
    <definedName name="NSSR108" localSheetId="15">#REF!</definedName>
    <definedName name="NSSR108" localSheetId="7">#REF!</definedName>
    <definedName name="NSSR108">#REF!</definedName>
    <definedName name="NSSR109" localSheetId="12">#REF!</definedName>
    <definedName name="NSSR109" localSheetId="8">#REF!</definedName>
    <definedName name="NSSR109" localSheetId="11">#REF!</definedName>
    <definedName name="NSSR109" localSheetId="9">#REF!</definedName>
    <definedName name="NSSR109" localSheetId="18">#REF!</definedName>
    <definedName name="NSSR109" localSheetId="15">#REF!</definedName>
    <definedName name="NSSR109" localSheetId="7">#REF!</definedName>
    <definedName name="NSSR109">#REF!</definedName>
    <definedName name="NSSR11" localSheetId="12">#REF!</definedName>
    <definedName name="NSSR11" localSheetId="8">#REF!</definedName>
    <definedName name="NSSR11" localSheetId="11">#REF!</definedName>
    <definedName name="NSSR11" localSheetId="9">#REF!</definedName>
    <definedName name="NSSR11" localSheetId="18">#REF!</definedName>
    <definedName name="NSSR11" localSheetId="15">#REF!</definedName>
    <definedName name="NSSR11" localSheetId="7">#REF!</definedName>
    <definedName name="NSSR11">#REF!</definedName>
    <definedName name="NSSR110" localSheetId="12">#REF!</definedName>
    <definedName name="NSSR110" localSheetId="8">#REF!</definedName>
    <definedName name="NSSR110" localSheetId="11">#REF!</definedName>
    <definedName name="NSSR110" localSheetId="9">#REF!</definedName>
    <definedName name="NSSR110" localSheetId="18">#REF!</definedName>
    <definedName name="NSSR110" localSheetId="15">#REF!</definedName>
    <definedName name="NSSR110" localSheetId="7">#REF!</definedName>
    <definedName name="NSSR110">#REF!</definedName>
    <definedName name="NSSR111" localSheetId="12">#REF!</definedName>
    <definedName name="NSSR111" localSheetId="8">#REF!</definedName>
    <definedName name="NSSR111" localSheetId="11">#REF!</definedName>
    <definedName name="NSSR111" localSheetId="9">#REF!</definedName>
    <definedName name="NSSR111" localSheetId="18">#REF!</definedName>
    <definedName name="NSSR111" localSheetId="15">#REF!</definedName>
    <definedName name="NSSR111" localSheetId="7">#REF!</definedName>
    <definedName name="NSSR111">#REF!</definedName>
    <definedName name="NSSR112" localSheetId="12">#REF!</definedName>
    <definedName name="NSSR112" localSheetId="8">#REF!</definedName>
    <definedName name="NSSR112" localSheetId="11">#REF!</definedName>
    <definedName name="NSSR112" localSheetId="9">#REF!</definedName>
    <definedName name="NSSR112" localSheetId="18">#REF!</definedName>
    <definedName name="NSSR112" localSheetId="15">#REF!</definedName>
    <definedName name="NSSR112" localSheetId="7">#REF!</definedName>
    <definedName name="NSSR112">#REF!</definedName>
    <definedName name="NSSR113" localSheetId="12">#REF!</definedName>
    <definedName name="NSSR113" localSheetId="8">#REF!</definedName>
    <definedName name="NSSR113" localSheetId="11">#REF!</definedName>
    <definedName name="NSSR113" localSheetId="9">#REF!</definedName>
    <definedName name="NSSR113" localSheetId="18">#REF!</definedName>
    <definedName name="NSSR113" localSheetId="15">#REF!</definedName>
    <definedName name="NSSR113" localSheetId="7">#REF!</definedName>
    <definedName name="NSSR113">#REF!</definedName>
    <definedName name="NSSR114" localSheetId="12">#REF!</definedName>
    <definedName name="NSSR114" localSheetId="8">#REF!</definedName>
    <definedName name="NSSR114" localSheetId="11">#REF!</definedName>
    <definedName name="NSSR114" localSheetId="9">#REF!</definedName>
    <definedName name="NSSR114" localSheetId="18">#REF!</definedName>
    <definedName name="NSSR114" localSheetId="15">#REF!</definedName>
    <definedName name="NSSR114" localSheetId="7">#REF!</definedName>
    <definedName name="NSSR114">#REF!</definedName>
    <definedName name="NSSR115" localSheetId="12">#REF!</definedName>
    <definedName name="NSSR115" localSheetId="8">#REF!</definedName>
    <definedName name="NSSR115" localSheetId="11">#REF!</definedName>
    <definedName name="NSSR115" localSheetId="9">#REF!</definedName>
    <definedName name="NSSR115" localSheetId="18">#REF!</definedName>
    <definedName name="NSSR115" localSheetId="15">#REF!</definedName>
    <definedName name="NSSR115" localSheetId="7">#REF!</definedName>
    <definedName name="NSSR115">#REF!</definedName>
    <definedName name="NSSR116" localSheetId="12">#REF!</definedName>
    <definedName name="NSSR116" localSheetId="8">#REF!</definedName>
    <definedName name="NSSR116" localSheetId="11">#REF!</definedName>
    <definedName name="NSSR116" localSheetId="9">#REF!</definedName>
    <definedName name="NSSR116" localSheetId="18">#REF!</definedName>
    <definedName name="NSSR116" localSheetId="15">#REF!</definedName>
    <definedName name="NSSR116" localSheetId="7">#REF!</definedName>
    <definedName name="NSSR116">#REF!</definedName>
    <definedName name="NSSR117" localSheetId="12">#REF!</definedName>
    <definedName name="NSSR117" localSheetId="8">#REF!</definedName>
    <definedName name="NSSR117" localSheetId="11">#REF!</definedName>
    <definedName name="NSSR117" localSheetId="9">#REF!</definedName>
    <definedName name="NSSR117" localSheetId="18">#REF!</definedName>
    <definedName name="NSSR117" localSheetId="15">#REF!</definedName>
    <definedName name="NSSR117" localSheetId="7">#REF!</definedName>
    <definedName name="NSSR117">#REF!</definedName>
    <definedName name="NSSR118" localSheetId="12">#REF!</definedName>
    <definedName name="NSSR118" localSheetId="8">#REF!</definedName>
    <definedName name="NSSR118" localSheetId="11">#REF!</definedName>
    <definedName name="NSSR118" localSheetId="9">#REF!</definedName>
    <definedName name="NSSR118" localSheetId="18">#REF!</definedName>
    <definedName name="NSSR118" localSheetId="15">#REF!</definedName>
    <definedName name="NSSR118" localSheetId="7">#REF!</definedName>
    <definedName name="NSSR118">#REF!</definedName>
    <definedName name="NSSR119" localSheetId="12">#REF!</definedName>
    <definedName name="NSSR119" localSheetId="8">#REF!</definedName>
    <definedName name="NSSR119" localSheetId="11">#REF!</definedName>
    <definedName name="NSSR119" localSheetId="9">#REF!</definedName>
    <definedName name="NSSR119" localSheetId="18">#REF!</definedName>
    <definedName name="NSSR119" localSheetId="15">#REF!</definedName>
    <definedName name="NSSR119" localSheetId="7">#REF!</definedName>
    <definedName name="NSSR119">#REF!</definedName>
    <definedName name="NSSR12" localSheetId="12">#REF!</definedName>
    <definedName name="NSSR12" localSheetId="8">#REF!</definedName>
    <definedName name="NSSR12" localSheetId="11">#REF!</definedName>
    <definedName name="NSSR12" localSheetId="9">#REF!</definedName>
    <definedName name="NSSR12" localSheetId="18">#REF!</definedName>
    <definedName name="NSSR12" localSheetId="15">#REF!</definedName>
    <definedName name="NSSR12" localSheetId="7">#REF!</definedName>
    <definedName name="NSSR12">#REF!</definedName>
    <definedName name="NSSR120" localSheetId="12">#REF!</definedName>
    <definedName name="NSSR120" localSheetId="8">#REF!</definedName>
    <definedName name="NSSR120" localSheetId="11">#REF!</definedName>
    <definedName name="NSSR120" localSheetId="9">#REF!</definedName>
    <definedName name="NSSR120" localSheetId="18">#REF!</definedName>
    <definedName name="NSSR120" localSheetId="15">#REF!</definedName>
    <definedName name="NSSR120" localSheetId="7">#REF!</definedName>
    <definedName name="NSSR120">#REF!</definedName>
    <definedName name="NSSR121" localSheetId="12">#REF!</definedName>
    <definedName name="NSSR121" localSheetId="8">#REF!</definedName>
    <definedName name="NSSR121" localSheetId="11">#REF!</definedName>
    <definedName name="NSSR121" localSheetId="9">#REF!</definedName>
    <definedName name="NSSR121" localSheetId="18">#REF!</definedName>
    <definedName name="NSSR121" localSheetId="15">#REF!</definedName>
    <definedName name="NSSR121" localSheetId="7">#REF!</definedName>
    <definedName name="NSSR121">#REF!</definedName>
    <definedName name="NSSR122" localSheetId="12">#REF!</definedName>
    <definedName name="NSSR122" localSheetId="8">#REF!</definedName>
    <definedName name="NSSR122" localSheetId="11">#REF!</definedName>
    <definedName name="NSSR122" localSheetId="9">#REF!</definedName>
    <definedName name="NSSR122" localSheetId="18">#REF!</definedName>
    <definedName name="NSSR122" localSheetId="15">#REF!</definedName>
    <definedName name="NSSR122" localSheetId="7">#REF!</definedName>
    <definedName name="NSSR122">#REF!</definedName>
    <definedName name="NSSR123" localSheetId="12">#REF!</definedName>
    <definedName name="NSSR123" localSheetId="8">#REF!</definedName>
    <definedName name="NSSR123" localSheetId="11">#REF!</definedName>
    <definedName name="NSSR123" localSheetId="9">#REF!</definedName>
    <definedName name="NSSR123" localSheetId="18">#REF!</definedName>
    <definedName name="NSSR123" localSheetId="15">#REF!</definedName>
    <definedName name="NSSR123" localSheetId="7">#REF!</definedName>
    <definedName name="NSSR123">#REF!</definedName>
    <definedName name="NSSR124" localSheetId="12">#REF!</definedName>
    <definedName name="NSSR124" localSheetId="8">#REF!</definedName>
    <definedName name="NSSR124" localSheetId="11">#REF!</definedName>
    <definedName name="NSSR124" localSheetId="9">#REF!</definedName>
    <definedName name="NSSR124" localSheetId="18">#REF!</definedName>
    <definedName name="NSSR124" localSheetId="15">#REF!</definedName>
    <definedName name="NSSR124" localSheetId="7">#REF!</definedName>
    <definedName name="NSSR124">#REF!</definedName>
    <definedName name="NSSR125" localSheetId="12">#REF!</definedName>
    <definedName name="NSSR125" localSheetId="8">#REF!</definedName>
    <definedName name="NSSR125" localSheetId="11">#REF!</definedName>
    <definedName name="NSSR125" localSheetId="9">#REF!</definedName>
    <definedName name="NSSR125" localSheetId="18">#REF!</definedName>
    <definedName name="NSSR125" localSheetId="15">#REF!</definedName>
    <definedName name="NSSR125" localSheetId="7">#REF!</definedName>
    <definedName name="NSSR125">#REF!</definedName>
    <definedName name="NSSR126" localSheetId="12">#REF!</definedName>
    <definedName name="NSSR126" localSheetId="8">#REF!</definedName>
    <definedName name="NSSR126" localSheetId="11">#REF!</definedName>
    <definedName name="NSSR126" localSheetId="9">#REF!</definedName>
    <definedName name="NSSR126" localSheetId="18">#REF!</definedName>
    <definedName name="NSSR126" localSheetId="15">#REF!</definedName>
    <definedName name="NSSR126" localSheetId="7">#REF!</definedName>
    <definedName name="NSSR126">#REF!</definedName>
    <definedName name="NSSR127" localSheetId="12">#REF!</definedName>
    <definedName name="NSSR127" localSheetId="8">#REF!</definedName>
    <definedName name="NSSR127" localSheetId="11">#REF!</definedName>
    <definedName name="NSSR127" localSheetId="9">#REF!</definedName>
    <definedName name="NSSR127" localSheetId="18">#REF!</definedName>
    <definedName name="NSSR127" localSheetId="15">#REF!</definedName>
    <definedName name="NSSR127" localSheetId="7">#REF!</definedName>
    <definedName name="NSSR127">#REF!</definedName>
    <definedName name="NSSR128" localSheetId="12">#REF!</definedName>
    <definedName name="NSSR128" localSheetId="8">#REF!</definedName>
    <definedName name="NSSR128" localSheetId="11">#REF!</definedName>
    <definedName name="NSSR128" localSheetId="9">#REF!</definedName>
    <definedName name="NSSR128" localSheetId="18">#REF!</definedName>
    <definedName name="NSSR128" localSheetId="15">#REF!</definedName>
    <definedName name="NSSR128" localSheetId="7">#REF!</definedName>
    <definedName name="NSSR128">#REF!</definedName>
    <definedName name="NSSR129" localSheetId="12">#REF!</definedName>
    <definedName name="NSSR129" localSheetId="8">#REF!</definedName>
    <definedName name="NSSR129" localSheetId="11">#REF!</definedName>
    <definedName name="NSSR129" localSheetId="9">#REF!</definedName>
    <definedName name="NSSR129" localSheetId="18">#REF!</definedName>
    <definedName name="NSSR129" localSheetId="15">#REF!</definedName>
    <definedName name="NSSR129" localSheetId="7">#REF!</definedName>
    <definedName name="NSSR129">#REF!</definedName>
    <definedName name="NSSR13" localSheetId="12">#REF!</definedName>
    <definedName name="NSSR13" localSheetId="8">#REF!</definedName>
    <definedName name="NSSR13" localSheetId="11">#REF!</definedName>
    <definedName name="NSSR13" localSheetId="9">#REF!</definedName>
    <definedName name="NSSR13" localSheetId="18">#REF!</definedName>
    <definedName name="NSSR13" localSheetId="15">#REF!</definedName>
    <definedName name="NSSR13" localSheetId="7">#REF!</definedName>
    <definedName name="NSSR13">#REF!</definedName>
    <definedName name="NSSR130" localSheetId="12">#REF!</definedName>
    <definedName name="NSSR130" localSheetId="8">#REF!</definedName>
    <definedName name="NSSR130" localSheetId="11">#REF!</definedName>
    <definedName name="NSSR130" localSheetId="9">#REF!</definedName>
    <definedName name="NSSR130" localSheetId="18">#REF!</definedName>
    <definedName name="NSSR130" localSheetId="15">#REF!</definedName>
    <definedName name="NSSR130" localSheetId="7">#REF!</definedName>
    <definedName name="NSSR130">#REF!</definedName>
    <definedName name="NSSR131" localSheetId="12">#REF!</definedName>
    <definedName name="NSSR131" localSheetId="8">#REF!</definedName>
    <definedName name="NSSR131" localSheetId="11">#REF!</definedName>
    <definedName name="NSSR131" localSheetId="9">#REF!</definedName>
    <definedName name="NSSR131" localSheetId="18">#REF!</definedName>
    <definedName name="NSSR131" localSheetId="15">#REF!</definedName>
    <definedName name="NSSR131" localSheetId="7">#REF!</definedName>
    <definedName name="NSSR131">#REF!</definedName>
    <definedName name="NSSR132" localSheetId="12">#REF!</definedName>
    <definedName name="NSSR132" localSheetId="8">#REF!</definedName>
    <definedName name="NSSR132" localSheetId="11">#REF!</definedName>
    <definedName name="NSSR132" localSheetId="9">#REF!</definedName>
    <definedName name="NSSR132" localSheetId="18">#REF!</definedName>
    <definedName name="NSSR132" localSheetId="15">#REF!</definedName>
    <definedName name="NSSR132" localSheetId="7">#REF!</definedName>
    <definedName name="NSSR132">#REF!</definedName>
    <definedName name="NSSR133" localSheetId="12">#REF!</definedName>
    <definedName name="NSSR133" localSheetId="8">#REF!</definedName>
    <definedName name="NSSR133" localSheetId="11">#REF!</definedName>
    <definedName name="NSSR133" localSheetId="9">#REF!</definedName>
    <definedName name="NSSR133" localSheetId="18">#REF!</definedName>
    <definedName name="NSSR133" localSheetId="15">#REF!</definedName>
    <definedName name="NSSR133" localSheetId="7">#REF!</definedName>
    <definedName name="NSSR133">#REF!</definedName>
    <definedName name="NSSR134" localSheetId="12">#REF!</definedName>
    <definedName name="NSSR134" localSheetId="8">#REF!</definedName>
    <definedName name="NSSR134" localSheetId="11">#REF!</definedName>
    <definedName name="NSSR134" localSheetId="9">#REF!</definedName>
    <definedName name="NSSR134" localSheetId="18">#REF!</definedName>
    <definedName name="NSSR134" localSheetId="15">#REF!</definedName>
    <definedName name="NSSR134" localSheetId="7">#REF!</definedName>
    <definedName name="NSSR134">#REF!</definedName>
    <definedName name="NSSR135" localSheetId="12">#REF!</definedName>
    <definedName name="NSSR135" localSheetId="8">#REF!</definedName>
    <definedName name="NSSR135" localSheetId="11">#REF!</definedName>
    <definedName name="NSSR135" localSheetId="9">#REF!</definedName>
    <definedName name="NSSR135" localSheetId="18">#REF!</definedName>
    <definedName name="NSSR135" localSheetId="15">#REF!</definedName>
    <definedName name="NSSR135" localSheetId="7">#REF!</definedName>
    <definedName name="NSSR135">#REF!</definedName>
    <definedName name="NSSR136" localSheetId="12">#REF!</definedName>
    <definedName name="NSSR136" localSheetId="8">#REF!</definedName>
    <definedName name="NSSR136" localSheetId="11">#REF!</definedName>
    <definedName name="NSSR136" localSheetId="9">#REF!</definedName>
    <definedName name="NSSR136" localSheetId="18">#REF!</definedName>
    <definedName name="NSSR136" localSheetId="15">#REF!</definedName>
    <definedName name="NSSR136" localSheetId="7">#REF!</definedName>
    <definedName name="NSSR136">#REF!</definedName>
    <definedName name="NSSR137" localSheetId="12">#REF!</definedName>
    <definedName name="NSSR137" localSheetId="8">#REF!</definedName>
    <definedName name="NSSR137" localSheetId="11">#REF!</definedName>
    <definedName name="NSSR137" localSheetId="9">#REF!</definedName>
    <definedName name="NSSR137" localSheetId="18">#REF!</definedName>
    <definedName name="NSSR137" localSheetId="15">#REF!</definedName>
    <definedName name="NSSR137" localSheetId="7">#REF!</definedName>
    <definedName name="NSSR137">#REF!</definedName>
    <definedName name="NSSR138" localSheetId="12">#REF!</definedName>
    <definedName name="NSSR138" localSheetId="8">#REF!</definedName>
    <definedName name="NSSR138" localSheetId="11">#REF!</definedName>
    <definedName name="NSSR138" localSheetId="9">#REF!</definedName>
    <definedName name="NSSR138" localSheetId="18">#REF!</definedName>
    <definedName name="NSSR138" localSheetId="15">#REF!</definedName>
    <definedName name="NSSR138" localSheetId="7">#REF!</definedName>
    <definedName name="NSSR138">#REF!</definedName>
    <definedName name="NSSR139" localSheetId="12">#REF!</definedName>
    <definedName name="NSSR139" localSheetId="8">#REF!</definedName>
    <definedName name="NSSR139" localSheetId="11">#REF!</definedName>
    <definedName name="NSSR139" localSheetId="9">#REF!</definedName>
    <definedName name="NSSR139" localSheetId="18">#REF!</definedName>
    <definedName name="NSSR139" localSheetId="15">#REF!</definedName>
    <definedName name="NSSR139" localSheetId="7">#REF!</definedName>
    <definedName name="NSSR139">#REF!</definedName>
    <definedName name="NSSR14" localSheetId="12">#REF!</definedName>
    <definedName name="NSSR14" localSheetId="8">#REF!</definedName>
    <definedName name="NSSR14" localSheetId="11">#REF!</definedName>
    <definedName name="NSSR14" localSheetId="9">#REF!</definedName>
    <definedName name="NSSR14" localSheetId="18">#REF!</definedName>
    <definedName name="NSSR14" localSheetId="15">#REF!</definedName>
    <definedName name="NSSR14" localSheetId="7">#REF!</definedName>
    <definedName name="NSSR14">#REF!</definedName>
    <definedName name="NSSR140" localSheetId="12">#REF!</definedName>
    <definedName name="NSSR140" localSheetId="8">#REF!</definedName>
    <definedName name="NSSR140" localSheetId="11">#REF!</definedName>
    <definedName name="NSSR140" localSheetId="9">#REF!</definedName>
    <definedName name="NSSR140" localSheetId="18">#REF!</definedName>
    <definedName name="NSSR140" localSheetId="15">#REF!</definedName>
    <definedName name="NSSR140" localSheetId="7">#REF!</definedName>
    <definedName name="NSSR140">#REF!</definedName>
    <definedName name="NSSR141" localSheetId="12">#REF!</definedName>
    <definedName name="NSSR141" localSheetId="8">#REF!</definedName>
    <definedName name="NSSR141" localSheetId="11">#REF!</definedName>
    <definedName name="NSSR141" localSheetId="9">#REF!</definedName>
    <definedName name="NSSR141" localSheetId="18">#REF!</definedName>
    <definedName name="NSSR141" localSheetId="15">#REF!</definedName>
    <definedName name="NSSR141" localSheetId="7">#REF!</definedName>
    <definedName name="NSSR141">#REF!</definedName>
    <definedName name="NSSR142" localSheetId="12">#REF!</definedName>
    <definedName name="NSSR142" localSheetId="8">#REF!</definedName>
    <definedName name="NSSR142" localSheetId="11">#REF!</definedName>
    <definedName name="NSSR142" localSheetId="9">#REF!</definedName>
    <definedName name="NSSR142" localSheetId="18">#REF!</definedName>
    <definedName name="NSSR142" localSheetId="15">#REF!</definedName>
    <definedName name="NSSR142" localSheetId="7">#REF!</definedName>
    <definedName name="NSSR142">#REF!</definedName>
    <definedName name="NSSR143" localSheetId="12">#REF!</definedName>
    <definedName name="NSSR143" localSheetId="8">#REF!</definedName>
    <definedName name="NSSR143" localSheetId="11">#REF!</definedName>
    <definedName name="NSSR143" localSheetId="9">#REF!</definedName>
    <definedName name="NSSR143" localSheetId="18">#REF!</definedName>
    <definedName name="NSSR143" localSheetId="15">#REF!</definedName>
    <definedName name="NSSR143" localSheetId="7">#REF!</definedName>
    <definedName name="NSSR143">#REF!</definedName>
    <definedName name="NSSR144" localSheetId="12">#REF!</definedName>
    <definedName name="NSSR144" localSheetId="8">#REF!</definedName>
    <definedName name="NSSR144" localSheetId="11">#REF!</definedName>
    <definedName name="NSSR144" localSheetId="9">#REF!</definedName>
    <definedName name="NSSR144" localSheetId="18">#REF!</definedName>
    <definedName name="NSSR144" localSheetId="15">#REF!</definedName>
    <definedName name="NSSR144" localSheetId="7">#REF!</definedName>
    <definedName name="NSSR144">#REF!</definedName>
    <definedName name="NSSR145" localSheetId="12">#REF!</definedName>
    <definedName name="NSSR145" localSheetId="8">#REF!</definedName>
    <definedName name="NSSR145" localSheetId="11">#REF!</definedName>
    <definedName name="NSSR145" localSheetId="9">#REF!</definedName>
    <definedName name="NSSR145" localSheetId="18">#REF!</definedName>
    <definedName name="NSSR145" localSheetId="15">#REF!</definedName>
    <definedName name="NSSR145" localSheetId="7">#REF!</definedName>
    <definedName name="NSSR145">#REF!</definedName>
    <definedName name="NSSR146" localSheetId="12">#REF!</definedName>
    <definedName name="NSSR146" localSheetId="8">#REF!</definedName>
    <definedName name="NSSR146" localSheetId="11">#REF!</definedName>
    <definedName name="NSSR146" localSheetId="9">#REF!</definedName>
    <definedName name="NSSR146" localSheetId="18">#REF!</definedName>
    <definedName name="NSSR146" localSheetId="15">#REF!</definedName>
    <definedName name="NSSR146" localSheetId="7">#REF!</definedName>
    <definedName name="NSSR146">#REF!</definedName>
    <definedName name="NSSR147" localSheetId="12">#REF!</definedName>
    <definedName name="NSSR147" localSheetId="8">#REF!</definedName>
    <definedName name="NSSR147" localSheetId="11">#REF!</definedName>
    <definedName name="NSSR147" localSheetId="9">#REF!</definedName>
    <definedName name="NSSR147" localSheetId="18">#REF!</definedName>
    <definedName name="NSSR147" localSheetId="15">#REF!</definedName>
    <definedName name="NSSR147" localSheetId="7">#REF!</definedName>
    <definedName name="NSSR147">#REF!</definedName>
    <definedName name="NSSR148" localSheetId="12">#REF!</definedName>
    <definedName name="NSSR148" localSheetId="8">#REF!</definedName>
    <definedName name="NSSR148" localSheetId="11">#REF!</definedName>
    <definedName name="NSSR148" localSheetId="9">#REF!</definedName>
    <definedName name="NSSR148" localSheetId="18">#REF!</definedName>
    <definedName name="NSSR148" localSheetId="15">#REF!</definedName>
    <definedName name="NSSR148" localSheetId="7">#REF!</definedName>
    <definedName name="NSSR148">#REF!</definedName>
    <definedName name="NSSR149" localSheetId="12">#REF!</definedName>
    <definedName name="NSSR149" localSheetId="8">#REF!</definedName>
    <definedName name="NSSR149" localSheetId="11">#REF!</definedName>
    <definedName name="NSSR149" localSheetId="9">#REF!</definedName>
    <definedName name="NSSR149" localSheetId="18">#REF!</definedName>
    <definedName name="NSSR149" localSheetId="15">#REF!</definedName>
    <definedName name="NSSR149" localSheetId="7">#REF!</definedName>
    <definedName name="NSSR149">#REF!</definedName>
    <definedName name="NSSR15" localSheetId="12">#REF!</definedName>
    <definedName name="NSSR15" localSheetId="8">#REF!</definedName>
    <definedName name="NSSR15" localSheetId="11">#REF!</definedName>
    <definedName name="NSSR15" localSheetId="9">#REF!</definedName>
    <definedName name="NSSR15" localSheetId="18">#REF!</definedName>
    <definedName name="NSSR15" localSheetId="15">#REF!</definedName>
    <definedName name="NSSR15" localSheetId="7">#REF!</definedName>
    <definedName name="NSSR15">#REF!</definedName>
    <definedName name="NSSR150" localSheetId="12">#REF!</definedName>
    <definedName name="NSSR150" localSheetId="8">#REF!</definedName>
    <definedName name="NSSR150" localSheetId="11">#REF!</definedName>
    <definedName name="NSSR150" localSheetId="9">#REF!</definedName>
    <definedName name="NSSR150" localSheetId="18">#REF!</definedName>
    <definedName name="NSSR150" localSheetId="15">#REF!</definedName>
    <definedName name="NSSR150" localSheetId="7">#REF!</definedName>
    <definedName name="NSSR150">#REF!</definedName>
    <definedName name="NSSR151" localSheetId="12">#REF!</definedName>
    <definedName name="NSSR151" localSheetId="8">#REF!</definedName>
    <definedName name="NSSR151" localSheetId="11">#REF!</definedName>
    <definedName name="NSSR151" localSheetId="9">#REF!</definedName>
    <definedName name="NSSR151" localSheetId="18">#REF!</definedName>
    <definedName name="NSSR151" localSheetId="15">#REF!</definedName>
    <definedName name="NSSR151" localSheetId="7">#REF!</definedName>
    <definedName name="NSSR151">#REF!</definedName>
    <definedName name="NSSR152" localSheetId="12">#REF!</definedName>
    <definedName name="NSSR152" localSheetId="8">#REF!</definedName>
    <definedName name="NSSR152" localSheetId="11">#REF!</definedName>
    <definedName name="NSSR152" localSheetId="9">#REF!</definedName>
    <definedName name="NSSR152" localSheetId="18">#REF!</definedName>
    <definedName name="NSSR152" localSheetId="15">#REF!</definedName>
    <definedName name="NSSR152" localSheetId="7">#REF!</definedName>
    <definedName name="NSSR152">#REF!</definedName>
    <definedName name="NSSR153" localSheetId="12">#REF!</definedName>
    <definedName name="NSSR153" localSheetId="8">#REF!</definedName>
    <definedName name="NSSR153" localSheetId="11">#REF!</definedName>
    <definedName name="NSSR153" localSheetId="9">#REF!</definedName>
    <definedName name="NSSR153" localSheetId="18">#REF!</definedName>
    <definedName name="NSSR153" localSheetId="15">#REF!</definedName>
    <definedName name="NSSR153" localSheetId="7">#REF!</definedName>
    <definedName name="NSSR153">#REF!</definedName>
    <definedName name="NSSR154" localSheetId="12">#REF!</definedName>
    <definedName name="NSSR154" localSheetId="8">#REF!</definedName>
    <definedName name="NSSR154" localSheetId="11">#REF!</definedName>
    <definedName name="NSSR154" localSheetId="9">#REF!</definedName>
    <definedName name="NSSR154" localSheetId="18">#REF!</definedName>
    <definedName name="NSSR154" localSheetId="15">#REF!</definedName>
    <definedName name="NSSR154" localSheetId="7">#REF!</definedName>
    <definedName name="NSSR154">#REF!</definedName>
    <definedName name="NSSR155" localSheetId="12">#REF!</definedName>
    <definedName name="NSSR155" localSheetId="8">#REF!</definedName>
    <definedName name="NSSR155" localSheetId="11">#REF!</definedName>
    <definedName name="NSSR155" localSheetId="9">#REF!</definedName>
    <definedName name="NSSR155" localSheetId="18">#REF!</definedName>
    <definedName name="NSSR155" localSheetId="15">#REF!</definedName>
    <definedName name="NSSR155" localSheetId="7">#REF!</definedName>
    <definedName name="NSSR155">#REF!</definedName>
    <definedName name="NSSR156" localSheetId="12">#REF!</definedName>
    <definedName name="NSSR156" localSheetId="8">#REF!</definedName>
    <definedName name="NSSR156" localSheetId="11">#REF!</definedName>
    <definedName name="NSSR156" localSheetId="9">#REF!</definedName>
    <definedName name="NSSR156" localSheetId="18">#REF!</definedName>
    <definedName name="NSSR156" localSheetId="15">#REF!</definedName>
    <definedName name="NSSR156" localSheetId="7">#REF!</definedName>
    <definedName name="NSSR156">#REF!</definedName>
    <definedName name="NSSR157" localSheetId="12">#REF!</definedName>
    <definedName name="NSSR157" localSheetId="8">#REF!</definedName>
    <definedName name="NSSR157" localSheetId="11">#REF!</definedName>
    <definedName name="NSSR157" localSheetId="9">#REF!</definedName>
    <definedName name="NSSR157" localSheetId="18">#REF!</definedName>
    <definedName name="NSSR157" localSheetId="15">#REF!</definedName>
    <definedName name="NSSR157" localSheetId="7">#REF!</definedName>
    <definedName name="NSSR157">#REF!</definedName>
    <definedName name="NSSR158" localSheetId="12">#REF!</definedName>
    <definedName name="NSSR158" localSheetId="8">#REF!</definedName>
    <definedName name="NSSR158" localSheetId="11">#REF!</definedName>
    <definedName name="NSSR158" localSheetId="9">#REF!</definedName>
    <definedName name="NSSR158" localSheetId="18">#REF!</definedName>
    <definedName name="NSSR158" localSheetId="15">#REF!</definedName>
    <definedName name="NSSR158" localSheetId="7">#REF!</definedName>
    <definedName name="NSSR158">#REF!</definedName>
    <definedName name="NSSR159" localSheetId="12">#REF!</definedName>
    <definedName name="NSSR159" localSheetId="8">#REF!</definedName>
    <definedName name="NSSR159" localSheetId="11">#REF!</definedName>
    <definedName name="NSSR159" localSheetId="9">#REF!</definedName>
    <definedName name="NSSR159" localSheetId="18">#REF!</definedName>
    <definedName name="NSSR159" localSheetId="15">#REF!</definedName>
    <definedName name="NSSR159" localSheetId="7">#REF!</definedName>
    <definedName name="NSSR159">#REF!</definedName>
    <definedName name="NSSR16" localSheetId="12">#REF!</definedName>
    <definedName name="NSSR16" localSheetId="8">#REF!</definedName>
    <definedName name="NSSR16" localSheetId="11">#REF!</definedName>
    <definedName name="NSSR16" localSheetId="9">#REF!</definedName>
    <definedName name="NSSR16" localSheetId="18">#REF!</definedName>
    <definedName name="NSSR16" localSheetId="15">#REF!</definedName>
    <definedName name="NSSR16" localSheetId="7">#REF!</definedName>
    <definedName name="NSSR16">#REF!</definedName>
    <definedName name="NSSR160" localSheetId="12">#REF!</definedName>
    <definedName name="NSSR160" localSheetId="8">#REF!</definedName>
    <definedName name="NSSR160" localSheetId="11">#REF!</definedName>
    <definedName name="NSSR160" localSheetId="9">#REF!</definedName>
    <definedName name="NSSR160" localSheetId="18">#REF!</definedName>
    <definedName name="NSSR160" localSheetId="15">#REF!</definedName>
    <definedName name="NSSR160" localSheetId="7">#REF!</definedName>
    <definedName name="NSSR160">#REF!</definedName>
    <definedName name="NSSR161" localSheetId="12">#REF!</definedName>
    <definedName name="NSSR161" localSheetId="8">#REF!</definedName>
    <definedName name="NSSR161" localSheetId="11">#REF!</definedName>
    <definedName name="NSSR161" localSheetId="9">#REF!</definedName>
    <definedName name="NSSR161" localSheetId="18">#REF!</definedName>
    <definedName name="NSSR161" localSheetId="15">#REF!</definedName>
    <definedName name="NSSR161" localSheetId="7">#REF!</definedName>
    <definedName name="NSSR161">#REF!</definedName>
    <definedName name="NSSR162" localSheetId="12">#REF!</definedName>
    <definedName name="NSSR162" localSheetId="8">#REF!</definedName>
    <definedName name="NSSR162" localSheetId="11">#REF!</definedName>
    <definedName name="NSSR162" localSheetId="9">#REF!</definedName>
    <definedName name="NSSR162" localSheetId="18">#REF!</definedName>
    <definedName name="NSSR162" localSheetId="15">#REF!</definedName>
    <definedName name="NSSR162" localSheetId="7">#REF!</definedName>
    <definedName name="NSSR162">#REF!</definedName>
    <definedName name="NSSR163" localSheetId="12">#REF!</definedName>
    <definedName name="NSSR163" localSheetId="8">#REF!</definedName>
    <definedName name="NSSR163" localSheetId="11">#REF!</definedName>
    <definedName name="NSSR163" localSheetId="9">#REF!</definedName>
    <definedName name="NSSR163" localSheetId="18">#REF!</definedName>
    <definedName name="NSSR163" localSheetId="15">#REF!</definedName>
    <definedName name="NSSR163" localSheetId="7">#REF!</definedName>
    <definedName name="NSSR163">#REF!</definedName>
    <definedName name="NSSR164" localSheetId="12">#REF!</definedName>
    <definedName name="NSSR164" localSheetId="8">#REF!</definedName>
    <definedName name="NSSR164" localSheetId="11">#REF!</definedName>
    <definedName name="NSSR164" localSheetId="9">#REF!</definedName>
    <definedName name="NSSR164" localSheetId="18">#REF!</definedName>
    <definedName name="NSSR164" localSheetId="15">#REF!</definedName>
    <definedName name="NSSR164" localSheetId="7">#REF!</definedName>
    <definedName name="NSSR164">#REF!</definedName>
    <definedName name="NSSR165" localSheetId="12">#REF!</definedName>
    <definedName name="NSSR165" localSheetId="8">#REF!</definedName>
    <definedName name="NSSR165" localSheetId="11">#REF!</definedName>
    <definedName name="NSSR165" localSheetId="9">#REF!</definedName>
    <definedName name="NSSR165" localSheetId="18">#REF!</definedName>
    <definedName name="NSSR165" localSheetId="15">#REF!</definedName>
    <definedName name="NSSR165" localSheetId="7">#REF!</definedName>
    <definedName name="NSSR165">#REF!</definedName>
    <definedName name="NSSR166" localSheetId="12">#REF!</definedName>
    <definedName name="NSSR166" localSheetId="8">#REF!</definedName>
    <definedName name="NSSR166" localSheetId="11">#REF!</definedName>
    <definedName name="NSSR166" localSheetId="9">#REF!</definedName>
    <definedName name="NSSR166" localSheetId="18">#REF!</definedName>
    <definedName name="NSSR166" localSheetId="15">#REF!</definedName>
    <definedName name="NSSR166" localSheetId="7">#REF!</definedName>
    <definedName name="NSSR166">#REF!</definedName>
    <definedName name="NSSR167" localSheetId="12">#REF!</definedName>
    <definedName name="NSSR167" localSheetId="8">#REF!</definedName>
    <definedName name="NSSR167" localSheetId="11">#REF!</definedName>
    <definedName name="NSSR167" localSheetId="9">#REF!</definedName>
    <definedName name="NSSR167" localSheetId="18">#REF!</definedName>
    <definedName name="NSSR167" localSheetId="15">#REF!</definedName>
    <definedName name="NSSR167" localSheetId="7">#REF!</definedName>
    <definedName name="NSSR167">#REF!</definedName>
    <definedName name="NSSR168" localSheetId="12">#REF!</definedName>
    <definedName name="NSSR168" localSheetId="8">#REF!</definedName>
    <definedName name="NSSR168" localSheetId="11">#REF!</definedName>
    <definedName name="NSSR168" localSheetId="9">#REF!</definedName>
    <definedName name="NSSR168" localSheetId="18">#REF!</definedName>
    <definedName name="NSSR168" localSheetId="15">#REF!</definedName>
    <definedName name="NSSR168" localSheetId="7">#REF!</definedName>
    <definedName name="NSSR168">#REF!</definedName>
    <definedName name="NSSR169" localSheetId="12">#REF!</definedName>
    <definedName name="NSSR169" localSheetId="8">#REF!</definedName>
    <definedName name="NSSR169" localSheetId="11">#REF!</definedName>
    <definedName name="NSSR169" localSheetId="9">#REF!</definedName>
    <definedName name="NSSR169" localSheetId="18">#REF!</definedName>
    <definedName name="NSSR169" localSheetId="15">#REF!</definedName>
    <definedName name="NSSR169" localSheetId="7">#REF!</definedName>
    <definedName name="NSSR169">#REF!</definedName>
    <definedName name="NSSR17" localSheetId="12">#REF!</definedName>
    <definedName name="NSSR17" localSheetId="8">#REF!</definedName>
    <definedName name="NSSR17" localSheetId="11">#REF!</definedName>
    <definedName name="NSSR17" localSheetId="9">#REF!</definedName>
    <definedName name="NSSR17" localSheetId="18">#REF!</definedName>
    <definedName name="NSSR17" localSheetId="15">#REF!</definedName>
    <definedName name="NSSR17" localSheetId="7">#REF!</definedName>
    <definedName name="NSSR17">#REF!</definedName>
    <definedName name="NSSR170" localSheetId="12">#REF!</definedName>
    <definedName name="NSSR170" localSheetId="8">#REF!</definedName>
    <definedName name="NSSR170" localSheetId="11">#REF!</definedName>
    <definedName name="NSSR170" localSheetId="9">#REF!</definedName>
    <definedName name="NSSR170" localSheetId="18">#REF!</definedName>
    <definedName name="NSSR170" localSheetId="15">#REF!</definedName>
    <definedName name="NSSR170" localSheetId="7">#REF!</definedName>
    <definedName name="NSSR170">#REF!</definedName>
    <definedName name="NSSR171" localSheetId="12">#REF!</definedName>
    <definedName name="NSSR171" localSheetId="8">#REF!</definedName>
    <definedName name="NSSR171" localSheetId="11">#REF!</definedName>
    <definedName name="NSSR171" localSheetId="9">#REF!</definedName>
    <definedName name="NSSR171" localSheetId="18">#REF!</definedName>
    <definedName name="NSSR171" localSheetId="15">#REF!</definedName>
    <definedName name="NSSR171" localSheetId="7">#REF!</definedName>
    <definedName name="NSSR171">#REF!</definedName>
    <definedName name="NSSR172" localSheetId="12">#REF!</definedName>
    <definedName name="NSSR172" localSheetId="8">#REF!</definedName>
    <definedName name="NSSR172" localSheetId="11">#REF!</definedName>
    <definedName name="NSSR172" localSheetId="9">#REF!</definedName>
    <definedName name="NSSR172" localSheetId="18">#REF!</definedName>
    <definedName name="NSSR172" localSheetId="15">#REF!</definedName>
    <definedName name="NSSR172" localSheetId="7">#REF!</definedName>
    <definedName name="NSSR172">#REF!</definedName>
    <definedName name="NSSR173" localSheetId="12">#REF!</definedName>
    <definedName name="NSSR173" localSheetId="8">#REF!</definedName>
    <definedName name="NSSR173" localSheetId="11">#REF!</definedName>
    <definedName name="NSSR173" localSheetId="9">#REF!</definedName>
    <definedName name="NSSR173" localSheetId="18">#REF!</definedName>
    <definedName name="NSSR173" localSheetId="15">#REF!</definedName>
    <definedName name="NSSR173" localSheetId="7">#REF!</definedName>
    <definedName name="NSSR173">#REF!</definedName>
    <definedName name="NSSR174" localSheetId="12">#REF!</definedName>
    <definedName name="NSSR174" localSheetId="8">#REF!</definedName>
    <definedName name="NSSR174" localSheetId="11">#REF!</definedName>
    <definedName name="NSSR174" localSheetId="9">#REF!</definedName>
    <definedName name="NSSR174" localSheetId="18">#REF!</definedName>
    <definedName name="NSSR174" localSheetId="15">#REF!</definedName>
    <definedName name="NSSR174" localSheetId="7">#REF!</definedName>
    <definedName name="NSSR174">#REF!</definedName>
    <definedName name="NSSR18" localSheetId="12">#REF!</definedName>
    <definedName name="NSSR18" localSheetId="8">#REF!</definedName>
    <definedName name="NSSR18" localSheetId="11">#REF!</definedName>
    <definedName name="NSSR18" localSheetId="9">#REF!</definedName>
    <definedName name="NSSR18" localSheetId="18">#REF!</definedName>
    <definedName name="NSSR18" localSheetId="15">#REF!</definedName>
    <definedName name="NSSR18" localSheetId="7">#REF!</definedName>
    <definedName name="NSSR18">#REF!</definedName>
    <definedName name="NSSR19" localSheetId="12">#REF!</definedName>
    <definedName name="NSSR19" localSheetId="8">#REF!</definedName>
    <definedName name="NSSR19" localSheetId="11">#REF!</definedName>
    <definedName name="NSSR19" localSheetId="9">#REF!</definedName>
    <definedName name="NSSR19" localSheetId="18">#REF!</definedName>
    <definedName name="NSSR19" localSheetId="15">#REF!</definedName>
    <definedName name="NSSR19" localSheetId="7">#REF!</definedName>
    <definedName name="NSSR19">#REF!</definedName>
    <definedName name="NSSR2" localSheetId="12">#REF!</definedName>
    <definedName name="NSSR2" localSheetId="8">#REF!</definedName>
    <definedName name="NSSR2" localSheetId="11">#REF!</definedName>
    <definedName name="NSSR2" localSheetId="9">#REF!</definedName>
    <definedName name="NSSR2" localSheetId="18">#REF!</definedName>
    <definedName name="NSSR2" localSheetId="15">#REF!</definedName>
    <definedName name="NSSR2" localSheetId="7">#REF!</definedName>
    <definedName name="NSSR2">#REF!</definedName>
    <definedName name="NSSR20" localSheetId="12">#REF!</definedName>
    <definedName name="NSSR20" localSheetId="8">#REF!</definedName>
    <definedName name="NSSR20" localSheetId="11">#REF!</definedName>
    <definedName name="NSSR20" localSheetId="9">#REF!</definedName>
    <definedName name="NSSR20" localSheetId="18">#REF!</definedName>
    <definedName name="NSSR20" localSheetId="15">#REF!</definedName>
    <definedName name="NSSR20" localSheetId="7">#REF!</definedName>
    <definedName name="NSSR20">#REF!</definedName>
    <definedName name="NSSR21" localSheetId="12">#REF!</definedName>
    <definedName name="NSSR21" localSheetId="8">#REF!</definedName>
    <definedName name="NSSR21" localSheetId="11">#REF!</definedName>
    <definedName name="NSSR21" localSheetId="9">#REF!</definedName>
    <definedName name="NSSR21" localSheetId="18">#REF!</definedName>
    <definedName name="NSSR21" localSheetId="15">#REF!</definedName>
    <definedName name="NSSR21" localSheetId="7">#REF!</definedName>
    <definedName name="NSSR21">#REF!</definedName>
    <definedName name="NSSR22" localSheetId="12">#REF!</definedName>
    <definedName name="NSSR22" localSheetId="8">#REF!</definedName>
    <definedName name="NSSR22" localSheetId="11">#REF!</definedName>
    <definedName name="NSSR22" localSheetId="9">#REF!</definedName>
    <definedName name="NSSR22" localSheetId="18">#REF!</definedName>
    <definedName name="NSSR22" localSheetId="15">#REF!</definedName>
    <definedName name="NSSR22" localSheetId="7">#REF!</definedName>
    <definedName name="NSSR22">#REF!</definedName>
    <definedName name="NSSR23" localSheetId="12">#REF!</definedName>
    <definedName name="NSSR23" localSheetId="8">#REF!</definedName>
    <definedName name="NSSR23" localSheetId="11">#REF!</definedName>
    <definedName name="NSSR23" localSheetId="9">#REF!</definedName>
    <definedName name="NSSR23" localSheetId="18">#REF!</definedName>
    <definedName name="NSSR23" localSheetId="15">#REF!</definedName>
    <definedName name="NSSR23" localSheetId="7">#REF!</definedName>
    <definedName name="NSSR23">#REF!</definedName>
    <definedName name="NSSR24" localSheetId="12">#REF!</definedName>
    <definedName name="NSSR24" localSheetId="8">#REF!</definedName>
    <definedName name="NSSR24" localSheetId="11">#REF!</definedName>
    <definedName name="NSSR24" localSheetId="9">#REF!</definedName>
    <definedName name="NSSR24" localSheetId="18">#REF!</definedName>
    <definedName name="NSSR24" localSheetId="15">#REF!</definedName>
    <definedName name="NSSR24" localSheetId="7">#REF!</definedName>
    <definedName name="NSSR24">#REF!</definedName>
    <definedName name="NSSR25" localSheetId="12">#REF!</definedName>
    <definedName name="NSSR25" localSheetId="8">#REF!</definedName>
    <definedName name="NSSR25" localSheetId="11">#REF!</definedName>
    <definedName name="NSSR25" localSheetId="9">#REF!</definedName>
    <definedName name="NSSR25" localSheetId="18">#REF!</definedName>
    <definedName name="NSSR25" localSheetId="15">#REF!</definedName>
    <definedName name="NSSR25" localSheetId="7">#REF!</definedName>
    <definedName name="NSSR25">#REF!</definedName>
    <definedName name="NSSR26" localSheetId="12">#REF!</definedName>
    <definedName name="NSSR26" localSheetId="8">#REF!</definedName>
    <definedName name="NSSR26" localSheetId="11">#REF!</definedName>
    <definedName name="NSSR26" localSheetId="9">#REF!</definedName>
    <definedName name="NSSR26" localSheetId="18">#REF!</definedName>
    <definedName name="NSSR26" localSheetId="15">#REF!</definedName>
    <definedName name="NSSR26" localSheetId="7">#REF!</definedName>
    <definedName name="NSSR26">#REF!</definedName>
    <definedName name="NSSR27" localSheetId="12">#REF!</definedName>
    <definedName name="NSSR27" localSheetId="8">#REF!</definedName>
    <definedName name="NSSR27" localSheetId="11">#REF!</definedName>
    <definedName name="NSSR27" localSheetId="9">#REF!</definedName>
    <definedName name="NSSR27" localSheetId="18">#REF!</definedName>
    <definedName name="NSSR27" localSheetId="15">#REF!</definedName>
    <definedName name="NSSR27" localSheetId="7">#REF!</definedName>
    <definedName name="NSSR27">#REF!</definedName>
    <definedName name="NSSR28" localSheetId="12">#REF!</definedName>
    <definedName name="NSSR28" localSheetId="8">#REF!</definedName>
    <definedName name="NSSR28" localSheetId="11">#REF!</definedName>
    <definedName name="NSSR28" localSheetId="9">#REF!</definedName>
    <definedName name="NSSR28" localSheetId="18">#REF!</definedName>
    <definedName name="NSSR28" localSheetId="15">#REF!</definedName>
    <definedName name="NSSR28" localSheetId="7">#REF!</definedName>
    <definedName name="NSSR28">#REF!</definedName>
    <definedName name="NSSR29" localSheetId="12">#REF!</definedName>
    <definedName name="NSSR29" localSheetId="8">#REF!</definedName>
    <definedName name="NSSR29" localSheetId="11">#REF!</definedName>
    <definedName name="NSSR29" localSheetId="9">#REF!</definedName>
    <definedName name="NSSR29" localSheetId="18">#REF!</definedName>
    <definedName name="NSSR29" localSheetId="15">#REF!</definedName>
    <definedName name="NSSR29" localSheetId="7">#REF!</definedName>
    <definedName name="NSSR29">#REF!</definedName>
    <definedName name="NSSR3" localSheetId="12">#REF!</definedName>
    <definedName name="NSSR3" localSheetId="8">#REF!</definedName>
    <definedName name="NSSR3" localSheetId="11">#REF!</definedName>
    <definedName name="NSSR3" localSheetId="9">#REF!</definedName>
    <definedName name="NSSR3" localSheetId="18">#REF!</definedName>
    <definedName name="NSSR3" localSheetId="15">#REF!</definedName>
    <definedName name="NSSR3" localSheetId="7">#REF!</definedName>
    <definedName name="NSSR3">#REF!</definedName>
    <definedName name="NSSR30" localSheetId="12">#REF!</definedName>
    <definedName name="NSSR30" localSheetId="8">#REF!</definedName>
    <definedName name="NSSR30" localSheetId="11">#REF!</definedName>
    <definedName name="NSSR30" localSheetId="9">#REF!</definedName>
    <definedName name="NSSR30" localSheetId="18">#REF!</definedName>
    <definedName name="NSSR30" localSheetId="15">#REF!</definedName>
    <definedName name="NSSR30" localSheetId="7">#REF!</definedName>
    <definedName name="NSSR30">#REF!</definedName>
    <definedName name="NSSR31" localSheetId="12">#REF!</definedName>
    <definedName name="NSSR31" localSheetId="8">#REF!</definedName>
    <definedName name="NSSR31" localSheetId="11">#REF!</definedName>
    <definedName name="NSSR31" localSheetId="9">#REF!</definedName>
    <definedName name="NSSR31" localSheetId="18">#REF!</definedName>
    <definedName name="NSSR31" localSheetId="15">#REF!</definedName>
    <definedName name="NSSR31" localSheetId="7">#REF!</definedName>
    <definedName name="NSSR31">#REF!</definedName>
    <definedName name="NSSR32" localSheetId="12">#REF!</definedName>
    <definedName name="NSSR32" localSheetId="8">#REF!</definedName>
    <definedName name="NSSR32" localSheetId="11">#REF!</definedName>
    <definedName name="NSSR32" localSheetId="9">#REF!</definedName>
    <definedName name="NSSR32" localSheetId="18">#REF!</definedName>
    <definedName name="NSSR32" localSheetId="15">#REF!</definedName>
    <definedName name="NSSR32" localSheetId="7">#REF!</definedName>
    <definedName name="NSSR32">#REF!</definedName>
    <definedName name="NSSR33" localSheetId="12">#REF!</definedName>
    <definedName name="NSSR33" localSheetId="8">#REF!</definedName>
    <definedName name="NSSR33" localSheetId="11">#REF!</definedName>
    <definedName name="NSSR33" localSheetId="9">#REF!</definedName>
    <definedName name="NSSR33" localSheetId="18">#REF!</definedName>
    <definedName name="NSSR33" localSheetId="15">#REF!</definedName>
    <definedName name="NSSR33" localSheetId="7">#REF!</definedName>
    <definedName name="NSSR33">#REF!</definedName>
    <definedName name="NSSR34" localSheetId="12">#REF!</definedName>
    <definedName name="NSSR34" localSheetId="8">#REF!</definedName>
    <definedName name="NSSR34" localSheetId="11">#REF!</definedName>
    <definedName name="NSSR34" localSheetId="9">#REF!</definedName>
    <definedName name="NSSR34" localSheetId="18">#REF!</definedName>
    <definedName name="NSSR34" localSheetId="15">#REF!</definedName>
    <definedName name="NSSR34" localSheetId="7">#REF!</definedName>
    <definedName name="NSSR34">#REF!</definedName>
    <definedName name="NSSR35" localSheetId="12">#REF!</definedName>
    <definedName name="NSSR35" localSheetId="8">#REF!</definedName>
    <definedName name="NSSR35" localSheetId="11">#REF!</definedName>
    <definedName name="NSSR35" localSheetId="9">#REF!</definedName>
    <definedName name="NSSR35" localSheetId="18">#REF!</definedName>
    <definedName name="NSSR35" localSheetId="15">#REF!</definedName>
    <definedName name="NSSR35" localSheetId="7">#REF!</definedName>
    <definedName name="NSSR35">#REF!</definedName>
    <definedName name="NSSR36" localSheetId="12">#REF!</definedName>
    <definedName name="NSSR36" localSheetId="8">#REF!</definedName>
    <definedName name="NSSR36" localSheetId="11">#REF!</definedName>
    <definedName name="NSSR36" localSheetId="9">#REF!</definedName>
    <definedName name="NSSR36" localSheetId="18">#REF!</definedName>
    <definedName name="NSSR36" localSheetId="15">#REF!</definedName>
    <definedName name="NSSR36" localSheetId="7">#REF!</definedName>
    <definedName name="NSSR36">#REF!</definedName>
    <definedName name="NSSR37" localSheetId="12">#REF!</definedName>
    <definedName name="NSSR37" localSheetId="8">#REF!</definedName>
    <definedName name="NSSR37" localSheetId="11">#REF!</definedName>
    <definedName name="NSSR37" localSheetId="9">#REF!</definedName>
    <definedName name="NSSR37" localSheetId="18">#REF!</definedName>
    <definedName name="NSSR37" localSheetId="15">#REF!</definedName>
    <definedName name="NSSR37" localSheetId="7">#REF!</definedName>
    <definedName name="NSSR37">#REF!</definedName>
    <definedName name="NSSR38" localSheetId="12">#REF!</definedName>
    <definedName name="NSSR38" localSheetId="8">#REF!</definedName>
    <definedName name="NSSR38" localSheetId="11">#REF!</definedName>
    <definedName name="NSSR38" localSheetId="9">#REF!</definedName>
    <definedName name="NSSR38" localSheetId="18">#REF!</definedName>
    <definedName name="NSSR38" localSheetId="15">#REF!</definedName>
    <definedName name="NSSR38" localSheetId="7">#REF!</definedName>
    <definedName name="NSSR38">#REF!</definedName>
    <definedName name="NSSR39" localSheetId="12">#REF!</definedName>
    <definedName name="NSSR39" localSheetId="8">#REF!</definedName>
    <definedName name="NSSR39" localSheetId="11">#REF!</definedName>
    <definedName name="NSSR39" localSheetId="9">#REF!</definedName>
    <definedName name="NSSR39" localSheetId="18">#REF!</definedName>
    <definedName name="NSSR39" localSheetId="15">#REF!</definedName>
    <definedName name="NSSR39" localSheetId="7">#REF!</definedName>
    <definedName name="NSSR39">#REF!</definedName>
    <definedName name="NSSR4" localSheetId="12">#REF!</definedName>
    <definedName name="NSSR4" localSheetId="8">#REF!</definedName>
    <definedName name="NSSR4" localSheetId="11">#REF!</definedName>
    <definedName name="NSSR4" localSheetId="9">#REF!</definedName>
    <definedName name="NSSR4" localSheetId="18">#REF!</definedName>
    <definedName name="NSSR4" localSheetId="15">#REF!</definedName>
    <definedName name="NSSR4" localSheetId="7">#REF!</definedName>
    <definedName name="NSSR4">#REF!</definedName>
    <definedName name="NSSR40" localSheetId="12">#REF!</definedName>
    <definedName name="NSSR40" localSheetId="8">#REF!</definedName>
    <definedName name="NSSR40" localSheetId="11">#REF!</definedName>
    <definedName name="NSSR40" localSheetId="9">#REF!</definedName>
    <definedName name="NSSR40" localSheetId="18">#REF!</definedName>
    <definedName name="NSSR40" localSheetId="15">#REF!</definedName>
    <definedName name="NSSR40" localSheetId="7">#REF!</definedName>
    <definedName name="NSSR40">#REF!</definedName>
    <definedName name="NSSR41" localSheetId="12">#REF!</definedName>
    <definedName name="NSSR41" localSheetId="8">#REF!</definedName>
    <definedName name="NSSR41" localSheetId="11">#REF!</definedName>
    <definedName name="NSSR41" localSheetId="9">#REF!</definedName>
    <definedName name="NSSR41" localSheetId="18">#REF!</definedName>
    <definedName name="NSSR41" localSheetId="15">#REF!</definedName>
    <definedName name="NSSR41" localSheetId="7">#REF!</definedName>
    <definedName name="NSSR41">#REF!</definedName>
    <definedName name="NSSR42" localSheetId="12">#REF!</definedName>
    <definedName name="NSSR42" localSheetId="8">#REF!</definedName>
    <definedName name="NSSR42" localSheetId="11">#REF!</definedName>
    <definedName name="NSSR42" localSheetId="9">#REF!</definedName>
    <definedName name="NSSR42" localSheetId="18">#REF!</definedName>
    <definedName name="NSSR42" localSheetId="15">#REF!</definedName>
    <definedName name="NSSR42" localSheetId="7">#REF!</definedName>
    <definedName name="NSSR42">#REF!</definedName>
    <definedName name="NSSR43" localSheetId="12">#REF!</definedName>
    <definedName name="NSSR43" localSheetId="8">#REF!</definedName>
    <definedName name="NSSR43" localSheetId="11">#REF!</definedName>
    <definedName name="NSSR43" localSheetId="9">#REF!</definedName>
    <definedName name="NSSR43" localSheetId="18">#REF!</definedName>
    <definedName name="NSSR43" localSheetId="15">#REF!</definedName>
    <definedName name="NSSR43" localSheetId="7">#REF!</definedName>
    <definedName name="NSSR43">#REF!</definedName>
    <definedName name="NSSR44" localSheetId="12">#REF!</definedName>
    <definedName name="NSSR44" localSheetId="8">#REF!</definedName>
    <definedName name="NSSR44" localSheetId="11">#REF!</definedName>
    <definedName name="NSSR44" localSheetId="9">#REF!</definedName>
    <definedName name="NSSR44" localSheetId="18">#REF!</definedName>
    <definedName name="NSSR44" localSheetId="15">#REF!</definedName>
    <definedName name="NSSR44" localSheetId="7">#REF!</definedName>
    <definedName name="NSSR44">#REF!</definedName>
    <definedName name="NSSR45" localSheetId="12">#REF!</definedName>
    <definedName name="NSSR45" localSheetId="8">#REF!</definedName>
    <definedName name="NSSR45" localSheetId="11">#REF!</definedName>
    <definedName name="NSSR45" localSheetId="9">#REF!</definedName>
    <definedName name="NSSR45" localSheetId="18">#REF!</definedName>
    <definedName name="NSSR45" localSheetId="15">#REF!</definedName>
    <definedName name="NSSR45" localSheetId="7">#REF!</definedName>
    <definedName name="NSSR45">#REF!</definedName>
    <definedName name="NSSR46" localSheetId="12">#REF!</definedName>
    <definedName name="NSSR46" localSheetId="8">#REF!</definedName>
    <definedName name="NSSR46" localSheetId="11">#REF!</definedName>
    <definedName name="NSSR46" localSheetId="9">#REF!</definedName>
    <definedName name="NSSR46" localSheetId="18">#REF!</definedName>
    <definedName name="NSSR46" localSheetId="15">#REF!</definedName>
    <definedName name="NSSR46" localSheetId="7">#REF!</definedName>
    <definedName name="NSSR46">#REF!</definedName>
    <definedName name="NSSR47" localSheetId="12">#REF!</definedName>
    <definedName name="NSSR47" localSheetId="8">#REF!</definedName>
    <definedName name="NSSR47" localSheetId="11">#REF!</definedName>
    <definedName name="NSSR47" localSheetId="9">#REF!</definedName>
    <definedName name="NSSR47" localSheetId="18">#REF!</definedName>
    <definedName name="NSSR47" localSheetId="15">#REF!</definedName>
    <definedName name="NSSR47" localSheetId="7">#REF!</definedName>
    <definedName name="NSSR47">#REF!</definedName>
    <definedName name="NSSR48" localSheetId="12">#REF!</definedName>
    <definedName name="NSSR48" localSheetId="8">#REF!</definedName>
    <definedName name="NSSR48" localSheetId="11">#REF!</definedName>
    <definedName name="NSSR48" localSheetId="9">#REF!</definedName>
    <definedName name="NSSR48" localSheetId="18">#REF!</definedName>
    <definedName name="NSSR48" localSheetId="15">#REF!</definedName>
    <definedName name="NSSR48" localSheetId="7">#REF!</definedName>
    <definedName name="NSSR48">#REF!</definedName>
    <definedName name="NSSR49" localSheetId="12">#REF!</definedName>
    <definedName name="NSSR49" localSheetId="8">#REF!</definedName>
    <definedName name="NSSR49" localSheetId="11">#REF!</definedName>
    <definedName name="NSSR49" localSheetId="9">#REF!</definedName>
    <definedName name="NSSR49" localSheetId="18">#REF!</definedName>
    <definedName name="NSSR49" localSheetId="15">#REF!</definedName>
    <definedName name="NSSR49" localSheetId="7">#REF!</definedName>
    <definedName name="NSSR49">#REF!</definedName>
    <definedName name="NSSR5" localSheetId="12">#REF!</definedName>
    <definedName name="NSSR5" localSheetId="8">#REF!</definedName>
    <definedName name="NSSR5" localSheetId="11">#REF!</definedName>
    <definedName name="NSSR5" localSheetId="9">#REF!</definedName>
    <definedName name="NSSR5" localSheetId="18">#REF!</definedName>
    <definedName name="NSSR5" localSheetId="15">#REF!</definedName>
    <definedName name="NSSR5" localSheetId="7">#REF!</definedName>
    <definedName name="NSSR5">#REF!</definedName>
    <definedName name="NSSR50" localSheetId="12">#REF!</definedName>
    <definedName name="NSSR50" localSheetId="8">#REF!</definedName>
    <definedName name="NSSR50" localSheetId="11">#REF!</definedName>
    <definedName name="NSSR50" localSheetId="9">#REF!</definedName>
    <definedName name="NSSR50" localSheetId="18">#REF!</definedName>
    <definedName name="NSSR50" localSheetId="15">#REF!</definedName>
    <definedName name="NSSR50" localSheetId="7">#REF!</definedName>
    <definedName name="NSSR50">#REF!</definedName>
    <definedName name="NSSR51" localSheetId="12">#REF!</definedName>
    <definedName name="NSSR51" localSheetId="8">#REF!</definedName>
    <definedName name="NSSR51" localSheetId="11">#REF!</definedName>
    <definedName name="NSSR51" localSheetId="9">#REF!</definedName>
    <definedName name="NSSR51" localSheetId="18">#REF!</definedName>
    <definedName name="NSSR51" localSheetId="15">#REF!</definedName>
    <definedName name="NSSR51" localSheetId="7">#REF!</definedName>
    <definedName name="NSSR51">#REF!</definedName>
    <definedName name="NSSR52" localSheetId="12">#REF!</definedName>
    <definedName name="NSSR52" localSheetId="8">#REF!</definedName>
    <definedName name="NSSR52" localSheetId="11">#REF!</definedName>
    <definedName name="NSSR52" localSheetId="9">#REF!</definedName>
    <definedName name="NSSR52" localSheetId="18">#REF!</definedName>
    <definedName name="NSSR52" localSheetId="15">#REF!</definedName>
    <definedName name="NSSR52" localSheetId="7">#REF!</definedName>
    <definedName name="NSSR52">#REF!</definedName>
    <definedName name="NSSR53" localSheetId="12">#REF!</definedName>
    <definedName name="NSSR53" localSheetId="8">#REF!</definedName>
    <definedName name="NSSR53" localSheetId="11">#REF!</definedName>
    <definedName name="NSSR53" localSheetId="9">#REF!</definedName>
    <definedName name="NSSR53" localSheetId="18">#REF!</definedName>
    <definedName name="NSSR53" localSheetId="15">#REF!</definedName>
    <definedName name="NSSR53" localSheetId="7">#REF!</definedName>
    <definedName name="NSSR53">#REF!</definedName>
    <definedName name="NSSR54" localSheetId="12">#REF!</definedName>
    <definedName name="NSSR54" localSheetId="8">#REF!</definedName>
    <definedName name="NSSR54" localSheetId="11">#REF!</definedName>
    <definedName name="NSSR54" localSheetId="9">#REF!</definedName>
    <definedName name="NSSR54" localSheetId="18">#REF!</definedName>
    <definedName name="NSSR54" localSheetId="15">#REF!</definedName>
    <definedName name="NSSR54" localSheetId="7">#REF!</definedName>
    <definedName name="NSSR54">#REF!</definedName>
    <definedName name="NSSR55" localSheetId="12">#REF!</definedName>
    <definedName name="NSSR55" localSheetId="8">#REF!</definedName>
    <definedName name="NSSR55" localSheetId="11">#REF!</definedName>
    <definedName name="NSSR55" localSheetId="9">#REF!</definedName>
    <definedName name="NSSR55" localSheetId="18">#REF!</definedName>
    <definedName name="NSSR55" localSheetId="15">#REF!</definedName>
    <definedName name="NSSR55" localSheetId="7">#REF!</definedName>
    <definedName name="NSSR55">#REF!</definedName>
    <definedName name="NSSR56" localSheetId="12">#REF!</definedName>
    <definedName name="NSSR56" localSheetId="8">#REF!</definedName>
    <definedName name="NSSR56" localSheetId="11">#REF!</definedName>
    <definedName name="NSSR56" localSheetId="9">#REF!</definedName>
    <definedName name="NSSR56" localSheetId="18">#REF!</definedName>
    <definedName name="NSSR56" localSheetId="15">#REF!</definedName>
    <definedName name="NSSR56" localSheetId="7">#REF!</definedName>
    <definedName name="NSSR56">#REF!</definedName>
    <definedName name="NSSR57" localSheetId="12">#REF!</definedName>
    <definedName name="NSSR57" localSheetId="8">#REF!</definedName>
    <definedName name="NSSR57" localSheetId="11">#REF!</definedName>
    <definedName name="NSSR57" localSheetId="9">#REF!</definedName>
    <definedName name="NSSR57" localSheetId="18">#REF!</definedName>
    <definedName name="NSSR57" localSheetId="15">#REF!</definedName>
    <definedName name="NSSR57" localSheetId="7">#REF!</definedName>
    <definedName name="NSSR57">#REF!</definedName>
    <definedName name="NSSR58" localSheetId="12">#REF!</definedName>
    <definedName name="NSSR58" localSheetId="8">#REF!</definedName>
    <definedName name="NSSR58" localSheetId="11">#REF!</definedName>
    <definedName name="NSSR58" localSheetId="9">#REF!</definedName>
    <definedName name="NSSR58" localSheetId="18">#REF!</definedName>
    <definedName name="NSSR58" localSheetId="15">#REF!</definedName>
    <definedName name="NSSR58" localSheetId="7">#REF!</definedName>
    <definedName name="NSSR58">#REF!</definedName>
    <definedName name="NSSR59" localSheetId="12">#REF!</definedName>
    <definedName name="NSSR59" localSheetId="8">#REF!</definedName>
    <definedName name="NSSR59" localSheetId="11">#REF!</definedName>
    <definedName name="NSSR59" localSheetId="9">#REF!</definedName>
    <definedName name="NSSR59" localSheetId="18">#REF!</definedName>
    <definedName name="NSSR59" localSheetId="15">#REF!</definedName>
    <definedName name="NSSR59" localSheetId="7">#REF!</definedName>
    <definedName name="NSSR59">#REF!</definedName>
    <definedName name="NSSR6" localSheetId="12">#REF!</definedName>
    <definedName name="NSSR6" localSheetId="8">#REF!</definedName>
    <definedName name="NSSR6" localSheetId="11">#REF!</definedName>
    <definedName name="NSSR6" localSheetId="9">#REF!</definedName>
    <definedName name="NSSR6" localSheetId="18">#REF!</definedName>
    <definedName name="NSSR6" localSheetId="15">#REF!</definedName>
    <definedName name="NSSR6" localSheetId="7">#REF!</definedName>
    <definedName name="NSSR6">#REF!</definedName>
    <definedName name="NSSR60" localSheetId="12">#REF!</definedName>
    <definedName name="NSSR60" localSheetId="8">#REF!</definedName>
    <definedName name="NSSR60" localSheetId="11">#REF!</definedName>
    <definedName name="NSSR60" localSheetId="9">#REF!</definedName>
    <definedName name="NSSR60" localSheetId="18">#REF!</definedName>
    <definedName name="NSSR60" localSheetId="15">#REF!</definedName>
    <definedName name="NSSR60" localSheetId="7">#REF!</definedName>
    <definedName name="NSSR60">#REF!</definedName>
    <definedName name="NSSR61" localSheetId="12">#REF!</definedName>
    <definedName name="NSSR61" localSheetId="8">#REF!</definedName>
    <definedName name="NSSR61" localSheetId="11">#REF!</definedName>
    <definedName name="NSSR61" localSheetId="9">#REF!</definedName>
    <definedName name="NSSR61" localSheetId="18">#REF!</definedName>
    <definedName name="NSSR61" localSheetId="15">#REF!</definedName>
    <definedName name="NSSR61" localSheetId="7">#REF!</definedName>
    <definedName name="NSSR61">#REF!</definedName>
    <definedName name="NSSR62" localSheetId="12">#REF!</definedName>
    <definedName name="NSSR62" localSheetId="8">#REF!</definedName>
    <definedName name="NSSR62" localSheetId="11">#REF!</definedName>
    <definedName name="NSSR62" localSheetId="9">#REF!</definedName>
    <definedName name="NSSR62" localSheetId="18">#REF!</definedName>
    <definedName name="NSSR62" localSheetId="15">#REF!</definedName>
    <definedName name="NSSR62" localSheetId="7">#REF!</definedName>
    <definedName name="NSSR62">#REF!</definedName>
    <definedName name="NSSR63" localSheetId="12">#REF!</definedName>
    <definedName name="NSSR63" localSheetId="8">#REF!</definedName>
    <definedName name="NSSR63" localSheetId="11">#REF!</definedName>
    <definedName name="NSSR63" localSheetId="9">#REF!</definedName>
    <definedName name="NSSR63" localSheetId="18">#REF!</definedName>
    <definedName name="NSSR63" localSheetId="15">#REF!</definedName>
    <definedName name="NSSR63" localSheetId="7">#REF!</definedName>
    <definedName name="NSSR63">#REF!</definedName>
    <definedName name="NSSR64" localSheetId="12">#REF!</definedName>
    <definedName name="NSSR64" localSheetId="8">#REF!</definedName>
    <definedName name="NSSR64" localSheetId="11">#REF!</definedName>
    <definedName name="NSSR64" localSheetId="9">#REF!</definedName>
    <definedName name="NSSR64" localSheetId="18">#REF!</definedName>
    <definedName name="NSSR64" localSheetId="15">#REF!</definedName>
    <definedName name="NSSR64" localSheetId="7">#REF!</definedName>
    <definedName name="NSSR64">#REF!</definedName>
    <definedName name="NSSR65" localSheetId="12">#REF!</definedName>
    <definedName name="NSSR65" localSheetId="8">#REF!</definedName>
    <definedName name="NSSR65" localSheetId="11">#REF!</definedName>
    <definedName name="NSSR65" localSheetId="9">#REF!</definedName>
    <definedName name="NSSR65" localSheetId="18">#REF!</definedName>
    <definedName name="NSSR65" localSheetId="15">#REF!</definedName>
    <definedName name="NSSR65" localSheetId="7">#REF!</definedName>
    <definedName name="NSSR65">#REF!</definedName>
    <definedName name="NSSR66" localSheetId="12">#REF!</definedName>
    <definedName name="NSSR66" localSheetId="8">#REF!</definedName>
    <definedName name="NSSR66" localSheetId="11">#REF!</definedName>
    <definedName name="NSSR66" localSheetId="9">#REF!</definedName>
    <definedName name="NSSR66" localSheetId="18">#REF!</definedName>
    <definedName name="NSSR66" localSheetId="15">#REF!</definedName>
    <definedName name="NSSR66" localSheetId="7">#REF!</definedName>
    <definedName name="NSSR66">#REF!</definedName>
    <definedName name="NSSR67" localSheetId="12">#REF!</definedName>
    <definedName name="NSSR67" localSheetId="8">#REF!</definedName>
    <definedName name="NSSR67" localSheetId="11">#REF!</definedName>
    <definedName name="NSSR67" localSheetId="9">#REF!</definedName>
    <definedName name="NSSR67" localSheetId="18">#REF!</definedName>
    <definedName name="NSSR67" localSheetId="15">#REF!</definedName>
    <definedName name="NSSR67" localSheetId="7">#REF!</definedName>
    <definedName name="NSSR67">#REF!</definedName>
    <definedName name="NSSR68" localSheetId="12">#REF!</definedName>
    <definedName name="NSSR68" localSheetId="8">#REF!</definedName>
    <definedName name="NSSR68" localSheetId="11">#REF!</definedName>
    <definedName name="NSSR68" localSheetId="9">#REF!</definedName>
    <definedName name="NSSR68" localSheetId="18">#REF!</definedName>
    <definedName name="NSSR68" localSheetId="15">#REF!</definedName>
    <definedName name="NSSR68" localSheetId="7">#REF!</definedName>
    <definedName name="NSSR68">#REF!</definedName>
    <definedName name="NSSR69" localSheetId="12">#REF!</definedName>
    <definedName name="NSSR69" localSheetId="8">#REF!</definedName>
    <definedName name="NSSR69" localSheetId="11">#REF!</definedName>
    <definedName name="NSSR69" localSheetId="9">#REF!</definedName>
    <definedName name="NSSR69" localSheetId="18">#REF!</definedName>
    <definedName name="NSSR69" localSheetId="15">#REF!</definedName>
    <definedName name="NSSR69" localSheetId="7">#REF!</definedName>
    <definedName name="NSSR69">#REF!</definedName>
    <definedName name="NSSR7" localSheetId="12">#REF!</definedName>
    <definedName name="NSSR7" localSheetId="8">#REF!</definedName>
    <definedName name="NSSR7" localSheetId="11">#REF!</definedName>
    <definedName name="NSSR7" localSheetId="9">#REF!</definedName>
    <definedName name="NSSR7" localSheetId="18">#REF!</definedName>
    <definedName name="NSSR7" localSheetId="15">#REF!</definedName>
    <definedName name="NSSR7" localSheetId="7">#REF!</definedName>
    <definedName name="NSSR7">#REF!</definedName>
    <definedName name="NSSR70" localSheetId="12">#REF!</definedName>
    <definedName name="NSSR70" localSheetId="8">#REF!</definedName>
    <definedName name="NSSR70" localSheetId="11">#REF!</definedName>
    <definedName name="NSSR70" localSheetId="9">#REF!</definedName>
    <definedName name="NSSR70" localSheetId="18">#REF!</definedName>
    <definedName name="NSSR70" localSheetId="15">#REF!</definedName>
    <definedName name="NSSR70" localSheetId="7">#REF!</definedName>
    <definedName name="NSSR70">#REF!</definedName>
    <definedName name="NSSR71" localSheetId="12">#REF!</definedName>
    <definedName name="NSSR71" localSheetId="8">#REF!</definedName>
    <definedName name="NSSR71" localSheetId="11">#REF!</definedName>
    <definedName name="NSSR71" localSheetId="9">#REF!</definedName>
    <definedName name="NSSR71" localSheetId="18">#REF!</definedName>
    <definedName name="NSSR71" localSheetId="15">#REF!</definedName>
    <definedName name="NSSR71" localSheetId="7">#REF!</definedName>
    <definedName name="NSSR71">#REF!</definedName>
    <definedName name="NSSR72" localSheetId="12">#REF!</definedName>
    <definedName name="NSSR72" localSheetId="8">#REF!</definedName>
    <definedName name="NSSR72" localSheetId="11">#REF!</definedName>
    <definedName name="NSSR72" localSheetId="9">#REF!</definedName>
    <definedName name="NSSR72" localSheetId="18">#REF!</definedName>
    <definedName name="NSSR72" localSheetId="15">#REF!</definedName>
    <definedName name="NSSR72" localSheetId="7">#REF!</definedName>
    <definedName name="NSSR72">#REF!</definedName>
    <definedName name="NSSR73" localSheetId="12">#REF!</definedName>
    <definedName name="NSSR73" localSheetId="8">#REF!</definedName>
    <definedName name="NSSR73" localSheetId="11">#REF!</definedName>
    <definedName name="NSSR73" localSheetId="9">#REF!</definedName>
    <definedName name="NSSR73" localSheetId="18">#REF!</definedName>
    <definedName name="NSSR73" localSheetId="15">#REF!</definedName>
    <definedName name="NSSR73" localSheetId="7">#REF!</definedName>
    <definedName name="NSSR73">#REF!</definedName>
    <definedName name="NSSR74" localSheetId="12">#REF!</definedName>
    <definedName name="NSSR74" localSheetId="8">#REF!</definedName>
    <definedName name="NSSR74" localSheetId="11">#REF!</definedName>
    <definedName name="NSSR74" localSheetId="9">#REF!</definedName>
    <definedName name="NSSR74" localSheetId="18">#REF!</definedName>
    <definedName name="NSSR74" localSheetId="15">#REF!</definedName>
    <definedName name="NSSR74" localSheetId="7">#REF!</definedName>
    <definedName name="NSSR74">#REF!</definedName>
    <definedName name="NSSR75" localSheetId="12">#REF!</definedName>
    <definedName name="NSSR75" localSheetId="8">#REF!</definedName>
    <definedName name="NSSR75" localSheetId="11">#REF!</definedName>
    <definedName name="NSSR75" localSheetId="9">#REF!</definedName>
    <definedName name="NSSR75" localSheetId="18">#REF!</definedName>
    <definedName name="NSSR75" localSheetId="15">#REF!</definedName>
    <definedName name="NSSR75" localSheetId="7">#REF!</definedName>
    <definedName name="NSSR75">#REF!</definedName>
    <definedName name="NSSR76" localSheetId="12">#REF!</definedName>
    <definedName name="NSSR76" localSheetId="8">#REF!</definedName>
    <definedName name="NSSR76" localSheetId="11">#REF!</definedName>
    <definedName name="NSSR76" localSheetId="9">#REF!</definedName>
    <definedName name="NSSR76" localSheetId="18">#REF!</definedName>
    <definedName name="NSSR76" localSheetId="15">#REF!</definedName>
    <definedName name="NSSR76" localSheetId="7">#REF!</definedName>
    <definedName name="NSSR76">#REF!</definedName>
    <definedName name="NSSR77" localSheetId="12">#REF!</definedName>
    <definedName name="NSSR77" localSheetId="8">#REF!</definedName>
    <definedName name="NSSR77" localSheetId="11">#REF!</definedName>
    <definedName name="NSSR77" localSheetId="9">#REF!</definedName>
    <definedName name="NSSR77" localSheetId="18">#REF!</definedName>
    <definedName name="NSSR77" localSheetId="15">#REF!</definedName>
    <definedName name="NSSR77" localSheetId="7">#REF!</definedName>
    <definedName name="NSSR77">#REF!</definedName>
    <definedName name="NSSR78" localSheetId="12">#REF!</definedName>
    <definedName name="NSSR78" localSheetId="8">#REF!</definedName>
    <definedName name="NSSR78" localSheetId="11">#REF!</definedName>
    <definedName name="NSSR78" localSheetId="9">#REF!</definedName>
    <definedName name="NSSR78" localSheetId="18">#REF!</definedName>
    <definedName name="NSSR78" localSheetId="15">#REF!</definedName>
    <definedName name="NSSR78" localSheetId="7">#REF!</definedName>
    <definedName name="NSSR78">#REF!</definedName>
    <definedName name="NSSR79" localSheetId="12">#REF!</definedName>
    <definedName name="NSSR79" localSheetId="8">#REF!</definedName>
    <definedName name="NSSR79" localSheetId="11">#REF!</definedName>
    <definedName name="NSSR79" localSheetId="9">#REF!</definedName>
    <definedName name="NSSR79" localSheetId="18">#REF!</definedName>
    <definedName name="NSSR79" localSheetId="15">#REF!</definedName>
    <definedName name="NSSR79" localSheetId="7">#REF!</definedName>
    <definedName name="NSSR79">#REF!</definedName>
    <definedName name="NSSR8" localSheetId="12">#REF!</definedName>
    <definedName name="NSSR8" localSheetId="8">#REF!</definedName>
    <definedName name="NSSR8" localSheetId="11">#REF!</definedName>
    <definedName name="NSSR8" localSheetId="9">#REF!</definedName>
    <definedName name="NSSR8" localSheetId="18">#REF!</definedName>
    <definedName name="NSSR8" localSheetId="15">#REF!</definedName>
    <definedName name="NSSR8" localSheetId="7">#REF!</definedName>
    <definedName name="NSSR8">#REF!</definedName>
    <definedName name="NSSR80" localSheetId="12">#REF!</definedName>
    <definedName name="NSSR80" localSheetId="8">#REF!</definedName>
    <definedName name="NSSR80" localSheetId="11">#REF!</definedName>
    <definedName name="NSSR80" localSheetId="9">#REF!</definedName>
    <definedName name="NSSR80" localSheetId="18">#REF!</definedName>
    <definedName name="NSSR80" localSheetId="15">#REF!</definedName>
    <definedName name="NSSR80" localSheetId="7">#REF!</definedName>
    <definedName name="NSSR80">#REF!</definedName>
    <definedName name="NSSR81" localSheetId="12">#REF!</definedName>
    <definedName name="NSSR81" localSheetId="8">#REF!</definedName>
    <definedName name="NSSR81" localSheetId="11">#REF!</definedName>
    <definedName name="NSSR81" localSheetId="9">#REF!</definedName>
    <definedName name="NSSR81" localSheetId="18">#REF!</definedName>
    <definedName name="NSSR81" localSheetId="15">#REF!</definedName>
    <definedName name="NSSR81" localSheetId="7">#REF!</definedName>
    <definedName name="NSSR81">#REF!</definedName>
    <definedName name="NSSR82" localSheetId="12">#REF!</definedName>
    <definedName name="NSSR82" localSheetId="8">#REF!</definedName>
    <definedName name="NSSR82" localSheetId="11">#REF!</definedName>
    <definedName name="NSSR82" localSheetId="9">#REF!</definedName>
    <definedName name="NSSR82" localSheetId="18">#REF!</definedName>
    <definedName name="NSSR82" localSheetId="15">#REF!</definedName>
    <definedName name="NSSR82" localSheetId="7">#REF!</definedName>
    <definedName name="NSSR82">#REF!</definedName>
    <definedName name="NSSR83" localSheetId="12">#REF!</definedName>
    <definedName name="NSSR83" localSheetId="8">#REF!</definedName>
    <definedName name="NSSR83" localSheetId="11">#REF!</definedName>
    <definedName name="NSSR83" localSheetId="9">#REF!</definedName>
    <definedName name="NSSR83" localSheetId="18">#REF!</definedName>
    <definedName name="NSSR83" localSheetId="15">#REF!</definedName>
    <definedName name="NSSR83" localSheetId="7">#REF!</definedName>
    <definedName name="NSSR83">#REF!</definedName>
    <definedName name="NSSR84" localSheetId="12">#REF!</definedName>
    <definedName name="NSSR84" localSheetId="8">#REF!</definedName>
    <definedName name="NSSR84" localSheetId="11">#REF!</definedName>
    <definedName name="NSSR84" localSheetId="9">#REF!</definedName>
    <definedName name="NSSR84" localSheetId="18">#REF!</definedName>
    <definedName name="NSSR84" localSheetId="15">#REF!</definedName>
    <definedName name="NSSR84" localSheetId="7">#REF!</definedName>
    <definedName name="NSSR84">#REF!</definedName>
    <definedName name="NSSR85" localSheetId="12">#REF!</definedName>
    <definedName name="NSSR85" localSheetId="8">#REF!</definedName>
    <definedName name="NSSR85" localSheetId="11">#REF!</definedName>
    <definedName name="NSSR85" localSheetId="9">#REF!</definedName>
    <definedName name="NSSR85" localSheetId="18">#REF!</definedName>
    <definedName name="NSSR85" localSheetId="15">#REF!</definedName>
    <definedName name="NSSR85" localSheetId="7">#REF!</definedName>
    <definedName name="NSSR85">#REF!</definedName>
    <definedName name="NSSR86" localSheetId="12">#REF!</definedName>
    <definedName name="NSSR86" localSheetId="8">#REF!</definedName>
    <definedName name="NSSR86" localSheetId="11">#REF!</definedName>
    <definedName name="NSSR86" localSheetId="9">#REF!</definedName>
    <definedName name="NSSR86" localSheetId="18">#REF!</definedName>
    <definedName name="NSSR86" localSheetId="15">#REF!</definedName>
    <definedName name="NSSR86" localSheetId="7">#REF!</definedName>
    <definedName name="NSSR86">#REF!</definedName>
    <definedName name="NSSR87" localSheetId="12">#REF!</definedName>
    <definedName name="NSSR87" localSheetId="8">#REF!</definedName>
    <definedName name="NSSR87" localSheetId="11">#REF!</definedName>
    <definedName name="NSSR87" localSheetId="9">#REF!</definedName>
    <definedName name="NSSR87" localSheetId="18">#REF!</definedName>
    <definedName name="NSSR87" localSheetId="15">#REF!</definedName>
    <definedName name="NSSR87" localSheetId="7">#REF!</definedName>
    <definedName name="NSSR87">#REF!</definedName>
    <definedName name="NSSR88" localSheetId="12">#REF!</definedName>
    <definedName name="NSSR88" localSheetId="8">#REF!</definedName>
    <definedName name="NSSR88" localSheetId="11">#REF!</definedName>
    <definedName name="NSSR88" localSheetId="9">#REF!</definedName>
    <definedName name="NSSR88" localSheetId="18">#REF!</definedName>
    <definedName name="NSSR88" localSheetId="15">#REF!</definedName>
    <definedName name="NSSR88" localSheetId="7">#REF!</definedName>
    <definedName name="NSSR88">#REF!</definedName>
    <definedName name="NSSR89" localSheetId="12">#REF!</definedName>
    <definedName name="NSSR89" localSheetId="8">#REF!</definedName>
    <definedName name="NSSR89" localSheetId="11">#REF!</definedName>
    <definedName name="NSSR89" localSheetId="9">#REF!</definedName>
    <definedName name="NSSR89" localSheetId="18">#REF!</definedName>
    <definedName name="NSSR89" localSheetId="15">#REF!</definedName>
    <definedName name="NSSR89" localSheetId="7">#REF!</definedName>
    <definedName name="NSSR89">#REF!</definedName>
    <definedName name="NSSR9" localSheetId="12">#REF!</definedName>
    <definedName name="NSSR9" localSheetId="8">#REF!</definedName>
    <definedName name="NSSR9" localSheetId="11">#REF!</definedName>
    <definedName name="NSSR9" localSheetId="9">#REF!</definedName>
    <definedName name="NSSR9" localSheetId="18">#REF!</definedName>
    <definedName name="NSSR9" localSheetId="15">#REF!</definedName>
    <definedName name="NSSR9" localSheetId="7">#REF!</definedName>
    <definedName name="NSSR9">#REF!</definedName>
    <definedName name="NSSR90" localSheetId="12">#REF!</definedName>
    <definedName name="NSSR90" localSheetId="8">#REF!</definedName>
    <definedName name="NSSR90" localSheetId="11">#REF!</definedName>
    <definedName name="NSSR90" localSheetId="9">#REF!</definedName>
    <definedName name="NSSR90" localSheetId="18">#REF!</definedName>
    <definedName name="NSSR90" localSheetId="15">#REF!</definedName>
    <definedName name="NSSR90" localSheetId="7">#REF!</definedName>
    <definedName name="NSSR90">#REF!</definedName>
    <definedName name="NSSR91" localSheetId="12">#REF!</definedName>
    <definedName name="NSSR91" localSheetId="8">#REF!</definedName>
    <definedName name="NSSR91" localSheetId="11">#REF!</definedName>
    <definedName name="NSSR91" localSheetId="9">#REF!</definedName>
    <definedName name="NSSR91" localSheetId="18">#REF!</definedName>
    <definedName name="NSSR91" localSheetId="15">#REF!</definedName>
    <definedName name="NSSR91" localSheetId="7">#REF!</definedName>
    <definedName name="NSSR91">#REF!</definedName>
    <definedName name="NSSR92" localSheetId="12">#REF!</definedName>
    <definedName name="NSSR92" localSheetId="8">#REF!</definedName>
    <definedName name="NSSR92" localSheetId="11">#REF!</definedName>
    <definedName name="NSSR92" localSheetId="9">#REF!</definedName>
    <definedName name="NSSR92" localSheetId="18">#REF!</definedName>
    <definedName name="NSSR92" localSheetId="15">#REF!</definedName>
    <definedName name="NSSR92" localSheetId="7">#REF!</definedName>
    <definedName name="NSSR92">#REF!</definedName>
    <definedName name="NSSR93" localSheetId="12">#REF!</definedName>
    <definedName name="NSSR93" localSheetId="8">#REF!</definedName>
    <definedName name="NSSR93" localSheetId="11">#REF!</definedName>
    <definedName name="NSSR93" localSheetId="9">#REF!</definedName>
    <definedName name="NSSR93" localSheetId="18">#REF!</definedName>
    <definedName name="NSSR93" localSheetId="15">#REF!</definedName>
    <definedName name="NSSR93" localSheetId="7">#REF!</definedName>
    <definedName name="NSSR93">#REF!</definedName>
    <definedName name="NSSR94" localSheetId="12">#REF!</definedName>
    <definedName name="NSSR94" localSheetId="8">#REF!</definedName>
    <definedName name="NSSR94" localSheetId="11">#REF!</definedName>
    <definedName name="NSSR94" localSheetId="9">#REF!</definedName>
    <definedName name="NSSR94" localSheetId="18">#REF!</definedName>
    <definedName name="NSSR94" localSheetId="15">#REF!</definedName>
    <definedName name="NSSR94" localSheetId="7">#REF!</definedName>
    <definedName name="NSSR94">#REF!</definedName>
    <definedName name="NSSR95" localSheetId="12">#REF!</definedName>
    <definedName name="NSSR95" localSheetId="8">#REF!</definedName>
    <definedName name="NSSR95" localSheetId="11">#REF!</definedName>
    <definedName name="NSSR95" localSheetId="9">#REF!</definedName>
    <definedName name="NSSR95" localSheetId="18">#REF!</definedName>
    <definedName name="NSSR95" localSheetId="15">#REF!</definedName>
    <definedName name="NSSR95" localSheetId="7">#REF!</definedName>
    <definedName name="NSSR95">#REF!</definedName>
    <definedName name="NSSR96" localSheetId="12">#REF!</definedName>
    <definedName name="NSSR96" localSheetId="8">#REF!</definedName>
    <definedName name="NSSR96" localSheetId="11">#REF!</definedName>
    <definedName name="NSSR96" localSheetId="9">#REF!</definedName>
    <definedName name="NSSR96" localSheetId="18">#REF!</definedName>
    <definedName name="NSSR96" localSheetId="15">#REF!</definedName>
    <definedName name="NSSR96" localSheetId="7">#REF!</definedName>
    <definedName name="NSSR96">#REF!</definedName>
    <definedName name="NSSR97" localSheetId="12">#REF!</definedName>
    <definedName name="NSSR97" localSheetId="8">#REF!</definedName>
    <definedName name="NSSR97" localSheetId="11">#REF!</definedName>
    <definedName name="NSSR97" localSheetId="9">#REF!</definedName>
    <definedName name="NSSR97" localSheetId="18">#REF!</definedName>
    <definedName name="NSSR97" localSheetId="15">#REF!</definedName>
    <definedName name="NSSR97" localSheetId="7">#REF!</definedName>
    <definedName name="NSSR97">#REF!</definedName>
    <definedName name="NSSR98" localSheetId="12">#REF!</definedName>
    <definedName name="NSSR98" localSheetId="8">#REF!</definedName>
    <definedName name="NSSR98" localSheetId="11">#REF!</definedName>
    <definedName name="NSSR98" localSheetId="9">#REF!</definedName>
    <definedName name="NSSR98" localSheetId="18">#REF!</definedName>
    <definedName name="NSSR98" localSheetId="15">#REF!</definedName>
    <definedName name="NSSR98" localSheetId="7">#REF!</definedName>
    <definedName name="NSSR98">#REF!</definedName>
    <definedName name="NSSR99" localSheetId="12">#REF!</definedName>
    <definedName name="NSSR99" localSheetId="8">#REF!</definedName>
    <definedName name="NSSR99" localSheetId="11">#REF!</definedName>
    <definedName name="NSSR99" localSheetId="9">#REF!</definedName>
    <definedName name="NSSR99" localSheetId="18">#REF!</definedName>
    <definedName name="NSSR99" localSheetId="15">#REF!</definedName>
    <definedName name="NSSR99" localSheetId="7">#REF!</definedName>
    <definedName name="NSSR99">#REF!</definedName>
    <definedName name="nt" localSheetId="12">#REF!</definedName>
    <definedName name="nt" localSheetId="8">#REF!</definedName>
    <definedName name="nt" localSheetId="11">#REF!</definedName>
    <definedName name="nt" localSheetId="9">#REF!</definedName>
    <definedName name="nt" localSheetId="18">#REF!</definedName>
    <definedName name="nt" localSheetId="15">#REF!</definedName>
    <definedName name="nt" localSheetId="7">#REF!</definedName>
    <definedName name="nt">#REF!</definedName>
    <definedName name="NTI" localSheetId="12">#REF!</definedName>
    <definedName name="NTI" localSheetId="8">#REF!</definedName>
    <definedName name="NTI" localSheetId="11">#REF!</definedName>
    <definedName name="NTI" localSheetId="9">#REF!</definedName>
    <definedName name="NTI" localSheetId="18">#REF!</definedName>
    <definedName name="NTI" localSheetId="15">#REF!</definedName>
    <definedName name="NTI" localSheetId="7">#REF!</definedName>
    <definedName name="NTI">#REF!</definedName>
    <definedName name="numf" localSheetId="12">#REF!</definedName>
    <definedName name="numf" localSheetId="8">#REF!</definedName>
    <definedName name="numf" localSheetId="11">#REF!</definedName>
    <definedName name="numf" localSheetId="9">#REF!</definedName>
    <definedName name="numf" localSheetId="18">#REF!</definedName>
    <definedName name="numf" localSheetId="15">#REF!</definedName>
    <definedName name="numf" localSheetId="7">#REF!</definedName>
    <definedName name="numf">#REF!</definedName>
    <definedName name="Nx" localSheetId="12">#REF!</definedName>
    <definedName name="Nx" localSheetId="8">#REF!</definedName>
    <definedName name="Nx" localSheetId="11">#REF!</definedName>
    <definedName name="Nx" localSheetId="9">#REF!</definedName>
    <definedName name="Nx" localSheetId="18">#REF!</definedName>
    <definedName name="Nx" localSheetId="15">#REF!</definedName>
    <definedName name="Nx" localSheetId="7">#REF!</definedName>
    <definedName name="Nx">#REF!</definedName>
    <definedName name="Nx___0" localSheetId="12">#REF!</definedName>
    <definedName name="Nx___0" localSheetId="8">#REF!</definedName>
    <definedName name="Nx___0" localSheetId="11">#REF!</definedName>
    <definedName name="Nx___0" localSheetId="9">#REF!</definedName>
    <definedName name="Nx___0" localSheetId="18">#REF!</definedName>
    <definedName name="Nx___0" localSheetId="15">#REF!</definedName>
    <definedName name="Nx___0" localSheetId="7">#REF!</definedName>
    <definedName name="Nx___0">#REF!</definedName>
    <definedName name="Nx___13" localSheetId="12">#REF!</definedName>
    <definedName name="Nx___13" localSheetId="8">#REF!</definedName>
    <definedName name="Nx___13" localSheetId="11">#REF!</definedName>
    <definedName name="Nx___13" localSheetId="9">#REF!</definedName>
    <definedName name="Nx___13" localSheetId="18">#REF!</definedName>
    <definedName name="Nx___13" localSheetId="15">#REF!</definedName>
    <definedName name="Nx___13" localSheetId="7">#REF!</definedName>
    <definedName name="Nx___13">#REF!</definedName>
    <definedName name="Ny" localSheetId="12">#REF!</definedName>
    <definedName name="Ny" localSheetId="8">#REF!</definedName>
    <definedName name="Ny" localSheetId="11">#REF!</definedName>
    <definedName name="Ny" localSheetId="9">#REF!</definedName>
    <definedName name="Ny" localSheetId="18">#REF!</definedName>
    <definedName name="Ny" localSheetId="15">#REF!</definedName>
    <definedName name="Ny" localSheetId="7">#REF!</definedName>
    <definedName name="Ny">#REF!</definedName>
    <definedName name="Ny___0" localSheetId="12">#REF!</definedName>
    <definedName name="Ny___0" localSheetId="8">#REF!</definedName>
    <definedName name="Ny___0" localSheetId="11">#REF!</definedName>
    <definedName name="Ny___0" localSheetId="9">#REF!</definedName>
    <definedName name="Ny___0" localSheetId="18">#REF!</definedName>
    <definedName name="Ny___0" localSheetId="15">#REF!</definedName>
    <definedName name="Ny___0" localSheetId="7">#REF!</definedName>
    <definedName name="Ny___0">#REF!</definedName>
    <definedName name="Ny___13" localSheetId="12">#REF!</definedName>
    <definedName name="Ny___13" localSheetId="8">#REF!</definedName>
    <definedName name="Ny___13" localSheetId="11">#REF!</definedName>
    <definedName name="Ny___13" localSheetId="9">#REF!</definedName>
    <definedName name="Ny___13" localSheetId="18">#REF!</definedName>
    <definedName name="Ny___13" localSheetId="15">#REF!</definedName>
    <definedName name="Ny___13" localSheetId="7">#REF!</definedName>
    <definedName name="Ny___13">#REF!</definedName>
    <definedName name="o" localSheetId="12">#REF!</definedName>
    <definedName name="o" localSheetId="8">#REF!</definedName>
    <definedName name="o" localSheetId="11">#REF!</definedName>
    <definedName name="o" localSheetId="9">#REF!</definedName>
    <definedName name="o" localSheetId="18">#REF!</definedName>
    <definedName name="o" localSheetId="15">#REF!</definedName>
    <definedName name="o" localSheetId="7">#REF!</definedName>
    <definedName name="o">#REF!</definedName>
    <definedName name="obpl" localSheetId="12">#REF!</definedName>
    <definedName name="obpl" localSheetId="0">#REF!</definedName>
    <definedName name="obpl" localSheetId="1">#REF!</definedName>
    <definedName name="obpl" localSheetId="8">#REF!</definedName>
    <definedName name="obpl" localSheetId="11">#REF!</definedName>
    <definedName name="obpl" localSheetId="9">#REF!</definedName>
    <definedName name="obpl" localSheetId="18">#REF!</definedName>
    <definedName name="obpl" localSheetId="15">#REF!</definedName>
    <definedName name="obpl" localSheetId="7">#REF!</definedName>
    <definedName name="obpl">#REF!</definedName>
    <definedName name="ofcablescost" localSheetId="12">#REF!</definedName>
    <definedName name="ofcablescost" localSheetId="8">#REF!</definedName>
    <definedName name="ofcablescost" localSheetId="11">#REF!</definedName>
    <definedName name="ofcablescost" localSheetId="9">#REF!</definedName>
    <definedName name="ofcablescost" localSheetId="18">#REF!</definedName>
    <definedName name="ofcablescost" localSheetId="15">#REF!</definedName>
    <definedName name="ofcablescost" localSheetId="7">#REF!</definedName>
    <definedName name="ofcablescost">#REF!</definedName>
    <definedName name="oi" localSheetId="12" hidden="1">{#N/A,#N/A,FALSE,"mpph1";#N/A,#N/A,FALSE,"mpmseb";#N/A,#N/A,FALSE,"mpph2"}</definedName>
    <definedName name="oi" localSheetId="6" hidden="1">{#N/A,#N/A,FALSE,"mpph1";#N/A,#N/A,FALSE,"mpmseb";#N/A,#N/A,FALSE,"mpph2"}</definedName>
    <definedName name="oi" localSheetId="5" hidden="1">{#N/A,#N/A,FALSE,"mpph1";#N/A,#N/A,FALSE,"mpmseb";#N/A,#N/A,FALSE,"mpph2"}</definedName>
    <definedName name="oi" localSheetId="8" hidden="1">{#N/A,#N/A,FALSE,"mpph1";#N/A,#N/A,FALSE,"mpmseb";#N/A,#N/A,FALSE,"mpph2"}</definedName>
    <definedName name="oi" localSheetId="11" hidden="1">{#N/A,#N/A,FALSE,"mpph1";#N/A,#N/A,FALSE,"mpmseb";#N/A,#N/A,FALSE,"mpph2"}</definedName>
    <definedName name="oi" localSheetId="9" hidden="1">{#N/A,#N/A,FALSE,"mpph1";#N/A,#N/A,FALSE,"mpmseb";#N/A,#N/A,FALSE,"mpph2"}</definedName>
    <definedName name="oi" localSheetId="13" hidden="1">{#N/A,#N/A,FALSE,"mpph1";#N/A,#N/A,FALSE,"mpmseb";#N/A,#N/A,FALSE,"mpph2"}</definedName>
    <definedName name="oi" localSheetId="18" hidden="1">{#N/A,#N/A,FALSE,"mpph1";#N/A,#N/A,FALSE,"mpmseb";#N/A,#N/A,FALSE,"mpph2"}</definedName>
    <definedName name="oi" localSheetId="15" hidden="1">{#N/A,#N/A,FALSE,"mpph1";#N/A,#N/A,FALSE,"mpmseb";#N/A,#N/A,FALSE,"mpph2"}</definedName>
    <definedName name="oi" localSheetId="7" hidden="1">{#N/A,#N/A,FALSE,"mpph1";#N/A,#N/A,FALSE,"mpmseb";#N/A,#N/A,FALSE,"mpph2"}</definedName>
    <definedName name="oi" hidden="1">{#N/A,#N/A,FALSE,"mpph1";#N/A,#N/A,FALSE,"mpmseb";#N/A,#N/A,FALSE,"mpph2"}</definedName>
    <definedName name="ok" localSheetId="12">#REF!</definedName>
    <definedName name="ok" localSheetId="0">#REF!</definedName>
    <definedName name="ok" localSheetId="1">#REF!</definedName>
    <definedName name="ok" localSheetId="6">#REF!</definedName>
    <definedName name="ok" localSheetId="5">#REF!</definedName>
    <definedName name="ok" localSheetId="8">#REF!</definedName>
    <definedName name="ok" localSheetId="11">#REF!</definedName>
    <definedName name="ok" localSheetId="9">#REF!</definedName>
    <definedName name="ok" localSheetId="18">#REF!</definedName>
    <definedName name="ok" localSheetId="15">#REF!</definedName>
    <definedName name="ok" localSheetId="7">#REF!</definedName>
    <definedName name="ok">#REF!</definedName>
    <definedName name="OLE_LINK1_1" localSheetId="12">#REF!</definedName>
    <definedName name="OLE_LINK1_1" localSheetId="6">#REF!</definedName>
    <definedName name="OLE_LINK1_1" localSheetId="5">#REF!</definedName>
    <definedName name="OLE_LINK1_1" localSheetId="8">#REF!</definedName>
    <definedName name="OLE_LINK1_1" localSheetId="11">#REF!</definedName>
    <definedName name="OLE_LINK1_1" localSheetId="9">#REF!</definedName>
    <definedName name="OLE_LINK1_1" localSheetId="18">#REF!</definedName>
    <definedName name="OLE_LINK1_1" localSheetId="15">#REF!</definedName>
    <definedName name="OLE_LINK1_1" localSheetId="7">#REF!</definedName>
    <definedName name="OLE_LINK1_1">#REF!</definedName>
    <definedName name="OLE_LINK2_1" localSheetId="12">#REF!</definedName>
    <definedName name="OLE_LINK2_1" localSheetId="8">#REF!</definedName>
    <definedName name="OLE_LINK2_1" localSheetId="11">#REF!</definedName>
    <definedName name="OLE_LINK2_1" localSheetId="9">#REF!</definedName>
    <definedName name="OLE_LINK2_1" localSheetId="18">#REF!</definedName>
    <definedName name="OLE_LINK2_1" localSheetId="15">#REF!</definedName>
    <definedName name="OLE_LINK2_1" localSheetId="7">#REF!</definedName>
    <definedName name="OLE_LINK2_1">#REF!</definedName>
    <definedName name="OO" localSheetId="12">#REF!</definedName>
    <definedName name="OO" localSheetId="8">#REF!</definedName>
    <definedName name="OO" localSheetId="11">#REF!</definedName>
    <definedName name="OO" localSheetId="9">#REF!</definedName>
    <definedName name="OO" localSheetId="18">#REF!</definedName>
    <definedName name="OO" localSheetId="15">#REF!</definedName>
    <definedName name="OO" localSheetId="7">#REF!</definedName>
    <definedName name="OO">#REF!</definedName>
    <definedName name="ooooooooooooooo" localSheetId="12">#REF!</definedName>
    <definedName name="ooooooooooooooo" localSheetId="8">#REF!</definedName>
    <definedName name="ooooooooooooooo" localSheetId="11">#REF!</definedName>
    <definedName name="ooooooooooooooo" localSheetId="9">#REF!</definedName>
    <definedName name="ooooooooooooooo" localSheetId="18">#REF!</definedName>
    <definedName name="ooooooooooooooo" localSheetId="15">#REF!</definedName>
    <definedName name="ooooooooooooooo" localSheetId="7">#REF!</definedName>
    <definedName name="ooooooooooooooo">#REF!</definedName>
    <definedName name="OP" localSheetId="12">#REF!</definedName>
    <definedName name="OP" localSheetId="8">#REF!</definedName>
    <definedName name="OP" localSheetId="11">#REF!</definedName>
    <definedName name="OP" localSheetId="9">#REF!</definedName>
    <definedName name="OP" localSheetId="18">#REF!</definedName>
    <definedName name="OP" localSheetId="15">#REF!</definedName>
    <definedName name="OP" localSheetId="7">#REF!</definedName>
    <definedName name="OP">#REF!</definedName>
    <definedName name="options" localSheetId="12">#REF!</definedName>
    <definedName name="options" localSheetId="8">#REF!</definedName>
    <definedName name="options" localSheetId="11">#REF!</definedName>
    <definedName name="options" localSheetId="9">#REF!</definedName>
    <definedName name="options" localSheetId="18">#REF!</definedName>
    <definedName name="options" localSheetId="15">#REF!</definedName>
    <definedName name="options" localSheetId="7">#REF!</definedName>
    <definedName name="options">#REF!</definedName>
    <definedName name="Others" localSheetId="12" hidden="1">{#N/A,#N/A,FALSE,"COVER1.XLS ";#N/A,#N/A,FALSE,"RACT1.XLS";#N/A,#N/A,FALSE,"RACT2.XLS";#N/A,#N/A,FALSE,"ECCMP";#N/A,#N/A,FALSE,"WELDER.XLS"}</definedName>
    <definedName name="Others" localSheetId="6" hidden="1">{#N/A,#N/A,FALSE,"COVER1.XLS ";#N/A,#N/A,FALSE,"RACT1.XLS";#N/A,#N/A,FALSE,"RACT2.XLS";#N/A,#N/A,FALSE,"ECCMP";#N/A,#N/A,FALSE,"WELDER.XLS"}</definedName>
    <definedName name="Others" localSheetId="5" hidden="1">{#N/A,#N/A,FALSE,"COVER1.XLS ";#N/A,#N/A,FALSE,"RACT1.XLS";#N/A,#N/A,FALSE,"RACT2.XLS";#N/A,#N/A,FALSE,"ECCMP";#N/A,#N/A,FALSE,"WELDER.XLS"}</definedName>
    <definedName name="Others" localSheetId="8" hidden="1">{#N/A,#N/A,FALSE,"COVER1.XLS ";#N/A,#N/A,FALSE,"RACT1.XLS";#N/A,#N/A,FALSE,"RACT2.XLS";#N/A,#N/A,FALSE,"ECCMP";#N/A,#N/A,FALSE,"WELDER.XLS"}</definedName>
    <definedName name="Others" localSheetId="11" hidden="1">{#N/A,#N/A,FALSE,"COVER1.XLS ";#N/A,#N/A,FALSE,"RACT1.XLS";#N/A,#N/A,FALSE,"RACT2.XLS";#N/A,#N/A,FALSE,"ECCMP";#N/A,#N/A,FALSE,"WELDER.XLS"}</definedName>
    <definedName name="Others" localSheetId="9" hidden="1">{#N/A,#N/A,FALSE,"COVER1.XLS ";#N/A,#N/A,FALSE,"RACT1.XLS";#N/A,#N/A,FALSE,"RACT2.XLS";#N/A,#N/A,FALSE,"ECCMP";#N/A,#N/A,FALSE,"WELDER.XLS"}</definedName>
    <definedName name="Others" localSheetId="13" hidden="1">{#N/A,#N/A,FALSE,"COVER1.XLS ";#N/A,#N/A,FALSE,"RACT1.XLS";#N/A,#N/A,FALSE,"RACT2.XLS";#N/A,#N/A,FALSE,"ECCMP";#N/A,#N/A,FALSE,"WELDER.XLS"}</definedName>
    <definedName name="Others" localSheetId="18" hidden="1">{#N/A,#N/A,FALSE,"COVER1.XLS ";#N/A,#N/A,FALSE,"RACT1.XLS";#N/A,#N/A,FALSE,"RACT2.XLS";#N/A,#N/A,FALSE,"ECCMP";#N/A,#N/A,FALSE,"WELDER.XLS"}</definedName>
    <definedName name="Others" localSheetId="15" hidden="1">{#N/A,#N/A,FALSE,"COVER1.XLS ";#N/A,#N/A,FALSE,"RACT1.XLS";#N/A,#N/A,FALSE,"RACT2.XLS";#N/A,#N/A,FALSE,"ECCMP";#N/A,#N/A,FALSE,"WELDER.XLS"}</definedName>
    <definedName name="Others" localSheetId="7" hidden="1">{#N/A,#N/A,FALSE,"COVER1.XLS ";#N/A,#N/A,FALSE,"RACT1.XLS";#N/A,#N/A,FALSE,"RACT2.XLS";#N/A,#N/A,FALSE,"ECCMP";#N/A,#N/A,FALSE,"WELDER.XLS"}</definedName>
    <definedName name="Others" hidden="1">{#N/A,#N/A,FALSE,"COVER1.XLS ";#N/A,#N/A,FALSE,"RACT1.XLS";#N/A,#N/A,FALSE,"RACT2.XLS";#N/A,#N/A,FALSE,"ECCMP";#N/A,#N/A,FALSE,"WELDER.XLS"}</definedName>
    <definedName name="Overall_Summary_Title" localSheetId="12">#REF!</definedName>
    <definedName name="Overall_Summary_Title" localSheetId="6">#REF!</definedName>
    <definedName name="Overall_Summary_Title" localSheetId="5">#REF!</definedName>
    <definedName name="Overall_Summary_Title" localSheetId="8">#REF!</definedName>
    <definedName name="Overall_Summary_Title" localSheetId="11">#REF!</definedName>
    <definedName name="Overall_Summary_Title" localSheetId="9">#REF!</definedName>
    <definedName name="Overall_Summary_Title" localSheetId="18">#REF!</definedName>
    <definedName name="Overall_Summary_Title" localSheetId="15">#REF!</definedName>
    <definedName name="Overall_Summary_Title" localSheetId="7">#REF!</definedName>
    <definedName name="Overall_Summary_Title">#REF!</definedName>
    <definedName name="OwnAcctNum" localSheetId="12">#REF!</definedName>
    <definedName name="OwnAcctNum" localSheetId="0">#REF!</definedName>
    <definedName name="OwnAcctNum" localSheetId="1">#REF!</definedName>
    <definedName name="OwnAcctNum" localSheetId="6">#REF!</definedName>
    <definedName name="OwnAcctNum" localSheetId="5">#REF!</definedName>
    <definedName name="OwnAcctNum" localSheetId="8">#REF!</definedName>
    <definedName name="OwnAcctNum" localSheetId="11">#REF!</definedName>
    <definedName name="OwnAcctNum" localSheetId="9">#REF!</definedName>
    <definedName name="OwnAcctNum" localSheetId="18">#REF!</definedName>
    <definedName name="OwnAcctNum" localSheetId="15">#REF!</definedName>
    <definedName name="OwnAcctNum" localSheetId="7">#REF!</definedName>
    <definedName name="OwnAcctNum">#REF!</definedName>
    <definedName name="p" localSheetId="12">#REF!</definedName>
    <definedName name="p" localSheetId="8">#REF!</definedName>
    <definedName name="p" localSheetId="11">#REF!</definedName>
    <definedName name="p" localSheetId="9">#REF!</definedName>
    <definedName name="p" localSheetId="18">#REF!</definedName>
    <definedName name="p" localSheetId="15">#REF!</definedName>
    <definedName name="p" localSheetId="7">#REF!</definedName>
    <definedName name="p">#REF!</definedName>
    <definedName name="p___0" localSheetId="12">#REF!</definedName>
    <definedName name="p___0" localSheetId="8">#REF!</definedName>
    <definedName name="p___0" localSheetId="11">#REF!</definedName>
    <definedName name="p___0" localSheetId="9">#REF!</definedName>
    <definedName name="p___0" localSheetId="18">#REF!</definedName>
    <definedName name="p___0" localSheetId="15">#REF!</definedName>
    <definedName name="p___0" localSheetId="7">#REF!</definedName>
    <definedName name="p___0">#REF!</definedName>
    <definedName name="p___13" localSheetId="12">#REF!</definedName>
    <definedName name="p___13" localSheetId="8">#REF!</definedName>
    <definedName name="p___13" localSheetId="11">#REF!</definedName>
    <definedName name="p___13" localSheetId="9">#REF!</definedName>
    <definedName name="p___13" localSheetId="18">#REF!</definedName>
    <definedName name="p___13" localSheetId="15">#REF!</definedName>
    <definedName name="p___13" localSheetId="7">#REF!</definedName>
    <definedName name="p___13">#REF!</definedName>
    <definedName name="PA" localSheetId="12">#REF!</definedName>
    <definedName name="PA" localSheetId="8">#REF!</definedName>
    <definedName name="PA" localSheetId="11">#REF!</definedName>
    <definedName name="PA" localSheetId="9">#REF!</definedName>
    <definedName name="PA" localSheetId="18">#REF!</definedName>
    <definedName name="PA" localSheetId="15">#REF!</definedName>
    <definedName name="PA" localSheetId="7">#REF!</definedName>
    <definedName name="PA">#REF!</definedName>
    <definedName name="pa___0" localSheetId="12">#REF!</definedName>
    <definedName name="pa___0" localSheetId="8">#REF!</definedName>
    <definedName name="pa___0" localSheetId="11">#REF!</definedName>
    <definedName name="pa___0" localSheetId="9">#REF!</definedName>
    <definedName name="pa___0" localSheetId="18">#REF!</definedName>
    <definedName name="pa___0" localSheetId="15">#REF!</definedName>
    <definedName name="pa___0" localSheetId="7">#REF!</definedName>
    <definedName name="pa___0">#REF!</definedName>
    <definedName name="pa___13" localSheetId="12">#REF!</definedName>
    <definedName name="pa___13" localSheetId="8">#REF!</definedName>
    <definedName name="pa___13" localSheetId="11">#REF!</definedName>
    <definedName name="pa___13" localSheetId="9">#REF!</definedName>
    <definedName name="pa___13" localSheetId="18">#REF!</definedName>
    <definedName name="pa___13" localSheetId="15">#REF!</definedName>
    <definedName name="pa___13" localSheetId="7">#REF!</definedName>
    <definedName name="pa___13">#REF!</definedName>
    <definedName name="PAGE1" localSheetId="12">#REF!</definedName>
    <definedName name="PAGE1" localSheetId="0">#REF!</definedName>
    <definedName name="PAGE1" localSheetId="1">#REF!</definedName>
    <definedName name="PAGE1" localSheetId="8">#REF!</definedName>
    <definedName name="PAGE1" localSheetId="11">#REF!</definedName>
    <definedName name="PAGE1" localSheetId="9">#REF!</definedName>
    <definedName name="PAGE1" localSheetId="18">#REF!</definedName>
    <definedName name="PAGE1" localSheetId="15">#REF!</definedName>
    <definedName name="PAGE1" localSheetId="7">#REF!</definedName>
    <definedName name="PAGE1">#REF!</definedName>
    <definedName name="PAGE2" localSheetId="12">#REF!</definedName>
    <definedName name="PAGE2" localSheetId="0">#REF!</definedName>
    <definedName name="PAGE2" localSheetId="1">#REF!</definedName>
    <definedName name="PAGE2" localSheetId="8">#REF!</definedName>
    <definedName name="PAGE2" localSheetId="11">#REF!</definedName>
    <definedName name="PAGE2" localSheetId="9">#REF!</definedName>
    <definedName name="PAGE2" localSheetId="18">#REF!</definedName>
    <definedName name="PAGE2" localSheetId="15">#REF!</definedName>
    <definedName name="PAGE2" localSheetId="7">#REF!</definedName>
    <definedName name="PAGE2">#REF!</definedName>
    <definedName name="PAINT" localSheetId="12">#REF!</definedName>
    <definedName name="PAINT" localSheetId="8">#REF!</definedName>
    <definedName name="PAINT" localSheetId="11">#REF!</definedName>
    <definedName name="PAINT" localSheetId="9">#REF!</definedName>
    <definedName name="PAINT" localSheetId="18">#REF!</definedName>
    <definedName name="PAINT" localSheetId="15">#REF!</definedName>
    <definedName name="PAINT" localSheetId="7">#REF!</definedName>
    <definedName name="PAINT">#REF!</definedName>
    <definedName name="painting" localSheetId="12">#REF!</definedName>
    <definedName name="painting" localSheetId="8">#REF!</definedName>
    <definedName name="painting" localSheetId="11">#REF!</definedName>
    <definedName name="painting" localSheetId="9">#REF!</definedName>
    <definedName name="painting" localSheetId="18">#REF!</definedName>
    <definedName name="painting" localSheetId="15">#REF!</definedName>
    <definedName name="painting" localSheetId="7">#REF!</definedName>
    <definedName name="painting">#REF!</definedName>
    <definedName name="Pane2" localSheetId="12">#REF!</definedName>
    <definedName name="Pane2" localSheetId="8">#REF!</definedName>
    <definedName name="Pane2" localSheetId="11">#REF!</definedName>
    <definedName name="Pane2" localSheetId="9">#REF!</definedName>
    <definedName name="Pane2" localSheetId="18">#REF!</definedName>
    <definedName name="Pane2" localSheetId="15">#REF!</definedName>
    <definedName name="Pane2" localSheetId="7">#REF!</definedName>
    <definedName name="Pane2">#REF!</definedName>
    <definedName name="Pane2___0" localSheetId="12">#REF!</definedName>
    <definedName name="Pane2___0" localSheetId="8">#REF!</definedName>
    <definedName name="Pane2___0" localSheetId="11">#REF!</definedName>
    <definedName name="Pane2___0" localSheetId="9">#REF!</definedName>
    <definedName name="Pane2___0" localSheetId="18">#REF!</definedName>
    <definedName name="Pane2___0" localSheetId="15">#REF!</definedName>
    <definedName name="Pane2___0" localSheetId="7">#REF!</definedName>
    <definedName name="Pane2___0">#REF!</definedName>
    <definedName name="Pane2___13" localSheetId="12">#REF!</definedName>
    <definedName name="Pane2___13" localSheetId="8">#REF!</definedName>
    <definedName name="Pane2___13" localSheetId="11">#REF!</definedName>
    <definedName name="Pane2___13" localSheetId="9">#REF!</definedName>
    <definedName name="Pane2___13" localSheetId="18">#REF!</definedName>
    <definedName name="Pane2___13" localSheetId="15">#REF!</definedName>
    <definedName name="Pane2___13" localSheetId="7">#REF!</definedName>
    <definedName name="Pane2___13">#REF!</definedName>
    <definedName name="part" localSheetId="12">#REF!</definedName>
    <definedName name="part" localSheetId="8">#REF!</definedName>
    <definedName name="part" localSheetId="11">#REF!</definedName>
    <definedName name="part" localSheetId="9">#REF!</definedName>
    <definedName name="part" localSheetId="18">#REF!</definedName>
    <definedName name="part" localSheetId="15">#REF!</definedName>
    <definedName name="part" localSheetId="7">#REF!</definedName>
    <definedName name="part">#REF!</definedName>
    <definedName name="Partition" localSheetId="12">#REF!</definedName>
    <definedName name="Partition" localSheetId="0">#REF!</definedName>
    <definedName name="Partition" localSheetId="1">#REF!</definedName>
    <definedName name="Partition" localSheetId="8">#REF!</definedName>
    <definedName name="Partition" localSheetId="11">#REF!</definedName>
    <definedName name="Partition" localSheetId="9">#REF!</definedName>
    <definedName name="Partition" localSheetId="18">#REF!</definedName>
    <definedName name="Partition" localSheetId="15">#REF!</definedName>
    <definedName name="Partition" localSheetId="7">#REF!</definedName>
    <definedName name="Partition">#REF!</definedName>
    <definedName name="PASSENGER_MODELS" localSheetId="12">#REF!</definedName>
    <definedName name="PASSENGER_MODELS" localSheetId="8">#REF!</definedName>
    <definedName name="PASSENGER_MODELS" localSheetId="11">#REF!</definedName>
    <definedName name="PASSENGER_MODELS" localSheetId="9">#REF!</definedName>
    <definedName name="PASSENGER_MODELS" localSheetId="18">#REF!</definedName>
    <definedName name="PASSENGER_MODELS" localSheetId="15">#REF!</definedName>
    <definedName name="PASSENGER_MODELS" localSheetId="7">#REF!</definedName>
    <definedName name="PASSENGER_MODELS">#REF!</definedName>
    <definedName name="paver" localSheetId="12">#REF!</definedName>
    <definedName name="paver" localSheetId="8">#REF!</definedName>
    <definedName name="paver" localSheetId="11">#REF!</definedName>
    <definedName name="paver" localSheetId="9">#REF!</definedName>
    <definedName name="paver" localSheetId="18">#REF!</definedName>
    <definedName name="paver" localSheetId="15">#REF!</definedName>
    <definedName name="paver" localSheetId="7">#REF!</definedName>
    <definedName name="paver">#REF!</definedName>
    <definedName name="Paving_Bitumen_S_90" localSheetId="12">#REF!</definedName>
    <definedName name="Paving_Bitumen_S_90" localSheetId="8">#REF!</definedName>
    <definedName name="Paving_Bitumen_S_90" localSheetId="11">#REF!</definedName>
    <definedName name="Paving_Bitumen_S_90" localSheetId="9">#REF!</definedName>
    <definedName name="Paving_Bitumen_S_90" localSheetId="18">#REF!</definedName>
    <definedName name="Paving_Bitumen_S_90" localSheetId="15">#REF!</definedName>
    <definedName name="Paving_Bitumen_S_90" localSheetId="7">#REF!</definedName>
    <definedName name="Paving_Bitumen_S_90">#REF!</definedName>
    <definedName name="pb" localSheetId="12">#REF!</definedName>
    <definedName name="pb" localSheetId="8">#REF!</definedName>
    <definedName name="pb" localSheetId="11">#REF!</definedName>
    <definedName name="pb" localSheetId="9">#REF!</definedName>
    <definedName name="pb" localSheetId="18">#REF!</definedName>
    <definedName name="pb" localSheetId="15">#REF!</definedName>
    <definedName name="pb" localSheetId="7">#REF!</definedName>
    <definedName name="pb">#REF!</definedName>
    <definedName name="pb___0" localSheetId="12">#REF!</definedName>
    <definedName name="pb___0" localSheetId="8">#REF!</definedName>
    <definedName name="pb___0" localSheetId="11">#REF!</definedName>
    <definedName name="pb___0" localSheetId="9">#REF!</definedName>
    <definedName name="pb___0" localSheetId="18">#REF!</definedName>
    <definedName name="pb___0" localSheetId="15">#REF!</definedName>
    <definedName name="pb___0" localSheetId="7">#REF!</definedName>
    <definedName name="pb___0">#REF!</definedName>
    <definedName name="pb___11" localSheetId="12">#REF!</definedName>
    <definedName name="pb___11" localSheetId="8">#REF!</definedName>
    <definedName name="pb___11" localSheetId="11">#REF!</definedName>
    <definedName name="pb___11" localSheetId="9">#REF!</definedName>
    <definedName name="pb___11" localSheetId="18">#REF!</definedName>
    <definedName name="pb___11" localSheetId="15">#REF!</definedName>
    <definedName name="pb___11" localSheetId="7">#REF!</definedName>
    <definedName name="pb___11">#REF!</definedName>
    <definedName name="pb___12" localSheetId="12">#REF!</definedName>
    <definedName name="pb___12" localSheetId="8">#REF!</definedName>
    <definedName name="pb___12" localSheetId="11">#REF!</definedName>
    <definedName name="pb___12" localSheetId="9">#REF!</definedName>
    <definedName name="pb___12" localSheetId="18">#REF!</definedName>
    <definedName name="pb___12" localSheetId="15">#REF!</definedName>
    <definedName name="pb___12" localSheetId="7">#REF!</definedName>
    <definedName name="pb___12">#REF!</definedName>
    <definedName name="Pbx" localSheetId="12">#REF!</definedName>
    <definedName name="Pbx" localSheetId="8">#REF!</definedName>
    <definedName name="Pbx" localSheetId="11">#REF!</definedName>
    <definedName name="Pbx" localSheetId="9">#REF!</definedName>
    <definedName name="Pbx" localSheetId="18">#REF!</definedName>
    <definedName name="Pbx" localSheetId="15">#REF!</definedName>
    <definedName name="Pbx" localSheetId="7">#REF!</definedName>
    <definedName name="Pbx">#REF!</definedName>
    <definedName name="Pby" localSheetId="12">#REF!</definedName>
    <definedName name="Pby" localSheetId="8">#REF!</definedName>
    <definedName name="Pby" localSheetId="11">#REF!</definedName>
    <definedName name="Pby" localSheetId="9">#REF!</definedName>
    <definedName name="Pby" localSheetId="18">#REF!</definedName>
    <definedName name="Pby" localSheetId="15">#REF!</definedName>
    <definedName name="Pby" localSheetId="7">#REF!</definedName>
    <definedName name="Pby">#REF!</definedName>
    <definedName name="pc" localSheetId="12">#REF!</definedName>
    <definedName name="pc" localSheetId="8">#REF!</definedName>
    <definedName name="pc" localSheetId="11">#REF!</definedName>
    <definedName name="pc" localSheetId="9">#REF!</definedName>
    <definedName name="pc" localSheetId="18">#REF!</definedName>
    <definedName name="pc" localSheetId="15">#REF!</definedName>
    <definedName name="pc" localSheetId="7">#REF!</definedName>
    <definedName name="pc">#REF!</definedName>
    <definedName name="PCC" localSheetId="12">#REF!</definedName>
    <definedName name="PCC" localSheetId="0">#REF!</definedName>
    <definedName name="PCC" localSheetId="1">#REF!</definedName>
    <definedName name="PCC" localSheetId="8">#REF!</definedName>
    <definedName name="PCC" localSheetId="11">#REF!</definedName>
    <definedName name="PCC" localSheetId="9">#REF!</definedName>
    <definedName name="PCC" localSheetId="18">#REF!</definedName>
    <definedName name="PCC" localSheetId="15">#REF!</definedName>
    <definedName name="PCC" localSheetId="7">#REF!</definedName>
    <definedName name="PCC">#REF!</definedName>
    <definedName name="pccut" localSheetId="12">#REF!</definedName>
    <definedName name="pccut" localSheetId="0">#REF!</definedName>
    <definedName name="pccut" localSheetId="1">#REF!</definedName>
    <definedName name="pccut" localSheetId="8">#REF!</definedName>
    <definedName name="pccut" localSheetId="11">#REF!</definedName>
    <definedName name="pccut" localSheetId="9">#REF!</definedName>
    <definedName name="pccut" localSheetId="18">#REF!</definedName>
    <definedName name="pccut" localSheetId="15">#REF!</definedName>
    <definedName name="pccut" localSheetId="7">#REF!</definedName>
    <definedName name="pccut">#REF!</definedName>
    <definedName name="PeopleLists" localSheetId="12">#REF!,#REF!</definedName>
    <definedName name="PeopleLists" localSheetId="6">#REF!,#REF!</definedName>
    <definedName name="PeopleLists" localSheetId="5">#REF!,#REF!</definedName>
    <definedName name="PeopleLists" localSheetId="8">#REF!,#REF!</definedName>
    <definedName name="PeopleLists" localSheetId="11">#REF!,#REF!</definedName>
    <definedName name="PeopleLists" localSheetId="9">#REF!,#REF!</definedName>
    <definedName name="PeopleLists" localSheetId="18">#REF!,#REF!</definedName>
    <definedName name="PeopleLists" localSheetId="15">#REF!,#REF!</definedName>
    <definedName name="PeopleLists" localSheetId="7">#REF!,#REF!</definedName>
    <definedName name="PeopleLists">#REF!,#REF!</definedName>
    <definedName name="PF" localSheetId="12">#REF!</definedName>
    <definedName name="PF" localSheetId="6">#REF!</definedName>
    <definedName name="PF" localSheetId="5">#REF!</definedName>
    <definedName name="PF" localSheetId="8">#REF!</definedName>
    <definedName name="PF" localSheetId="11">#REF!</definedName>
    <definedName name="PF" localSheetId="9">#REF!</definedName>
    <definedName name="PF" localSheetId="18">#REF!</definedName>
    <definedName name="PF" localSheetId="15">#REF!</definedName>
    <definedName name="PF" localSheetId="7">#REF!</definedName>
    <definedName name="PF">#REF!</definedName>
    <definedName name="PFC" localSheetId="12">#REF!</definedName>
    <definedName name="PFC" localSheetId="6">#REF!</definedName>
    <definedName name="PFC" localSheetId="5">#REF!</definedName>
    <definedName name="PFC" localSheetId="8">#REF!</definedName>
    <definedName name="PFC" localSheetId="11">#REF!</definedName>
    <definedName name="PFC" localSheetId="9">#REF!</definedName>
    <definedName name="PFC" localSheetId="18">#REF!</definedName>
    <definedName name="PFC" localSheetId="15">#REF!</definedName>
    <definedName name="PFC" localSheetId="7">#REF!</definedName>
    <definedName name="PFC">#REF!</definedName>
    <definedName name="PFL" localSheetId="12">#REF!</definedName>
    <definedName name="PFL" localSheetId="6">#REF!</definedName>
    <definedName name="PFL" localSheetId="5">#REF!</definedName>
    <definedName name="PFL" localSheetId="8">#REF!</definedName>
    <definedName name="PFL" localSheetId="11">#REF!</definedName>
    <definedName name="PFL" localSheetId="9">#REF!</definedName>
    <definedName name="PFL" localSheetId="18">#REF!</definedName>
    <definedName name="PFL" localSheetId="15">#REF!</definedName>
    <definedName name="PFL" localSheetId="7">#REF!</definedName>
    <definedName name="PFL">#REF!</definedName>
    <definedName name="pg" localSheetId="12">#REF!</definedName>
    <definedName name="pg" localSheetId="8">#REF!</definedName>
    <definedName name="pg" localSheetId="11">#REF!</definedName>
    <definedName name="pg" localSheetId="9">#REF!</definedName>
    <definedName name="pg" localSheetId="18">#REF!</definedName>
    <definedName name="pg" localSheetId="15">#REF!</definedName>
    <definedName name="pg" localSheetId="7">#REF!</definedName>
    <definedName name="pg">#REF!</definedName>
    <definedName name="pH" localSheetId="12">#REF!</definedName>
    <definedName name="pH" localSheetId="8">#REF!</definedName>
    <definedName name="pH" localSheetId="11">#REF!</definedName>
    <definedName name="pH" localSheetId="9">#REF!</definedName>
    <definedName name="pH" localSheetId="18">#REF!</definedName>
    <definedName name="pH" localSheetId="15">#REF!</definedName>
    <definedName name="pH" localSheetId="7">#REF!</definedName>
    <definedName name="pH">#REF!</definedName>
    <definedName name="pH___0" localSheetId="12">#REF!</definedName>
    <definedName name="pH___0" localSheetId="8">#REF!</definedName>
    <definedName name="pH___0" localSheetId="11">#REF!</definedName>
    <definedName name="pH___0" localSheetId="9">#REF!</definedName>
    <definedName name="pH___0" localSheetId="18">#REF!</definedName>
    <definedName name="pH___0" localSheetId="15">#REF!</definedName>
    <definedName name="pH___0" localSheetId="7">#REF!</definedName>
    <definedName name="pH___0">#REF!</definedName>
    <definedName name="pH___13" localSheetId="12">#REF!</definedName>
    <definedName name="pH___13" localSheetId="8">#REF!</definedName>
    <definedName name="pH___13" localSheetId="11">#REF!</definedName>
    <definedName name="pH___13" localSheetId="9">#REF!</definedName>
    <definedName name="pH___13" localSheetId="18">#REF!</definedName>
    <definedName name="pH___13" localSheetId="15">#REF!</definedName>
    <definedName name="pH___13" localSheetId="7">#REF!</definedName>
    <definedName name="pH___13">#REF!</definedName>
    <definedName name="PhaseCode" localSheetId="12">#REF!</definedName>
    <definedName name="PhaseCode" localSheetId="8">#REF!</definedName>
    <definedName name="PhaseCode" localSheetId="11">#REF!</definedName>
    <definedName name="PhaseCode" localSheetId="9">#REF!</definedName>
    <definedName name="PhaseCode" localSheetId="18">#REF!</definedName>
    <definedName name="PhaseCode" localSheetId="15">#REF!</definedName>
    <definedName name="PhaseCode" localSheetId="7">#REF!</definedName>
    <definedName name="PhaseCode">#REF!</definedName>
    <definedName name="PhonesQty" localSheetId="12">#REF!</definedName>
    <definedName name="PhonesQty" localSheetId="8">#REF!</definedName>
    <definedName name="PhonesQty" localSheetId="11">#REF!</definedName>
    <definedName name="PhonesQty" localSheetId="9">#REF!</definedName>
    <definedName name="PhonesQty" localSheetId="18">#REF!</definedName>
    <definedName name="PhonesQty" localSheetId="15">#REF!</definedName>
    <definedName name="PhonesQty" localSheetId="7">#REF!</definedName>
    <definedName name="PhonesQty">#REF!</definedName>
    <definedName name="pin" localSheetId="12">#REF!</definedName>
    <definedName name="pin" localSheetId="8">#REF!</definedName>
    <definedName name="pin" localSheetId="11">#REF!</definedName>
    <definedName name="pin" localSheetId="9">#REF!</definedName>
    <definedName name="pin" localSheetId="18">#REF!</definedName>
    <definedName name="pin" localSheetId="15">#REF!</definedName>
    <definedName name="pin" localSheetId="7">#REF!</definedName>
    <definedName name="pin">#REF!</definedName>
    <definedName name="pitching" localSheetId="12">#REF!</definedName>
    <definedName name="pitching" localSheetId="8">#REF!</definedName>
    <definedName name="pitching" localSheetId="11">#REF!</definedName>
    <definedName name="pitching" localSheetId="9">#REF!</definedName>
    <definedName name="pitching" localSheetId="18">#REF!</definedName>
    <definedName name="pitching" localSheetId="15">#REF!</definedName>
    <definedName name="pitching" localSheetId="7">#REF!</definedName>
    <definedName name="pitching">#REF!</definedName>
    <definedName name="PL" localSheetId="12">#REF!</definedName>
    <definedName name="PL" localSheetId="8">#REF!</definedName>
    <definedName name="PL" localSheetId="11">#REF!</definedName>
    <definedName name="PL" localSheetId="9">#REF!</definedName>
    <definedName name="PL" localSheetId="18">#REF!</definedName>
    <definedName name="PL" localSheetId="15">#REF!</definedName>
    <definedName name="PL" localSheetId="7">#REF!</definedName>
    <definedName name="PL">#REF!</definedName>
    <definedName name="plan" localSheetId="12">#REF!</definedName>
    <definedName name="plan" localSheetId="8">#REF!</definedName>
    <definedName name="plan" localSheetId="11">#REF!</definedName>
    <definedName name="plan" localSheetId="9">#REF!</definedName>
    <definedName name="plan" localSheetId="18">#REF!</definedName>
    <definedName name="plan" localSheetId="15">#REF!</definedName>
    <definedName name="plan" localSheetId="7">#REF!</definedName>
    <definedName name="plan">#REF!</definedName>
    <definedName name="Plasticizer" localSheetId="12">#REF!</definedName>
    <definedName name="Plasticizer" localSheetId="8">#REF!</definedName>
    <definedName name="Plasticizer" localSheetId="11">#REF!</definedName>
    <definedName name="Plasticizer" localSheetId="9">#REF!</definedName>
    <definedName name="Plasticizer" localSheetId="18">#REF!</definedName>
    <definedName name="Plasticizer" localSheetId="15">#REF!</definedName>
    <definedName name="Plasticizer" localSheetId="7">#REF!</definedName>
    <definedName name="Plasticizer">#REF!</definedName>
    <definedName name="plbeams" localSheetId="12">#REF!</definedName>
    <definedName name="plbeams" localSheetId="0">#REF!</definedName>
    <definedName name="plbeams" localSheetId="1">#REF!</definedName>
    <definedName name="plbeams" localSheetId="8">#REF!</definedName>
    <definedName name="plbeams" localSheetId="11">#REF!</definedName>
    <definedName name="plbeams" localSheetId="9">#REF!</definedName>
    <definedName name="plbeams" localSheetId="18">#REF!</definedName>
    <definedName name="plbeams" localSheetId="15">#REF!</definedName>
    <definedName name="plbeams" localSheetId="7">#REF!</definedName>
    <definedName name="plbeams">#REF!</definedName>
    <definedName name="plumbing" localSheetId="12">#REF!</definedName>
    <definedName name="plumbing" localSheetId="8">#REF!</definedName>
    <definedName name="plumbing" localSheetId="11">#REF!</definedName>
    <definedName name="plumbing" localSheetId="9">#REF!</definedName>
    <definedName name="plumbing" localSheetId="18">#REF!</definedName>
    <definedName name="plumbing" localSheetId="15">#REF!</definedName>
    <definedName name="plumbing" localSheetId="7">#REF!</definedName>
    <definedName name="plumbing">#REF!</definedName>
    <definedName name="pmc" localSheetId="12">#REF!</definedName>
    <definedName name="pmc" localSheetId="8">#REF!</definedName>
    <definedName name="pmc" localSheetId="11">#REF!</definedName>
    <definedName name="pmc" localSheetId="9">#REF!</definedName>
    <definedName name="pmc" localSheetId="18">#REF!</definedName>
    <definedName name="pmc" localSheetId="15">#REF!</definedName>
    <definedName name="pmc" localSheetId="7">#REF!</definedName>
    <definedName name="pmc">#REF!</definedName>
    <definedName name="pmp" localSheetId="12">#REF!</definedName>
    <definedName name="pmp" localSheetId="8">#REF!</definedName>
    <definedName name="pmp" localSheetId="11">#REF!</definedName>
    <definedName name="pmp" localSheetId="9">#REF!</definedName>
    <definedName name="pmp" localSheetId="18">#REF!</definedName>
    <definedName name="pmp" localSheetId="15">#REF!</definedName>
    <definedName name="pmp" localSheetId="7">#REF!</definedName>
    <definedName name="pmp">#REF!</definedName>
    <definedName name="pmt" localSheetId="12">#REF!</definedName>
    <definedName name="pmt" localSheetId="8">#REF!</definedName>
    <definedName name="pmt" localSheetId="11">#REF!</definedName>
    <definedName name="pmt" localSheetId="9">#REF!</definedName>
    <definedName name="pmt" localSheetId="18">#REF!</definedName>
    <definedName name="pmt" localSheetId="15">#REF!</definedName>
    <definedName name="pmt" localSheetId="7">#REF!</definedName>
    <definedName name="pmt">#REF!</definedName>
    <definedName name="po" localSheetId="12">#REF!</definedName>
    <definedName name="po" localSheetId="0">#REF!</definedName>
    <definedName name="po" localSheetId="1">#REF!</definedName>
    <definedName name="po" localSheetId="8">#REF!</definedName>
    <definedName name="po" localSheetId="11">#REF!</definedName>
    <definedName name="po" localSheetId="9">#REF!</definedName>
    <definedName name="po" localSheetId="18">#REF!</definedName>
    <definedName name="po" localSheetId="15">#REF!</definedName>
    <definedName name="po" localSheetId="7">#REF!</definedName>
    <definedName name="po">#REF!</definedName>
    <definedName name="Powder" localSheetId="12">#REF!</definedName>
    <definedName name="Powder" localSheetId="8">#REF!</definedName>
    <definedName name="Powder" localSheetId="11">#REF!</definedName>
    <definedName name="Powder" localSheetId="9">#REF!</definedName>
    <definedName name="Powder" localSheetId="18">#REF!</definedName>
    <definedName name="Powder" localSheetId="15">#REF!</definedName>
    <definedName name="Powder" localSheetId="7">#REF!</definedName>
    <definedName name="Powder">#REF!</definedName>
    <definedName name="pppp" localSheetId="12" hidden="1">{"CASH FLOW",#N/A,FALSE,"A"}</definedName>
    <definedName name="pppp" localSheetId="6" hidden="1">{"CASH FLOW",#N/A,FALSE,"A"}</definedName>
    <definedName name="pppp" localSheetId="5" hidden="1">{"CASH FLOW",#N/A,FALSE,"A"}</definedName>
    <definedName name="pppp" localSheetId="8" hidden="1">{"CASH FLOW",#N/A,FALSE,"A"}</definedName>
    <definedName name="pppp" localSheetId="11" hidden="1">{"CASH FLOW",#N/A,FALSE,"A"}</definedName>
    <definedName name="pppp" localSheetId="9" hidden="1">{"CASH FLOW",#N/A,FALSE,"A"}</definedName>
    <definedName name="pppp" localSheetId="13" hidden="1">{"CASH FLOW",#N/A,FALSE,"A"}</definedName>
    <definedName name="pppp" localSheetId="18" hidden="1">{"CASH FLOW",#N/A,FALSE,"A"}</definedName>
    <definedName name="pppp" localSheetId="15" hidden="1">{"CASH FLOW",#N/A,FALSE,"A"}</definedName>
    <definedName name="pppp" localSheetId="7" hidden="1">{"CASH FLOW",#N/A,FALSE,"A"}</definedName>
    <definedName name="pppp" hidden="1">{"CASH FLOW",#N/A,FALSE,"A"}</definedName>
    <definedName name="ppppppppppppp" localSheetId="12">#REF!</definedName>
    <definedName name="ppppppppppppp" localSheetId="6">#REF!</definedName>
    <definedName name="ppppppppppppp" localSheetId="5">#REF!</definedName>
    <definedName name="ppppppppppppp" localSheetId="8">#REF!</definedName>
    <definedName name="ppppppppppppp" localSheetId="11">#REF!</definedName>
    <definedName name="ppppppppppppp" localSheetId="9">#REF!</definedName>
    <definedName name="ppppppppppppp" localSheetId="18">#REF!</definedName>
    <definedName name="ppppppppppppp" localSheetId="15">#REF!</definedName>
    <definedName name="ppppppppppppp" localSheetId="7">#REF!</definedName>
    <definedName name="ppppppppppppp">#REF!</definedName>
    <definedName name="ppppppppppppppp" localSheetId="12">#REF!</definedName>
    <definedName name="ppppppppppppppp" localSheetId="6">#REF!</definedName>
    <definedName name="ppppppppppppppp" localSheetId="5">#REF!</definedName>
    <definedName name="ppppppppppppppp" localSheetId="8">#REF!</definedName>
    <definedName name="ppppppppppppppp" localSheetId="11">#REF!</definedName>
    <definedName name="ppppppppppppppp" localSheetId="9">#REF!</definedName>
    <definedName name="ppppppppppppppp" localSheetId="18">#REF!</definedName>
    <definedName name="ppppppppppppppp" localSheetId="15">#REF!</definedName>
    <definedName name="ppppppppppppppp" localSheetId="7">#REF!</definedName>
    <definedName name="ppppppppppppppp">#REF!</definedName>
    <definedName name="PR" localSheetId="12">#REF!</definedName>
    <definedName name="PR" localSheetId="6">#REF!</definedName>
    <definedName name="PR" localSheetId="5">#REF!</definedName>
    <definedName name="PR" localSheetId="8">#REF!</definedName>
    <definedName name="PR" localSheetId="11">#REF!</definedName>
    <definedName name="PR" localSheetId="9">#REF!</definedName>
    <definedName name="PR" localSheetId="18">#REF!</definedName>
    <definedName name="PR" localSheetId="15">#REF!</definedName>
    <definedName name="PR" localSheetId="7">#REF!</definedName>
    <definedName name="PR">#REF!</definedName>
    <definedName name="PRE" localSheetId="12" hidden="1">{#N/A,#N/A,FALSE,"COVER.XLS";#N/A,#N/A,FALSE,"RACT1.XLS";#N/A,#N/A,FALSE,"RACT2.XLS";#N/A,#N/A,FALSE,"ECCMP";#N/A,#N/A,FALSE,"WELDER.XLS"}</definedName>
    <definedName name="PRE" localSheetId="6" hidden="1">{#N/A,#N/A,FALSE,"COVER.XLS";#N/A,#N/A,FALSE,"RACT1.XLS";#N/A,#N/A,FALSE,"RACT2.XLS";#N/A,#N/A,FALSE,"ECCMP";#N/A,#N/A,FALSE,"WELDER.XLS"}</definedName>
    <definedName name="PRE" localSheetId="5" hidden="1">{#N/A,#N/A,FALSE,"COVER.XLS";#N/A,#N/A,FALSE,"RACT1.XLS";#N/A,#N/A,FALSE,"RACT2.XLS";#N/A,#N/A,FALSE,"ECCMP";#N/A,#N/A,FALSE,"WELDER.XLS"}</definedName>
    <definedName name="PRE" localSheetId="8" hidden="1">{#N/A,#N/A,FALSE,"COVER.XLS";#N/A,#N/A,FALSE,"RACT1.XLS";#N/A,#N/A,FALSE,"RACT2.XLS";#N/A,#N/A,FALSE,"ECCMP";#N/A,#N/A,FALSE,"WELDER.XLS"}</definedName>
    <definedName name="PRE" localSheetId="11" hidden="1">{#N/A,#N/A,FALSE,"COVER.XLS";#N/A,#N/A,FALSE,"RACT1.XLS";#N/A,#N/A,FALSE,"RACT2.XLS";#N/A,#N/A,FALSE,"ECCMP";#N/A,#N/A,FALSE,"WELDER.XLS"}</definedName>
    <definedName name="PRE" localSheetId="9" hidden="1">{#N/A,#N/A,FALSE,"COVER.XLS";#N/A,#N/A,FALSE,"RACT1.XLS";#N/A,#N/A,FALSE,"RACT2.XLS";#N/A,#N/A,FALSE,"ECCMP";#N/A,#N/A,FALSE,"WELDER.XLS"}</definedName>
    <definedName name="PRE" localSheetId="13" hidden="1">{#N/A,#N/A,FALSE,"COVER.XLS";#N/A,#N/A,FALSE,"RACT1.XLS";#N/A,#N/A,FALSE,"RACT2.XLS";#N/A,#N/A,FALSE,"ECCMP";#N/A,#N/A,FALSE,"WELDER.XLS"}</definedName>
    <definedName name="PRE" localSheetId="18" hidden="1">{#N/A,#N/A,FALSE,"COVER.XLS";#N/A,#N/A,FALSE,"RACT1.XLS";#N/A,#N/A,FALSE,"RACT2.XLS";#N/A,#N/A,FALSE,"ECCMP";#N/A,#N/A,FALSE,"WELDER.XLS"}</definedName>
    <definedName name="PRE" localSheetId="15" hidden="1">{#N/A,#N/A,FALSE,"COVER.XLS";#N/A,#N/A,FALSE,"RACT1.XLS";#N/A,#N/A,FALSE,"RACT2.XLS";#N/A,#N/A,FALSE,"ECCMP";#N/A,#N/A,FALSE,"WELDER.XLS"}</definedName>
    <definedName name="PRE" localSheetId="7" hidden="1">{#N/A,#N/A,FALSE,"COVER.XLS";#N/A,#N/A,FALSE,"RACT1.XLS";#N/A,#N/A,FALSE,"RACT2.XLS";#N/A,#N/A,FALSE,"ECCMP";#N/A,#N/A,FALSE,"WELDER.XLS"}</definedName>
    <definedName name="PRE" hidden="1">{#N/A,#N/A,FALSE,"COVER.XLS";#N/A,#N/A,FALSE,"RACT1.XLS";#N/A,#N/A,FALSE,"RACT2.XLS";#N/A,#N/A,FALSE,"ECCMP";#N/A,#N/A,FALSE,"WELDER.XLS"}</definedName>
    <definedName name="PREAMBLE" localSheetId="12" hidden="1">{#N/A,#N/A,FALSE,"COVER.XLS";#N/A,#N/A,FALSE,"RACT1.XLS";#N/A,#N/A,FALSE,"RACT2.XLS";#N/A,#N/A,FALSE,"ECCMP";#N/A,#N/A,FALSE,"WELDER.XLS"}</definedName>
    <definedName name="PREAMBLE" localSheetId="6" hidden="1">{#N/A,#N/A,FALSE,"COVER.XLS";#N/A,#N/A,FALSE,"RACT1.XLS";#N/A,#N/A,FALSE,"RACT2.XLS";#N/A,#N/A,FALSE,"ECCMP";#N/A,#N/A,FALSE,"WELDER.XLS"}</definedName>
    <definedName name="PREAMBLE" localSheetId="5" hidden="1">{#N/A,#N/A,FALSE,"COVER.XLS";#N/A,#N/A,FALSE,"RACT1.XLS";#N/A,#N/A,FALSE,"RACT2.XLS";#N/A,#N/A,FALSE,"ECCMP";#N/A,#N/A,FALSE,"WELDER.XLS"}</definedName>
    <definedName name="PREAMBLE" localSheetId="8" hidden="1">{#N/A,#N/A,FALSE,"COVER.XLS";#N/A,#N/A,FALSE,"RACT1.XLS";#N/A,#N/A,FALSE,"RACT2.XLS";#N/A,#N/A,FALSE,"ECCMP";#N/A,#N/A,FALSE,"WELDER.XLS"}</definedName>
    <definedName name="PREAMBLE" localSheetId="11" hidden="1">{#N/A,#N/A,FALSE,"COVER.XLS";#N/A,#N/A,FALSE,"RACT1.XLS";#N/A,#N/A,FALSE,"RACT2.XLS";#N/A,#N/A,FALSE,"ECCMP";#N/A,#N/A,FALSE,"WELDER.XLS"}</definedName>
    <definedName name="PREAMBLE" localSheetId="9" hidden="1">{#N/A,#N/A,FALSE,"COVER.XLS";#N/A,#N/A,FALSE,"RACT1.XLS";#N/A,#N/A,FALSE,"RACT2.XLS";#N/A,#N/A,FALSE,"ECCMP";#N/A,#N/A,FALSE,"WELDER.XLS"}</definedName>
    <definedName name="PREAMBLE" localSheetId="13" hidden="1">{#N/A,#N/A,FALSE,"COVER.XLS";#N/A,#N/A,FALSE,"RACT1.XLS";#N/A,#N/A,FALSE,"RACT2.XLS";#N/A,#N/A,FALSE,"ECCMP";#N/A,#N/A,FALSE,"WELDER.XLS"}</definedName>
    <definedName name="PREAMBLE" localSheetId="18" hidden="1">{#N/A,#N/A,FALSE,"COVER.XLS";#N/A,#N/A,FALSE,"RACT1.XLS";#N/A,#N/A,FALSE,"RACT2.XLS";#N/A,#N/A,FALSE,"ECCMP";#N/A,#N/A,FALSE,"WELDER.XLS"}</definedName>
    <definedName name="PREAMBLE" localSheetId="15" hidden="1">{#N/A,#N/A,FALSE,"COVER.XLS";#N/A,#N/A,FALSE,"RACT1.XLS";#N/A,#N/A,FALSE,"RACT2.XLS";#N/A,#N/A,FALSE,"ECCMP";#N/A,#N/A,FALSE,"WELDER.XLS"}</definedName>
    <definedName name="PREAMBLE" localSheetId="7" hidden="1">{#N/A,#N/A,FALSE,"COVER.XLS";#N/A,#N/A,FALSE,"RACT1.XLS";#N/A,#N/A,FALSE,"RACT2.XLS";#N/A,#N/A,FALSE,"ECCMP";#N/A,#N/A,FALSE,"WELDER.XLS"}</definedName>
    <definedName name="PREAMBLE" hidden="1">{#N/A,#N/A,FALSE,"COVER.XLS";#N/A,#N/A,FALSE,"RACT1.XLS";#N/A,#N/A,FALSE,"RACT2.XLS";#N/A,#N/A,FALSE,"ECCMP";#N/A,#N/A,FALSE,"WELDER.XLS"}</definedName>
    <definedName name="Prelm_Exp" localSheetId="12">#REF!</definedName>
    <definedName name="Prelm_Exp" localSheetId="0">#REF!</definedName>
    <definedName name="Prelm_Exp" localSheetId="1">#REF!</definedName>
    <definedName name="Prelm_Exp" localSheetId="6">#REF!</definedName>
    <definedName name="Prelm_Exp" localSheetId="5">#REF!</definedName>
    <definedName name="Prelm_Exp" localSheetId="8">#REF!</definedName>
    <definedName name="Prelm_Exp" localSheetId="11">#REF!</definedName>
    <definedName name="Prelm_Exp" localSheetId="9">#REF!</definedName>
    <definedName name="Prelm_Exp" localSheetId="18">#REF!</definedName>
    <definedName name="Prelm_Exp" localSheetId="15">#REF!</definedName>
    <definedName name="Prelm_Exp" localSheetId="7">#REF!</definedName>
    <definedName name="Prelm_Exp">#REF!</definedName>
    <definedName name="prepared.by" localSheetId="12" hidden="1">#REF!</definedName>
    <definedName name="prepared.by" localSheetId="6" hidden="1">#REF!</definedName>
    <definedName name="prepared.by" localSheetId="5" hidden="1">#REF!</definedName>
    <definedName name="prepared.by" localSheetId="8" hidden="1">#REF!</definedName>
    <definedName name="prepared.by" localSheetId="11" hidden="1">#REF!</definedName>
    <definedName name="prepared.by" localSheetId="9" hidden="1">#REF!</definedName>
    <definedName name="prepared.by" localSheetId="18" hidden="1">#REF!</definedName>
    <definedName name="prepared.by" localSheetId="15" hidden="1">#REF!</definedName>
    <definedName name="prepared.by" localSheetId="7" hidden="1">#REF!</definedName>
    <definedName name="prepared.by" hidden="1">#REF!</definedName>
    <definedName name="price" localSheetId="12">#REF!</definedName>
    <definedName name="price" localSheetId="8">#REF!</definedName>
    <definedName name="price" localSheetId="11">#REF!</definedName>
    <definedName name="price" localSheetId="9">#REF!</definedName>
    <definedName name="price" localSheetId="18">#REF!</definedName>
    <definedName name="price" localSheetId="15">#REF!</definedName>
    <definedName name="price" localSheetId="7">#REF!</definedName>
    <definedName name="price">#REF!</definedName>
    <definedName name="PRICE_QUOTATION_TABLE___PASSENGER_MODELS" localSheetId="12">#REF!</definedName>
    <definedName name="PRICE_QUOTATION_TABLE___PASSENGER_MODELS" localSheetId="8">#REF!</definedName>
    <definedName name="PRICE_QUOTATION_TABLE___PASSENGER_MODELS" localSheetId="11">#REF!</definedName>
    <definedName name="PRICE_QUOTATION_TABLE___PASSENGER_MODELS" localSheetId="9">#REF!</definedName>
    <definedName name="PRICE_QUOTATION_TABLE___PASSENGER_MODELS" localSheetId="18">#REF!</definedName>
    <definedName name="PRICE_QUOTATION_TABLE___PASSENGER_MODELS" localSheetId="15">#REF!</definedName>
    <definedName name="PRICE_QUOTATION_TABLE___PASSENGER_MODELS" localSheetId="7">#REF!</definedName>
    <definedName name="PRICE_QUOTATION_TABLE___PASSENGER_MODELS">#REF!</definedName>
    <definedName name="PrimeAddress" localSheetId="12">#REF!</definedName>
    <definedName name="PrimeAddress" localSheetId="0">#REF!</definedName>
    <definedName name="PrimeAddress" localSheetId="1">#REF!</definedName>
    <definedName name="PrimeAddress" localSheetId="8">#REF!</definedName>
    <definedName name="PrimeAddress" localSheetId="11">#REF!</definedName>
    <definedName name="PrimeAddress" localSheetId="9">#REF!</definedName>
    <definedName name="PrimeAddress" localSheetId="18">#REF!</definedName>
    <definedName name="PrimeAddress" localSheetId="15">#REF!</definedName>
    <definedName name="PrimeAddress" localSheetId="7">#REF!</definedName>
    <definedName name="PrimeAddress">#REF!</definedName>
    <definedName name="PrimeCity" localSheetId="12">#REF!</definedName>
    <definedName name="PrimeCity" localSheetId="0">#REF!</definedName>
    <definedName name="PrimeCity" localSheetId="1">#REF!</definedName>
    <definedName name="PrimeCity" localSheetId="8">#REF!</definedName>
    <definedName name="PrimeCity" localSheetId="11">#REF!</definedName>
    <definedName name="PrimeCity" localSheetId="9">#REF!</definedName>
    <definedName name="PrimeCity" localSheetId="18">#REF!</definedName>
    <definedName name="PrimeCity" localSheetId="15">#REF!</definedName>
    <definedName name="PrimeCity" localSheetId="7">#REF!</definedName>
    <definedName name="PrimeCity">#REF!</definedName>
    <definedName name="PrimeName" localSheetId="12">#REF!</definedName>
    <definedName name="PrimeName" localSheetId="0">#REF!</definedName>
    <definedName name="PrimeName" localSheetId="1">#REF!</definedName>
    <definedName name="PrimeName" localSheetId="8">#REF!</definedName>
    <definedName name="PrimeName" localSheetId="11">#REF!</definedName>
    <definedName name="PrimeName" localSheetId="9">#REF!</definedName>
    <definedName name="PrimeName" localSheetId="18">#REF!</definedName>
    <definedName name="PrimeName" localSheetId="15">#REF!</definedName>
    <definedName name="PrimeName" localSheetId="7">#REF!</definedName>
    <definedName name="PrimeName">#REF!</definedName>
    <definedName name="PrimePostal" localSheetId="12">#REF!</definedName>
    <definedName name="PrimePostal" localSheetId="0">#REF!</definedName>
    <definedName name="PrimePostal" localSheetId="1">#REF!</definedName>
    <definedName name="PrimePostal" localSheetId="8">#REF!</definedName>
    <definedName name="PrimePostal" localSheetId="11">#REF!</definedName>
    <definedName name="PrimePostal" localSheetId="9">#REF!</definedName>
    <definedName name="PrimePostal" localSheetId="18">#REF!</definedName>
    <definedName name="PrimePostal" localSheetId="15">#REF!</definedName>
    <definedName name="PrimePostal" localSheetId="7">#REF!</definedName>
    <definedName name="PrimePostal">#REF!</definedName>
    <definedName name="PrimePrio" localSheetId="12">#REF!</definedName>
    <definedName name="PrimePrio" localSheetId="0">#REF!</definedName>
    <definedName name="PrimePrio" localSheetId="1">#REF!</definedName>
    <definedName name="PrimePrio" localSheetId="8">#REF!</definedName>
    <definedName name="PrimePrio" localSheetId="11">#REF!</definedName>
    <definedName name="PrimePrio" localSheetId="9">#REF!</definedName>
    <definedName name="PrimePrio" localSheetId="18">#REF!</definedName>
    <definedName name="PrimePrio" localSheetId="15">#REF!</definedName>
    <definedName name="PrimePrio" localSheetId="7">#REF!</definedName>
    <definedName name="PrimePrio">#REF!</definedName>
    <definedName name="PrimePrio_Text" localSheetId="12">#REF!</definedName>
    <definedName name="PrimePrio_Text" localSheetId="0">#REF!</definedName>
    <definedName name="PrimePrio_Text" localSheetId="1">#REF!</definedName>
    <definedName name="PrimePrio_Text" localSheetId="8">#REF!</definedName>
    <definedName name="PrimePrio_Text" localSheetId="11">#REF!</definedName>
    <definedName name="PrimePrio_Text" localSheetId="9">#REF!</definedName>
    <definedName name="PrimePrio_Text" localSheetId="18">#REF!</definedName>
    <definedName name="PrimePrio_Text" localSheetId="15">#REF!</definedName>
    <definedName name="PrimePrio_Text" localSheetId="7">#REF!</definedName>
    <definedName name="PrimePrio_Text">#REF!</definedName>
    <definedName name="PrimeState" localSheetId="12">#REF!</definedName>
    <definedName name="PrimeState" localSheetId="0">#REF!</definedName>
    <definedName name="PrimeState" localSheetId="1">#REF!</definedName>
    <definedName name="PrimeState" localSheetId="8">#REF!</definedName>
    <definedName name="PrimeState" localSheetId="11">#REF!</definedName>
    <definedName name="PrimeState" localSheetId="9">#REF!</definedName>
    <definedName name="PrimeState" localSheetId="18">#REF!</definedName>
    <definedName name="PrimeState" localSheetId="15">#REF!</definedName>
    <definedName name="PrimeState" localSheetId="7">#REF!</definedName>
    <definedName name="PrimeState">#REF!</definedName>
    <definedName name="prince" localSheetId="12">#REF!</definedName>
    <definedName name="prince" localSheetId="0">#REF!</definedName>
    <definedName name="prince" localSheetId="1">#REF!</definedName>
    <definedName name="prince" localSheetId="8">#REF!</definedName>
    <definedName name="prince" localSheetId="11">#REF!</definedName>
    <definedName name="prince" localSheetId="9">#REF!</definedName>
    <definedName name="prince" localSheetId="18">#REF!</definedName>
    <definedName name="prince" localSheetId="15">#REF!</definedName>
    <definedName name="prince" localSheetId="7">#REF!</definedName>
    <definedName name="prince">#REF!</definedName>
    <definedName name="prince1" localSheetId="12">#REF!</definedName>
    <definedName name="prince1" localSheetId="0">#REF!</definedName>
    <definedName name="prince1" localSheetId="1">#REF!</definedName>
    <definedName name="prince1" localSheetId="8">#REF!</definedName>
    <definedName name="prince1" localSheetId="11">#REF!</definedName>
    <definedName name="prince1" localSheetId="9">#REF!</definedName>
    <definedName name="prince1" localSheetId="18">#REF!</definedName>
    <definedName name="prince1" localSheetId="15">#REF!</definedName>
    <definedName name="prince1" localSheetId="7">#REF!</definedName>
    <definedName name="prince1">#REF!</definedName>
    <definedName name="PRINCE2" localSheetId="12">#REF!</definedName>
    <definedName name="PRINCE2" localSheetId="0">#REF!</definedName>
    <definedName name="PRINCE2" localSheetId="1">#REF!</definedName>
    <definedName name="PRINCE2" localSheetId="8">#REF!</definedName>
    <definedName name="PRINCE2" localSheetId="11">#REF!</definedName>
    <definedName name="PRINCE2" localSheetId="9">#REF!</definedName>
    <definedName name="PRINCE2" localSheetId="18">#REF!</definedName>
    <definedName name="PRINCE2" localSheetId="15">#REF!</definedName>
    <definedName name="PRINCE2" localSheetId="7">#REF!</definedName>
    <definedName name="PRINCE2">#REF!</definedName>
    <definedName name="PRINCE22" localSheetId="12">#REF!</definedName>
    <definedName name="PRINCE22" localSheetId="0">#REF!</definedName>
    <definedName name="PRINCE22" localSheetId="1">#REF!</definedName>
    <definedName name="PRINCE22" localSheetId="8">#REF!</definedName>
    <definedName name="PRINCE22" localSheetId="11">#REF!</definedName>
    <definedName name="PRINCE22" localSheetId="9">#REF!</definedName>
    <definedName name="PRINCE22" localSheetId="18">#REF!</definedName>
    <definedName name="PRINCE22" localSheetId="15">#REF!</definedName>
    <definedName name="PRINCE22" localSheetId="7">#REF!</definedName>
    <definedName name="PRINCE22">#REF!</definedName>
    <definedName name="prince25" localSheetId="12">#REF!</definedName>
    <definedName name="prince25" localSheetId="0">#REF!</definedName>
    <definedName name="prince25" localSheetId="1">#REF!</definedName>
    <definedName name="prince25" localSheetId="8">#REF!</definedName>
    <definedName name="prince25" localSheetId="11">#REF!</definedName>
    <definedName name="prince25" localSheetId="9">#REF!</definedName>
    <definedName name="prince25" localSheetId="18">#REF!</definedName>
    <definedName name="prince25" localSheetId="15">#REF!</definedName>
    <definedName name="prince25" localSheetId="7">#REF!</definedName>
    <definedName name="prince25">#REF!</definedName>
    <definedName name="Principal" localSheetId="12">#REF!</definedName>
    <definedName name="Principal" localSheetId="8">#REF!</definedName>
    <definedName name="Principal" localSheetId="11">#REF!</definedName>
    <definedName name="Principal" localSheetId="9">#REF!</definedName>
    <definedName name="Principal" localSheetId="18">#REF!</definedName>
    <definedName name="Principal" localSheetId="15">#REF!</definedName>
    <definedName name="Principal" localSheetId="7">#REF!</definedName>
    <definedName name="Principal">#REF!</definedName>
    <definedName name="_xlnm.Print_Area" localSheetId="12">#REF!</definedName>
    <definedName name="_xlnm.Print_Area" localSheetId="8">#REF!</definedName>
    <definedName name="_xlnm.Print_Area" localSheetId="11">#REF!</definedName>
    <definedName name="_xlnm.Print_Area" localSheetId="9">#REF!</definedName>
    <definedName name="_xlnm.Print_Area" localSheetId="13">#REF!</definedName>
    <definedName name="_xlnm.Print_Area" localSheetId="18">#REF!</definedName>
    <definedName name="_xlnm.Print_Area" localSheetId="15">#REF!</definedName>
    <definedName name="_xlnm.Print_Area" localSheetId="7">#REF!</definedName>
    <definedName name="_xlnm.Print_Area">#REF!</definedName>
    <definedName name="PRINT_AREA_MI" localSheetId="12">#REF!</definedName>
    <definedName name="PRINT_AREA_MI" localSheetId="0">#REF!</definedName>
    <definedName name="PRINT_AREA_MI" localSheetId="1">#REF!</definedName>
    <definedName name="PRINT_AREA_MI" localSheetId="8">#REF!</definedName>
    <definedName name="PRINT_AREA_MI" localSheetId="11">#REF!</definedName>
    <definedName name="PRINT_AREA_MI" localSheetId="9">#REF!</definedName>
    <definedName name="PRINT_AREA_MI" localSheetId="18">#REF!</definedName>
    <definedName name="PRINT_AREA_MI" localSheetId="15">#REF!</definedName>
    <definedName name="PRINT_AREA_MI" localSheetId="7">#REF!</definedName>
    <definedName name="PRINT_AREA_MI">#REF!</definedName>
    <definedName name="PRINT_AREA_MI___0" localSheetId="12">#REF!</definedName>
    <definedName name="PRINT_AREA_MI___0" localSheetId="8">#REF!</definedName>
    <definedName name="PRINT_AREA_MI___0" localSheetId="11">#REF!</definedName>
    <definedName name="PRINT_AREA_MI___0" localSheetId="9">#REF!</definedName>
    <definedName name="PRINT_AREA_MI___0" localSheetId="18">#REF!</definedName>
    <definedName name="PRINT_AREA_MI___0" localSheetId="15">#REF!</definedName>
    <definedName name="PRINT_AREA_MI___0" localSheetId="7">#REF!</definedName>
    <definedName name="PRINT_AREA_MI___0">#REF!</definedName>
    <definedName name="Print_Area_MI_17" localSheetId="12">#REF!</definedName>
    <definedName name="Print_Area_MI_17" localSheetId="8">#REF!</definedName>
    <definedName name="Print_Area_MI_17" localSheetId="11">#REF!</definedName>
    <definedName name="Print_Area_MI_17" localSheetId="9">#REF!</definedName>
    <definedName name="Print_Area_MI_17" localSheetId="18">#REF!</definedName>
    <definedName name="Print_Area_MI_17" localSheetId="15">#REF!</definedName>
    <definedName name="Print_Area_MI_17" localSheetId="7">#REF!</definedName>
    <definedName name="Print_Area_MI_17">#REF!</definedName>
    <definedName name="Print_Range" localSheetId="12">#REF!</definedName>
    <definedName name="Print_Range" localSheetId="8">#REF!</definedName>
    <definedName name="Print_Range" localSheetId="11">#REF!</definedName>
    <definedName name="Print_Range" localSheetId="9">#REF!</definedName>
    <definedName name="Print_Range" localSheetId="18">#REF!</definedName>
    <definedName name="Print_Range" localSheetId="15">#REF!</definedName>
    <definedName name="Print_Range" localSheetId="7">#REF!</definedName>
    <definedName name="Print_Range">#REF!</definedName>
    <definedName name="_xlnm.Print_Titles">#N/A</definedName>
    <definedName name="ProdCode1" localSheetId="12">#REF!</definedName>
    <definedName name="ProdCode1" localSheetId="0">#REF!</definedName>
    <definedName name="ProdCode1" localSheetId="1">#REF!</definedName>
    <definedName name="ProdCode1" localSheetId="6">#REF!</definedName>
    <definedName name="ProdCode1" localSheetId="5">#REF!</definedName>
    <definedName name="ProdCode1" localSheetId="8">#REF!</definedName>
    <definedName name="ProdCode1" localSheetId="11">#REF!</definedName>
    <definedName name="ProdCode1" localSheetId="9">#REF!</definedName>
    <definedName name="ProdCode1" localSheetId="18">#REF!</definedName>
    <definedName name="ProdCode1" localSheetId="15">#REF!</definedName>
    <definedName name="ProdCode1" localSheetId="7">#REF!</definedName>
    <definedName name="ProdCode1">#REF!</definedName>
    <definedName name="ProdCode1_Text" localSheetId="12">#REF!</definedName>
    <definedName name="ProdCode1_Text" localSheetId="0">#REF!</definedName>
    <definedName name="ProdCode1_Text" localSheetId="1">#REF!</definedName>
    <definedName name="ProdCode1_Text" localSheetId="8">#REF!</definedName>
    <definedName name="ProdCode1_Text" localSheetId="11">#REF!</definedName>
    <definedName name="ProdCode1_Text" localSheetId="9">#REF!</definedName>
    <definedName name="ProdCode1_Text" localSheetId="18">#REF!</definedName>
    <definedName name="ProdCode1_Text" localSheetId="15">#REF!</definedName>
    <definedName name="ProdCode1_Text" localSheetId="7">#REF!</definedName>
    <definedName name="ProdCode1_Text">#REF!</definedName>
    <definedName name="ProdCode2" localSheetId="12">#REF!</definedName>
    <definedName name="ProdCode2" localSheetId="0">#REF!</definedName>
    <definedName name="ProdCode2" localSheetId="1">#REF!</definedName>
    <definedName name="ProdCode2" localSheetId="8">#REF!</definedName>
    <definedName name="ProdCode2" localSheetId="11">#REF!</definedName>
    <definedName name="ProdCode2" localSheetId="9">#REF!</definedName>
    <definedName name="ProdCode2" localSheetId="18">#REF!</definedName>
    <definedName name="ProdCode2" localSheetId="15">#REF!</definedName>
    <definedName name="ProdCode2" localSheetId="7">#REF!</definedName>
    <definedName name="ProdCode2">#REF!</definedName>
    <definedName name="ProdCode2_Text" localSheetId="12">#REF!</definedName>
    <definedName name="ProdCode2_Text" localSheetId="0">#REF!</definedName>
    <definedName name="ProdCode2_Text" localSheetId="1">#REF!</definedName>
    <definedName name="ProdCode2_Text" localSheetId="8">#REF!</definedName>
    <definedName name="ProdCode2_Text" localSheetId="11">#REF!</definedName>
    <definedName name="ProdCode2_Text" localSheetId="9">#REF!</definedName>
    <definedName name="ProdCode2_Text" localSheetId="18">#REF!</definedName>
    <definedName name="ProdCode2_Text" localSheetId="15">#REF!</definedName>
    <definedName name="ProdCode2_Text" localSheetId="7">#REF!</definedName>
    <definedName name="ProdCode2_Text">#REF!</definedName>
    <definedName name="ProdCode3" localSheetId="12">#REF!</definedName>
    <definedName name="ProdCode3" localSheetId="0">#REF!</definedName>
    <definedName name="ProdCode3" localSheetId="1">#REF!</definedName>
    <definedName name="ProdCode3" localSheetId="8">#REF!</definedName>
    <definedName name="ProdCode3" localSheetId="11">#REF!</definedName>
    <definedName name="ProdCode3" localSheetId="9">#REF!</definedName>
    <definedName name="ProdCode3" localSheetId="18">#REF!</definedName>
    <definedName name="ProdCode3" localSheetId="15">#REF!</definedName>
    <definedName name="ProdCode3" localSheetId="7">#REF!</definedName>
    <definedName name="ProdCode3">#REF!</definedName>
    <definedName name="ProdCode3_Text" localSheetId="12">#REF!</definedName>
    <definedName name="ProdCode3_Text" localSheetId="0">#REF!</definedName>
    <definedName name="ProdCode3_Text" localSheetId="1">#REF!</definedName>
    <definedName name="ProdCode3_Text" localSheetId="8">#REF!</definedName>
    <definedName name="ProdCode3_Text" localSheetId="11">#REF!</definedName>
    <definedName name="ProdCode3_Text" localSheetId="9">#REF!</definedName>
    <definedName name="ProdCode3_Text" localSheetId="18">#REF!</definedName>
    <definedName name="ProdCode3_Text" localSheetId="15">#REF!</definedName>
    <definedName name="ProdCode3_Text" localSheetId="7">#REF!</definedName>
    <definedName name="ProdCode3_Text">#REF!</definedName>
    <definedName name="ProdCode4" localSheetId="12">#REF!</definedName>
    <definedName name="ProdCode4" localSheetId="0">#REF!</definedName>
    <definedName name="ProdCode4" localSheetId="1">#REF!</definedName>
    <definedName name="ProdCode4" localSheetId="8">#REF!</definedName>
    <definedName name="ProdCode4" localSheetId="11">#REF!</definedName>
    <definedName name="ProdCode4" localSheetId="9">#REF!</definedName>
    <definedName name="ProdCode4" localSheetId="18">#REF!</definedName>
    <definedName name="ProdCode4" localSheetId="15">#REF!</definedName>
    <definedName name="ProdCode4" localSheetId="7">#REF!</definedName>
    <definedName name="ProdCode4">#REF!</definedName>
    <definedName name="ProdCode4_Text" localSheetId="12">#REF!</definedName>
    <definedName name="ProdCode4_Text" localSheetId="0">#REF!</definedName>
    <definedName name="ProdCode4_Text" localSheetId="1">#REF!</definedName>
    <definedName name="ProdCode4_Text" localSheetId="8">#REF!</definedName>
    <definedName name="ProdCode4_Text" localSheetId="11">#REF!</definedName>
    <definedName name="ProdCode4_Text" localSheetId="9">#REF!</definedName>
    <definedName name="ProdCode4_Text" localSheetId="18">#REF!</definedName>
    <definedName name="ProdCode4_Text" localSheetId="15">#REF!</definedName>
    <definedName name="ProdCode4_Text" localSheetId="7">#REF!</definedName>
    <definedName name="ProdCode4_Text">#REF!</definedName>
    <definedName name="ProdCode5" localSheetId="12">#REF!</definedName>
    <definedName name="ProdCode5" localSheetId="0">#REF!</definedName>
    <definedName name="ProdCode5" localSheetId="1">#REF!</definedName>
    <definedName name="ProdCode5" localSheetId="8">#REF!</definedName>
    <definedName name="ProdCode5" localSheetId="11">#REF!</definedName>
    <definedName name="ProdCode5" localSheetId="9">#REF!</definedName>
    <definedName name="ProdCode5" localSheetId="18">#REF!</definedName>
    <definedName name="ProdCode5" localSheetId="15">#REF!</definedName>
    <definedName name="ProdCode5" localSheetId="7">#REF!</definedName>
    <definedName name="ProdCode5">#REF!</definedName>
    <definedName name="ProdCode5_Text" localSheetId="12">#REF!</definedName>
    <definedName name="ProdCode5_Text" localSheetId="0">#REF!</definedName>
    <definedName name="ProdCode5_Text" localSheetId="1">#REF!</definedName>
    <definedName name="ProdCode5_Text" localSheetId="8">#REF!</definedName>
    <definedName name="ProdCode5_Text" localSheetId="11">#REF!</definedName>
    <definedName name="ProdCode5_Text" localSheetId="9">#REF!</definedName>
    <definedName name="ProdCode5_Text" localSheetId="18">#REF!</definedName>
    <definedName name="ProdCode5_Text" localSheetId="15">#REF!</definedName>
    <definedName name="ProdCode5_Text" localSheetId="7">#REF!</definedName>
    <definedName name="ProdCode5_Text">#REF!</definedName>
    <definedName name="ProdPct1" localSheetId="12">#REF!</definedName>
    <definedName name="ProdPct1" localSheetId="0">#REF!</definedName>
    <definedName name="ProdPct1" localSheetId="1">#REF!</definedName>
    <definedName name="ProdPct1" localSheetId="8">#REF!</definedName>
    <definedName name="ProdPct1" localSheetId="11">#REF!</definedName>
    <definedName name="ProdPct1" localSheetId="9">#REF!</definedName>
    <definedName name="ProdPct1" localSheetId="18">#REF!</definedName>
    <definedName name="ProdPct1" localSheetId="15">#REF!</definedName>
    <definedName name="ProdPct1" localSheetId="7">#REF!</definedName>
    <definedName name="ProdPct1">#REF!</definedName>
    <definedName name="ProdPct2" localSheetId="12">#REF!</definedName>
    <definedName name="ProdPct2" localSheetId="0">#REF!</definedName>
    <definedName name="ProdPct2" localSheetId="1">#REF!</definedName>
    <definedName name="ProdPct2" localSheetId="8">#REF!</definedName>
    <definedName name="ProdPct2" localSheetId="11">#REF!</definedName>
    <definedName name="ProdPct2" localSheetId="9">#REF!</definedName>
    <definedName name="ProdPct2" localSheetId="18">#REF!</definedName>
    <definedName name="ProdPct2" localSheetId="15">#REF!</definedName>
    <definedName name="ProdPct2" localSheetId="7">#REF!</definedName>
    <definedName name="ProdPct2">#REF!</definedName>
    <definedName name="ProdPct3" localSheetId="12">#REF!</definedName>
    <definedName name="ProdPct3" localSheetId="0">#REF!</definedName>
    <definedName name="ProdPct3" localSheetId="1">#REF!</definedName>
    <definedName name="ProdPct3" localSheetId="8">#REF!</definedName>
    <definedName name="ProdPct3" localSheetId="11">#REF!</definedName>
    <definedName name="ProdPct3" localSheetId="9">#REF!</definedName>
    <definedName name="ProdPct3" localSheetId="18">#REF!</definedName>
    <definedName name="ProdPct3" localSheetId="15">#REF!</definedName>
    <definedName name="ProdPct3" localSheetId="7">#REF!</definedName>
    <definedName name="ProdPct3">#REF!</definedName>
    <definedName name="ProdPct4" localSheetId="12">#REF!</definedName>
    <definedName name="ProdPct4" localSheetId="0">#REF!</definedName>
    <definedName name="ProdPct4" localSheetId="1">#REF!</definedName>
    <definedName name="ProdPct4" localSheetId="8">#REF!</definedName>
    <definedName name="ProdPct4" localSheetId="11">#REF!</definedName>
    <definedName name="ProdPct4" localSheetId="9">#REF!</definedName>
    <definedName name="ProdPct4" localSheetId="18">#REF!</definedName>
    <definedName name="ProdPct4" localSheetId="15">#REF!</definedName>
    <definedName name="ProdPct4" localSheetId="7">#REF!</definedName>
    <definedName name="ProdPct4">#REF!</definedName>
    <definedName name="ProdPct5" localSheetId="12">#REF!</definedName>
    <definedName name="ProdPct5" localSheetId="0">#REF!</definedName>
    <definedName name="ProdPct5" localSheetId="1">#REF!</definedName>
    <definedName name="ProdPct5" localSheetId="8">#REF!</definedName>
    <definedName name="ProdPct5" localSheetId="11">#REF!</definedName>
    <definedName name="ProdPct5" localSheetId="9">#REF!</definedName>
    <definedName name="ProdPct5" localSheetId="18">#REF!</definedName>
    <definedName name="ProdPct5" localSheetId="15">#REF!</definedName>
    <definedName name="ProdPct5" localSheetId="7">#REF!</definedName>
    <definedName name="ProdPct5">#REF!</definedName>
    <definedName name="ProjAddress1" localSheetId="12">#REF!</definedName>
    <definedName name="ProjAddress1" localSheetId="0">#REF!</definedName>
    <definedName name="ProjAddress1" localSheetId="1">#REF!</definedName>
    <definedName name="ProjAddress1" localSheetId="8">#REF!</definedName>
    <definedName name="ProjAddress1" localSheetId="11">#REF!</definedName>
    <definedName name="ProjAddress1" localSheetId="9">#REF!</definedName>
    <definedName name="ProjAddress1" localSheetId="18">#REF!</definedName>
    <definedName name="ProjAddress1" localSheetId="15">#REF!</definedName>
    <definedName name="ProjAddress1" localSheetId="7">#REF!</definedName>
    <definedName name="ProjAddress1">#REF!</definedName>
    <definedName name="ProjAddress2" localSheetId="12">#REF!</definedName>
    <definedName name="ProjAddress2" localSheetId="0">#REF!</definedName>
    <definedName name="ProjAddress2" localSheetId="1">#REF!</definedName>
    <definedName name="ProjAddress2" localSheetId="8">#REF!</definedName>
    <definedName name="ProjAddress2" localSheetId="11">#REF!</definedName>
    <definedName name="ProjAddress2" localSheetId="9">#REF!</definedName>
    <definedName name="ProjAddress2" localSheetId="18">#REF!</definedName>
    <definedName name="ProjAddress2" localSheetId="15">#REF!</definedName>
    <definedName name="ProjAddress2" localSheetId="7">#REF!</definedName>
    <definedName name="ProjAddress2">#REF!</definedName>
    <definedName name="ProjCity" localSheetId="12">#REF!</definedName>
    <definedName name="ProjCity" localSheetId="0">#REF!</definedName>
    <definedName name="ProjCity" localSheetId="1">#REF!</definedName>
    <definedName name="ProjCity" localSheetId="8">#REF!</definedName>
    <definedName name="ProjCity" localSheetId="11">#REF!</definedName>
    <definedName name="ProjCity" localSheetId="9">#REF!</definedName>
    <definedName name="ProjCity" localSheetId="18">#REF!</definedName>
    <definedName name="ProjCity" localSheetId="15">#REF!</definedName>
    <definedName name="ProjCity" localSheetId="7">#REF!</definedName>
    <definedName name="ProjCity">#REF!</definedName>
    <definedName name="ProjCountry" localSheetId="12">#REF!</definedName>
    <definedName name="ProjCountry" localSheetId="0">#REF!</definedName>
    <definedName name="ProjCountry" localSheetId="1">#REF!</definedName>
    <definedName name="ProjCountry" localSheetId="8">#REF!</definedName>
    <definedName name="ProjCountry" localSheetId="11">#REF!</definedName>
    <definedName name="ProjCountry" localSheetId="9">#REF!</definedName>
    <definedName name="ProjCountry" localSheetId="18">#REF!</definedName>
    <definedName name="ProjCountry" localSheetId="15">#REF!</definedName>
    <definedName name="ProjCountry" localSheetId="7">#REF!</definedName>
    <definedName name="ProjCountry">#REF!</definedName>
    <definedName name="ProjCounty" localSheetId="12">#REF!</definedName>
    <definedName name="ProjCounty" localSheetId="0">#REF!</definedName>
    <definedName name="ProjCounty" localSheetId="1">#REF!</definedName>
    <definedName name="ProjCounty" localSheetId="8">#REF!</definedName>
    <definedName name="ProjCounty" localSheetId="11">#REF!</definedName>
    <definedName name="ProjCounty" localSheetId="9">#REF!</definedName>
    <definedName name="ProjCounty" localSheetId="18">#REF!</definedName>
    <definedName name="ProjCounty" localSheetId="15">#REF!</definedName>
    <definedName name="ProjCounty" localSheetId="7">#REF!</definedName>
    <definedName name="ProjCounty">#REF!</definedName>
    <definedName name="project" localSheetId="12">#REF!</definedName>
    <definedName name="project" localSheetId="8">#REF!</definedName>
    <definedName name="project" localSheetId="11">#REF!</definedName>
    <definedName name="project" localSheetId="9">#REF!</definedName>
    <definedName name="project" localSheetId="18">#REF!</definedName>
    <definedName name="project" localSheetId="15">#REF!</definedName>
    <definedName name="project" localSheetId="7">#REF!</definedName>
    <definedName name="project">#REF!</definedName>
    <definedName name="Projected_Expenses" localSheetId="12">#REF!</definedName>
    <definedName name="Projected_Expenses" localSheetId="8">#REF!</definedName>
    <definedName name="Projected_Expenses" localSheetId="11">#REF!</definedName>
    <definedName name="Projected_Expenses" localSheetId="9">#REF!</definedName>
    <definedName name="Projected_Expenses" localSheetId="18">#REF!</definedName>
    <definedName name="Projected_Expenses" localSheetId="15">#REF!</definedName>
    <definedName name="Projected_Expenses" localSheetId="7">#REF!</definedName>
    <definedName name="Projected_Expenses">#REF!</definedName>
    <definedName name="Projected_Income" localSheetId="12">#REF!</definedName>
    <definedName name="Projected_Income" localSheetId="8">#REF!</definedName>
    <definedName name="Projected_Income" localSheetId="11">#REF!</definedName>
    <definedName name="Projected_Income" localSheetId="9">#REF!</definedName>
    <definedName name="Projected_Income" localSheetId="18">#REF!</definedName>
    <definedName name="Projected_Income" localSheetId="15">#REF!</definedName>
    <definedName name="Projected_Income" localSheetId="7">#REF!</definedName>
    <definedName name="Projected_Income">#REF!</definedName>
    <definedName name="ProjectLocation" localSheetId="12">#REF!</definedName>
    <definedName name="ProjectLocation" localSheetId="8">#REF!</definedName>
    <definedName name="ProjectLocation" localSheetId="11">#REF!</definedName>
    <definedName name="ProjectLocation" localSheetId="9">#REF!</definedName>
    <definedName name="ProjectLocation" localSheetId="18">#REF!</definedName>
    <definedName name="ProjectLocation" localSheetId="15">#REF!</definedName>
    <definedName name="ProjectLocation" localSheetId="7">#REF!</definedName>
    <definedName name="ProjectLocation">#REF!</definedName>
    <definedName name="ProjectNumber" localSheetId="12">#REF!</definedName>
    <definedName name="ProjectNumber" localSheetId="8">#REF!</definedName>
    <definedName name="ProjectNumber" localSheetId="11">#REF!</definedName>
    <definedName name="ProjectNumber" localSheetId="9">#REF!</definedName>
    <definedName name="ProjectNumber" localSheetId="18">#REF!</definedName>
    <definedName name="ProjectNumber" localSheetId="15">#REF!</definedName>
    <definedName name="ProjectNumber" localSheetId="7">#REF!</definedName>
    <definedName name="ProjectNumber">#REF!</definedName>
    <definedName name="ProjectSubtitle" localSheetId="12">#REF!</definedName>
    <definedName name="ProjectSubtitle" localSheetId="8">#REF!</definedName>
    <definedName name="ProjectSubtitle" localSheetId="11">#REF!</definedName>
    <definedName name="ProjectSubtitle" localSheetId="9">#REF!</definedName>
    <definedName name="ProjectSubtitle" localSheetId="18">#REF!</definedName>
    <definedName name="ProjectSubtitle" localSheetId="15">#REF!</definedName>
    <definedName name="ProjectSubtitle" localSheetId="7">#REF!</definedName>
    <definedName name="ProjectSubtitle">#REF!</definedName>
    <definedName name="ProjectTitle" localSheetId="12">#REF!</definedName>
    <definedName name="ProjectTitle" localSheetId="8">#REF!</definedName>
    <definedName name="ProjectTitle" localSheetId="11">#REF!</definedName>
    <definedName name="ProjectTitle" localSheetId="9">#REF!</definedName>
    <definedName name="ProjectTitle" localSheetId="18">#REF!</definedName>
    <definedName name="ProjectTitle" localSheetId="15">#REF!</definedName>
    <definedName name="ProjectTitle" localSheetId="7">#REF!</definedName>
    <definedName name="ProjectTitle">#REF!</definedName>
    <definedName name="ProjName" localSheetId="12">#REF!</definedName>
    <definedName name="ProjName" localSheetId="0">#REF!</definedName>
    <definedName name="ProjName" localSheetId="1">#REF!</definedName>
    <definedName name="ProjName" localSheetId="8">#REF!</definedName>
    <definedName name="ProjName" localSheetId="11">#REF!</definedName>
    <definedName name="ProjName" localSheetId="9">#REF!</definedName>
    <definedName name="ProjName" localSheetId="18">#REF!</definedName>
    <definedName name="ProjName" localSheetId="15">#REF!</definedName>
    <definedName name="ProjName" localSheetId="7">#REF!</definedName>
    <definedName name="ProjName">#REF!</definedName>
    <definedName name="ProjNum" localSheetId="12">#REF!</definedName>
    <definedName name="ProjNum" localSheetId="0">#REF!</definedName>
    <definedName name="ProjNum" localSheetId="1">#REF!</definedName>
    <definedName name="ProjNum" localSheetId="8">#REF!</definedName>
    <definedName name="ProjNum" localSheetId="11">#REF!</definedName>
    <definedName name="ProjNum" localSheetId="9">#REF!</definedName>
    <definedName name="ProjNum" localSheetId="18">#REF!</definedName>
    <definedName name="ProjNum" localSheetId="15">#REF!</definedName>
    <definedName name="ProjNum" localSheetId="7">#REF!</definedName>
    <definedName name="ProjNum">#REF!</definedName>
    <definedName name="ProjPostal" localSheetId="12">#REF!</definedName>
    <definedName name="ProjPostal" localSheetId="0">#REF!</definedName>
    <definedName name="ProjPostal" localSheetId="1">#REF!</definedName>
    <definedName name="ProjPostal" localSheetId="8">#REF!</definedName>
    <definedName name="ProjPostal" localSheetId="11">#REF!</definedName>
    <definedName name="ProjPostal" localSheetId="9">#REF!</definedName>
    <definedName name="ProjPostal" localSheetId="18">#REF!</definedName>
    <definedName name="ProjPostal" localSheetId="15">#REF!</definedName>
    <definedName name="ProjPostal" localSheetId="7">#REF!</definedName>
    <definedName name="ProjPostal">#REF!</definedName>
    <definedName name="ProjState" localSheetId="12">#REF!</definedName>
    <definedName name="ProjState" localSheetId="0">#REF!</definedName>
    <definedName name="ProjState" localSheetId="1">#REF!</definedName>
    <definedName name="ProjState" localSheetId="8">#REF!</definedName>
    <definedName name="ProjState" localSheetId="11">#REF!</definedName>
    <definedName name="ProjState" localSheetId="9">#REF!</definedName>
    <definedName name="ProjState" localSheetId="18">#REF!</definedName>
    <definedName name="ProjState" localSheetId="15">#REF!</definedName>
    <definedName name="ProjState" localSheetId="7">#REF!</definedName>
    <definedName name="ProjState">#REF!</definedName>
    <definedName name="Prop_2m" localSheetId="12">#REF!</definedName>
    <definedName name="Prop_2m" localSheetId="8">#REF!</definedName>
    <definedName name="Prop_2m" localSheetId="11">#REF!</definedName>
    <definedName name="Prop_2m" localSheetId="9">#REF!</definedName>
    <definedName name="Prop_2m" localSheetId="18">#REF!</definedName>
    <definedName name="Prop_2m" localSheetId="15">#REF!</definedName>
    <definedName name="Prop_2m" localSheetId="7">#REF!</definedName>
    <definedName name="Prop_2m">#REF!</definedName>
    <definedName name="PROPS" localSheetId="12">#REF!</definedName>
    <definedName name="PROPS" localSheetId="8">#REF!</definedName>
    <definedName name="PROPS" localSheetId="11">#REF!</definedName>
    <definedName name="PROPS" localSheetId="9">#REF!</definedName>
    <definedName name="PROPS" localSheetId="18">#REF!</definedName>
    <definedName name="PROPS" localSheetId="15">#REF!</definedName>
    <definedName name="PROPS" localSheetId="7">#REF!</definedName>
    <definedName name="PROPS">#REF!</definedName>
    <definedName name="PS" localSheetId="12">#REF!</definedName>
    <definedName name="PS" localSheetId="8">#REF!</definedName>
    <definedName name="PS" localSheetId="11">#REF!</definedName>
    <definedName name="PS" localSheetId="9">#REF!</definedName>
    <definedName name="PS" localSheetId="18">#REF!</definedName>
    <definedName name="PS" localSheetId="15">#REF!</definedName>
    <definedName name="PS" localSheetId="7">#REF!</definedName>
    <definedName name="PS">#REF!</definedName>
    <definedName name="PS___0" localSheetId="12">#REF!</definedName>
    <definedName name="PS___0" localSheetId="8">#REF!</definedName>
    <definedName name="PS___0" localSheetId="11">#REF!</definedName>
    <definedName name="PS___0" localSheetId="9">#REF!</definedName>
    <definedName name="PS___0" localSheetId="18">#REF!</definedName>
    <definedName name="PS___0" localSheetId="15">#REF!</definedName>
    <definedName name="PS___0" localSheetId="7">#REF!</definedName>
    <definedName name="PS___0">#REF!</definedName>
    <definedName name="PS___13" localSheetId="12">#REF!</definedName>
    <definedName name="PS___13" localSheetId="8">#REF!</definedName>
    <definedName name="PS___13" localSheetId="11">#REF!</definedName>
    <definedName name="PS___13" localSheetId="9">#REF!</definedName>
    <definedName name="PS___13" localSheetId="18">#REF!</definedName>
    <definedName name="PS___13" localSheetId="15">#REF!</definedName>
    <definedName name="PS___13" localSheetId="7">#REF!</definedName>
    <definedName name="PS___13">#REF!</definedName>
    <definedName name="psa" localSheetId="12" hidden="1">{"SUMMARY",#N/A,FALSE,"C"}</definedName>
    <definedName name="psa" localSheetId="6" hidden="1">{"SUMMARY",#N/A,FALSE,"C"}</definedName>
    <definedName name="psa" localSheetId="5" hidden="1">{"SUMMARY",#N/A,FALSE,"C"}</definedName>
    <definedName name="psa" localSheetId="8" hidden="1">{"SUMMARY",#N/A,FALSE,"C"}</definedName>
    <definedName name="psa" localSheetId="11" hidden="1">{"SUMMARY",#N/A,FALSE,"C"}</definedName>
    <definedName name="psa" localSheetId="9" hidden="1">{"SUMMARY",#N/A,FALSE,"C"}</definedName>
    <definedName name="psa" localSheetId="13" hidden="1">{"SUMMARY",#N/A,FALSE,"C"}</definedName>
    <definedName name="psa" localSheetId="18" hidden="1">{"SUMMARY",#N/A,FALSE,"C"}</definedName>
    <definedName name="psa" localSheetId="15" hidden="1">{"SUMMARY",#N/A,FALSE,"C"}</definedName>
    <definedName name="psa" localSheetId="7" hidden="1">{"SUMMARY",#N/A,FALSE,"C"}</definedName>
    <definedName name="psa" hidden="1">{"SUMMARY",#N/A,FALSE,"C"}</definedName>
    <definedName name="PSABillingMethod" localSheetId="12">#REF!</definedName>
    <definedName name="PSABillingMethod" localSheetId="0">#REF!</definedName>
    <definedName name="PSABillingMethod" localSheetId="1">#REF!</definedName>
    <definedName name="PSABillingMethod" localSheetId="6">#REF!</definedName>
    <definedName name="PSABillingMethod" localSheetId="5">#REF!</definedName>
    <definedName name="PSABillingMethod" localSheetId="8">#REF!</definedName>
    <definedName name="PSABillingMethod" localSheetId="11">#REF!</definedName>
    <definedName name="PSABillingMethod" localSheetId="9">#REF!</definedName>
    <definedName name="PSABillingMethod" localSheetId="18">#REF!</definedName>
    <definedName name="PSABillingMethod" localSheetId="15">#REF!</definedName>
    <definedName name="PSABillingMethod" localSheetId="7">#REF!</definedName>
    <definedName name="PSABillingMethod">#REF!</definedName>
    <definedName name="pt" localSheetId="12">#REF!</definedName>
    <definedName name="pt" localSheetId="0">#REF!</definedName>
    <definedName name="pt" localSheetId="1">#REF!</definedName>
    <definedName name="pt" localSheetId="8">#REF!</definedName>
    <definedName name="pt" localSheetId="11">#REF!</definedName>
    <definedName name="pt" localSheetId="9">#REF!</definedName>
    <definedName name="pt" localSheetId="18">#REF!</definedName>
    <definedName name="pt" localSheetId="15">#REF!</definedName>
    <definedName name="pt" localSheetId="7">#REF!</definedName>
    <definedName name="pt">#REF!</definedName>
    <definedName name="Pumping_Charge" localSheetId="12">#REF!</definedName>
    <definedName name="Pumping_Charge" localSheetId="8">#REF!</definedName>
    <definedName name="Pumping_Charge" localSheetId="11">#REF!</definedName>
    <definedName name="Pumping_Charge" localSheetId="9">#REF!</definedName>
    <definedName name="Pumping_Charge" localSheetId="18">#REF!</definedName>
    <definedName name="Pumping_Charge" localSheetId="15">#REF!</definedName>
    <definedName name="Pumping_Charge" localSheetId="7">#REF!</definedName>
    <definedName name="Pumping_Charge">#REF!</definedName>
    <definedName name="Puz" localSheetId="12">#REF!</definedName>
    <definedName name="Puz" localSheetId="8">#REF!</definedName>
    <definedName name="Puz" localSheetId="11">#REF!</definedName>
    <definedName name="Puz" localSheetId="9">#REF!</definedName>
    <definedName name="Puz" localSheetId="18">#REF!</definedName>
    <definedName name="Puz" localSheetId="15">#REF!</definedName>
    <definedName name="Puz" localSheetId="7">#REF!</definedName>
    <definedName name="Puz">#REF!</definedName>
    <definedName name="pvc_100" localSheetId="12">#REF!</definedName>
    <definedName name="pvc_100" localSheetId="8">#REF!</definedName>
    <definedName name="pvc_100" localSheetId="11">#REF!</definedName>
    <definedName name="pvc_100" localSheetId="9">#REF!</definedName>
    <definedName name="pvc_100" localSheetId="18">#REF!</definedName>
    <definedName name="pvc_100" localSheetId="15">#REF!</definedName>
    <definedName name="pvc_100" localSheetId="7">#REF!</definedName>
    <definedName name="pvc_100">#REF!</definedName>
    <definedName name="pvc_15" localSheetId="12">#REF!</definedName>
    <definedName name="pvc_15" localSheetId="8">#REF!</definedName>
    <definedName name="pvc_15" localSheetId="11">#REF!</definedName>
    <definedName name="pvc_15" localSheetId="9">#REF!</definedName>
    <definedName name="pvc_15" localSheetId="18">#REF!</definedName>
    <definedName name="pvc_15" localSheetId="15">#REF!</definedName>
    <definedName name="pvc_15" localSheetId="7">#REF!</definedName>
    <definedName name="pvc_15">#REF!</definedName>
    <definedName name="pvc_150" localSheetId="12">#REF!</definedName>
    <definedName name="pvc_150" localSheetId="8">#REF!</definedName>
    <definedName name="pvc_150" localSheetId="11">#REF!</definedName>
    <definedName name="pvc_150" localSheetId="9">#REF!</definedName>
    <definedName name="pvc_150" localSheetId="18">#REF!</definedName>
    <definedName name="pvc_150" localSheetId="15">#REF!</definedName>
    <definedName name="pvc_150" localSheetId="7">#REF!</definedName>
    <definedName name="pvc_150">#REF!</definedName>
    <definedName name="pvc_20" localSheetId="12">#REF!</definedName>
    <definedName name="pvc_20" localSheetId="8">#REF!</definedName>
    <definedName name="pvc_20" localSheetId="11">#REF!</definedName>
    <definedName name="pvc_20" localSheetId="9">#REF!</definedName>
    <definedName name="pvc_20" localSheetId="18">#REF!</definedName>
    <definedName name="pvc_20" localSheetId="15">#REF!</definedName>
    <definedName name="pvc_20" localSheetId="7">#REF!</definedName>
    <definedName name="pvc_20">#REF!</definedName>
    <definedName name="pvc_200" localSheetId="12">#REF!</definedName>
    <definedName name="pvc_200" localSheetId="8">#REF!</definedName>
    <definedName name="pvc_200" localSheetId="11">#REF!</definedName>
    <definedName name="pvc_200" localSheetId="9">#REF!</definedName>
    <definedName name="pvc_200" localSheetId="18">#REF!</definedName>
    <definedName name="pvc_200" localSheetId="15">#REF!</definedName>
    <definedName name="pvc_200" localSheetId="7">#REF!</definedName>
    <definedName name="pvc_200">#REF!</definedName>
    <definedName name="pvc_25" localSheetId="12">#REF!</definedName>
    <definedName name="pvc_25" localSheetId="8">#REF!</definedName>
    <definedName name="pvc_25" localSheetId="11">#REF!</definedName>
    <definedName name="pvc_25" localSheetId="9">#REF!</definedName>
    <definedName name="pvc_25" localSheetId="18">#REF!</definedName>
    <definedName name="pvc_25" localSheetId="15">#REF!</definedName>
    <definedName name="pvc_25" localSheetId="7">#REF!</definedName>
    <definedName name="pvc_25">#REF!</definedName>
    <definedName name="pvc_250" localSheetId="12">#REF!</definedName>
    <definedName name="pvc_250" localSheetId="8">#REF!</definedName>
    <definedName name="pvc_250" localSheetId="11">#REF!</definedName>
    <definedName name="pvc_250" localSheetId="9">#REF!</definedName>
    <definedName name="pvc_250" localSheetId="18">#REF!</definedName>
    <definedName name="pvc_250" localSheetId="15">#REF!</definedName>
    <definedName name="pvc_250" localSheetId="7">#REF!</definedName>
    <definedName name="pvc_250">#REF!</definedName>
    <definedName name="pvc_300" localSheetId="12">#REF!</definedName>
    <definedName name="pvc_300" localSheetId="8">#REF!</definedName>
    <definedName name="pvc_300" localSheetId="11">#REF!</definedName>
    <definedName name="pvc_300" localSheetId="9">#REF!</definedName>
    <definedName name="pvc_300" localSheetId="18">#REF!</definedName>
    <definedName name="pvc_300" localSheetId="15">#REF!</definedName>
    <definedName name="pvc_300" localSheetId="7">#REF!</definedName>
    <definedName name="pvc_300">#REF!</definedName>
    <definedName name="pvc_32" localSheetId="12">#REF!</definedName>
    <definedName name="pvc_32" localSheetId="8">#REF!</definedName>
    <definedName name="pvc_32" localSheetId="11">#REF!</definedName>
    <definedName name="pvc_32" localSheetId="9">#REF!</definedName>
    <definedName name="pvc_32" localSheetId="18">#REF!</definedName>
    <definedName name="pvc_32" localSheetId="15">#REF!</definedName>
    <definedName name="pvc_32" localSheetId="7">#REF!</definedName>
    <definedName name="pvc_32">#REF!</definedName>
    <definedName name="pvc_40" localSheetId="12">#REF!</definedName>
    <definedName name="pvc_40" localSheetId="8">#REF!</definedName>
    <definedName name="pvc_40" localSheetId="11">#REF!</definedName>
    <definedName name="pvc_40" localSheetId="9">#REF!</definedName>
    <definedName name="pvc_40" localSheetId="18">#REF!</definedName>
    <definedName name="pvc_40" localSheetId="15">#REF!</definedName>
    <definedName name="pvc_40" localSheetId="7">#REF!</definedName>
    <definedName name="pvc_40">#REF!</definedName>
    <definedName name="pvc_400" localSheetId="12">#REF!</definedName>
    <definedName name="pvc_400" localSheetId="8">#REF!</definedName>
    <definedName name="pvc_400" localSheetId="11">#REF!</definedName>
    <definedName name="pvc_400" localSheetId="9">#REF!</definedName>
    <definedName name="pvc_400" localSheetId="18">#REF!</definedName>
    <definedName name="pvc_400" localSheetId="15">#REF!</definedName>
    <definedName name="pvc_400" localSheetId="7">#REF!</definedName>
    <definedName name="pvc_400">#REF!</definedName>
    <definedName name="pvc_50" localSheetId="12">#REF!</definedName>
    <definedName name="pvc_50" localSheetId="8">#REF!</definedName>
    <definedName name="pvc_50" localSheetId="11">#REF!</definedName>
    <definedName name="pvc_50" localSheetId="9">#REF!</definedName>
    <definedName name="pvc_50" localSheetId="18">#REF!</definedName>
    <definedName name="pvc_50" localSheetId="15">#REF!</definedName>
    <definedName name="pvc_50" localSheetId="7">#REF!</definedName>
    <definedName name="pvc_50">#REF!</definedName>
    <definedName name="pvc_600" localSheetId="12">#REF!</definedName>
    <definedName name="pvc_600" localSheetId="8">#REF!</definedName>
    <definedName name="pvc_600" localSheetId="11">#REF!</definedName>
    <definedName name="pvc_600" localSheetId="9">#REF!</definedName>
    <definedName name="pvc_600" localSheetId="18">#REF!</definedName>
    <definedName name="pvc_600" localSheetId="15">#REF!</definedName>
    <definedName name="pvc_600" localSheetId="7">#REF!</definedName>
    <definedName name="pvc_600">#REF!</definedName>
    <definedName name="pvc_65" localSheetId="12">#REF!</definedName>
    <definedName name="pvc_65" localSheetId="8">#REF!</definedName>
    <definedName name="pvc_65" localSheetId="11">#REF!</definedName>
    <definedName name="pvc_65" localSheetId="9">#REF!</definedName>
    <definedName name="pvc_65" localSheetId="18">#REF!</definedName>
    <definedName name="pvc_65" localSheetId="15">#REF!</definedName>
    <definedName name="pvc_65" localSheetId="7">#REF!</definedName>
    <definedName name="pvc_65">#REF!</definedName>
    <definedName name="pvc_80" localSheetId="12">#REF!</definedName>
    <definedName name="pvc_80" localSheetId="8">#REF!</definedName>
    <definedName name="pvc_80" localSheetId="11">#REF!</definedName>
    <definedName name="pvc_80" localSheetId="9">#REF!</definedName>
    <definedName name="pvc_80" localSheetId="18">#REF!</definedName>
    <definedName name="pvc_80" localSheetId="15">#REF!</definedName>
    <definedName name="pvc_80" localSheetId="7">#REF!</definedName>
    <definedName name="pvc_80">#REF!</definedName>
    <definedName name="q"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Qc" localSheetId="12">#REF!</definedName>
    <definedName name="Qc" localSheetId="6">#REF!</definedName>
    <definedName name="Qc" localSheetId="5">#REF!</definedName>
    <definedName name="Qc" localSheetId="8">#REF!</definedName>
    <definedName name="Qc" localSheetId="11">#REF!</definedName>
    <definedName name="Qc" localSheetId="9">#REF!</definedName>
    <definedName name="Qc" localSheetId="18">#REF!</definedName>
    <definedName name="Qc" localSheetId="15">#REF!</definedName>
    <definedName name="Qc" localSheetId="7">#REF!</definedName>
    <definedName name="Qc">#REF!</definedName>
    <definedName name="Qc___0" localSheetId="12">#REF!</definedName>
    <definedName name="Qc___0" localSheetId="6">#REF!</definedName>
    <definedName name="Qc___0" localSheetId="5">#REF!</definedName>
    <definedName name="Qc___0" localSheetId="8">#REF!</definedName>
    <definedName name="Qc___0" localSheetId="11">#REF!</definedName>
    <definedName name="Qc___0" localSheetId="9">#REF!</definedName>
    <definedName name="Qc___0" localSheetId="18">#REF!</definedName>
    <definedName name="Qc___0" localSheetId="15">#REF!</definedName>
    <definedName name="Qc___0" localSheetId="7">#REF!</definedName>
    <definedName name="Qc___0">#REF!</definedName>
    <definedName name="Qc___13" localSheetId="12">#REF!</definedName>
    <definedName name="Qc___13" localSheetId="6">#REF!</definedName>
    <definedName name="Qc___13" localSheetId="5">#REF!</definedName>
    <definedName name="Qc___13" localSheetId="8">#REF!</definedName>
    <definedName name="Qc___13" localSheetId="11">#REF!</definedName>
    <definedName name="Qc___13" localSheetId="9">#REF!</definedName>
    <definedName name="Qc___13" localSheetId="18">#REF!</definedName>
    <definedName name="Qc___13" localSheetId="15">#REF!</definedName>
    <definedName name="Qc___13" localSheetId="7">#REF!</definedName>
    <definedName name="Qc___13">#REF!</definedName>
    <definedName name="Qf" localSheetId="12">#REF!</definedName>
    <definedName name="Qf" localSheetId="8">#REF!</definedName>
    <definedName name="Qf" localSheetId="11">#REF!</definedName>
    <definedName name="Qf" localSheetId="9">#REF!</definedName>
    <definedName name="Qf" localSheetId="18">#REF!</definedName>
    <definedName name="Qf" localSheetId="15">#REF!</definedName>
    <definedName name="Qf" localSheetId="7">#REF!</definedName>
    <definedName name="Qf">#REF!</definedName>
    <definedName name="Qf___0" localSheetId="12">#REF!</definedName>
    <definedName name="Qf___0" localSheetId="8">#REF!</definedName>
    <definedName name="Qf___0" localSheetId="11">#REF!</definedName>
    <definedName name="Qf___0" localSheetId="9">#REF!</definedName>
    <definedName name="Qf___0" localSheetId="18">#REF!</definedName>
    <definedName name="Qf___0" localSheetId="15">#REF!</definedName>
    <definedName name="Qf___0" localSheetId="7">#REF!</definedName>
    <definedName name="Qf___0">#REF!</definedName>
    <definedName name="Qf___13" localSheetId="12">#REF!</definedName>
    <definedName name="Qf___13" localSheetId="8">#REF!</definedName>
    <definedName name="Qf___13" localSheetId="11">#REF!</definedName>
    <definedName name="Qf___13" localSheetId="9">#REF!</definedName>
    <definedName name="Qf___13" localSheetId="18">#REF!</definedName>
    <definedName name="Qf___13" localSheetId="15">#REF!</definedName>
    <definedName name="Qf___13" localSheetId="7">#REF!</definedName>
    <definedName name="Qf___13">#REF!</definedName>
    <definedName name="Qi" localSheetId="12">#REF!</definedName>
    <definedName name="Qi" localSheetId="8">#REF!</definedName>
    <definedName name="Qi" localSheetId="11">#REF!</definedName>
    <definedName name="Qi" localSheetId="9">#REF!</definedName>
    <definedName name="Qi" localSheetId="18">#REF!</definedName>
    <definedName name="Qi" localSheetId="15">#REF!</definedName>
    <definedName name="Qi" localSheetId="7">#REF!</definedName>
    <definedName name="Qi">#REF!</definedName>
    <definedName name="Qi___0" localSheetId="12">#REF!</definedName>
    <definedName name="Qi___0" localSheetId="8">#REF!</definedName>
    <definedName name="Qi___0" localSheetId="11">#REF!</definedName>
    <definedName name="Qi___0" localSheetId="9">#REF!</definedName>
    <definedName name="Qi___0" localSheetId="18">#REF!</definedName>
    <definedName name="Qi___0" localSheetId="15">#REF!</definedName>
    <definedName name="Qi___0" localSheetId="7">#REF!</definedName>
    <definedName name="Qi___0">#REF!</definedName>
    <definedName name="Qi___13" localSheetId="12">#REF!</definedName>
    <definedName name="Qi___13" localSheetId="8">#REF!</definedName>
    <definedName name="Qi___13" localSheetId="11">#REF!</definedName>
    <definedName name="Qi___13" localSheetId="9">#REF!</definedName>
    <definedName name="Qi___13" localSheetId="18">#REF!</definedName>
    <definedName name="Qi___13" localSheetId="15">#REF!</definedName>
    <definedName name="Qi___13" localSheetId="7">#REF!</definedName>
    <definedName name="Qi___13">#REF!</definedName>
    <definedName name="Ql" localSheetId="12">#REF!</definedName>
    <definedName name="Ql" localSheetId="8">#REF!</definedName>
    <definedName name="Ql" localSheetId="11">#REF!</definedName>
    <definedName name="Ql" localSheetId="9">#REF!</definedName>
    <definedName name="Ql" localSheetId="18">#REF!</definedName>
    <definedName name="Ql" localSheetId="15">#REF!</definedName>
    <definedName name="Ql" localSheetId="7">#REF!</definedName>
    <definedName name="Ql">#REF!</definedName>
    <definedName name="Ql___0" localSheetId="12">#REF!</definedName>
    <definedName name="Ql___0" localSheetId="8">#REF!</definedName>
    <definedName name="Ql___0" localSheetId="11">#REF!</definedName>
    <definedName name="Ql___0" localSheetId="9">#REF!</definedName>
    <definedName name="Ql___0" localSheetId="18">#REF!</definedName>
    <definedName name="Ql___0" localSheetId="15">#REF!</definedName>
    <definedName name="Ql___0" localSheetId="7">#REF!</definedName>
    <definedName name="Ql___0">#REF!</definedName>
    <definedName name="Ql___13" localSheetId="12">#REF!</definedName>
    <definedName name="Ql___13" localSheetId="8">#REF!</definedName>
    <definedName name="Ql___13" localSheetId="11">#REF!</definedName>
    <definedName name="Ql___13" localSheetId="9">#REF!</definedName>
    <definedName name="Ql___13" localSheetId="18">#REF!</definedName>
    <definedName name="Ql___13" localSheetId="15">#REF!</definedName>
    <definedName name="Ql___13" localSheetId="7">#REF!</definedName>
    <definedName name="Ql___13">#REF!</definedName>
    <definedName name="qq" localSheetId="12" hidden="1">{#N/A,#N/A,FALSE,"COVER1.XLS ";#N/A,#N/A,FALSE,"RACT1.XLS";#N/A,#N/A,FALSE,"RACT2.XLS";#N/A,#N/A,FALSE,"ECCMP";#N/A,#N/A,FALSE,"WELDER.XLS"}</definedName>
    <definedName name="qq" localSheetId="6" hidden="1">{#N/A,#N/A,FALSE,"COVER1.XLS ";#N/A,#N/A,FALSE,"RACT1.XLS";#N/A,#N/A,FALSE,"RACT2.XLS";#N/A,#N/A,FALSE,"ECCMP";#N/A,#N/A,FALSE,"WELDER.XLS"}</definedName>
    <definedName name="qq" localSheetId="5" hidden="1">{#N/A,#N/A,FALSE,"COVER1.XLS ";#N/A,#N/A,FALSE,"RACT1.XLS";#N/A,#N/A,FALSE,"RACT2.XLS";#N/A,#N/A,FALSE,"ECCMP";#N/A,#N/A,FALSE,"WELDER.XLS"}</definedName>
    <definedName name="qq" localSheetId="8" hidden="1">{#N/A,#N/A,FALSE,"COVER1.XLS ";#N/A,#N/A,FALSE,"RACT1.XLS";#N/A,#N/A,FALSE,"RACT2.XLS";#N/A,#N/A,FALSE,"ECCMP";#N/A,#N/A,FALSE,"WELDER.XLS"}</definedName>
    <definedName name="qq" localSheetId="11" hidden="1">{#N/A,#N/A,FALSE,"COVER1.XLS ";#N/A,#N/A,FALSE,"RACT1.XLS";#N/A,#N/A,FALSE,"RACT2.XLS";#N/A,#N/A,FALSE,"ECCMP";#N/A,#N/A,FALSE,"WELDER.XLS"}</definedName>
    <definedName name="qq" localSheetId="9" hidden="1">{#N/A,#N/A,FALSE,"COVER1.XLS ";#N/A,#N/A,FALSE,"RACT1.XLS";#N/A,#N/A,FALSE,"RACT2.XLS";#N/A,#N/A,FALSE,"ECCMP";#N/A,#N/A,FALSE,"WELDER.XLS"}</definedName>
    <definedName name="qq" localSheetId="13" hidden="1">{#N/A,#N/A,FALSE,"COVER1.XLS ";#N/A,#N/A,FALSE,"RACT1.XLS";#N/A,#N/A,FALSE,"RACT2.XLS";#N/A,#N/A,FALSE,"ECCMP";#N/A,#N/A,FALSE,"WELDER.XLS"}</definedName>
    <definedName name="qq" localSheetId="18" hidden="1">{#N/A,#N/A,FALSE,"COVER1.XLS ";#N/A,#N/A,FALSE,"RACT1.XLS";#N/A,#N/A,FALSE,"RACT2.XLS";#N/A,#N/A,FALSE,"ECCMP";#N/A,#N/A,FALSE,"WELDER.XLS"}</definedName>
    <definedName name="qq" localSheetId="15" hidden="1">{#N/A,#N/A,FALSE,"COVER1.XLS ";#N/A,#N/A,FALSE,"RACT1.XLS";#N/A,#N/A,FALSE,"RACT2.XLS";#N/A,#N/A,FALSE,"ECCMP";#N/A,#N/A,FALSE,"WELDER.XLS"}</definedName>
    <definedName name="qq" localSheetId="7" hidden="1">{#N/A,#N/A,FALSE,"COVER1.XLS ";#N/A,#N/A,FALSE,"RACT1.XLS";#N/A,#N/A,FALSE,"RACT2.XLS";#N/A,#N/A,FALSE,"ECCMP";#N/A,#N/A,FALSE,"WELDER.XLS"}</definedName>
    <definedName name="qq" hidden="1">{#N/A,#N/A,FALSE,"COVER1.XLS ";#N/A,#N/A,FALSE,"RACT1.XLS";#N/A,#N/A,FALSE,"RACT2.XLS";#N/A,#N/A,FALSE,"ECCMP";#N/A,#N/A,FALSE,"WELDER.XLS"}</definedName>
    <definedName name="qqqqq" localSheetId="12">#REF!</definedName>
    <definedName name="qqqqq" localSheetId="6">#REF!</definedName>
    <definedName name="qqqqq" localSheetId="5">#REF!</definedName>
    <definedName name="qqqqq" localSheetId="8">#REF!</definedName>
    <definedName name="qqqqq" localSheetId="11">#REF!</definedName>
    <definedName name="qqqqq" localSheetId="9">#REF!</definedName>
    <definedName name="qqqqq" localSheetId="18">#REF!</definedName>
    <definedName name="qqqqq" localSheetId="15">#REF!</definedName>
    <definedName name="qqqqq" localSheetId="7">#REF!</definedName>
    <definedName name="qqqqq">#REF!</definedName>
    <definedName name="qqqqqqqqqqqqqqqq" localSheetId="12">#REF!</definedName>
    <definedName name="qqqqqqqqqqqqqqqq" localSheetId="6">#REF!</definedName>
    <definedName name="qqqqqqqqqqqqqqqq" localSheetId="5">#REF!</definedName>
    <definedName name="qqqqqqqqqqqqqqqq" localSheetId="8">#REF!</definedName>
    <definedName name="qqqqqqqqqqqqqqqq" localSheetId="11">#REF!</definedName>
    <definedName name="qqqqqqqqqqqqqqqq" localSheetId="9">#REF!</definedName>
    <definedName name="qqqqqqqqqqqqqqqq" localSheetId="18">#REF!</definedName>
    <definedName name="qqqqqqqqqqqqqqqq" localSheetId="15">#REF!</definedName>
    <definedName name="qqqqqqqqqqqqqqqq" localSheetId="7">#REF!</definedName>
    <definedName name="qqqqqqqqqqqqqqqq">#REF!</definedName>
    <definedName name="Qspan" localSheetId="12">#REF!</definedName>
    <definedName name="Qspan" localSheetId="6">#REF!</definedName>
    <definedName name="Qspan" localSheetId="5">#REF!</definedName>
    <definedName name="Qspan" localSheetId="8">#REF!</definedName>
    <definedName name="Qspan" localSheetId="11">#REF!</definedName>
    <definedName name="Qspan" localSheetId="9">#REF!</definedName>
    <definedName name="Qspan" localSheetId="18">#REF!</definedName>
    <definedName name="Qspan" localSheetId="15">#REF!</definedName>
    <definedName name="Qspan" localSheetId="7">#REF!</definedName>
    <definedName name="Qspan">#REF!</definedName>
    <definedName name="qty" localSheetId="12">#REF!</definedName>
    <definedName name="qty" localSheetId="8">#REF!</definedName>
    <definedName name="qty" localSheetId="11">#REF!</definedName>
    <definedName name="qty" localSheetId="9">#REF!</definedName>
    <definedName name="qty" localSheetId="18">#REF!</definedName>
    <definedName name="qty" localSheetId="15">#REF!</definedName>
    <definedName name="qty" localSheetId="7">#REF!</definedName>
    <definedName name="qty">#REF!</definedName>
    <definedName name="Qty_as_on_apr" localSheetId="12">#REF!</definedName>
    <definedName name="Qty_as_on_apr" localSheetId="8">#REF!</definedName>
    <definedName name="Qty_as_on_apr" localSheetId="11">#REF!</definedName>
    <definedName name="Qty_as_on_apr" localSheetId="9">#REF!</definedName>
    <definedName name="Qty_as_on_apr" localSheetId="18">#REF!</definedName>
    <definedName name="Qty_as_on_apr" localSheetId="15">#REF!</definedName>
    <definedName name="Qty_as_on_apr" localSheetId="7">#REF!</definedName>
    <definedName name="Qty_as_on_apr">#REF!</definedName>
    <definedName name="qtyunitsum" localSheetId="12">#REF!</definedName>
    <definedName name="qtyunitsum" localSheetId="8">#REF!</definedName>
    <definedName name="qtyunitsum" localSheetId="11">#REF!</definedName>
    <definedName name="qtyunitsum" localSheetId="9">#REF!</definedName>
    <definedName name="qtyunitsum" localSheetId="18">#REF!</definedName>
    <definedName name="qtyunitsum" localSheetId="15">#REF!</definedName>
    <definedName name="qtyunitsum" localSheetId="7">#REF!</definedName>
    <definedName name="qtyunitsum">#REF!</definedName>
    <definedName name="QUANTITY" localSheetId="12">#REF!</definedName>
    <definedName name="QUANTITY" localSheetId="8">#REF!</definedName>
    <definedName name="QUANTITY" localSheetId="11">#REF!</definedName>
    <definedName name="QUANTITY" localSheetId="9">#REF!</definedName>
    <definedName name="QUANTITY" localSheetId="18">#REF!</definedName>
    <definedName name="QUANTITY" localSheetId="15">#REF!</definedName>
    <definedName name="QUANTITY" localSheetId="7">#REF!</definedName>
    <definedName name="QUANTITY">#REF!</definedName>
    <definedName name="QUOTATION" localSheetId="12">#REF!</definedName>
    <definedName name="QUOTATION" localSheetId="8">#REF!</definedName>
    <definedName name="QUOTATION" localSheetId="11">#REF!</definedName>
    <definedName name="QUOTATION" localSheetId="9">#REF!</definedName>
    <definedName name="QUOTATION" localSheetId="18">#REF!</definedName>
    <definedName name="QUOTATION" localSheetId="15">#REF!</definedName>
    <definedName name="QUOTATION" localSheetId="7">#REF!</definedName>
    <definedName name="QUOTATION">#REF!</definedName>
    <definedName name="QUOTE_PASSENGER" localSheetId="12">#REF!</definedName>
    <definedName name="QUOTE_PASSENGER" localSheetId="8">#REF!</definedName>
    <definedName name="QUOTE_PASSENGER" localSheetId="11">#REF!</definedName>
    <definedName name="QUOTE_PASSENGER" localSheetId="9">#REF!</definedName>
    <definedName name="QUOTE_PASSENGER" localSheetId="18">#REF!</definedName>
    <definedName name="QUOTE_PASSENGER" localSheetId="15">#REF!</definedName>
    <definedName name="QUOTE_PASSENGER" localSheetId="7">#REF!</definedName>
    <definedName name="QUOTE_PASSENGER">#REF!</definedName>
    <definedName name="R_" localSheetId="12">#REF!</definedName>
    <definedName name="R_" localSheetId="8">#REF!</definedName>
    <definedName name="R_" localSheetId="11">#REF!</definedName>
    <definedName name="R_" localSheetId="9">#REF!</definedName>
    <definedName name="R_" localSheetId="18">#REF!</definedName>
    <definedName name="R_" localSheetId="15">#REF!</definedName>
    <definedName name="R_" localSheetId="7">#REF!</definedName>
    <definedName name="R_">#REF!</definedName>
    <definedName name="raams" localSheetId="12">#REF!</definedName>
    <definedName name="raams" localSheetId="0">#REF!</definedName>
    <definedName name="raams" localSheetId="1">#REF!</definedName>
    <definedName name="raams" localSheetId="8">#REF!</definedName>
    <definedName name="raams" localSheetId="11">#REF!</definedName>
    <definedName name="raams" localSheetId="9">#REF!</definedName>
    <definedName name="raams" localSheetId="18">#REF!</definedName>
    <definedName name="raams" localSheetId="15">#REF!</definedName>
    <definedName name="raams" localSheetId="7">#REF!</definedName>
    <definedName name="raams">#REF!</definedName>
    <definedName name="RAAMS12" localSheetId="12">#REF!</definedName>
    <definedName name="RAAMS12" localSheetId="0">#REF!</definedName>
    <definedName name="RAAMS12" localSheetId="1">#REF!</definedName>
    <definedName name="RAAMS12" localSheetId="8">#REF!</definedName>
    <definedName name="RAAMS12" localSheetId="11">#REF!</definedName>
    <definedName name="RAAMS12" localSheetId="9">#REF!</definedName>
    <definedName name="RAAMS12" localSheetId="18">#REF!</definedName>
    <definedName name="RAAMS12" localSheetId="15">#REF!</definedName>
    <definedName name="RAAMS12" localSheetId="7">#REF!</definedName>
    <definedName name="RAAMS12">#REF!</definedName>
    <definedName name="raams23" localSheetId="12">#REF!</definedName>
    <definedName name="raams23" localSheetId="0">#REF!</definedName>
    <definedName name="raams23" localSheetId="1">#REF!</definedName>
    <definedName name="raams23" localSheetId="8">#REF!</definedName>
    <definedName name="raams23" localSheetId="11">#REF!</definedName>
    <definedName name="raams23" localSheetId="9">#REF!</definedName>
    <definedName name="raams23" localSheetId="18">#REF!</definedName>
    <definedName name="raams23" localSheetId="15">#REF!</definedName>
    <definedName name="raams23" localSheetId="7">#REF!</definedName>
    <definedName name="raams23">#REF!</definedName>
    <definedName name="railing" localSheetId="12">#REF!</definedName>
    <definedName name="railing" localSheetId="8">#REF!</definedName>
    <definedName name="railing" localSheetId="11">#REF!</definedName>
    <definedName name="railing" localSheetId="9">#REF!</definedName>
    <definedName name="railing" localSheetId="18">#REF!</definedName>
    <definedName name="railing" localSheetId="15">#REF!</definedName>
    <definedName name="railing" localSheetId="7">#REF!</definedName>
    <definedName name="railing">#REF!</definedName>
    <definedName name="Rajnagar_Marble" localSheetId="12">#REF!</definedName>
    <definedName name="Rajnagar_Marble" localSheetId="8">#REF!</definedName>
    <definedName name="Rajnagar_Marble" localSheetId="11">#REF!</definedName>
    <definedName name="Rajnagar_Marble" localSheetId="9">#REF!</definedName>
    <definedName name="Rajnagar_Marble" localSheetId="18">#REF!</definedName>
    <definedName name="Rajnagar_Marble" localSheetId="15">#REF!</definedName>
    <definedName name="Rajnagar_Marble" localSheetId="7">#REF!</definedName>
    <definedName name="Rajnagar_Marble">#REF!</definedName>
    <definedName name="RAJUKUDAL" localSheetId="12">#REF!</definedName>
    <definedName name="RAJUKUDAL" localSheetId="8">#REF!</definedName>
    <definedName name="RAJUKUDAL" localSheetId="11">#REF!</definedName>
    <definedName name="RAJUKUDAL" localSheetId="9">#REF!</definedName>
    <definedName name="RAJUKUDAL" localSheetId="18">#REF!</definedName>
    <definedName name="RAJUKUDAL" localSheetId="15">#REF!</definedName>
    <definedName name="RAJUKUDAL" localSheetId="7">#REF!</definedName>
    <definedName name="RAJUKUDAL">#REF!</definedName>
    <definedName name="ram" localSheetId="12">#REF!</definedName>
    <definedName name="ram" localSheetId="0">#REF!</definedName>
    <definedName name="ram" localSheetId="1">#REF!</definedName>
    <definedName name="ram" localSheetId="8">#REF!</definedName>
    <definedName name="ram" localSheetId="11">#REF!</definedName>
    <definedName name="ram" localSheetId="9">#REF!</definedName>
    <definedName name="ram" localSheetId="18">#REF!</definedName>
    <definedName name="ram" localSheetId="15">#REF!</definedName>
    <definedName name="ram" localSheetId="7">#REF!</definedName>
    <definedName name="ram">#REF!</definedName>
    <definedName name="range" localSheetId="12" hidden="1">#REF!</definedName>
    <definedName name="range" localSheetId="8" hidden="1">#REF!</definedName>
    <definedName name="range" localSheetId="11" hidden="1">#REF!</definedName>
    <definedName name="range" localSheetId="9" hidden="1">#REF!</definedName>
    <definedName name="range" localSheetId="18" hidden="1">#REF!</definedName>
    <definedName name="range" localSheetId="15" hidden="1">#REF!</definedName>
    <definedName name="range" localSheetId="7" hidden="1">#REF!</definedName>
    <definedName name="range" hidden="1">#REF!</definedName>
    <definedName name="raterisk" localSheetId="12">#REF!</definedName>
    <definedName name="raterisk" localSheetId="8">#REF!</definedName>
    <definedName name="raterisk" localSheetId="11">#REF!</definedName>
    <definedName name="raterisk" localSheetId="9">#REF!</definedName>
    <definedName name="raterisk" localSheetId="18">#REF!</definedName>
    <definedName name="raterisk" localSheetId="15">#REF!</definedName>
    <definedName name="raterisk" localSheetId="7">#REF!</definedName>
    <definedName name="raterisk">#REF!</definedName>
    <definedName name="rates" localSheetId="12" hidden="1">{"CASH FLOW",#N/A,FALSE,"A"}</definedName>
    <definedName name="rates" localSheetId="6" hidden="1">{"CASH FLOW",#N/A,FALSE,"A"}</definedName>
    <definedName name="rates" localSheetId="5" hidden="1">{"CASH FLOW",#N/A,FALSE,"A"}</definedName>
    <definedName name="rates" localSheetId="8" hidden="1">{"CASH FLOW",#N/A,FALSE,"A"}</definedName>
    <definedName name="rates" localSheetId="11" hidden="1">{"CASH FLOW",#N/A,FALSE,"A"}</definedName>
    <definedName name="rates" localSheetId="9" hidden="1">{"CASH FLOW",#N/A,FALSE,"A"}</definedName>
    <definedName name="rates" localSheetId="13" hidden="1">{"CASH FLOW",#N/A,FALSE,"A"}</definedName>
    <definedName name="rates" localSheetId="18" hidden="1">{"CASH FLOW",#N/A,FALSE,"A"}</definedName>
    <definedName name="rates" localSheetId="15" hidden="1">{"CASH FLOW",#N/A,FALSE,"A"}</definedName>
    <definedName name="rates" localSheetId="7" hidden="1">{"CASH FLOW",#N/A,FALSE,"A"}</definedName>
    <definedName name="rates" hidden="1">{"CASH FLOW",#N/A,FALSE,"A"}</definedName>
    <definedName name="Ratna_A_Border" localSheetId="12">#REF!</definedName>
    <definedName name="Ratna_A_Border" localSheetId="6">#REF!</definedName>
    <definedName name="Ratna_A_Border" localSheetId="5">#REF!</definedName>
    <definedName name="Ratna_A_Border" localSheetId="8">#REF!</definedName>
    <definedName name="Ratna_A_Border" localSheetId="11">#REF!</definedName>
    <definedName name="Ratna_A_Border" localSheetId="9">#REF!</definedName>
    <definedName name="Ratna_A_Border" localSheetId="18">#REF!</definedName>
    <definedName name="Ratna_A_Border" localSheetId="15">#REF!</definedName>
    <definedName name="Ratna_A_Border" localSheetId="7">#REF!</definedName>
    <definedName name="Ratna_A_Border">#REF!</definedName>
    <definedName name="Ratna_A_dark_base" localSheetId="12">#REF!</definedName>
    <definedName name="Ratna_A_dark_base" localSheetId="6">#REF!</definedName>
    <definedName name="Ratna_A_dark_base" localSheetId="5">#REF!</definedName>
    <definedName name="Ratna_A_dark_base" localSheetId="8">#REF!</definedName>
    <definedName name="Ratna_A_dark_base" localSheetId="11">#REF!</definedName>
    <definedName name="Ratna_A_dark_base" localSheetId="9">#REF!</definedName>
    <definedName name="Ratna_A_dark_base" localSheetId="18">#REF!</definedName>
    <definedName name="Ratna_A_dark_base" localSheetId="15">#REF!</definedName>
    <definedName name="Ratna_A_dark_base" localSheetId="7">#REF!</definedName>
    <definedName name="Ratna_A_dark_base">#REF!</definedName>
    <definedName name="Ratna_A_Floor" localSheetId="12">#REF!</definedName>
    <definedName name="Ratna_A_Floor" localSheetId="6">#REF!</definedName>
    <definedName name="Ratna_A_Floor" localSheetId="5">#REF!</definedName>
    <definedName name="Ratna_A_Floor" localSheetId="8">#REF!</definedName>
    <definedName name="Ratna_A_Floor" localSheetId="11">#REF!</definedName>
    <definedName name="Ratna_A_Floor" localSheetId="9">#REF!</definedName>
    <definedName name="Ratna_A_Floor" localSheetId="18">#REF!</definedName>
    <definedName name="Ratna_A_Floor" localSheetId="15">#REF!</definedName>
    <definedName name="Ratna_A_Floor" localSheetId="7">#REF!</definedName>
    <definedName name="Ratna_A_Floor">#REF!</definedName>
    <definedName name="Ratna_A_Highlighter" localSheetId="12">#REF!</definedName>
    <definedName name="Ratna_A_Highlighter" localSheetId="8">#REF!</definedName>
    <definedName name="Ratna_A_Highlighter" localSheetId="11">#REF!</definedName>
    <definedName name="Ratna_A_Highlighter" localSheetId="9">#REF!</definedName>
    <definedName name="Ratna_A_Highlighter" localSheetId="18">#REF!</definedName>
    <definedName name="Ratna_A_Highlighter" localSheetId="15">#REF!</definedName>
    <definedName name="Ratna_A_Highlighter" localSheetId="7">#REF!</definedName>
    <definedName name="Ratna_A_Highlighter">#REF!</definedName>
    <definedName name="Ratna_A_light_base" localSheetId="12">#REF!</definedName>
    <definedName name="Ratna_A_light_base" localSheetId="8">#REF!</definedName>
    <definedName name="Ratna_A_light_base" localSheetId="11">#REF!</definedName>
    <definedName name="Ratna_A_light_base" localSheetId="9">#REF!</definedName>
    <definedName name="Ratna_A_light_base" localSheetId="18">#REF!</definedName>
    <definedName name="Ratna_A_light_base" localSheetId="15">#REF!</definedName>
    <definedName name="Ratna_A_light_base" localSheetId="7">#REF!</definedName>
    <definedName name="Ratna_A_light_base">#REF!</definedName>
    <definedName name="Ratna_Ezio_C_Border" localSheetId="12">#REF!</definedName>
    <definedName name="Ratna_Ezio_C_Border" localSheetId="8">#REF!</definedName>
    <definedName name="Ratna_Ezio_C_Border" localSheetId="11">#REF!</definedName>
    <definedName name="Ratna_Ezio_C_Border" localSheetId="9">#REF!</definedName>
    <definedName name="Ratna_Ezio_C_Border" localSheetId="18">#REF!</definedName>
    <definedName name="Ratna_Ezio_C_Border" localSheetId="15">#REF!</definedName>
    <definedName name="Ratna_Ezio_C_Border" localSheetId="7">#REF!</definedName>
    <definedName name="Ratna_Ezio_C_Border">#REF!</definedName>
    <definedName name="Ratna_Ezio_C_dark_base" localSheetId="12">#REF!</definedName>
    <definedName name="Ratna_Ezio_C_dark_base" localSheetId="8">#REF!</definedName>
    <definedName name="Ratna_Ezio_C_dark_base" localSheetId="11">#REF!</definedName>
    <definedName name="Ratna_Ezio_C_dark_base" localSheetId="9">#REF!</definedName>
    <definedName name="Ratna_Ezio_C_dark_base" localSheetId="18">#REF!</definedName>
    <definedName name="Ratna_Ezio_C_dark_base" localSheetId="15">#REF!</definedName>
    <definedName name="Ratna_Ezio_C_dark_base" localSheetId="7">#REF!</definedName>
    <definedName name="Ratna_Ezio_C_dark_base">#REF!</definedName>
    <definedName name="Ratna_Ezio_C_Floor" localSheetId="12">#REF!</definedName>
    <definedName name="Ratna_Ezio_C_Floor" localSheetId="8">#REF!</definedName>
    <definedName name="Ratna_Ezio_C_Floor" localSheetId="11">#REF!</definedName>
    <definedName name="Ratna_Ezio_C_Floor" localSheetId="9">#REF!</definedName>
    <definedName name="Ratna_Ezio_C_Floor" localSheetId="18">#REF!</definedName>
    <definedName name="Ratna_Ezio_C_Floor" localSheetId="15">#REF!</definedName>
    <definedName name="Ratna_Ezio_C_Floor" localSheetId="7">#REF!</definedName>
    <definedName name="Ratna_Ezio_C_Floor">#REF!</definedName>
    <definedName name="Ratna_Ezio_C_Highlighter" localSheetId="12">#REF!</definedName>
    <definedName name="Ratna_Ezio_C_Highlighter" localSheetId="8">#REF!</definedName>
    <definedName name="Ratna_Ezio_C_Highlighter" localSheetId="11">#REF!</definedName>
    <definedName name="Ratna_Ezio_C_Highlighter" localSheetId="9">#REF!</definedName>
    <definedName name="Ratna_Ezio_C_Highlighter" localSheetId="18">#REF!</definedName>
    <definedName name="Ratna_Ezio_C_Highlighter" localSheetId="15">#REF!</definedName>
    <definedName name="Ratna_Ezio_C_Highlighter" localSheetId="7">#REF!</definedName>
    <definedName name="Ratna_Ezio_C_Highlighter">#REF!</definedName>
    <definedName name="Ratna_Ezio_C_light_base" localSheetId="12">#REF!</definedName>
    <definedName name="Ratna_Ezio_C_light_base" localSheetId="8">#REF!</definedName>
    <definedName name="Ratna_Ezio_C_light_base" localSheetId="11">#REF!</definedName>
    <definedName name="Ratna_Ezio_C_light_base" localSheetId="9">#REF!</definedName>
    <definedName name="Ratna_Ezio_C_light_base" localSheetId="18">#REF!</definedName>
    <definedName name="Ratna_Ezio_C_light_base" localSheetId="15">#REF!</definedName>
    <definedName name="Ratna_Ezio_C_light_base" localSheetId="7">#REF!</definedName>
    <definedName name="Ratna_Ezio_C_light_base">#REF!</definedName>
    <definedName name="Ratna_Sireno_A_Border" localSheetId="12">#REF!</definedName>
    <definedName name="Ratna_Sireno_A_Border" localSheetId="8">#REF!</definedName>
    <definedName name="Ratna_Sireno_A_Border" localSheetId="11">#REF!</definedName>
    <definedName name="Ratna_Sireno_A_Border" localSheetId="9">#REF!</definedName>
    <definedName name="Ratna_Sireno_A_Border" localSheetId="18">#REF!</definedName>
    <definedName name="Ratna_Sireno_A_Border" localSheetId="15">#REF!</definedName>
    <definedName name="Ratna_Sireno_A_Border" localSheetId="7">#REF!</definedName>
    <definedName name="Ratna_Sireno_A_Border">#REF!</definedName>
    <definedName name="Ratna_Sireno_A_dark_base" localSheetId="12">#REF!</definedName>
    <definedName name="Ratna_Sireno_A_dark_base" localSheetId="8">#REF!</definedName>
    <definedName name="Ratna_Sireno_A_dark_base" localSheetId="11">#REF!</definedName>
    <definedName name="Ratna_Sireno_A_dark_base" localSheetId="9">#REF!</definedName>
    <definedName name="Ratna_Sireno_A_dark_base" localSheetId="18">#REF!</definedName>
    <definedName name="Ratna_Sireno_A_dark_base" localSheetId="15">#REF!</definedName>
    <definedName name="Ratna_Sireno_A_dark_base" localSheetId="7">#REF!</definedName>
    <definedName name="Ratna_Sireno_A_dark_base">#REF!</definedName>
    <definedName name="Ratna_Sireno_A_Floor" localSheetId="12">#REF!</definedName>
    <definedName name="Ratna_Sireno_A_Floor" localSheetId="8">#REF!</definedName>
    <definedName name="Ratna_Sireno_A_Floor" localSheetId="11">#REF!</definedName>
    <definedName name="Ratna_Sireno_A_Floor" localSheetId="9">#REF!</definedName>
    <definedName name="Ratna_Sireno_A_Floor" localSheetId="18">#REF!</definedName>
    <definedName name="Ratna_Sireno_A_Floor" localSheetId="15">#REF!</definedName>
    <definedName name="Ratna_Sireno_A_Floor" localSheetId="7">#REF!</definedName>
    <definedName name="Ratna_Sireno_A_Floor">#REF!</definedName>
    <definedName name="Ratna_Sireno_A_Highlighter" localSheetId="12">#REF!</definedName>
    <definedName name="Ratna_Sireno_A_Highlighter" localSheetId="8">#REF!</definedName>
    <definedName name="Ratna_Sireno_A_Highlighter" localSheetId="11">#REF!</definedName>
    <definedName name="Ratna_Sireno_A_Highlighter" localSheetId="9">#REF!</definedName>
    <definedName name="Ratna_Sireno_A_Highlighter" localSheetId="18">#REF!</definedName>
    <definedName name="Ratna_Sireno_A_Highlighter" localSheetId="15">#REF!</definedName>
    <definedName name="Ratna_Sireno_A_Highlighter" localSheetId="7">#REF!</definedName>
    <definedName name="Ratna_Sireno_A_Highlighter">#REF!</definedName>
    <definedName name="Ratna_Sireno_A_light_base" localSheetId="12">#REF!</definedName>
    <definedName name="Ratna_Sireno_A_light_base" localSheetId="8">#REF!</definedName>
    <definedName name="Ratna_Sireno_A_light_base" localSheetId="11">#REF!</definedName>
    <definedName name="Ratna_Sireno_A_light_base" localSheetId="9">#REF!</definedName>
    <definedName name="Ratna_Sireno_A_light_base" localSheetId="18">#REF!</definedName>
    <definedName name="Ratna_Sireno_A_light_base" localSheetId="15">#REF!</definedName>
    <definedName name="Ratna_Sireno_A_light_base" localSheetId="7">#REF!</definedName>
    <definedName name="Ratna_Sireno_A_light_base">#REF!</definedName>
    <definedName name="RATNAGIRI" localSheetId="12">#REF!</definedName>
    <definedName name="RATNAGIRI" localSheetId="8">#REF!</definedName>
    <definedName name="RATNAGIRI" localSheetId="11">#REF!</definedName>
    <definedName name="RATNAGIRI" localSheetId="9">#REF!</definedName>
    <definedName name="RATNAGIRI" localSheetId="18">#REF!</definedName>
    <definedName name="RATNAGIRI" localSheetId="15">#REF!</definedName>
    <definedName name="RATNAGIRI" localSheetId="7">#REF!</definedName>
    <definedName name="RATNAGIRI">#REF!</definedName>
    <definedName name="RCVFINAL" localSheetId="12">#REF!</definedName>
    <definedName name="RCVFINAL" localSheetId="8">#REF!</definedName>
    <definedName name="RCVFINAL" localSheetId="11">#REF!</definedName>
    <definedName name="RCVFINAL" localSheetId="9">#REF!</definedName>
    <definedName name="RCVFINAL" localSheetId="18">#REF!</definedName>
    <definedName name="RCVFINAL" localSheetId="15">#REF!</definedName>
    <definedName name="RCVFINAL" localSheetId="7">#REF!</definedName>
    <definedName name="RCVFINAL">#REF!</definedName>
    <definedName name="rcwbgl" localSheetId="12">#REF!</definedName>
    <definedName name="rcwbgl" localSheetId="0">#REF!</definedName>
    <definedName name="rcwbgl" localSheetId="1">#REF!</definedName>
    <definedName name="rcwbgl" localSheetId="8">#REF!</definedName>
    <definedName name="rcwbgl" localSheetId="11">#REF!</definedName>
    <definedName name="rcwbgl" localSheetId="9">#REF!</definedName>
    <definedName name="rcwbgl" localSheetId="18">#REF!</definedName>
    <definedName name="rcwbgl" localSheetId="15">#REF!</definedName>
    <definedName name="rcwbgl" localSheetId="7">#REF!</definedName>
    <definedName name="rcwbgl">#REF!</definedName>
    <definedName name="rcwbgl2" localSheetId="12">#REF!</definedName>
    <definedName name="rcwbgl2" localSheetId="0">#REF!</definedName>
    <definedName name="rcwbgl2" localSheetId="1">#REF!</definedName>
    <definedName name="rcwbgl2" localSheetId="8">#REF!</definedName>
    <definedName name="rcwbgl2" localSheetId="11">#REF!</definedName>
    <definedName name="rcwbgl2" localSheetId="9">#REF!</definedName>
    <definedName name="rcwbgl2" localSheetId="18">#REF!</definedName>
    <definedName name="rcwbgl2" localSheetId="15">#REF!</definedName>
    <definedName name="rcwbgl2" localSheetId="7">#REF!</definedName>
    <definedName name="rcwbgl2">#REF!</definedName>
    <definedName name="rd" localSheetId="12">#REF!</definedName>
    <definedName name="rd" localSheetId="8">#REF!</definedName>
    <definedName name="rd" localSheetId="11">#REF!</definedName>
    <definedName name="rd" localSheetId="9">#REF!</definedName>
    <definedName name="rd" localSheetId="18">#REF!</definedName>
    <definedName name="rd" localSheetId="15">#REF!</definedName>
    <definedName name="rd" localSheetId="7">#REF!</definedName>
    <definedName name="rd">#REF!</definedName>
    <definedName name="RDN" localSheetId="12" hidden="1">{#N/A,#N/A,FALSE,"COVER.XLS";#N/A,#N/A,FALSE,"RACT1.XLS";#N/A,#N/A,FALSE,"RACT2.XLS";#N/A,#N/A,FALSE,"ECCMP";#N/A,#N/A,FALSE,"WELDER.XLS"}</definedName>
    <definedName name="RDN" localSheetId="6" hidden="1">{#N/A,#N/A,FALSE,"COVER.XLS";#N/A,#N/A,FALSE,"RACT1.XLS";#N/A,#N/A,FALSE,"RACT2.XLS";#N/A,#N/A,FALSE,"ECCMP";#N/A,#N/A,FALSE,"WELDER.XLS"}</definedName>
    <definedName name="RDN" localSheetId="5" hidden="1">{#N/A,#N/A,FALSE,"COVER.XLS";#N/A,#N/A,FALSE,"RACT1.XLS";#N/A,#N/A,FALSE,"RACT2.XLS";#N/A,#N/A,FALSE,"ECCMP";#N/A,#N/A,FALSE,"WELDER.XLS"}</definedName>
    <definedName name="RDN" localSheetId="8" hidden="1">{#N/A,#N/A,FALSE,"COVER.XLS";#N/A,#N/A,FALSE,"RACT1.XLS";#N/A,#N/A,FALSE,"RACT2.XLS";#N/A,#N/A,FALSE,"ECCMP";#N/A,#N/A,FALSE,"WELDER.XLS"}</definedName>
    <definedName name="RDN" localSheetId="11" hidden="1">{#N/A,#N/A,FALSE,"COVER.XLS";#N/A,#N/A,FALSE,"RACT1.XLS";#N/A,#N/A,FALSE,"RACT2.XLS";#N/A,#N/A,FALSE,"ECCMP";#N/A,#N/A,FALSE,"WELDER.XLS"}</definedName>
    <definedName name="RDN" localSheetId="9" hidden="1">{#N/A,#N/A,FALSE,"COVER.XLS";#N/A,#N/A,FALSE,"RACT1.XLS";#N/A,#N/A,FALSE,"RACT2.XLS";#N/A,#N/A,FALSE,"ECCMP";#N/A,#N/A,FALSE,"WELDER.XLS"}</definedName>
    <definedName name="RDN" localSheetId="13" hidden="1">{#N/A,#N/A,FALSE,"COVER.XLS";#N/A,#N/A,FALSE,"RACT1.XLS";#N/A,#N/A,FALSE,"RACT2.XLS";#N/A,#N/A,FALSE,"ECCMP";#N/A,#N/A,FALSE,"WELDER.XLS"}</definedName>
    <definedName name="RDN" localSheetId="18" hidden="1">{#N/A,#N/A,FALSE,"COVER.XLS";#N/A,#N/A,FALSE,"RACT1.XLS";#N/A,#N/A,FALSE,"RACT2.XLS";#N/A,#N/A,FALSE,"ECCMP";#N/A,#N/A,FALSE,"WELDER.XLS"}</definedName>
    <definedName name="RDN" localSheetId="15" hidden="1">{#N/A,#N/A,FALSE,"COVER.XLS";#N/A,#N/A,FALSE,"RACT1.XLS";#N/A,#N/A,FALSE,"RACT2.XLS";#N/A,#N/A,FALSE,"ECCMP";#N/A,#N/A,FALSE,"WELDER.XLS"}</definedName>
    <definedName name="RDN" localSheetId="7" hidden="1">{#N/A,#N/A,FALSE,"COVER.XLS";#N/A,#N/A,FALSE,"RACT1.XLS";#N/A,#N/A,FALSE,"RACT2.XLS";#N/A,#N/A,FALSE,"ECCMP";#N/A,#N/A,FALSE,"WELDER.XLS"}</definedName>
    <definedName name="RDN" hidden="1">{#N/A,#N/A,FALSE,"COVER.XLS";#N/A,#N/A,FALSE,"RACT1.XLS";#N/A,#N/A,FALSE,"RACT2.XLS";#N/A,#N/A,FALSE,"ECCMP";#N/A,#N/A,FALSE,"WELDER.XLS"}</definedName>
    <definedName name="rdtd" localSheetId="12">#REF!</definedName>
    <definedName name="rdtd" localSheetId="6">#REF!</definedName>
    <definedName name="rdtd" localSheetId="5">#REF!</definedName>
    <definedName name="rdtd" localSheetId="8">#REF!</definedName>
    <definedName name="rdtd" localSheetId="11">#REF!</definedName>
    <definedName name="rdtd" localSheetId="9">#REF!</definedName>
    <definedName name="rdtd" localSheetId="18">#REF!</definedName>
    <definedName name="rdtd" localSheetId="15">#REF!</definedName>
    <definedName name="rdtd" localSheetId="7">#REF!</definedName>
    <definedName name="rdtd">#REF!</definedName>
    <definedName name="Re" localSheetId="12">#REF!</definedName>
    <definedName name="Re" localSheetId="6">#REF!</definedName>
    <definedName name="Re" localSheetId="5">#REF!</definedName>
    <definedName name="Re" localSheetId="8">#REF!</definedName>
    <definedName name="Re" localSheetId="11">#REF!</definedName>
    <definedName name="Re" localSheetId="9">#REF!</definedName>
    <definedName name="Re" localSheetId="18">#REF!</definedName>
    <definedName name="Re" localSheetId="15">#REF!</definedName>
    <definedName name="Re" localSheetId="7">#REF!</definedName>
    <definedName name="Re">#REF!</definedName>
    <definedName name="Re___0" localSheetId="12">#REF!</definedName>
    <definedName name="Re___0" localSheetId="6">#REF!</definedName>
    <definedName name="Re___0" localSheetId="5">#REF!</definedName>
    <definedName name="Re___0" localSheetId="8">#REF!</definedName>
    <definedName name="Re___0" localSheetId="11">#REF!</definedName>
    <definedName name="Re___0" localSheetId="9">#REF!</definedName>
    <definedName name="Re___0" localSheetId="18">#REF!</definedName>
    <definedName name="Re___0" localSheetId="15">#REF!</definedName>
    <definedName name="Re___0" localSheetId="7">#REF!</definedName>
    <definedName name="Re___0">#REF!</definedName>
    <definedName name="Re___13" localSheetId="12">#REF!</definedName>
    <definedName name="Re___13" localSheetId="8">#REF!</definedName>
    <definedName name="Re___13" localSheetId="11">#REF!</definedName>
    <definedName name="Re___13" localSheetId="9">#REF!</definedName>
    <definedName name="Re___13" localSheetId="18">#REF!</definedName>
    <definedName name="Re___13" localSheetId="15">#REF!</definedName>
    <definedName name="Re___13" localSheetId="7">#REF!</definedName>
    <definedName name="Re___13">#REF!</definedName>
    <definedName name="Rebar_Qty._for_Bottom_L" localSheetId="12">#REF!</definedName>
    <definedName name="Rebar_Qty._for_Bottom_L" localSheetId="8">#REF!</definedName>
    <definedName name="Rebar_Qty._for_Bottom_L" localSheetId="11">#REF!</definedName>
    <definedName name="Rebar_Qty._for_Bottom_L" localSheetId="9">#REF!</definedName>
    <definedName name="Rebar_Qty._for_Bottom_L" localSheetId="18">#REF!</definedName>
    <definedName name="Rebar_Qty._for_Bottom_L" localSheetId="15">#REF!</definedName>
    <definedName name="Rebar_Qty._for_Bottom_L" localSheetId="7">#REF!</definedName>
    <definedName name="Rebar_Qty._for_Bottom_L">#REF!</definedName>
    <definedName name="Received_Data" localSheetId="12">#REF!</definedName>
    <definedName name="Received_Data" localSheetId="8">#REF!</definedName>
    <definedName name="Received_Data" localSheetId="11">#REF!</definedName>
    <definedName name="Received_Data" localSheetId="9">#REF!</definedName>
    <definedName name="Received_Data" localSheetId="18">#REF!</definedName>
    <definedName name="Received_Data" localSheetId="15">#REF!</definedName>
    <definedName name="Received_Data" localSheetId="7">#REF!</definedName>
    <definedName name="Received_Data">#REF!</definedName>
    <definedName name="_xlnm.Recorder" localSheetId="12">#REF!</definedName>
    <definedName name="_xlnm.Recorder" localSheetId="8">#REF!</definedName>
    <definedName name="_xlnm.Recorder" localSheetId="11">#REF!</definedName>
    <definedName name="_xlnm.Recorder" localSheetId="9">#REF!</definedName>
    <definedName name="_xlnm.Recorder" localSheetId="18">#REF!</definedName>
    <definedName name="_xlnm.Recorder" localSheetId="15">#REF!</definedName>
    <definedName name="_xlnm.Recorder" localSheetId="7">#REF!</definedName>
    <definedName name="_xlnm.Recorder">#REF!</definedName>
    <definedName name="rect_4_415" localSheetId="12">#REF!</definedName>
    <definedName name="rect_4_415" localSheetId="8">#REF!</definedName>
    <definedName name="rect_4_415" localSheetId="11">#REF!</definedName>
    <definedName name="rect_4_415" localSheetId="9">#REF!</definedName>
    <definedName name="rect_4_415" localSheetId="18">#REF!</definedName>
    <definedName name="rect_4_415" localSheetId="15">#REF!</definedName>
    <definedName name="rect_4_415" localSheetId="7">#REF!</definedName>
    <definedName name="rect_4_415">#REF!</definedName>
    <definedName name="Reflected_interlocking_80" localSheetId="12">#REF!</definedName>
    <definedName name="Reflected_interlocking_80" localSheetId="8">#REF!</definedName>
    <definedName name="Reflected_interlocking_80" localSheetId="11">#REF!</definedName>
    <definedName name="Reflected_interlocking_80" localSheetId="9">#REF!</definedName>
    <definedName name="Reflected_interlocking_80" localSheetId="18">#REF!</definedName>
    <definedName name="Reflected_interlocking_80" localSheetId="15">#REF!</definedName>
    <definedName name="Reflected_interlocking_80" localSheetId="7">#REF!</definedName>
    <definedName name="Reflected_interlocking_80">#REF!</definedName>
    <definedName name="rel" localSheetId="12">#REF!</definedName>
    <definedName name="rel" localSheetId="0">#REF!</definedName>
    <definedName name="rel" localSheetId="1">#REF!</definedName>
    <definedName name="rel" localSheetId="8">#REF!</definedName>
    <definedName name="rel" localSheetId="11">#REF!</definedName>
    <definedName name="rel" localSheetId="9">#REF!</definedName>
    <definedName name="rel" localSheetId="18">#REF!</definedName>
    <definedName name="rel" localSheetId="15">#REF!</definedName>
    <definedName name="rel" localSheetId="7">#REF!</definedName>
    <definedName name="rel">#REF!</definedName>
    <definedName name="rel_1" localSheetId="12">#REF!</definedName>
    <definedName name="rel_1" localSheetId="8">#REF!</definedName>
    <definedName name="rel_1" localSheetId="11">#REF!</definedName>
    <definedName name="rel_1" localSheetId="9">#REF!</definedName>
    <definedName name="rel_1" localSheetId="18">#REF!</definedName>
    <definedName name="rel_1" localSheetId="15">#REF!</definedName>
    <definedName name="rel_1" localSheetId="7">#REF!</definedName>
    <definedName name="rel_1">#REF!</definedName>
    <definedName name="RER" localSheetId="12">#REF!</definedName>
    <definedName name="RER" localSheetId="8">#REF!</definedName>
    <definedName name="RER" localSheetId="11">#REF!</definedName>
    <definedName name="RER" localSheetId="9">#REF!</definedName>
    <definedName name="RER" localSheetId="18">#REF!</definedName>
    <definedName name="RER" localSheetId="15">#REF!</definedName>
    <definedName name="RER" localSheetId="7">#REF!</definedName>
    <definedName name="RER">#REF!</definedName>
    <definedName name="res_sum" localSheetId="12" hidden="1">{#N/A,#N/A,FALSE,"COVER1.XLS ";#N/A,#N/A,FALSE,"RACT1.XLS";#N/A,#N/A,FALSE,"RACT2.XLS";#N/A,#N/A,FALSE,"ECCMP";#N/A,#N/A,FALSE,"WELDER.XLS"}</definedName>
    <definedName name="res_sum" localSheetId="6" hidden="1">{#N/A,#N/A,FALSE,"COVER1.XLS ";#N/A,#N/A,FALSE,"RACT1.XLS";#N/A,#N/A,FALSE,"RACT2.XLS";#N/A,#N/A,FALSE,"ECCMP";#N/A,#N/A,FALSE,"WELDER.XLS"}</definedName>
    <definedName name="res_sum" localSheetId="5" hidden="1">{#N/A,#N/A,FALSE,"COVER1.XLS ";#N/A,#N/A,FALSE,"RACT1.XLS";#N/A,#N/A,FALSE,"RACT2.XLS";#N/A,#N/A,FALSE,"ECCMP";#N/A,#N/A,FALSE,"WELDER.XLS"}</definedName>
    <definedName name="res_sum" localSheetId="8" hidden="1">{#N/A,#N/A,FALSE,"COVER1.XLS ";#N/A,#N/A,FALSE,"RACT1.XLS";#N/A,#N/A,FALSE,"RACT2.XLS";#N/A,#N/A,FALSE,"ECCMP";#N/A,#N/A,FALSE,"WELDER.XLS"}</definedName>
    <definedName name="res_sum" localSheetId="11" hidden="1">{#N/A,#N/A,FALSE,"COVER1.XLS ";#N/A,#N/A,FALSE,"RACT1.XLS";#N/A,#N/A,FALSE,"RACT2.XLS";#N/A,#N/A,FALSE,"ECCMP";#N/A,#N/A,FALSE,"WELDER.XLS"}</definedName>
    <definedName name="res_sum" localSheetId="9" hidden="1">{#N/A,#N/A,FALSE,"COVER1.XLS ";#N/A,#N/A,FALSE,"RACT1.XLS";#N/A,#N/A,FALSE,"RACT2.XLS";#N/A,#N/A,FALSE,"ECCMP";#N/A,#N/A,FALSE,"WELDER.XLS"}</definedName>
    <definedName name="res_sum" localSheetId="13" hidden="1">{#N/A,#N/A,FALSE,"COVER1.XLS ";#N/A,#N/A,FALSE,"RACT1.XLS";#N/A,#N/A,FALSE,"RACT2.XLS";#N/A,#N/A,FALSE,"ECCMP";#N/A,#N/A,FALSE,"WELDER.XLS"}</definedName>
    <definedName name="res_sum" localSheetId="18" hidden="1">{#N/A,#N/A,FALSE,"COVER1.XLS ";#N/A,#N/A,FALSE,"RACT1.XLS";#N/A,#N/A,FALSE,"RACT2.XLS";#N/A,#N/A,FALSE,"ECCMP";#N/A,#N/A,FALSE,"WELDER.XLS"}</definedName>
    <definedName name="res_sum" localSheetId="15" hidden="1">{#N/A,#N/A,FALSE,"COVER1.XLS ";#N/A,#N/A,FALSE,"RACT1.XLS";#N/A,#N/A,FALSE,"RACT2.XLS";#N/A,#N/A,FALSE,"ECCMP";#N/A,#N/A,FALSE,"WELDER.XLS"}</definedName>
    <definedName name="res_sum" localSheetId="7" hidden="1">{#N/A,#N/A,FALSE,"COVER1.XLS ";#N/A,#N/A,FALSE,"RACT1.XLS";#N/A,#N/A,FALSE,"RACT2.XLS";#N/A,#N/A,FALSE,"ECCMP";#N/A,#N/A,FALSE,"WELDER.XLS"}</definedName>
    <definedName name="res_sum" hidden="1">{#N/A,#N/A,FALSE,"COVER1.XLS ";#N/A,#N/A,FALSE,"RACT1.XLS";#N/A,#N/A,FALSE,"RACT2.XLS";#N/A,#N/A,FALSE,"ECCMP";#N/A,#N/A,FALSE,"WELDER.XLS"}</definedName>
    <definedName name="Rev" localSheetId="12">#REF!</definedName>
    <definedName name="Rev" localSheetId="0">#REF!</definedName>
    <definedName name="Rev" localSheetId="1">#REF!</definedName>
    <definedName name="Rev" localSheetId="6">#REF!</definedName>
    <definedName name="Rev" localSheetId="5">#REF!</definedName>
    <definedName name="Rev" localSheetId="8">#REF!</definedName>
    <definedName name="Rev" localSheetId="11">#REF!</definedName>
    <definedName name="Rev" localSheetId="9">#REF!</definedName>
    <definedName name="Rev" localSheetId="18">#REF!</definedName>
    <definedName name="Rev" localSheetId="15">#REF!</definedName>
    <definedName name="Rev" localSheetId="7">#REF!</definedName>
    <definedName name="Rev">#REF!</definedName>
    <definedName name="Revision" localSheetId="12">#REF!</definedName>
    <definedName name="Revision" localSheetId="6">#REF!</definedName>
    <definedName name="Revision" localSheetId="5">#REF!</definedName>
    <definedName name="Revision" localSheetId="8">#REF!</definedName>
    <definedName name="Revision" localSheetId="11">#REF!</definedName>
    <definedName name="Revision" localSheetId="9">#REF!</definedName>
    <definedName name="Revision" localSheetId="18">#REF!</definedName>
    <definedName name="Revision" localSheetId="15">#REF!</definedName>
    <definedName name="Revision" localSheetId="7">#REF!</definedName>
    <definedName name="Revision">#REF!</definedName>
    <definedName name="revision1" localSheetId="12">#REF!</definedName>
    <definedName name="revision1" localSheetId="0">#REF!</definedName>
    <definedName name="revision1" localSheetId="1">#REF!</definedName>
    <definedName name="revision1" localSheetId="8">#REF!</definedName>
    <definedName name="revision1" localSheetId="11">#REF!</definedName>
    <definedName name="revision1" localSheetId="9">#REF!</definedName>
    <definedName name="revision1" localSheetId="18">#REF!</definedName>
    <definedName name="revision1" localSheetId="15">#REF!</definedName>
    <definedName name="revision1" localSheetId="7">#REF!</definedName>
    <definedName name="revision1">#REF!</definedName>
    <definedName name="REVISION12" localSheetId="12">#REF!</definedName>
    <definedName name="REVISION12" localSheetId="0">#REF!</definedName>
    <definedName name="REVISION12" localSheetId="1">#REF!</definedName>
    <definedName name="REVISION12" localSheetId="8">#REF!</definedName>
    <definedName name="REVISION12" localSheetId="11">#REF!</definedName>
    <definedName name="REVISION12" localSheetId="9">#REF!</definedName>
    <definedName name="REVISION12" localSheetId="18">#REF!</definedName>
    <definedName name="REVISION12" localSheetId="15">#REF!</definedName>
    <definedName name="REVISION12" localSheetId="7">#REF!</definedName>
    <definedName name="REVISION12">#REF!</definedName>
    <definedName name="REVISION23" localSheetId="12">#REF!</definedName>
    <definedName name="REVISION23" localSheetId="0">#REF!</definedName>
    <definedName name="REVISION23" localSheetId="1">#REF!</definedName>
    <definedName name="REVISION23" localSheetId="8">#REF!</definedName>
    <definedName name="REVISION23" localSheetId="11">#REF!</definedName>
    <definedName name="REVISION23" localSheetId="9">#REF!</definedName>
    <definedName name="REVISION23" localSheetId="18">#REF!</definedName>
    <definedName name="REVISION23" localSheetId="15">#REF!</definedName>
    <definedName name="REVISION23" localSheetId="7">#REF!</definedName>
    <definedName name="REVISION23">#REF!</definedName>
    <definedName name="RGG" localSheetId="12">#REF!</definedName>
    <definedName name="RGG" localSheetId="8">#REF!</definedName>
    <definedName name="RGG" localSheetId="11">#REF!</definedName>
    <definedName name="RGG" localSheetId="9">#REF!</definedName>
    <definedName name="RGG" localSheetId="18">#REF!</definedName>
    <definedName name="RGG" localSheetId="15">#REF!</definedName>
    <definedName name="RGG" localSheetId="7">#REF!</definedName>
    <definedName name="RGG">#REF!</definedName>
    <definedName name="rig" localSheetId="12">#REF!</definedName>
    <definedName name="rig" localSheetId="0">#REF!</definedName>
    <definedName name="rig" localSheetId="1">#REF!</definedName>
    <definedName name="rig" localSheetId="8">#REF!</definedName>
    <definedName name="rig" localSheetId="11">#REF!</definedName>
    <definedName name="rig" localSheetId="9">#REF!</definedName>
    <definedName name="rig" localSheetId="18">#REF!</definedName>
    <definedName name="rig" localSheetId="15">#REF!</definedName>
    <definedName name="rig" localSheetId="7">#REF!</definedName>
    <definedName name="rig">#REF!</definedName>
    <definedName name="rig_1" localSheetId="12">#REF!</definedName>
    <definedName name="rig_1" localSheetId="8">#REF!</definedName>
    <definedName name="rig_1" localSheetId="11">#REF!</definedName>
    <definedName name="rig_1" localSheetId="9">#REF!</definedName>
    <definedName name="rig_1" localSheetId="18">#REF!</definedName>
    <definedName name="rig_1" localSheetId="15">#REF!</definedName>
    <definedName name="rig_1" localSheetId="7">#REF!</definedName>
    <definedName name="rig_1">#REF!</definedName>
    <definedName name="RISE" localSheetId="12">#REF!</definedName>
    <definedName name="RISE" localSheetId="8">#REF!</definedName>
    <definedName name="RISE" localSheetId="11">#REF!</definedName>
    <definedName name="RISE" localSheetId="9">#REF!</definedName>
    <definedName name="RISE" localSheetId="18">#REF!</definedName>
    <definedName name="RISE" localSheetId="15">#REF!</definedName>
    <definedName name="RISE" localSheetId="7">#REF!</definedName>
    <definedName name="RISE">#REF!</definedName>
    <definedName name="Rl" localSheetId="12">#REF!</definedName>
    <definedName name="Rl" localSheetId="8">#REF!</definedName>
    <definedName name="Rl" localSheetId="11">#REF!</definedName>
    <definedName name="Rl" localSheetId="9">#REF!</definedName>
    <definedName name="Rl" localSheetId="18">#REF!</definedName>
    <definedName name="Rl" localSheetId="15">#REF!</definedName>
    <definedName name="Rl" localSheetId="7">#REF!</definedName>
    <definedName name="Rl">#REF!</definedName>
    <definedName name="Rl___0" localSheetId="12">#REF!</definedName>
    <definedName name="Rl___0" localSheetId="8">#REF!</definedName>
    <definedName name="Rl___0" localSheetId="11">#REF!</definedName>
    <definedName name="Rl___0" localSheetId="9">#REF!</definedName>
    <definedName name="Rl___0" localSheetId="18">#REF!</definedName>
    <definedName name="Rl___0" localSheetId="15">#REF!</definedName>
    <definedName name="Rl___0" localSheetId="7">#REF!</definedName>
    <definedName name="Rl___0">#REF!</definedName>
    <definedName name="Rl___13" localSheetId="12">#REF!</definedName>
    <definedName name="Rl___13" localSheetId="8">#REF!</definedName>
    <definedName name="Rl___13" localSheetId="11">#REF!</definedName>
    <definedName name="Rl___13" localSheetId="9">#REF!</definedName>
    <definedName name="Rl___13" localSheetId="18">#REF!</definedName>
    <definedName name="Rl___13" localSheetId="15">#REF!</definedName>
    <definedName name="Rl___13" localSheetId="7">#REF!</definedName>
    <definedName name="Rl___13">#REF!</definedName>
    <definedName name="rm4e" localSheetId="12">#REF!</definedName>
    <definedName name="rm4e" localSheetId="8">#REF!</definedName>
    <definedName name="rm4e" localSheetId="11">#REF!</definedName>
    <definedName name="rm4e" localSheetId="9">#REF!</definedName>
    <definedName name="rm4e" localSheetId="18">#REF!</definedName>
    <definedName name="rm4e" localSheetId="15">#REF!</definedName>
    <definedName name="rm4e" localSheetId="7">#REF!</definedName>
    <definedName name="rm4e">#REF!</definedName>
    <definedName name="RMB" localSheetId="12">#REF!</definedName>
    <definedName name="RMB" localSheetId="8">#REF!</definedName>
    <definedName name="RMB" localSheetId="11">#REF!</definedName>
    <definedName name="RMB" localSheetId="9">#REF!</definedName>
    <definedName name="RMB" localSheetId="18">#REF!</definedName>
    <definedName name="RMB" localSheetId="15">#REF!</definedName>
    <definedName name="RMB" localSheetId="7">#REF!</definedName>
    <definedName name="RMB">#REF!</definedName>
    <definedName name="RMC_Production_cost" localSheetId="12">#REF!</definedName>
    <definedName name="RMC_Production_cost" localSheetId="8">#REF!</definedName>
    <definedName name="RMC_Production_cost" localSheetId="11">#REF!</definedName>
    <definedName name="RMC_Production_cost" localSheetId="9">#REF!</definedName>
    <definedName name="RMC_Production_cost" localSheetId="18">#REF!</definedName>
    <definedName name="RMC_Production_cost" localSheetId="15">#REF!</definedName>
    <definedName name="RMC_Production_cost" localSheetId="7">#REF!</definedName>
    <definedName name="RMC_Production_cost">#REF!</definedName>
    <definedName name="RNNN" localSheetId="12">#REF!</definedName>
    <definedName name="RNNN" localSheetId="0">#REF!</definedName>
    <definedName name="RNNN" localSheetId="1">#REF!</definedName>
    <definedName name="RNNN" localSheetId="8">#REF!</definedName>
    <definedName name="RNNN" localSheetId="11">#REF!</definedName>
    <definedName name="RNNN" localSheetId="9">#REF!</definedName>
    <definedName name="RNNN" localSheetId="18">#REF!</definedName>
    <definedName name="RNNN" localSheetId="15">#REF!</definedName>
    <definedName name="RNNN" localSheetId="7">#REF!</definedName>
    <definedName name="RNNN">#REF!</definedName>
    <definedName name="robot" localSheetId="12">#REF!</definedName>
    <definedName name="robot" localSheetId="0">#REF!</definedName>
    <definedName name="robot" localSheetId="1">#REF!</definedName>
    <definedName name="robot" localSheetId="8">#REF!</definedName>
    <definedName name="robot" localSheetId="11">#REF!</definedName>
    <definedName name="robot" localSheetId="9">#REF!</definedName>
    <definedName name="robot" localSheetId="18">#REF!</definedName>
    <definedName name="robot" localSheetId="15">#REF!</definedName>
    <definedName name="robot" localSheetId="7">#REF!</definedName>
    <definedName name="robot">#REF!</definedName>
    <definedName name="robot_1" localSheetId="12">#REF!</definedName>
    <definedName name="robot_1" localSheetId="8">#REF!</definedName>
    <definedName name="robot_1" localSheetId="11">#REF!</definedName>
    <definedName name="robot_1" localSheetId="9">#REF!</definedName>
    <definedName name="robot_1" localSheetId="18">#REF!</definedName>
    <definedName name="robot_1" localSheetId="15">#REF!</definedName>
    <definedName name="robot_1" localSheetId="7">#REF!</definedName>
    <definedName name="robot_1">#REF!</definedName>
    <definedName name="ROBR" localSheetId="12">#REF!</definedName>
    <definedName name="ROBR" localSheetId="8">#REF!</definedName>
    <definedName name="ROBR" localSheetId="11">#REF!</definedName>
    <definedName name="ROBR" localSheetId="9">#REF!</definedName>
    <definedName name="ROBR" localSheetId="18">#REF!</definedName>
    <definedName name="ROBR" localSheetId="15">#REF!</definedName>
    <definedName name="ROBR" localSheetId="7">#REF!</definedName>
    <definedName name="ROBR">#REF!</definedName>
    <definedName name="ROEX" localSheetId="12">#REF!</definedName>
    <definedName name="ROEX" localSheetId="8">#REF!</definedName>
    <definedName name="ROEX" localSheetId="11">#REF!</definedName>
    <definedName name="ROEX" localSheetId="9">#REF!</definedName>
    <definedName name="ROEX" localSheetId="18">#REF!</definedName>
    <definedName name="ROEX" localSheetId="15">#REF!</definedName>
    <definedName name="ROEX" localSheetId="7">#REF!</definedName>
    <definedName name="ROEX">#REF!</definedName>
    <definedName name="ROHO" localSheetId="12">#REF!</definedName>
    <definedName name="ROHO" localSheetId="8">#REF!</definedName>
    <definedName name="ROHO" localSheetId="11">#REF!</definedName>
    <definedName name="ROHO" localSheetId="9">#REF!</definedName>
    <definedName name="ROHO" localSheetId="18">#REF!</definedName>
    <definedName name="ROHO" localSheetId="15">#REF!</definedName>
    <definedName name="ROHO" localSheetId="7">#REF!</definedName>
    <definedName name="ROHO">#REF!</definedName>
    <definedName name="roll" localSheetId="12">#REF!</definedName>
    <definedName name="roll" localSheetId="8">#REF!</definedName>
    <definedName name="roll" localSheetId="11">#REF!</definedName>
    <definedName name="roll" localSheetId="9">#REF!</definedName>
    <definedName name="roll" localSheetId="18">#REF!</definedName>
    <definedName name="roll" localSheetId="15">#REF!</definedName>
    <definedName name="roll" localSheetId="7">#REF!</definedName>
    <definedName name="roll">#REF!</definedName>
    <definedName name="roofing" localSheetId="12">#REF!</definedName>
    <definedName name="roofing" localSheetId="8">#REF!</definedName>
    <definedName name="roofing" localSheetId="11">#REF!</definedName>
    <definedName name="roofing" localSheetId="9">#REF!</definedName>
    <definedName name="roofing" localSheetId="18">#REF!</definedName>
    <definedName name="roofing" localSheetId="15">#REF!</definedName>
    <definedName name="roofing" localSheetId="7">#REF!</definedName>
    <definedName name="roofing">#REF!</definedName>
    <definedName name="rope" localSheetId="12">#REF!</definedName>
    <definedName name="rope" localSheetId="8">#REF!</definedName>
    <definedName name="rope" localSheetId="11">#REF!</definedName>
    <definedName name="rope" localSheetId="9">#REF!</definedName>
    <definedName name="rope" localSheetId="18">#REF!</definedName>
    <definedName name="rope" localSheetId="15">#REF!</definedName>
    <definedName name="rope" localSheetId="7">#REF!</definedName>
    <definedName name="rope">#REF!</definedName>
    <definedName name="rosid" localSheetId="12">#REF!</definedName>
    <definedName name="rosid" localSheetId="0">#REF!</definedName>
    <definedName name="rosid" localSheetId="1">#REF!</definedName>
    <definedName name="rosid" localSheetId="8">#REF!</definedName>
    <definedName name="rosid" localSheetId="11">#REF!</definedName>
    <definedName name="rosid" localSheetId="9">#REF!</definedName>
    <definedName name="rosid" localSheetId="18">#REF!</definedName>
    <definedName name="rosid" localSheetId="15">#REF!</definedName>
    <definedName name="rosid" localSheetId="7">#REF!</definedName>
    <definedName name="rosid">#REF!</definedName>
    <definedName name="rosid_1" localSheetId="12">#REF!</definedName>
    <definedName name="rosid_1" localSheetId="8">#REF!</definedName>
    <definedName name="rosid_1" localSheetId="11">#REF!</definedName>
    <definedName name="rosid_1" localSheetId="9">#REF!</definedName>
    <definedName name="rosid_1" localSheetId="18">#REF!</definedName>
    <definedName name="rosid_1" localSheetId="15">#REF!</definedName>
    <definedName name="rosid_1" localSheetId="7">#REF!</definedName>
    <definedName name="rosid_1">#REF!</definedName>
    <definedName name="rr" localSheetId="12" hidden="1">{#N/A,#N/A,FALSE,"consu_cover";#N/A,#N/A,FALSE,"consu_strategy";#N/A,#N/A,FALSE,"consu_flow";#N/A,#N/A,FALSE,"Summary_reqmt";#N/A,#N/A,FALSE,"field_ppg";#N/A,#N/A,FALSE,"ppg_shop";#N/A,#N/A,FALSE,"strl";#N/A,#N/A,FALSE,"tankages";#N/A,#N/A,FALSE,"gases"}</definedName>
    <definedName name="rr" localSheetId="6" hidden="1">{#N/A,#N/A,FALSE,"consu_cover";#N/A,#N/A,FALSE,"consu_strategy";#N/A,#N/A,FALSE,"consu_flow";#N/A,#N/A,FALSE,"Summary_reqmt";#N/A,#N/A,FALSE,"field_ppg";#N/A,#N/A,FALSE,"ppg_shop";#N/A,#N/A,FALSE,"strl";#N/A,#N/A,FALSE,"tankages";#N/A,#N/A,FALSE,"gases"}</definedName>
    <definedName name="rr" localSheetId="5" hidden="1">{#N/A,#N/A,FALSE,"consu_cover";#N/A,#N/A,FALSE,"consu_strategy";#N/A,#N/A,FALSE,"consu_flow";#N/A,#N/A,FALSE,"Summary_reqmt";#N/A,#N/A,FALSE,"field_ppg";#N/A,#N/A,FALSE,"ppg_shop";#N/A,#N/A,FALSE,"strl";#N/A,#N/A,FALSE,"tankages";#N/A,#N/A,FALSE,"gases"}</definedName>
    <definedName name="rr" localSheetId="8" hidden="1">{#N/A,#N/A,FALSE,"consu_cover";#N/A,#N/A,FALSE,"consu_strategy";#N/A,#N/A,FALSE,"consu_flow";#N/A,#N/A,FALSE,"Summary_reqmt";#N/A,#N/A,FALSE,"field_ppg";#N/A,#N/A,FALSE,"ppg_shop";#N/A,#N/A,FALSE,"strl";#N/A,#N/A,FALSE,"tankages";#N/A,#N/A,FALSE,"gases"}</definedName>
    <definedName name="rr" localSheetId="11" hidden="1">{#N/A,#N/A,FALSE,"consu_cover";#N/A,#N/A,FALSE,"consu_strategy";#N/A,#N/A,FALSE,"consu_flow";#N/A,#N/A,FALSE,"Summary_reqmt";#N/A,#N/A,FALSE,"field_ppg";#N/A,#N/A,FALSE,"ppg_shop";#N/A,#N/A,FALSE,"strl";#N/A,#N/A,FALSE,"tankages";#N/A,#N/A,FALSE,"gases"}</definedName>
    <definedName name="rr" localSheetId="9" hidden="1">{#N/A,#N/A,FALSE,"consu_cover";#N/A,#N/A,FALSE,"consu_strategy";#N/A,#N/A,FALSE,"consu_flow";#N/A,#N/A,FALSE,"Summary_reqmt";#N/A,#N/A,FALSE,"field_ppg";#N/A,#N/A,FALSE,"ppg_shop";#N/A,#N/A,FALSE,"strl";#N/A,#N/A,FALSE,"tankages";#N/A,#N/A,FALSE,"gases"}</definedName>
    <definedName name="rr" localSheetId="13" hidden="1">{#N/A,#N/A,FALSE,"consu_cover";#N/A,#N/A,FALSE,"consu_strategy";#N/A,#N/A,FALSE,"consu_flow";#N/A,#N/A,FALSE,"Summary_reqmt";#N/A,#N/A,FALSE,"field_ppg";#N/A,#N/A,FALSE,"ppg_shop";#N/A,#N/A,FALSE,"strl";#N/A,#N/A,FALSE,"tankages";#N/A,#N/A,FALSE,"gases"}</definedName>
    <definedName name="rr" localSheetId="18" hidden="1">{#N/A,#N/A,FALSE,"consu_cover";#N/A,#N/A,FALSE,"consu_strategy";#N/A,#N/A,FALSE,"consu_flow";#N/A,#N/A,FALSE,"Summary_reqmt";#N/A,#N/A,FALSE,"field_ppg";#N/A,#N/A,FALSE,"ppg_shop";#N/A,#N/A,FALSE,"strl";#N/A,#N/A,FALSE,"tankages";#N/A,#N/A,FALSE,"gases"}</definedName>
    <definedName name="rr" localSheetId="15" hidden="1">{#N/A,#N/A,FALSE,"consu_cover";#N/A,#N/A,FALSE,"consu_strategy";#N/A,#N/A,FALSE,"consu_flow";#N/A,#N/A,FALSE,"Summary_reqmt";#N/A,#N/A,FALSE,"field_ppg";#N/A,#N/A,FALSE,"ppg_shop";#N/A,#N/A,FALSE,"strl";#N/A,#N/A,FALSE,"tankages";#N/A,#N/A,FALSE,"gases"}</definedName>
    <definedName name="rr" localSheetId="7" hidden="1">{#N/A,#N/A,FALSE,"consu_cover";#N/A,#N/A,FALSE,"consu_strategy";#N/A,#N/A,FALSE,"consu_flow";#N/A,#N/A,FALSE,"Summary_reqmt";#N/A,#N/A,FALSE,"field_ppg";#N/A,#N/A,FALSE,"ppg_shop";#N/A,#N/A,FALSE,"strl";#N/A,#N/A,FALSE,"tankages";#N/A,#N/A,FALSE,"gases"}</definedName>
    <definedName name="rr" hidden="1">{#N/A,#N/A,FALSE,"consu_cover";#N/A,#N/A,FALSE,"consu_strategy";#N/A,#N/A,FALSE,"consu_flow";#N/A,#N/A,FALSE,"Summary_reqmt";#N/A,#N/A,FALSE,"field_ppg";#N/A,#N/A,FALSE,"ppg_shop";#N/A,#N/A,FALSE,"strl";#N/A,#N/A,FALSE,"tankages";#N/A,#N/A,FALSE,"gases"}</definedName>
    <definedName name="rrcost" localSheetId="12">#REF!</definedName>
    <definedName name="rrcost" localSheetId="6">#REF!</definedName>
    <definedName name="rrcost" localSheetId="5">#REF!</definedName>
    <definedName name="rrcost" localSheetId="8">#REF!</definedName>
    <definedName name="rrcost" localSheetId="11">#REF!</definedName>
    <definedName name="rrcost" localSheetId="9">#REF!</definedName>
    <definedName name="rrcost" localSheetId="18">#REF!</definedName>
    <definedName name="rrcost" localSheetId="15">#REF!</definedName>
    <definedName name="rrcost" localSheetId="7">#REF!</definedName>
    <definedName name="rrcost">#REF!</definedName>
    <definedName name="rrrrrrrrrrrrrrrrrrrr" localSheetId="12">#REF!</definedName>
    <definedName name="rrrrrrrrrrrrrrrrrrrr" localSheetId="6">#REF!</definedName>
    <definedName name="rrrrrrrrrrrrrrrrrrrr" localSheetId="5">#REF!</definedName>
    <definedName name="rrrrrrrrrrrrrrrrrrrr" localSheetId="8">#REF!</definedName>
    <definedName name="rrrrrrrrrrrrrrrrrrrr" localSheetId="11">#REF!</definedName>
    <definedName name="rrrrrrrrrrrrrrrrrrrr" localSheetId="9">#REF!</definedName>
    <definedName name="rrrrrrrrrrrrrrrrrrrr" localSheetId="18">#REF!</definedName>
    <definedName name="rrrrrrrrrrrrrrrrrrrr" localSheetId="15">#REF!</definedName>
    <definedName name="rrrrrrrrrrrrrrrrrrrr" localSheetId="7">#REF!</definedName>
    <definedName name="rrrrrrrrrrrrrrrrrrrr">#REF!</definedName>
    <definedName name="Rs" localSheetId="12">#REF!</definedName>
    <definedName name="Rs" localSheetId="6">#REF!</definedName>
    <definedName name="Rs" localSheetId="5">#REF!</definedName>
    <definedName name="Rs" localSheetId="8">#REF!</definedName>
    <definedName name="Rs" localSheetId="11">#REF!</definedName>
    <definedName name="Rs" localSheetId="9">#REF!</definedName>
    <definedName name="Rs" localSheetId="18">#REF!</definedName>
    <definedName name="Rs" localSheetId="15">#REF!</definedName>
    <definedName name="Rs" localSheetId="7">#REF!</definedName>
    <definedName name="Rs">#REF!</definedName>
    <definedName name="Rs___0" localSheetId="12">#REF!</definedName>
    <definedName name="Rs___0" localSheetId="8">#REF!</definedName>
    <definedName name="Rs___0" localSheetId="11">#REF!</definedName>
    <definedName name="Rs___0" localSheetId="9">#REF!</definedName>
    <definedName name="Rs___0" localSheetId="18">#REF!</definedName>
    <definedName name="Rs___0" localSheetId="15">#REF!</definedName>
    <definedName name="Rs___0" localSheetId="7">#REF!</definedName>
    <definedName name="Rs___0">#REF!</definedName>
    <definedName name="Rs___13" localSheetId="12">#REF!</definedName>
    <definedName name="Rs___13" localSheetId="8">#REF!</definedName>
    <definedName name="Rs___13" localSheetId="11">#REF!</definedName>
    <definedName name="Rs___13" localSheetId="9">#REF!</definedName>
    <definedName name="Rs___13" localSheetId="18">#REF!</definedName>
    <definedName name="Rs___13" localSheetId="15">#REF!</definedName>
    <definedName name="Rs___13" localSheetId="7">#REF!</definedName>
    <definedName name="Rs___13">#REF!</definedName>
    <definedName name="Rse" localSheetId="12">#REF!</definedName>
    <definedName name="Rse" localSheetId="8">#REF!</definedName>
    <definedName name="Rse" localSheetId="11">#REF!</definedName>
    <definedName name="Rse" localSheetId="9">#REF!</definedName>
    <definedName name="Rse" localSheetId="18">#REF!</definedName>
    <definedName name="Rse" localSheetId="15">#REF!</definedName>
    <definedName name="Rse" localSheetId="7">#REF!</definedName>
    <definedName name="Rse">#REF!</definedName>
    <definedName name="Rse___0" localSheetId="12">#REF!</definedName>
    <definedName name="Rse___0" localSheetId="8">#REF!</definedName>
    <definedName name="Rse___0" localSheetId="11">#REF!</definedName>
    <definedName name="Rse___0" localSheetId="9">#REF!</definedName>
    <definedName name="Rse___0" localSheetId="18">#REF!</definedName>
    <definedName name="Rse___0" localSheetId="15">#REF!</definedName>
    <definedName name="Rse___0" localSheetId="7">#REF!</definedName>
    <definedName name="Rse___0">#REF!</definedName>
    <definedName name="Rse___13" localSheetId="12">#REF!</definedName>
    <definedName name="Rse___13" localSheetId="8">#REF!</definedName>
    <definedName name="Rse___13" localSheetId="11">#REF!</definedName>
    <definedName name="Rse___13" localSheetId="9">#REF!</definedName>
    <definedName name="Rse___13" localSheetId="18">#REF!</definedName>
    <definedName name="Rse___13" localSheetId="15">#REF!</definedName>
    <definedName name="Rse___13" localSheetId="7">#REF!</definedName>
    <definedName name="Rse___13">#REF!</definedName>
    <definedName name="RST" localSheetId="12">#REF!</definedName>
    <definedName name="RST" localSheetId="8">#REF!</definedName>
    <definedName name="RST" localSheetId="11">#REF!</definedName>
    <definedName name="RST" localSheetId="9">#REF!</definedName>
    <definedName name="RST" localSheetId="18">#REF!</definedName>
    <definedName name="RST" localSheetId="15">#REF!</definedName>
    <definedName name="RST" localSheetId="7">#REF!</definedName>
    <definedName name="RST">#REF!</definedName>
    <definedName name="rtc" localSheetId="12">#REF!</definedName>
    <definedName name="rtc" localSheetId="8">#REF!</definedName>
    <definedName name="rtc" localSheetId="11">#REF!</definedName>
    <definedName name="rtc" localSheetId="9">#REF!</definedName>
    <definedName name="rtc" localSheetId="18">#REF!</definedName>
    <definedName name="rtc" localSheetId="15">#REF!</definedName>
    <definedName name="rtc" localSheetId="7">#REF!</definedName>
    <definedName name="rtc">#REF!</definedName>
    <definedName name="rtr" localSheetId="12">#REF!</definedName>
    <definedName name="rtr" localSheetId="8">#REF!</definedName>
    <definedName name="rtr" localSheetId="11">#REF!</definedName>
    <definedName name="rtr" localSheetId="9">#REF!</definedName>
    <definedName name="rtr" localSheetId="18">#REF!</definedName>
    <definedName name="rtr" localSheetId="15">#REF!</definedName>
    <definedName name="rtr" localSheetId="7">#REF!</definedName>
    <definedName name="rtr">#REF!</definedName>
    <definedName name="RTTRTRTR"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were" localSheetId="12" hidden="1">{#N/A,#N/A,FALSE,"COVER1.XLS ";#N/A,#N/A,FALSE,"RACT1.XLS";#N/A,#N/A,FALSE,"RACT2.XLS";#N/A,#N/A,FALSE,"ECCMP";#N/A,#N/A,FALSE,"WELDER.XLS"}</definedName>
    <definedName name="rwere" localSheetId="6" hidden="1">{#N/A,#N/A,FALSE,"COVER1.XLS ";#N/A,#N/A,FALSE,"RACT1.XLS";#N/A,#N/A,FALSE,"RACT2.XLS";#N/A,#N/A,FALSE,"ECCMP";#N/A,#N/A,FALSE,"WELDER.XLS"}</definedName>
    <definedName name="rwere" localSheetId="5" hidden="1">{#N/A,#N/A,FALSE,"COVER1.XLS ";#N/A,#N/A,FALSE,"RACT1.XLS";#N/A,#N/A,FALSE,"RACT2.XLS";#N/A,#N/A,FALSE,"ECCMP";#N/A,#N/A,FALSE,"WELDER.XLS"}</definedName>
    <definedName name="rwere" localSheetId="8" hidden="1">{#N/A,#N/A,FALSE,"COVER1.XLS ";#N/A,#N/A,FALSE,"RACT1.XLS";#N/A,#N/A,FALSE,"RACT2.XLS";#N/A,#N/A,FALSE,"ECCMP";#N/A,#N/A,FALSE,"WELDER.XLS"}</definedName>
    <definedName name="rwere" localSheetId="11" hidden="1">{#N/A,#N/A,FALSE,"COVER1.XLS ";#N/A,#N/A,FALSE,"RACT1.XLS";#N/A,#N/A,FALSE,"RACT2.XLS";#N/A,#N/A,FALSE,"ECCMP";#N/A,#N/A,FALSE,"WELDER.XLS"}</definedName>
    <definedName name="rwere" localSheetId="9" hidden="1">{#N/A,#N/A,FALSE,"COVER1.XLS ";#N/A,#N/A,FALSE,"RACT1.XLS";#N/A,#N/A,FALSE,"RACT2.XLS";#N/A,#N/A,FALSE,"ECCMP";#N/A,#N/A,FALSE,"WELDER.XLS"}</definedName>
    <definedName name="rwere" localSheetId="13" hidden="1">{#N/A,#N/A,FALSE,"COVER1.XLS ";#N/A,#N/A,FALSE,"RACT1.XLS";#N/A,#N/A,FALSE,"RACT2.XLS";#N/A,#N/A,FALSE,"ECCMP";#N/A,#N/A,FALSE,"WELDER.XLS"}</definedName>
    <definedName name="rwere" localSheetId="18" hidden="1">{#N/A,#N/A,FALSE,"COVER1.XLS ";#N/A,#N/A,FALSE,"RACT1.XLS";#N/A,#N/A,FALSE,"RACT2.XLS";#N/A,#N/A,FALSE,"ECCMP";#N/A,#N/A,FALSE,"WELDER.XLS"}</definedName>
    <definedName name="rwere" localSheetId="15" hidden="1">{#N/A,#N/A,FALSE,"COVER1.XLS ";#N/A,#N/A,FALSE,"RACT1.XLS";#N/A,#N/A,FALSE,"RACT2.XLS";#N/A,#N/A,FALSE,"ECCMP";#N/A,#N/A,FALSE,"WELDER.XLS"}</definedName>
    <definedName name="rwere" localSheetId="7" hidden="1">{#N/A,#N/A,FALSE,"COVER1.XLS ";#N/A,#N/A,FALSE,"RACT1.XLS";#N/A,#N/A,FALSE,"RACT2.XLS";#N/A,#N/A,FALSE,"ECCMP";#N/A,#N/A,FALSE,"WELDER.XLS"}</definedName>
    <definedName name="rwere" hidden="1">{#N/A,#N/A,FALSE,"COVER1.XLS ";#N/A,#N/A,FALSE,"RACT1.XLS";#N/A,#N/A,FALSE,"RACT2.XLS";#N/A,#N/A,FALSE,"ECCMP";#N/A,#N/A,FALSE,"WELDER.XLS"}</definedName>
    <definedName name="s" localSheetId="12">#REF!</definedName>
    <definedName name="s" localSheetId="0">#REF!</definedName>
    <definedName name="s" localSheetId="1">#REF!</definedName>
    <definedName name="s" localSheetId="6">#REF!</definedName>
    <definedName name="s" localSheetId="5">#REF!</definedName>
    <definedName name="s" localSheetId="8">#REF!</definedName>
    <definedName name="s" localSheetId="11">#REF!</definedName>
    <definedName name="s" localSheetId="9">#REF!</definedName>
    <definedName name="s" localSheetId="18">#REF!</definedName>
    <definedName name="s" localSheetId="15">#REF!</definedName>
    <definedName name="s" localSheetId="7">#REF!</definedName>
    <definedName name="s">#REF!</definedName>
    <definedName name="S.L.WALL" localSheetId="12">#REF!</definedName>
    <definedName name="S.L.WALL" localSheetId="0">#REF!</definedName>
    <definedName name="S.L.WALL" localSheetId="1">#REF!</definedName>
    <definedName name="S.L.WALL" localSheetId="8">#REF!</definedName>
    <definedName name="S.L.WALL" localSheetId="11">#REF!</definedName>
    <definedName name="S.L.WALL" localSheetId="9">#REF!</definedName>
    <definedName name="S.L.WALL" localSheetId="18">#REF!</definedName>
    <definedName name="S.L.WALL" localSheetId="15">#REF!</definedName>
    <definedName name="S.L.WALL" localSheetId="7">#REF!</definedName>
    <definedName name="S.L.WALL">#REF!</definedName>
    <definedName name="s.l.wallls" localSheetId="12">#REF!</definedName>
    <definedName name="s.l.wallls" localSheetId="0">#REF!</definedName>
    <definedName name="s.l.wallls" localSheetId="1">#REF!</definedName>
    <definedName name="s.l.wallls" localSheetId="8">#REF!</definedName>
    <definedName name="s.l.wallls" localSheetId="11">#REF!</definedName>
    <definedName name="s.l.wallls" localSheetId="9">#REF!</definedName>
    <definedName name="s.l.wallls" localSheetId="18">#REF!</definedName>
    <definedName name="s.l.wallls" localSheetId="15">#REF!</definedName>
    <definedName name="s.l.wallls" localSheetId="7">#REF!</definedName>
    <definedName name="s.l.wallls">#REF!</definedName>
    <definedName name="S.L.WALLS" localSheetId="12">#REF!</definedName>
    <definedName name="S.L.WALLS" localSheetId="0">#REF!</definedName>
    <definedName name="S.L.WALLS" localSheetId="1">#REF!</definedName>
    <definedName name="S.L.WALLS" localSheetId="8">#REF!</definedName>
    <definedName name="S.L.WALLS" localSheetId="11">#REF!</definedName>
    <definedName name="S.L.WALLS" localSheetId="9">#REF!</definedName>
    <definedName name="S.L.WALLS" localSheetId="18">#REF!</definedName>
    <definedName name="S.L.WALLS" localSheetId="15">#REF!</definedName>
    <definedName name="S.L.WALLS" localSheetId="7">#REF!</definedName>
    <definedName name="S.L.WALLS">#REF!</definedName>
    <definedName name="S.S.WALL" localSheetId="12">#REF!</definedName>
    <definedName name="S.S.WALL" localSheetId="0">#REF!</definedName>
    <definedName name="S.S.WALL" localSheetId="1">#REF!</definedName>
    <definedName name="S.S.WALL" localSheetId="8">#REF!</definedName>
    <definedName name="S.S.WALL" localSheetId="11">#REF!</definedName>
    <definedName name="S.S.WALL" localSheetId="9">#REF!</definedName>
    <definedName name="S.S.WALL" localSheetId="18">#REF!</definedName>
    <definedName name="S.S.WALL" localSheetId="15">#REF!</definedName>
    <definedName name="S.S.WALL" localSheetId="7">#REF!</definedName>
    <definedName name="S.S.WALL">#REF!</definedName>
    <definedName name="S.S.WALL1" localSheetId="12">#REF!</definedName>
    <definedName name="S.S.WALL1" localSheetId="0">#REF!</definedName>
    <definedName name="S.S.WALL1" localSheetId="1">#REF!</definedName>
    <definedName name="S.S.WALL1" localSheetId="8">#REF!</definedName>
    <definedName name="S.S.WALL1" localSheetId="11">#REF!</definedName>
    <definedName name="S.S.WALL1" localSheetId="9">#REF!</definedName>
    <definedName name="S.S.WALL1" localSheetId="18">#REF!</definedName>
    <definedName name="S.S.WALL1" localSheetId="15">#REF!</definedName>
    <definedName name="S.S.WALL1" localSheetId="7">#REF!</definedName>
    <definedName name="S.S.WALL1">#REF!</definedName>
    <definedName name="S.S.WALLL" localSheetId="12">#REF!</definedName>
    <definedName name="S.S.WALLL" localSheetId="0">#REF!</definedName>
    <definedName name="S.S.WALLL" localSheetId="1">#REF!</definedName>
    <definedName name="S.S.WALLL" localSheetId="8">#REF!</definedName>
    <definedName name="S.S.WALLL" localSheetId="11">#REF!</definedName>
    <definedName name="S.S.WALLL" localSheetId="9">#REF!</definedName>
    <definedName name="S.S.WALLL" localSheetId="18">#REF!</definedName>
    <definedName name="S.S.WALLL" localSheetId="15">#REF!</definedName>
    <definedName name="S.S.WALLL" localSheetId="7">#REF!</definedName>
    <definedName name="S.S.WALLL">#REF!</definedName>
    <definedName name="S.WALL" localSheetId="12">#REF!</definedName>
    <definedName name="S.WALL" localSheetId="0">#REF!</definedName>
    <definedName name="S.WALL" localSheetId="1">#REF!</definedName>
    <definedName name="S.WALL" localSheetId="8">#REF!</definedName>
    <definedName name="S.WALL" localSheetId="11">#REF!</definedName>
    <definedName name="S.WALL" localSheetId="9">#REF!</definedName>
    <definedName name="S.WALL" localSheetId="18">#REF!</definedName>
    <definedName name="S.WALL" localSheetId="15">#REF!</definedName>
    <definedName name="S.WALL" localSheetId="7">#REF!</definedName>
    <definedName name="S.WALL">#REF!</definedName>
    <definedName name="S0" localSheetId="12">#REF!</definedName>
    <definedName name="S0" localSheetId="8">#REF!</definedName>
    <definedName name="S0" localSheetId="11">#REF!</definedName>
    <definedName name="S0" localSheetId="9">#REF!</definedName>
    <definedName name="S0" localSheetId="18">#REF!</definedName>
    <definedName name="S0" localSheetId="15">#REF!</definedName>
    <definedName name="S0" localSheetId="7">#REF!</definedName>
    <definedName name="S0">#REF!</definedName>
    <definedName name="S1_" localSheetId="12">#REF!</definedName>
    <definedName name="S1_" localSheetId="8">#REF!</definedName>
    <definedName name="S1_" localSheetId="11">#REF!</definedName>
    <definedName name="S1_" localSheetId="9">#REF!</definedName>
    <definedName name="S1_" localSheetId="18">#REF!</definedName>
    <definedName name="S1_" localSheetId="15">#REF!</definedName>
    <definedName name="S1_" localSheetId="7">#REF!</definedName>
    <definedName name="S1_">#REF!</definedName>
    <definedName name="S2_" localSheetId="12">#REF!</definedName>
    <definedName name="S2_" localSheetId="8">#REF!</definedName>
    <definedName name="S2_" localSheetId="11">#REF!</definedName>
    <definedName name="S2_" localSheetId="9">#REF!</definedName>
    <definedName name="S2_" localSheetId="18">#REF!</definedName>
    <definedName name="S2_" localSheetId="15">#REF!</definedName>
    <definedName name="S2_" localSheetId="7">#REF!</definedName>
    <definedName name="S2_">#REF!</definedName>
    <definedName name="Sa" localSheetId="12">#REF!</definedName>
    <definedName name="Sa" localSheetId="8">#REF!</definedName>
    <definedName name="Sa" localSheetId="11">#REF!</definedName>
    <definedName name="Sa" localSheetId="9">#REF!</definedName>
    <definedName name="Sa" localSheetId="18">#REF!</definedName>
    <definedName name="Sa" localSheetId="15">#REF!</definedName>
    <definedName name="Sa" localSheetId="7">#REF!</definedName>
    <definedName name="Sa">#REF!</definedName>
    <definedName name="Safeda_Balli" localSheetId="12">#REF!</definedName>
    <definedName name="Safeda_Balli" localSheetId="8">#REF!</definedName>
    <definedName name="Safeda_Balli" localSheetId="11">#REF!</definedName>
    <definedName name="Safeda_Balli" localSheetId="9">#REF!</definedName>
    <definedName name="Safeda_Balli" localSheetId="18">#REF!</definedName>
    <definedName name="Safeda_Balli" localSheetId="15">#REF!</definedName>
    <definedName name="Safeda_Balli" localSheetId="7">#REF!</definedName>
    <definedName name="Safeda_Balli">#REF!</definedName>
    <definedName name="sagdhag" localSheetId="12" hidden="1">{#N/A,#N/A,FALSE,"COVER1.XLS ";#N/A,#N/A,FALSE,"RACT1.XLS";#N/A,#N/A,FALSE,"RACT2.XLS";#N/A,#N/A,FALSE,"ECCMP";#N/A,#N/A,FALSE,"WELDER.XLS"}</definedName>
    <definedName name="sagdhag" localSheetId="6" hidden="1">{#N/A,#N/A,FALSE,"COVER1.XLS ";#N/A,#N/A,FALSE,"RACT1.XLS";#N/A,#N/A,FALSE,"RACT2.XLS";#N/A,#N/A,FALSE,"ECCMP";#N/A,#N/A,FALSE,"WELDER.XLS"}</definedName>
    <definedName name="sagdhag" localSheetId="5" hidden="1">{#N/A,#N/A,FALSE,"COVER1.XLS ";#N/A,#N/A,FALSE,"RACT1.XLS";#N/A,#N/A,FALSE,"RACT2.XLS";#N/A,#N/A,FALSE,"ECCMP";#N/A,#N/A,FALSE,"WELDER.XLS"}</definedName>
    <definedName name="sagdhag" localSheetId="8" hidden="1">{#N/A,#N/A,FALSE,"COVER1.XLS ";#N/A,#N/A,FALSE,"RACT1.XLS";#N/A,#N/A,FALSE,"RACT2.XLS";#N/A,#N/A,FALSE,"ECCMP";#N/A,#N/A,FALSE,"WELDER.XLS"}</definedName>
    <definedName name="sagdhag" localSheetId="11" hidden="1">{#N/A,#N/A,FALSE,"COVER1.XLS ";#N/A,#N/A,FALSE,"RACT1.XLS";#N/A,#N/A,FALSE,"RACT2.XLS";#N/A,#N/A,FALSE,"ECCMP";#N/A,#N/A,FALSE,"WELDER.XLS"}</definedName>
    <definedName name="sagdhag" localSheetId="9" hidden="1">{#N/A,#N/A,FALSE,"COVER1.XLS ";#N/A,#N/A,FALSE,"RACT1.XLS";#N/A,#N/A,FALSE,"RACT2.XLS";#N/A,#N/A,FALSE,"ECCMP";#N/A,#N/A,FALSE,"WELDER.XLS"}</definedName>
    <definedName name="sagdhag" localSheetId="13" hidden="1">{#N/A,#N/A,FALSE,"COVER1.XLS ";#N/A,#N/A,FALSE,"RACT1.XLS";#N/A,#N/A,FALSE,"RACT2.XLS";#N/A,#N/A,FALSE,"ECCMP";#N/A,#N/A,FALSE,"WELDER.XLS"}</definedName>
    <definedName name="sagdhag" localSheetId="18" hidden="1">{#N/A,#N/A,FALSE,"COVER1.XLS ";#N/A,#N/A,FALSE,"RACT1.XLS";#N/A,#N/A,FALSE,"RACT2.XLS";#N/A,#N/A,FALSE,"ECCMP";#N/A,#N/A,FALSE,"WELDER.XLS"}</definedName>
    <definedName name="sagdhag" localSheetId="15" hidden="1">{#N/A,#N/A,FALSE,"COVER1.XLS ";#N/A,#N/A,FALSE,"RACT1.XLS";#N/A,#N/A,FALSE,"RACT2.XLS";#N/A,#N/A,FALSE,"ECCMP";#N/A,#N/A,FALSE,"WELDER.XLS"}</definedName>
    <definedName name="sagdhag" localSheetId="7" hidden="1">{#N/A,#N/A,FALSE,"COVER1.XLS ";#N/A,#N/A,FALSE,"RACT1.XLS";#N/A,#N/A,FALSE,"RACT2.XLS";#N/A,#N/A,FALSE,"ECCMP";#N/A,#N/A,FALSE,"WELDER.XLS"}</definedName>
    <definedName name="sagdhag" hidden="1">{#N/A,#N/A,FALSE,"COVER1.XLS ";#N/A,#N/A,FALSE,"RACT1.XLS";#N/A,#N/A,FALSE,"RACT2.XLS";#N/A,#N/A,FALSE,"ECCMP";#N/A,#N/A,FALSE,"WELDER.XLS"}</definedName>
    <definedName name="SalesMgr" localSheetId="12">#REF!</definedName>
    <definedName name="SalesMgr" localSheetId="0">#REF!</definedName>
    <definedName name="SalesMgr" localSheetId="1">#REF!</definedName>
    <definedName name="SalesMgr" localSheetId="6">#REF!</definedName>
    <definedName name="SalesMgr" localSheetId="5">#REF!</definedName>
    <definedName name="SalesMgr" localSheetId="8">#REF!</definedName>
    <definedName name="SalesMgr" localSheetId="11">#REF!</definedName>
    <definedName name="SalesMgr" localSheetId="9">#REF!</definedName>
    <definedName name="SalesMgr" localSheetId="18">#REF!</definedName>
    <definedName name="SalesMgr" localSheetId="15">#REF!</definedName>
    <definedName name="SalesMgr" localSheetId="7">#REF!</definedName>
    <definedName name="SalesMgr">#REF!</definedName>
    <definedName name="salmgn" localSheetId="12">#REF!</definedName>
    <definedName name="salmgn" localSheetId="6">#REF!</definedName>
    <definedName name="salmgn" localSheetId="5">#REF!</definedName>
    <definedName name="salmgn" localSheetId="8">#REF!</definedName>
    <definedName name="salmgn" localSheetId="11">#REF!</definedName>
    <definedName name="salmgn" localSheetId="9">#REF!</definedName>
    <definedName name="salmgn" localSheetId="18">#REF!</definedName>
    <definedName name="salmgn" localSheetId="15">#REF!</definedName>
    <definedName name="salmgn" localSheetId="7">#REF!</definedName>
    <definedName name="salmgn">#REF!</definedName>
    <definedName name="saucomd" localSheetId="12">#REF!</definedName>
    <definedName name="saucomd" localSheetId="8">#REF!</definedName>
    <definedName name="saucomd" localSheetId="11">#REF!</definedName>
    <definedName name="saucomd" localSheetId="9">#REF!</definedName>
    <definedName name="saucomd" localSheetId="18">#REF!</definedName>
    <definedName name="saucomd" localSheetId="15">#REF!</definedName>
    <definedName name="saucomd" localSheetId="7">#REF!</definedName>
    <definedName name="saucomd">#REF!</definedName>
    <definedName name="saud" localSheetId="12">#REF!</definedName>
    <definedName name="saud" localSheetId="0">#REF!</definedName>
    <definedName name="saud" localSheetId="1">#REF!</definedName>
    <definedName name="saud" localSheetId="8">#REF!</definedName>
    <definedName name="saud" localSheetId="11">#REF!</definedName>
    <definedName name="saud" localSheetId="9">#REF!</definedName>
    <definedName name="saud" localSheetId="18">#REF!</definedName>
    <definedName name="saud" localSheetId="15">#REF!</definedName>
    <definedName name="saud" localSheetId="7">#REF!</definedName>
    <definedName name="saud">#REF!</definedName>
    <definedName name="sauf" localSheetId="12">#REF!</definedName>
    <definedName name="sauf" localSheetId="0">#REF!</definedName>
    <definedName name="sauf" localSheetId="1">#REF!</definedName>
    <definedName name="sauf" localSheetId="8">#REF!</definedName>
    <definedName name="sauf" localSheetId="11">#REF!</definedName>
    <definedName name="sauf" localSheetId="9">#REF!</definedName>
    <definedName name="sauf" localSheetId="18">#REF!</definedName>
    <definedName name="sauf" localSheetId="15">#REF!</definedName>
    <definedName name="sauf" localSheetId="7">#REF!</definedName>
    <definedName name="sauf">#REF!</definedName>
    <definedName name="sauif" localSheetId="12">#REF!</definedName>
    <definedName name="sauif" localSheetId="0">#REF!</definedName>
    <definedName name="sauif" localSheetId="1">#REF!</definedName>
    <definedName name="sauif" localSheetId="8">#REF!</definedName>
    <definedName name="sauif" localSheetId="11">#REF!</definedName>
    <definedName name="sauif" localSheetId="9">#REF!</definedName>
    <definedName name="sauif" localSheetId="18">#REF!</definedName>
    <definedName name="sauif" localSheetId="15">#REF!</definedName>
    <definedName name="sauif" localSheetId="7">#REF!</definedName>
    <definedName name="sauif">#REF!</definedName>
    <definedName name="sauspad" localSheetId="12">#REF!</definedName>
    <definedName name="sauspad" localSheetId="8">#REF!</definedName>
    <definedName name="sauspad" localSheetId="11">#REF!</definedName>
    <definedName name="sauspad" localSheetId="9">#REF!</definedName>
    <definedName name="sauspad" localSheetId="18">#REF!</definedName>
    <definedName name="sauspad" localSheetId="15">#REF!</definedName>
    <definedName name="sauspad" localSheetId="7">#REF!</definedName>
    <definedName name="sauspad">#REF!</definedName>
    <definedName name="sausysd" localSheetId="12">#REF!</definedName>
    <definedName name="sausysd" localSheetId="8">#REF!</definedName>
    <definedName name="sausysd" localSheetId="11">#REF!</definedName>
    <definedName name="sausysd" localSheetId="9">#REF!</definedName>
    <definedName name="sausysd" localSheetId="18">#REF!</definedName>
    <definedName name="sausysd" localSheetId="15">#REF!</definedName>
    <definedName name="sausysd" localSheetId="7">#REF!</definedName>
    <definedName name="sausysd">#REF!</definedName>
    <definedName name="sb" localSheetId="12">#REF!</definedName>
    <definedName name="sb" localSheetId="8">#REF!</definedName>
    <definedName name="sb" localSheetId="11">#REF!</definedName>
    <definedName name="sb" localSheetId="9">#REF!</definedName>
    <definedName name="sb" localSheetId="18">#REF!</definedName>
    <definedName name="sb" localSheetId="15">#REF!</definedName>
    <definedName name="sb" localSheetId="7">#REF!</definedName>
    <definedName name="sb">#REF!</definedName>
    <definedName name="Scaffolding" localSheetId="12">#REF!</definedName>
    <definedName name="Scaffolding" localSheetId="8">#REF!</definedName>
    <definedName name="Scaffolding" localSheetId="11">#REF!</definedName>
    <definedName name="Scaffolding" localSheetId="9">#REF!</definedName>
    <definedName name="Scaffolding" localSheetId="18">#REF!</definedName>
    <definedName name="Scaffolding" localSheetId="15">#REF!</definedName>
    <definedName name="Scaffolding" localSheetId="7">#REF!</definedName>
    <definedName name="Scaffolding">#REF!</definedName>
    <definedName name="schedule.nos" localSheetId="12" hidden="1">#REF!</definedName>
    <definedName name="schedule.nos" localSheetId="8" hidden="1">#REF!</definedName>
    <definedName name="schedule.nos" localSheetId="11" hidden="1">#REF!</definedName>
    <definedName name="schedule.nos" localSheetId="9" hidden="1">#REF!</definedName>
    <definedName name="schedule.nos" localSheetId="18" hidden="1">#REF!</definedName>
    <definedName name="schedule.nos" localSheetId="15" hidden="1">#REF!</definedName>
    <definedName name="schedule.nos" localSheetId="7" hidden="1">#REF!</definedName>
    <definedName name="schedule.nos" hidden="1">#REF!</definedName>
    <definedName name="schools" localSheetId="12">#REF!</definedName>
    <definedName name="schools" localSheetId="0">#REF!</definedName>
    <definedName name="schools" localSheetId="1">#REF!</definedName>
    <definedName name="schools" localSheetId="8">#REF!</definedName>
    <definedName name="schools" localSheetId="11">#REF!</definedName>
    <definedName name="schools" localSheetId="9">#REF!</definedName>
    <definedName name="schools" localSheetId="18">#REF!</definedName>
    <definedName name="schools" localSheetId="15">#REF!</definedName>
    <definedName name="schools" localSheetId="7">#REF!</definedName>
    <definedName name="schools">#REF!</definedName>
    <definedName name="SD" localSheetId="12" hidden="1">{#N/A,#N/A,FALSE,"consu_cover";#N/A,#N/A,FALSE,"consu_strategy";#N/A,#N/A,FALSE,"consu_flow";#N/A,#N/A,FALSE,"Summary_reqmt";#N/A,#N/A,FALSE,"field_ppg";#N/A,#N/A,FALSE,"ppg_shop";#N/A,#N/A,FALSE,"strl";#N/A,#N/A,FALSE,"tankages";#N/A,#N/A,FALSE,"gases"}</definedName>
    <definedName name="SD" localSheetId="6" hidden="1">{#N/A,#N/A,FALSE,"consu_cover";#N/A,#N/A,FALSE,"consu_strategy";#N/A,#N/A,FALSE,"consu_flow";#N/A,#N/A,FALSE,"Summary_reqmt";#N/A,#N/A,FALSE,"field_ppg";#N/A,#N/A,FALSE,"ppg_shop";#N/A,#N/A,FALSE,"strl";#N/A,#N/A,FALSE,"tankages";#N/A,#N/A,FALSE,"gases"}</definedName>
    <definedName name="SD" localSheetId="5" hidden="1">{#N/A,#N/A,FALSE,"consu_cover";#N/A,#N/A,FALSE,"consu_strategy";#N/A,#N/A,FALSE,"consu_flow";#N/A,#N/A,FALSE,"Summary_reqmt";#N/A,#N/A,FALSE,"field_ppg";#N/A,#N/A,FALSE,"ppg_shop";#N/A,#N/A,FALSE,"strl";#N/A,#N/A,FALSE,"tankages";#N/A,#N/A,FALSE,"gases"}</definedName>
    <definedName name="SD" localSheetId="8" hidden="1">{#N/A,#N/A,FALSE,"consu_cover";#N/A,#N/A,FALSE,"consu_strategy";#N/A,#N/A,FALSE,"consu_flow";#N/A,#N/A,FALSE,"Summary_reqmt";#N/A,#N/A,FALSE,"field_ppg";#N/A,#N/A,FALSE,"ppg_shop";#N/A,#N/A,FALSE,"strl";#N/A,#N/A,FALSE,"tankages";#N/A,#N/A,FALSE,"gases"}</definedName>
    <definedName name="SD" localSheetId="11" hidden="1">{#N/A,#N/A,FALSE,"consu_cover";#N/A,#N/A,FALSE,"consu_strategy";#N/A,#N/A,FALSE,"consu_flow";#N/A,#N/A,FALSE,"Summary_reqmt";#N/A,#N/A,FALSE,"field_ppg";#N/A,#N/A,FALSE,"ppg_shop";#N/A,#N/A,FALSE,"strl";#N/A,#N/A,FALSE,"tankages";#N/A,#N/A,FALSE,"gases"}</definedName>
    <definedName name="SD" localSheetId="9" hidden="1">{#N/A,#N/A,FALSE,"consu_cover";#N/A,#N/A,FALSE,"consu_strategy";#N/A,#N/A,FALSE,"consu_flow";#N/A,#N/A,FALSE,"Summary_reqmt";#N/A,#N/A,FALSE,"field_ppg";#N/A,#N/A,FALSE,"ppg_shop";#N/A,#N/A,FALSE,"strl";#N/A,#N/A,FALSE,"tankages";#N/A,#N/A,FALSE,"gases"}</definedName>
    <definedName name="SD" localSheetId="13" hidden="1">{#N/A,#N/A,FALSE,"consu_cover";#N/A,#N/A,FALSE,"consu_strategy";#N/A,#N/A,FALSE,"consu_flow";#N/A,#N/A,FALSE,"Summary_reqmt";#N/A,#N/A,FALSE,"field_ppg";#N/A,#N/A,FALSE,"ppg_shop";#N/A,#N/A,FALSE,"strl";#N/A,#N/A,FALSE,"tankages";#N/A,#N/A,FALSE,"gases"}</definedName>
    <definedName name="SD" localSheetId="18" hidden="1">{#N/A,#N/A,FALSE,"consu_cover";#N/A,#N/A,FALSE,"consu_strategy";#N/A,#N/A,FALSE,"consu_flow";#N/A,#N/A,FALSE,"Summary_reqmt";#N/A,#N/A,FALSE,"field_ppg";#N/A,#N/A,FALSE,"ppg_shop";#N/A,#N/A,FALSE,"strl";#N/A,#N/A,FALSE,"tankages";#N/A,#N/A,FALSE,"gases"}</definedName>
    <definedName name="SD" localSheetId="15" hidden="1">{#N/A,#N/A,FALSE,"consu_cover";#N/A,#N/A,FALSE,"consu_strategy";#N/A,#N/A,FALSE,"consu_flow";#N/A,#N/A,FALSE,"Summary_reqmt";#N/A,#N/A,FALSE,"field_ppg";#N/A,#N/A,FALSE,"ppg_shop";#N/A,#N/A,FALSE,"strl";#N/A,#N/A,FALSE,"tankages";#N/A,#N/A,FALSE,"gases"}</definedName>
    <definedName name="SD" localSheetId="7" hidden="1">{#N/A,#N/A,FALSE,"consu_cover";#N/A,#N/A,FALSE,"consu_strategy";#N/A,#N/A,FALSE,"consu_flow";#N/A,#N/A,FALSE,"Summary_reqmt";#N/A,#N/A,FALSE,"field_ppg";#N/A,#N/A,FALSE,"ppg_shop";#N/A,#N/A,FALSE,"strl";#N/A,#N/A,FALSE,"tankages";#N/A,#N/A,FALSE,"gases"}</definedName>
    <definedName name="SD" hidden="1">{#N/A,#N/A,FALSE,"consu_cover";#N/A,#N/A,FALSE,"consu_strategy";#N/A,#N/A,FALSE,"consu_flow";#N/A,#N/A,FALSE,"Summary_reqmt";#N/A,#N/A,FALSE,"field_ppg";#N/A,#N/A,FALSE,"ppg_shop";#N/A,#N/A,FALSE,"strl";#N/A,#N/A,FALSE,"tankages";#N/A,#N/A,FALSE,"gases"}</definedName>
    <definedName name="Sdate" localSheetId="12">#REF!</definedName>
    <definedName name="Sdate" localSheetId="0">#REF!</definedName>
    <definedName name="Sdate" localSheetId="1">#REF!</definedName>
    <definedName name="Sdate" localSheetId="6">#REF!</definedName>
    <definedName name="Sdate" localSheetId="5">#REF!</definedName>
    <definedName name="Sdate" localSheetId="8">#REF!</definedName>
    <definedName name="Sdate" localSheetId="11">#REF!</definedName>
    <definedName name="Sdate" localSheetId="9">#REF!</definedName>
    <definedName name="Sdate" localSheetId="18">#REF!</definedName>
    <definedName name="Sdate" localSheetId="15">#REF!</definedName>
    <definedName name="Sdate" localSheetId="7">#REF!</definedName>
    <definedName name="Sdate">#REF!</definedName>
    <definedName name="SDE" localSheetId="12">#REF!</definedName>
    <definedName name="SDE" localSheetId="6">#REF!</definedName>
    <definedName name="SDE" localSheetId="5">#REF!</definedName>
    <definedName name="SDE" localSheetId="8">#REF!</definedName>
    <definedName name="SDE" localSheetId="11">#REF!</definedName>
    <definedName name="SDE" localSheetId="9">#REF!</definedName>
    <definedName name="SDE" localSheetId="18">#REF!</definedName>
    <definedName name="SDE" localSheetId="15">#REF!</definedName>
    <definedName name="SDE" localSheetId="7">#REF!</definedName>
    <definedName name="SDE">#REF!</definedName>
    <definedName name="sdfdsf" localSheetId="12">#REF!</definedName>
    <definedName name="sdfdsf" localSheetId="8">#REF!</definedName>
    <definedName name="sdfdsf" localSheetId="11">#REF!</definedName>
    <definedName name="sdfdsf" localSheetId="9">#REF!</definedName>
    <definedName name="sdfdsf" localSheetId="18">#REF!</definedName>
    <definedName name="sdfdsf" localSheetId="15">#REF!</definedName>
    <definedName name="sdfdsf" localSheetId="7">#REF!</definedName>
    <definedName name="sdfdsf">#REF!</definedName>
    <definedName name="sdpl" localSheetId="12">#REF!</definedName>
    <definedName name="sdpl" localSheetId="0">#REF!</definedName>
    <definedName name="sdpl" localSheetId="1">#REF!</definedName>
    <definedName name="sdpl" localSheetId="8">#REF!</definedName>
    <definedName name="sdpl" localSheetId="11">#REF!</definedName>
    <definedName name="sdpl" localSheetId="9">#REF!</definedName>
    <definedName name="sdpl" localSheetId="18">#REF!</definedName>
    <definedName name="sdpl" localSheetId="15">#REF!</definedName>
    <definedName name="sdpl" localSheetId="7">#REF!</definedName>
    <definedName name="sdpl">#REF!</definedName>
    <definedName name="SDPLBS" localSheetId="12">#REF!</definedName>
    <definedName name="SDPLBS" localSheetId="0">#REF!</definedName>
    <definedName name="SDPLBS" localSheetId="1">#REF!</definedName>
    <definedName name="SDPLBS" localSheetId="8">#REF!</definedName>
    <definedName name="SDPLBS" localSheetId="11">#REF!</definedName>
    <definedName name="SDPLBS" localSheetId="9">#REF!</definedName>
    <definedName name="SDPLBS" localSheetId="18">#REF!</definedName>
    <definedName name="SDPLBS" localSheetId="15">#REF!</definedName>
    <definedName name="SDPLBS" localSheetId="7">#REF!</definedName>
    <definedName name="SDPLBS">#REF!</definedName>
    <definedName name="SDPLFA" localSheetId="12">#REF!</definedName>
    <definedName name="SDPLFA" localSheetId="0">#REF!</definedName>
    <definedName name="SDPLFA" localSheetId="1">#REF!</definedName>
    <definedName name="SDPLFA" localSheetId="8">#REF!</definedName>
    <definedName name="SDPLFA" localSheetId="11">#REF!</definedName>
    <definedName name="SDPLFA" localSheetId="9">#REF!</definedName>
    <definedName name="SDPLFA" localSheetId="18">#REF!</definedName>
    <definedName name="SDPLFA" localSheetId="15">#REF!</definedName>
    <definedName name="SDPLFA" localSheetId="7">#REF!</definedName>
    <definedName name="SDPLFA">#REF!</definedName>
    <definedName name="SDPLPL" localSheetId="12">#REF!</definedName>
    <definedName name="SDPLPL" localSheetId="0">#REF!</definedName>
    <definedName name="SDPLPL" localSheetId="1">#REF!</definedName>
    <definedName name="SDPLPL" localSheetId="8">#REF!</definedName>
    <definedName name="SDPLPL" localSheetId="11">#REF!</definedName>
    <definedName name="SDPLPL" localSheetId="9">#REF!</definedName>
    <definedName name="SDPLPL" localSheetId="18">#REF!</definedName>
    <definedName name="SDPLPL" localSheetId="15">#REF!</definedName>
    <definedName name="SDPLPL" localSheetId="7">#REF!</definedName>
    <definedName name="SDPLPL">#REF!</definedName>
    <definedName name="sdsd" localSheetId="12">#REF!</definedName>
    <definedName name="sdsd" localSheetId="8">#REF!</definedName>
    <definedName name="sdsd" localSheetId="11">#REF!</definedName>
    <definedName name="sdsd" localSheetId="9">#REF!</definedName>
    <definedName name="sdsd" localSheetId="18">#REF!</definedName>
    <definedName name="sdsd" localSheetId="15">#REF!</definedName>
    <definedName name="sdsd" localSheetId="7">#REF!</definedName>
    <definedName name="sdsd">#REF!</definedName>
    <definedName name="se" localSheetId="12">#REF!</definedName>
    <definedName name="se" localSheetId="8">#REF!</definedName>
    <definedName name="se" localSheetId="11">#REF!</definedName>
    <definedName name="se" localSheetId="9">#REF!</definedName>
    <definedName name="se" localSheetId="18">#REF!</definedName>
    <definedName name="se" localSheetId="15">#REF!</definedName>
    <definedName name="se" localSheetId="7">#REF!</definedName>
    <definedName name="se">#REF!</definedName>
    <definedName name="seapacking" localSheetId="12">#REF!</definedName>
    <definedName name="seapacking" localSheetId="8">#REF!</definedName>
    <definedName name="seapacking" localSheetId="11">#REF!</definedName>
    <definedName name="seapacking" localSheetId="9">#REF!</definedName>
    <definedName name="seapacking" localSheetId="18">#REF!</definedName>
    <definedName name="seapacking" localSheetId="15">#REF!</definedName>
    <definedName name="seapacking" localSheetId="7">#REF!</definedName>
    <definedName name="seapacking">#REF!</definedName>
    <definedName name="sec" localSheetId="12">#REF!</definedName>
    <definedName name="sec" localSheetId="8">#REF!</definedName>
    <definedName name="sec" localSheetId="11">#REF!</definedName>
    <definedName name="sec" localSheetId="9">#REF!</definedName>
    <definedName name="sec" localSheetId="18">#REF!</definedName>
    <definedName name="sec" localSheetId="15">#REF!</definedName>
    <definedName name="sec" localSheetId="7">#REF!</definedName>
    <definedName name="sec">#REF!</definedName>
    <definedName name="sec_deposit" localSheetId="12">#REF!</definedName>
    <definedName name="sec_deposit" localSheetId="0">#REF!</definedName>
    <definedName name="sec_deposit" localSheetId="1">#REF!</definedName>
    <definedName name="sec_deposit" localSheetId="8">#REF!</definedName>
    <definedName name="sec_deposit" localSheetId="11">#REF!</definedName>
    <definedName name="sec_deposit" localSheetId="9">#REF!</definedName>
    <definedName name="sec_deposit" localSheetId="18">#REF!</definedName>
    <definedName name="sec_deposit" localSheetId="15">#REF!</definedName>
    <definedName name="sec_deposit" localSheetId="7">#REF!</definedName>
    <definedName name="sec_deposit">#REF!</definedName>
    <definedName name="SECTION" localSheetId="12">#REF!</definedName>
    <definedName name="SECTION" localSheetId="8">#REF!</definedName>
    <definedName name="SECTION" localSheetId="11">#REF!</definedName>
    <definedName name="SECTION" localSheetId="9">#REF!</definedName>
    <definedName name="SECTION" localSheetId="18">#REF!</definedName>
    <definedName name="SECTION" localSheetId="15">#REF!</definedName>
    <definedName name="SECTION" localSheetId="7">#REF!</definedName>
    <definedName name="SECTION">#REF!</definedName>
    <definedName name="Section_1_Title" localSheetId="12">#REF!</definedName>
    <definedName name="Section_1_Title" localSheetId="8">#REF!</definedName>
    <definedName name="Section_1_Title" localSheetId="11">#REF!</definedName>
    <definedName name="Section_1_Title" localSheetId="9">#REF!</definedName>
    <definedName name="Section_1_Title" localSheetId="18">#REF!</definedName>
    <definedName name="Section_1_Title" localSheetId="15">#REF!</definedName>
    <definedName name="Section_1_Title" localSheetId="7">#REF!</definedName>
    <definedName name="Section_1_Title">#REF!</definedName>
    <definedName name="Section_2_Title" localSheetId="12">#REF!</definedName>
    <definedName name="Section_2_Title" localSheetId="8">#REF!</definedName>
    <definedName name="Section_2_Title" localSheetId="11">#REF!</definedName>
    <definedName name="Section_2_Title" localSheetId="9">#REF!</definedName>
    <definedName name="Section_2_Title" localSheetId="18">#REF!</definedName>
    <definedName name="Section_2_Title" localSheetId="15">#REF!</definedName>
    <definedName name="Section_2_Title" localSheetId="7">#REF!</definedName>
    <definedName name="Section_2_Title">#REF!</definedName>
    <definedName name="Section_3_Title" localSheetId="12">#REF!</definedName>
    <definedName name="Section_3_Title" localSheetId="8">#REF!</definedName>
    <definedName name="Section_3_Title" localSheetId="11">#REF!</definedName>
    <definedName name="Section_3_Title" localSheetId="9">#REF!</definedName>
    <definedName name="Section_3_Title" localSheetId="18">#REF!</definedName>
    <definedName name="Section_3_Title" localSheetId="15">#REF!</definedName>
    <definedName name="Section_3_Title" localSheetId="7">#REF!</definedName>
    <definedName name="Section_3_Title">#REF!</definedName>
    <definedName name="Section_4_Title" localSheetId="12">#REF!</definedName>
    <definedName name="Section_4_Title" localSheetId="8">#REF!</definedName>
    <definedName name="Section_4_Title" localSheetId="11">#REF!</definedName>
    <definedName name="Section_4_Title" localSheetId="9">#REF!</definedName>
    <definedName name="Section_4_Title" localSheetId="18">#REF!</definedName>
    <definedName name="Section_4_Title" localSheetId="15">#REF!</definedName>
    <definedName name="Section_4_Title" localSheetId="7">#REF!</definedName>
    <definedName name="Section_4_Title">#REF!</definedName>
    <definedName name="Section_5_Title" localSheetId="12">#REF!</definedName>
    <definedName name="Section_5_Title" localSheetId="8">#REF!</definedName>
    <definedName name="Section_5_Title" localSheetId="11">#REF!</definedName>
    <definedName name="Section_5_Title" localSheetId="9">#REF!</definedName>
    <definedName name="Section_5_Title" localSheetId="18">#REF!</definedName>
    <definedName name="Section_5_Title" localSheetId="15">#REF!</definedName>
    <definedName name="Section_5_Title" localSheetId="7">#REF!</definedName>
    <definedName name="Section_5_Title">#REF!</definedName>
    <definedName name="Section_6_Title" localSheetId="12">#REF!</definedName>
    <definedName name="Section_6_Title" localSheetId="8">#REF!</definedName>
    <definedName name="Section_6_Title" localSheetId="11">#REF!</definedName>
    <definedName name="Section_6_Title" localSheetId="9">#REF!</definedName>
    <definedName name="Section_6_Title" localSheetId="18">#REF!</definedName>
    <definedName name="Section_6_Title" localSheetId="15">#REF!</definedName>
    <definedName name="Section_6_Title" localSheetId="7">#REF!</definedName>
    <definedName name="Section_6_Title">#REF!</definedName>
    <definedName name="Section_7_Title" localSheetId="12">#REF!</definedName>
    <definedName name="Section_7_Title" localSheetId="8">#REF!</definedName>
    <definedName name="Section_7_Title" localSheetId="11">#REF!</definedName>
    <definedName name="Section_7_Title" localSheetId="9">#REF!</definedName>
    <definedName name="Section_7_Title" localSheetId="18">#REF!</definedName>
    <definedName name="Section_7_Title" localSheetId="15">#REF!</definedName>
    <definedName name="Section_7_Title" localSheetId="7">#REF!</definedName>
    <definedName name="Section_7_Title">#REF!</definedName>
    <definedName name="Section_8_Title" localSheetId="12">#REF!</definedName>
    <definedName name="Section_8_Title" localSheetId="8">#REF!</definedName>
    <definedName name="Section_8_Title" localSheetId="11">#REF!</definedName>
    <definedName name="Section_8_Title" localSheetId="9">#REF!</definedName>
    <definedName name="Section_8_Title" localSheetId="18">#REF!</definedName>
    <definedName name="Section_8_Title" localSheetId="15">#REF!</definedName>
    <definedName name="Section_8_Title" localSheetId="7">#REF!</definedName>
    <definedName name="Section_8_Title">#REF!</definedName>
    <definedName name="secured" localSheetId="12">#REF!</definedName>
    <definedName name="secured" localSheetId="0">#REF!</definedName>
    <definedName name="secured" localSheetId="1">#REF!</definedName>
    <definedName name="secured" localSheetId="8">#REF!</definedName>
    <definedName name="secured" localSheetId="11">#REF!</definedName>
    <definedName name="secured" localSheetId="9">#REF!</definedName>
    <definedName name="secured" localSheetId="18">#REF!</definedName>
    <definedName name="secured" localSheetId="15">#REF!</definedName>
    <definedName name="secured" localSheetId="7">#REF!</definedName>
    <definedName name="secured">#REF!</definedName>
    <definedName name="see" localSheetId="12">#REF!</definedName>
    <definedName name="see" localSheetId="0">#REF!</definedName>
    <definedName name="see" localSheetId="1">#REF!</definedName>
    <definedName name="see" localSheetId="8">#REF!</definedName>
    <definedName name="see" localSheetId="11">#REF!</definedName>
    <definedName name="see" localSheetId="9">#REF!</definedName>
    <definedName name="see" localSheetId="18">#REF!</definedName>
    <definedName name="see" localSheetId="15">#REF!</definedName>
    <definedName name="see" localSheetId="7">#REF!</definedName>
    <definedName name="see">#REF!</definedName>
    <definedName name="SelectedLanguage" localSheetId="12">#REF!</definedName>
    <definedName name="SelectedLanguage" localSheetId="0">#REF!</definedName>
    <definedName name="SelectedLanguage" localSheetId="1">#REF!</definedName>
    <definedName name="SelectedLanguage" localSheetId="8">#REF!</definedName>
    <definedName name="SelectedLanguage" localSheetId="11">#REF!</definedName>
    <definedName name="SelectedLanguage" localSheetId="9">#REF!</definedName>
    <definedName name="SelectedLanguage" localSheetId="18">#REF!</definedName>
    <definedName name="SelectedLanguage" localSheetId="15">#REF!</definedName>
    <definedName name="SelectedLanguage" localSheetId="7">#REF!</definedName>
    <definedName name="SelectedLanguage">#REF!</definedName>
    <definedName name="sencount" hidden="1">1</definedName>
    <definedName name="serf" localSheetId="12">#REF!</definedName>
    <definedName name="serf" localSheetId="6">#REF!</definedName>
    <definedName name="serf" localSheetId="5">#REF!</definedName>
    <definedName name="serf" localSheetId="8">#REF!</definedName>
    <definedName name="serf" localSheetId="11">#REF!</definedName>
    <definedName name="serf" localSheetId="9">#REF!</definedName>
    <definedName name="serf" localSheetId="18">#REF!</definedName>
    <definedName name="serf" localSheetId="15">#REF!</definedName>
    <definedName name="serf" localSheetId="7">#REF!</definedName>
    <definedName name="serf">#REF!</definedName>
    <definedName name="servf" localSheetId="12">#REF!</definedName>
    <definedName name="servf" localSheetId="6">#REF!</definedName>
    <definedName name="servf" localSheetId="5">#REF!</definedName>
    <definedName name="servf" localSheetId="8">#REF!</definedName>
    <definedName name="servf" localSheetId="11">#REF!</definedName>
    <definedName name="servf" localSheetId="9">#REF!</definedName>
    <definedName name="servf" localSheetId="18">#REF!</definedName>
    <definedName name="servf" localSheetId="15">#REF!</definedName>
    <definedName name="servf" localSheetId="7">#REF!</definedName>
    <definedName name="servf">#REF!</definedName>
    <definedName name="Setflag" localSheetId="12">#REF!</definedName>
    <definedName name="Setflag" localSheetId="6">#REF!</definedName>
    <definedName name="Setflag" localSheetId="5">#REF!</definedName>
    <definedName name="Setflag" localSheetId="8">#REF!</definedName>
    <definedName name="Setflag" localSheetId="11">#REF!</definedName>
    <definedName name="Setflag" localSheetId="9">#REF!</definedName>
    <definedName name="Setflag" localSheetId="18">#REF!</definedName>
    <definedName name="Setflag" localSheetId="15">#REF!</definedName>
    <definedName name="Setflag" localSheetId="7">#REF!</definedName>
    <definedName name="Setflag">#REF!</definedName>
    <definedName name="SF" localSheetId="12">#REF!</definedName>
    <definedName name="SF" localSheetId="8">#REF!</definedName>
    <definedName name="SF" localSheetId="11">#REF!</definedName>
    <definedName name="SF" localSheetId="9">#REF!</definedName>
    <definedName name="SF" localSheetId="18">#REF!</definedName>
    <definedName name="SF" localSheetId="15">#REF!</definedName>
    <definedName name="SF" localSheetId="7">#REF!</definedName>
    <definedName name="SF">#REF!</definedName>
    <definedName name="sh0.5" localSheetId="12">#REF!</definedName>
    <definedName name="sh0.5" localSheetId="8">#REF!</definedName>
    <definedName name="sh0.5" localSheetId="11">#REF!</definedName>
    <definedName name="sh0.5" localSheetId="9">#REF!</definedName>
    <definedName name="sh0.5" localSheetId="18">#REF!</definedName>
    <definedName name="sh0.5" localSheetId="15">#REF!</definedName>
    <definedName name="sh0.5" localSheetId="7">#REF!</definedName>
    <definedName name="sh0.5">#REF!</definedName>
    <definedName name="sh0.6" localSheetId="12">#REF!</definedName>
    <definedName name="sh0.6" localSheetId="8">#REF!</definedName>
    <definedName name="sh0.6" localSheetId="11">#REF!</definedName>
    <definedName name="sh0.6" localSheetId="9">#REF!</definedName>
    <definedName name="sh0.6" localSheetId="18">#REF!</definedName>
    <definedName name="sh0.6" localSheetId="15">#REF!</definedName>
    <definedName name="sh0.6" localSheetId="7">#REF!</definedName>
    <definedName name="sh0.6">#REF!</definedName>
    <definedName name="sh0.8" localSheetId="12">#REF!</definedName>
    <definedName name="sh0.8" localSheetId="8">#REF!</definedName>
    <definedName name="sh0.8" localSheetId="11">#REF!</definedName>
    <definedName name="sh0.8" localSheetId="9">#REF!</definedName>
    <definedName name="sh0.8" localSheetId="18">#REF!</definedName>
    <definedName name="sh0.8" localSheetId="15">#REF!</definedName>
    <definedName name="sh0.8" localSheetId="7">#REF!</definedName>
    <definedName name="sh0.8">#REF!</definedName>
    <definedName name="sh1.0" localSheetId="12">#REF!</definedName>
    <definedName name="sh1.0" localSheetId="8">#REF!</definedName>
    <definedName name="sh1.0" localSheetId="11">#REF!</definedName>
    <definedName name="sh1.0" localSheetId="9">#REF!</definedName>
    <definedName name="sh1.0" localSheetId="18">#REF!</definedName>
    <definedName name="sh1.0" localSheetId="15">#REF!</definedName>
    <definedName name="sh1.0" localSheetId="7">#REF!</definedName>
    <definedName name="sh1.0">#REF!</definedName>
    <definedName name="sh1.2" localSheetId="12">#REF!</definedName>
    <definedName name="sh1.2" localSheetId="8">#REF!</definedName>
    <definedName name="sh1.2" localSheetId="11">#REF!</definedName>
    <definedName name="sh1.2" localSheetId="9">#REF!</definedName>
    <definedName name="sh1.2" localSheetId="18">#REF!</definedName>
    <definedName name="sh1.2" localSheetId="15">#REF!</definedName>
    <definedName name="sh1.2" localSheetId="7">#REF!</definedName>
    <definedName name="sh1.2">#REF!</definedName>
    <definedName name="shape" localSheetId="12">#REF!</definedName>
    <definedName name="shape" localSheetId="8">#REF!</definedName>
    <definedName name="shape" localSheetId="11">#REF!</definedName>
    <definedName name="shape" localSheetId="9">#REF!</definedName>
    <definedName name="shape" localSheetId="18">#REF!</definedName>
    <definedName name="shape" localSheetId="15">#REF!</definedName>
    <definedName name="shape" localSheetId="7">#REF!</definedName>
    <definedName name="shape">#REF!</definedName>
    <definedName name="Shapes" localSheetId="12">#REF!</definedName>
    <definedName name="Shapes" localSheetId="8">#REF!</definedName>
    <definedName name="Shapes" localSheetId="11">#REF!</definedName>
    <definedName name="Shapes" localSheetId="9">#REF!</definedName>
    <definedName name="Shapes" localSheetId="18">#REF!</definedName>
    <definedName name="Shapes" localSheetId="15">#REF!</definedName>
    <definedName name="Shapes" localSheetId="7">#REF!</definedName>
    <definedName name="Shapes">#REF!</definedName>
    <definedName name="SHARED_FORMULA_15_2_15_2_1" localSheetId="12">#REF!-#REF!-#REF!</definedName>
    <definedName name="SHARED_FORMULA_15_2_15_2_1" localSheetId="6">#REF!-#REF!-#REF!</definedName>
    <definedName name="SHARED_FORMULA_15_2_15_2_1" localSheetId="5">#REF!-#REF!-#REF!</definedName>
    <definedName name="SHARED_FORMULA_15_2_15_2_1" localSheetId="8">#REF!-#REF!-#REF!</definedName>
    <definedName name="SHARED_FORMULA_15_2_15_2_1" localSheetId="11">#REF!-#REF!-#REF!</definedName>
    <definedName name="SHARED_FORMULA_15_2_15_2_1" localSheetId="9">#REF!-#REF!-#REF!</definedName>
    <definedName name="SHARED_FORMULA_15_2_15_2_1" localSheetId="18">#REF!-#REF!-#REF!</definedName>
    <definedName name="SHARED_FORMULA_15_2_15_2_1" localSheetId="15">#REF!-#REF!-#REF!</definedName>
    <definedName name="SHARED_FORMULA_15_2_15_2_1" localSheetId="7">#REF!-#REF!-#REF!</definedName>
    <definedName name="SHARED_FORMULA_15_2_15_2_1">#REF!-#REF!-#REF!</definedName>
    <definedName name="shd" localSheetId="12">#REF!</definedName>
    <definedName name="shd" localSheetId="8">#REF!</definedName>
    <definedName name="shd" localSheetId="11">#REF!</definedName>
    <definedName name="shd" localSheetId="9">#REF!</definedName>
    <definedName name="shd" localSheetId="18">#REF!</definedName>
    <definedName name="shd" localSheetId="15">#REF!</definedName>
    <definedName name="shd" localSheetId="7">#REF!</definedName>
    <definedName name="shd">#REF!</definedName>
    <definedName name="sheet1" localSheetId="12" hidden="1">{#N/A,#N/A,TRUE,"Front";#N/A,#N/A,TRUE,"Simple Letter";#N/A,#N/A,TRUE,"Inside";#N/A,#N/A,TRUE,"Contents";#N/A,#N/A,TRUE,"Basis";#N/A,#N/A,TRUE,"Inclusions";#N/A,#N/A,TRUE,"Exclusions";#N/A,#N/A,TRUE,"Areas";#N/A,#N/A,TRUE,"Summary";#N/A,#N/A,TRUE,"Detail"}</definedName>
    <definedName name="sheet1" localSheetId="6" hidden="1">{#N/A,#N/A,TRUE,"Front";#N/A,#N/A,TRUE,"Simple Letter";#N/A,#N/A,TRUE,"Inside";#N/A,#N/A,TRUE,"Contents";#N/A,#N/A,TRUE,"Basis";#N/A,#N/A,TRUE,"Inclusions";#N/A,#N/A,TRUE,"Exclusions";#N/A,#N/A,TRUE,"Areas";#N/A,#N/A,TRUE,"Summary";#N/A,#N/A,TRUE,"Detail"}</definedName>
    <definedName name="sheet1" localSheetId="5" hidden="1">{#N/A,#N/A,TRUE,"Front";#N/A,#N/A,TRUE,"Simple Letter";#N/A,#N/A,TRUE,"Inside";#N/A,#N/A,TRUE,"Contents";#N/A,#N/A,TRUE,"Basis";#N/A,#N/A,TRUE,"Inclusions";#N/A,#N/A,TRUE,"Exclusions";#N/A,#N/A,TRUE,"Areas";#N/A,#N/A,TRUE,"Summary";#N/A,#N/A,TRUE,"Detail"}</definedName>
    <definedName name="sheet1" localSheetId="8" hidden="1">{#N/A,#N/A,TRUE,"Front";#N/A,#N/A,TRUE,"Simple Letter";#N/A,#N/A,TRUE,"Inside";#N/A,#N/A,TRUE,"Contents";#N/A,#N/A,TRUE,"Basis";#N/A,#N/A,TRUE,"Inclusions";#N/A,#N/A,TRUE,"Exclusions";#N/A,#N/A,TRUE,"Areas";#N/A,#N/A,TRUE,"Summary";#N/A,#N/A,TRUE,"Detail"}</definedName>
    <definedName name="sheet1" localSheetId="11" hidden="1">{#N/A,#N/A,TRUE,"Front";#N/A,#N/A,TRUE,"Simple Letter";#N/A,#N/A,TRUE,"Inside";#N/A,#N/A,TRUE,"Contents";#N/A,#N/A,TRUE,"Basis";#N/A,#N/A,TRUE,"Inclusions";#N/A,#N/A,TRUE,"Exclusions";#N/A,#N/A,TRUE,"Areas";#N/A,#N/A,TRUE,"Summary";#N/A,#N/A,TRUE,"Detail"}</definedName>
    <definedName name="sheet1" localSheetId="9" hidden="1">{#N/A,#N/A,TRUE,"Front";#N/A,#N/A,TRUE,"Simple Letter";#N/A,#N/A,TRUE,"Inside";#N/A,#N/A,TRUE,"Contents";#N/A,#N/A,TRUE,"Basis";#N/A,#N/A,TRUE,"Inclusions";#N/A,#N/A,TRUE,"Exclusions";#N/A,#N/A,TRUE,"Areas";#N/A,#N/A,TRUE,"Summary";#N/A,#N/A,TRUE,"Detail"}</definedName>
    <definedName name="sheet1" localSheetId="13" hidden="1">{#N/A,#N/A,TRUE,"Front";#N/A,#N/A,TRUE,"Simple Letter";#N/A,#N/A,TRUE,"Inside";#N/A,#N/A,TRUE,"Contents";#N/A,#N/A,TRUE,"Basis";#N/A,#N/A,TRUE,"Inclusions";#N/A,#N/A,TRUE,"Exclusions";#N/A,#N/A,TRUE,"Areas";#N/A,#N/A,TRUE,"Summary";#N/A,#N/A,TRUE,"Detail"}</definedName>
    <definedName name="sheet1" localSheetId="18" hidden="1">{#N/A,#N/A,TRUE,"Front";#N/A,#N/A,TRUE,"Simple Letter";#N/A,#N/A,TRUE,"Inside";#N/A,#N/A,TRUE,"Contents";#N/A,#N/A,TRUE,"Basis";#N/A,#N/A,TRUE,"Inclusions";#N/A,#N/A,TRUE,"Exclusions";#N/A,#N/A,TRUE,"Areas";#N/A,#N/A,TRUE,"Summary";#N/A,#N/A,TRUE,"Detail"}</definedName>
    <definedName name="sheet1" localSheetId="15" hidden="1">{#N/A,#N/A,TRUE,"Front";#N/A,#N/A,TRUE,"Simple Letter";#N/A,#N/A,TRUE,"Inside";#N/A,#N/A,TRUE,"Contents";#N/A,#N/A,TRUE,"Basis";#N/A,#N/A,TRUE,"Inclusions";#N/A,#N/A,TRUE,"Exclusions";#N/A,#N/A,TRUE,"Areas";#N/A,#N/A,TRUE,"Summary";#N/A,#N/A,TRUE,"Detail"}</definedName>
    <definedName name="sheet1" localSheetId="7" hidden="1">{#N/A,#N/A,TRUE,"Front";#N/A,#N/A,TRUE,"Simple Letter";#N/A,#N/A,TRUE,"Inside";#N/A,#N/A,TRUE,"Contents";#N/A,#N/A,TRUE,"Basis";#N/A,#N/A,TRUE,"Inclusions";#N/A,#N/A,TRUE,"Exclusions";#N/A,#N/A,TRUE,"Areas";#N/A,#N/A,TRUE,"Summary";#N/A,#N/A,TRUE,"Detail"}</definedName>
    <definedName name="sheet1" hidden="1">{#N/A,#N/A,TRUE,"Front";#N/A,#N/A,TRUE,"Simple Letter";#N/A,#N/A,TRUE,"Inside";#N/A,#N/A,TRUE,"Contents";#N/A,#N/A,TRUE,"Basis";#N/A,#N/A,TRUE,"Inclusions";#N/A,#N/A,TRUE,"Exclusions";#N/A,#N/A,TRUE,"Areas";#N/A,#N/A,TRUE,"Summary";#N/A,#N/A,TRUE,"Detail"}</definedName>
    <definedName name="sheet1___0" localSheetId="12">#REF!</definedName>
    <definedName name="sheet1___0" localSheetId="6">#REF!</definedName>
    <definedName name="sheet1___0" localSheetId="5">#REF!</definedName>
    <definedName name="sheet1___0" localSheetId="8">#REF!</definedName>
    <definedName name="sheet1___0" localSheetId="11">#REF!</definedName>
    <definedName name="sheet1___0" localSheetId="9">#REF!</definedName>
    <definedName name="sheet1___0" localSheetId="18">#REF!</definedName>
    <definedName name="sheet1___0" localSheetId="15">#REF!</definedName>
    <definedName name="sheet1___0" localSheetId="7">#REF!</definedName>
    <definedName name="sheet1___0">#REF!</definedName>
    <definedName name="sheet1___13" localSheetId="12">#REF!</definedName>
    <definedName name="sheet1___13" localSheetId="6">#REF!</definedName>
    <definedName name="sheet1___13" localSheetId="5">#REF!</definedName>
    <definedName name="sheet1___13" localSheetId="8">#REF!</definedName>
    <definedName name="sheet1___13" localSheetId="11">#REF!</definedName>
    <definedName name="sheet1___13" localSheetId="9">#REF!</definedName>
    <definedName name="sheet1___13" localSheetId="18">#REF!</definedName>
    <definedName name="sheet1___13" localSheetId="15">#REF!</definedName>
    <definedName name="sheet1___13" localSheetId="7">#REF!</definedName>
    <definedName name="sheet1___13">#REF!</definedName>
    <definedName name="Sheet2" localSheetId="12" hidden="1">{#N/A,#N/A,TRUE,"Front";#N/A,#N/A,TRUE,"Simple Letter";#N/A,#N/A,TRUE,"Inside";#N/A,#N/A,TRUE,"Contents";#N/A,#N/A,TRUE,"Basis";#N/A,#N/A,TRUE,"Inclusions";#N/A,#N/A,TRUE,"Exclusions";#N/A,#N/A,TRUE,"Areas";#N/A,#N/A,TRUE,"Summary";#N/A,#N/A,TRUE,"Detail"}</definedName>
    <definedName name="Sheet2" localSheetId="6" hidden="1">{#N/A,#N/A,TRUE,"Front";#N/A,#N/A,TRUE,"Simple Letter";#N/A,#N/A,TRUE,"Inside";#N/A,#N/A,TRUE,"Contents";#N/A,#N/A,TRUE,"Basis";#N/A,#N/A,TRUE,"Inclusions";#N/A,#N/A,TRUE,"Exclusions";#N/A,#N/A,TRUE,"Areas";#N/A,#N/A,TRUE,"Summary";#N/A,#N/A,TRUE,"Detail"}</definedName>
    <definedName name="Sheet2" localSheetId="5" hidden="1">{#N/A,#N/A,TRUE,"Front";#N/A,#N/A,TRUE,"Simple Letter";#N/A,#N/A,TRUE,"Inside";#N/A,#N/A,TRUE,"Contents";#N/A,#N/A,TRUE,"Basis";#N/A,#N/A,TRUE,"Inclusions";#N/A,#N/A,TRUE,"Exclusions";#N/A,#N/A,TRUE,"Areas";#N/A,#N/A,TRUE,"Summary";#N/A,#N/A,TRUE,"Detail"}</definedName>
    <definedName name="Sheet2" localSheetId="8" hidden="1">{#N/A,#N/A,TRUE,"Front";#N/A,#N/A,TRUE,"Simple Letter";#N/A,#N/A,TRUE,"Inside";#N/A,#N/A,TRUE,"Contents";#N/A,#N/A,TRUE,"Basis";#N/A,#N/A,TRUE,"Inclusions";#N/A,#N/A,TRUE,"Exclusions";#N/A,#N/A,TRUE,"Areas";#N/A,#N/A,TRUE,"Summary";#N/A,#N/A,TRUE,"Detail"}</definedName>
    <definedName name="Sheet2" localSheetId="11" hidden="1">{#N/A,#N/A,TRUE,"Front";#N/A,#N/A,TRUE,"Simple Letter";#N/A,#N/A,TRUE,"Inside";#N/A,#N/A,TRUE,"Contents";#N/A,#N/A,TRUE,"Basis";#N/A,#N/A,TRUE,"Inclusions";#N/A,#N/A,TRUE,"Exclusions";#N/A,#N/A,TRUE,"Areas";#N/A,#N/A,TRUE,"Summary";#N/A,#N/A,TRUE,"Detail"}</definedName>
    <definedName name="Sheet2" localSheetId="9" hidden="1">{#N/A,#N/A,TRUE,"Front";#N/A,#N/A,TRUE,"Simple Letter";#N/A,#N/A,TRUE,"Inside";#N/A,#N/A,TRUE,"Contents";#N/A,#N/A,TRUE,"Basis";#N/A,#N/A,TRUE,"Inclusions";#N/A,#N/A,TRUE,"Exclusions";#N/A,#N/A,TRUE,"Areas";#N/A,#N/A,TRUE,"Summary";#N/A,#N/A,TRUE,"Detail"}</definedName>
    <definedName name="Sheet2" localSheetId="13" hidden="1">{#N/A,#N/A,TRUE,"Front";#N/A,#N/A,TRUE,"Simple Letter";#N/A,#N/A,TRUE,"Inside";#N/A,#N/A,TRUE,"Contents";#N/A,#N/A,TRUE,"Basis";#N/A,#N/A,TRUE,"Inclusions";#N/A,#N/A,TRUE,"Exclusions";#N/A,#N/A,TRUE,"Areas";#N/A,#N/A,TRUE,"Summary";#N/A,#N/A,TRUE,"Detail"}</definedName>
    <definedName name="Sheet2" localSheetId="18" hidden="1">{#N/A,#N/A,TRUE,"Front";#N/A,#N/A,TRUE,"Simple Letter";#N/A,#N/A,TRUE,"Inside";#N/A,#N/A,TRUE,"Contents";#N/A,#N/A,TRUE,"Basis";#N/A,#N/A,TRUE,"Inclusions";#N/A,#N/A,TRUE,"Exclusions";#N/A,#N/A,TRUE,"Areas";#N/A,#N/A,TRUE,"Summary";#N/A,#N/A,TRUE,"Detail"}</definedName>
    <definedName name="Sheet2" localSheetId="15" hidden="1">{#N/A,#N/A,TRUE,"Front";#N/A,#N/A,TRUE,"Simple Letter";#N/A,#N/A,TRUE,"Inside";#N/A,#N/A,TRUE,"Contents";#N/A,#N/A,TRUE,"Basis";#N/A,#N/A,TRUE,"Inclusions";#N/A,#N/A,TRUE,"Exclusions";#N/A,#N/A,TRUE,"Areas";#N/A,#N/A,TRUE,"Summary";#N/A,#N/A,TRUE,"Detail"}</definedName>
    <definedName name="Sheet2" localSheetId="7" hidden="1">{#N/A,#N/A,TRUE,"Front";#N/A,#N/A,TRUE,"Simple Letter";#N/A,#N/A,TRUE,"Inside";#N/A,#N/A,TRUE,"Contents";#N/A,#N/A,TRUE,"Basis";#N/A,#N/A,TRUE,"Inclusions";#N/A,#N/A,TRUE,"Exclusions";#N/A,#N/A,TRUE,"Areas";#N/A,#N/A,TRUE,"Summary";#N/A,#N/A,TRUE,"Detail"}</definedName>
    <definedName name="Sheet2" hidden="1">{#N/A,#N/A,TRUE,"Front";#N/A,#N/A,TRUE,"Simple Letter";#N/A,#N/A,TRUE,"Inside";#N/A,#N/A,TRUE,"Contents";#N/A,#N/A,TRUE,"Basis";#N/A,#N/A,TRUE,"Inclusions";#N/A,#N/A,TRUE,"Exclusions";#N/A,#N/A,TRUE,"Areas";#N/A,#N/A,TRUE,"Summary";#N/A,#N/A,TRUE,"Detail"}</definedName>
    <definedName name="shf" localSheetId="12">#REF!</definedName>
    <definedName name="shf" localSheetId="6">#REF!</definedName>
    <definedName name="shf" localSheetId="5">#REF!</definedName>
    <definedName name="shf" localSheetId="8">#REF!</definedName>
    <definedName name="shf" localSheetId="11">#REF!</definedName>
    <definedName name="shf" localSheetId="9">#REF!</definedName>
    <definedName name="shf" localSheetId="18">#REF!</definedName>
    <definedName name="shf" localSheetId="15">#REF!</definedName>
    <definedName name="shf" localSheetId="7">#REF!</definedName>
    <definedName name="shf">#REF!</definedName>
    <definedName name="shi" localSheetId="12">#REF!</definedName>
    <definedName name="shi" localSheetId="6">#REF!</definedName>
    <definedName name="shi" localSheetId="5">#REF!</definedName>
    <definedName name="shi" localSheetId="8">#REF!</definedName>
    <definedName name="shi" localSheetId="11">#REF!</definedName>
    <definedName name="shi" localSheetId="9">#REF!</definedName>
    <definedName name="shi" localSheetId="18">#REF!</definedName>
    <definedName name="shi" localSheetId="15">#REF!</definedName>
    <definedName name="shi" localSheetId="7">#REF!</definedName>
    <definedName name="shi">#REF!</definedName>
    <definedName name="SHIPPING_MULTIPLE" localSheetId="12">#REF!</definedName>
    <definedName name="SHIPPING_MULTIPLE" localSheetId="6">#REF!</definedName>
    <definedName name="SHIPPING_MULTIPLE" localSheetId="5">#REF!</definedName>
    <definedName name="SHIPPING_MULTIPLE" localSheetId="8">#REF!</definedName>
    <definedName name="SHIPPING_MULTIPLE" localSheetId="11">#REF!</definedName>
    <definedName name="SHIPPING_MULTIPLE" localSheetId="9">#REF!</definedName>
    <definedName name="SHIPPING_MULTIPLE" localSheetId="18">#REF!</definedName>
    <definedName name="SHIPPING_MULTIPLE" localSheetId="15">#REF!</definedName>
    <definedName name="SHIPPING_MULTIPLE" localSheetId="7">#REF!</definedName>
    <definedName name="SHIPPING_MULTIPLE">#REF!</definedName>
    <definedName name="shiva" localSheetId="12">#REF!</definedName>
    <definedName name="shiva" localSheetId="8">#REF!</definedName>
    <definedName name="shiva" localSheetId="11">#REF!</definedName>
    <definedName name="shiva" localSheetId="9">#REF!</definedName>
    <definedName name="shiva" localSheetId="18">#REF!</definedName>
    <definedName name="shiva" localSheetId="15">#REF!</definedName>
    <definedName name="shiva" localSheetId="7">#REF!</definedName>
    <definedName name="shiva">#REF!</definedName>
    <definedName name="SHOPBOQ" localSheetId="12">#REF!</definedName>
    <definedName name="SHOPBOQ" localSheetId="0">#REF!</definedName>
    <definedName name="SHOPBOQ" localSheetId="1">#REF!</definedName>
    <definedName name="SHOPBOQ" localSheetId="8">#REF!</definedName>
    <definedName name="SHOPBOQ" localSheetId="11">#REF!</definedName>
    <definedName name="SHOPBOQ" localSheetId="9">#REF!</definedName>
    <definedName name="SHOPBOQ" localSheetId="18">#REF!</definedName>
    <definedName name="SHOPBOQ" localSheetId="15">#REF!</definedName>
    <definedName name="SHOPBOQ" localSheetId="7">#REF!</definedName>
    <definedName name="SHOPBOQ">#REF!</definedName>
    <definedName name="SHOPHED" localSheetId="12">#REF!</definedName>
    <definedName name="SHOPHED" localSheetId="0">#REF!</definedName>
    <definedName name="SHOPHED" localSheetId="1">#REF!</definedName>
    <definedName name="SHOPHED" localSheetId="8">#REF!</definedName>
    <definedName name="SHOPHED" localSheetId="11">#REF!</definedName>
    <definedName name="SHOPHED" localSheetId="9">#REF!</definedName>
    <definedName name="SHOPHED" localSheetId="18">#REF!</definedName>
    <definedName name="SHOPHED" localSheetId="15">#REF!</definedName>
    <definedName name="SHOPHED" localSheetId="7">#REF!</definedName>
    <definedName name="SHOPHED">#REF!</definedName>
    <definedName name="short" localSheetId="12" hidden="1">{#N/A,#N/A,FALSE,"COVER1.XLS ";#N/A,#N/A,FALSE,"RACT1.XLS";#N/A,#N/A,FALSE,"RACT2.XLS";#N/A,#N/A,FALSE,"ECCMP";#N/A,#N/A,FALSE,"WELDER.XLS"}</definedName>
    <definedName name="short" localSheetId="6" hidden="1">{#N/A,#N/A,FALSE,"COVER1.XLS ";#N/A,#N/A,FALSE,"RACT1.XLS";#N/A,#N/A,FALSE,"RACT2.XLS";#N/A,#N/A,FALSE,"ECCMP";#N/A,#N/A,FALSE,"WELDER.XLS"}</definedName>
    <definedName name="short" localSheetId="5" hidden="1">{#N/A,#N/A,FALSE,"COVER1.XLS ";#N/A,#N/A,FALSE,"RACT1.XLS";#N/A,#N/A,FALSE,"RACT2.XLS";#N/A,#N/A,FALSE,"ECCMP";#N/A,#N/A,FALSE,"WELDER.XLS"}</definedName>
    <definedName name="short" localSheetId="8" hidden="1">{#N/A,#N/A,FALSE,"COVER1.XLS ";#N/A,#N/A,FALSE,"RACT1.XLS";#N/A,#N/A,FALSE,"RACT2.XLS";#N/A,#N/A,FALSE,"ECCMP";#N/A,#N/A,FALSE,"WELDER.XLS"}</definedName>
    <definedName name="short" localSheetId="11" hidden="1">{#N/A,#N/A,FALSE,"COVER1.XLS ";#N/A,#N/A,FALSE,"RACT1.XLS";#N/A,#N/A,FALSE,"RACT2.XLS";#N/A,#N/A,FALSE,"ECCMP";#N/A,#N/A,FALSE,"WELDER.XLS"}</definedName>
    <definedName name="short" localSheetId="9" hidden="1">{#N/A,#N/A,FALSE,"COVER1.XLS ";#N/A,#N/A,FALSE,"RACT1.XLS";#N/A,#N/A,FALSE,"RACT2.XLS";#N/A,#N/A,FALSE,"ECCMP";#N/A,#N/A,FALSE,"WELDER.XLS"}</definedName>
    <definedName name="short" localSheetId="13" hidden="1">{#N/A,#N/A,FALSE,"COVER1.XLS ";#N/A,#N/A,FALSE,"RACT1.XLS";#N/A,#N/A,FALSE,"RACT2.XLS";#N/A,#N/A,FALSE,"ECCMP";#N/A,#N/A,FALSE,"WELDER.XLS"}</definedName>
    <definedName name="short" localSheetId="18" hidden="1">{#N/A,#N/A,FALSE,"COVER1.XLS ";#N/A,#N/A,FALSE,"RACT1.XLS";#N/A,#N/A,FALSE,"RACT2.XLS";#N/A,#N/A,FALSE,"ECCMP";#N/A,#N/A,FALSE,"WELDER.XLS"}</definedName>
    <definedName name="short" localSheetId="15" hidden="1">{#N/A,#N/A,FALSE,"COVER1.XLS ";#N/A,#N/A,FALSE,"RACT1.XLS";#N/A,#N/A,FALSE,"RACT2.XLS";#N/A,#N/A,FALSE,"ECCMP";#N/A,#N/A,FALSE,"WELDER.XLS"}</definedName>
    <definedName name="short" localSheetId="7" hidden="1">{#N/A,#N/A,FALSE,"COVER1.XLS ";#N/A,#N/A,FALSE,"RACT1.XLS";#N/A,#N/A,FALSE,"RACT2.XLS";#N/A,#N/A,FALSE,"ECCMP";#N/A,#N/A,FALSE,"WELDER.XLS"}</definedName>
    <definedName name="short" hidden="1">{#N/A,#N/A,FALSE,"COVER1.XLS ";#N/A,#N/A,FALSE,"RACT1.XLS";#N/A,#N/A,FALSE,"RACT2.XLS";#N/A,#N/A,FALSE,"ECCMP";#N/A,#N/A,FALSE,"WELDER.XLS"}</definedName>
    <definedName name="SHOW_TO_CUSTOME" localSheetId="12">#REF!</definedName>
    <definedName name="SHOW_TO_CUSTOME" localSheetId="6">#REF!</definedName>
    <definedName name="SHOW_TO_CUSTOME" localSheetId="5">#REF!</definedName>
    <definedName name="SHOW_TO_CUSTOME" localSheetId="8">#REF!</definedName>
    <definedName name="SHOW_TO_CUSTOME" localSheetId="11">#REF!</definedName>
    <definedName name="SHOW_TO_CUSTOME" localSheetId="9">#REF!</definedName>
    <definedName name="SHOW_TO_CUSTOME" localSheetId="18">#REF!</definedName>
    <definedName name="SHOW_TO_CUSTOME" localSheetId="15">#REF!</definedName>
    <definedName name="SHOW_TO_CUSTOME" localSheetId="7">#REF!</definedName>
    <definedName name="SHOW_TO_CUSTOME">#REF!</definedName>
    <definedName name="si" localSheetId="12">#REF!</definedName>
    <definedName name="si" localSheetId="6">#REF!</definedName>
    <definedName name="si" localSheetId="5">#REF!</definedName>
    <definedName name="si" localSheetId="8">#REF!</definedName>
    <definedName name="si" localSheetId="11">#REF!</definedName>
    <definedName name="si" localSheetId="9">#REF!</definedName>
    <definedName name="si" localSheetId="18">#REF!</definedName>
    <definedName name="si" localSheetId="15">#REF!</definedName>
    <definedName name="si" localSheetId="7">#REF!</definedName>
    <definedName name="si">#REF!</definedName>
    <definedName name="sigma0.2" localSheetId="12">#REF!</definedName>
    <definedName name="sigma0.2" localSheetId="6">#REF!</definedName>
    <definedName name="sigma0.2" localSheetId="5">#REF!</definedName>
    <definedName name="sigma0.2" localSheetId="8">#REF!</definedName>
    <definedName name="sigma0.2" localSheetId="11">#REF!</definedName>
    <definedName name="sigma0.2" localSheetId="9">#REF!</definedName>
    <definedName name="sigma0.2" localSheetId="18">#REF!</definedName>
    <definedName name="sigma0.2" localSheetId="15">#REF!</definedName>
    <definedName name="sigma0.2" localSheetId="7">#REF!</definedName>
    <definedName name="sigma0.2">#REF!</definedName>
    <definedName name="sigma0_2" localSheetId="12">#REF!</definedName>
    <definedName name="sigma0_2" localSheetId="8">#REF!</definedName>
    <definedName name="sigma0_2" localSheetId="11">#REF!</definedName>
    <definedName name="sigma0_2" localSheetId="9">#REF!</definedName>
    <definedName name="sigma0_2" localSheetId="18">#REF!</definedName>
    <definedName name="sigma0_2" localSheetId="15">#REF!</definedName>
    <definedName name="sigma0_2" localSheetId="7">#REF!</definedName>
    <definedName name="sigma0_2">#REF!</definedName>
    <definedName name="sigmab" localSheetId="12">#REF!</definedName>
    <definedName name="sigmab" localSheetId="8">#REF!</definedName>
    <definedName name="sigmab" localSheetId="11">#REF!</definedName>
    <definedName name="sigmab" localSheetId="9">#REF!</definedName>
    <definedName name="sigmab" localSheetId="18">#REF!</definedName>
    <definedName name="sigmab" localSheetId="15">#REF!</definedName>
    <definedName name="sigmab" localSheetId="7">#REF!</definedName>
    <definedName name="sigmab">#REF!</definedName>
    <definedName name="sigmah" localSheetId="12">#REF!</definedName>
    <definedName name="sigmah" localSheetId="8">#REF!</definedName>
    <definedName name="sigmah" localSheetId="11">#REF!</definedName>
    <definedName name="sigmah" localSheetId="9">#REF!</definedName>
    <definedName name="sigmah" localSheetId="18">#REF!</definedName>
    <definedName name="sigmah" localSheetId="15">#REF!</definedName>
    <definedName name="sigmah" localSheetId="7">#REF!</definedName>
    <definedName name="sigmah">#REF!</definedName>
    <definedName name="sigmat" localSheetId="12">#REF!</definedName>
    <definedName name="sigmat" localSheetId="8">#REF!</definedName>
    <definedName name="sigmat" localSheetId="11">#REF!</definedName>
    <definedName name="sigmat" localSheetId="9">#REF!</definedName>
    <definedName name="sigmat" localSheetId="18">#REF!</definedName>
    <definedName name="sigmat" localSheetId="15">#REF!</definedName>
    <definedName name="sigmat" localSheetId="7">#REF!</definedName>
    <definedName name="sigmat">#REF!</definedName>
    <definedName name="Single_Clip" localSheetId="12">#REF!</definedName>
    <definedName name="Single_Clip" localSheetId="8">#REF!</definedName>
    <definedName name="Single_Clip" localSheetId="11">#REF!</definedName>
    <definedName name="Single_Clip" localSheetId="9">#REF!</definedName>
    <definedName name="Single_Clip" localSheetId="18">#REF!</definedName>
    <definedName name="Single_Clip" localSheetId="15">#REF!</definedName>
    <definedName name="Single_Clip" localSheetId="7">#REF!</definedName>
    <definedName name="Single_Clip">#REF!</definedName>
    <definedName name="site.ref" localSheetId="12" hidden="1">#REF!</definedName>
    <definedName name="site.ref" localSheetId="8" hidden="1">#REF!</definedName>
    <definedName name="site.ref" localSheetId="11" hidden="1">#REF!</definedName>
    <definedName name="site.ref" localSheetId="9" hidden="1">#REF!</definedName>
    <definedName name="site.ref" localSheetId="18" hidden="1">#REF!</definedName>
    <definedName name="site.ref" localSheetId="15" hidden="1">#REF!</definedName>
    <definedName name="site.ref" localSheetId="7" hidden="1">#REF!</definedName>
    <definedName name="site.ref" hidden="1">#REF!</definedName>
    <definedName name="SiteID" localSheetId="12">#REF!</definedName>
    <definedName name="SiteID" localSheetId="0">#REF!</definedName>
    <definedName name="SiteID" localSheetId="1">#REF!</definedName>
    <definedName name="SiteID" localSheetId="8">#REF!</definedName>
    <definedName name="SiteID" localSheetId="11">#REF!</definedName>
    <definedName name="SiteID" localSheetId="9">#REF!</definedName>
    <definedName name="SiteID" localSheetId="18">#REF!</definedName>
    <definedName name="SiteID" localSheetId="15">#REF!</definedName>
    <definedName name="SiteID" localSheetId="7">#REF!</definedName>
    <definedName name="SiteID">#REF!</definedName>
    <definedName name="SiteType" localSheetId="12">#REF!</definedName>
    <definedName name="SiteType" localSheetId="0">#REF!</definedName>
    <definedName name="SiteType" localSheetId="1">#REF!</definedName>
    <definedName name="SiteType" localSheetId="8">#REF!</definedName>
    <definedName name="SiteType" localSheetId="11">#REF!</definedName>
    <definedName name="SiteType" localSheetId="9">#REF!</definedName>
    <definedName name="SiteType" localSheetId="18">#REF!</definedName>
    <definedName name="SiteType" localSheetId="15">#REF!</definedName>
    <definedName name="SiteType" localSheetId="7">#REF!</definedName>
    <definedName name="SiteType">#REF!</definedName>
    <definedName name="ska" localSheetId="12" hidden="1">{#N/A,#N/A,TRUE,"Front";#N/A,#N/A,TRUE,"Simple Letter";#N/A,#N/A,TRUE,"Inside";#N/A,#N/A,TRUE,"Contents";#N/A,#N/A,TRUE,"Basis";#N/A,#N/A,TRUE,"Inclusions";#N/A,#N/A,TRUE,"Exclusions";#N/A,#N/A,TRUE,"Areas";#N/A,#N/A,TRUE,"Summary";#N/A,#N/A,TRUE,"Detail"}</definedName>
    <definedName name="ska" localSheetId="6" hidden="1">{#N/A,#N/A,TRUE,"Front";#N/A,#N/A,TRUE,"Simple Letter";#N/A,#N/A,TRUE,"Inside";#N/A,#N/A,TRUE,"Contents";#N/A,#N/A,TRUE,"Basis";#N/A,#N/A,TRUE,"Inclusions";#N/A,#N/A,TRUE,"Exclusions";#N/A,#N/A,TRUE,"Areas";#N/A,#N/A,TRUE,"Summary";#N/A,#N/A,TRUE,"Detail"}</definedName>
    <definedName name="ska" localSheetId="5" hidden="1">{#N/A,#N/A,TRUE,"Front";#N/A,#N/A,TRUE,"Simple Letter";#N/A,#N/A,TRUE,"Inside";#N/A,#N/A,TRUE,"Contents";#N/A,#N/A,TRUE,"Basis";#N/A,#N/A,TRUE,"Inclusions";#N/A,#N/A,TRUE,"Exclusions";#N/A,#N/A,TRUE,"Areas";#N/A,#N/A,TRUE,"Summary";#N/A,#N/A,TRUE,"Detail"}</definedName>
    <definedName name="ska" localSheetId="8" hidden="1">{#N/A,#N/A,TRUE,"Front";#N/A,#N/A,TRUE,"Simple Letter";#N/A,#N/A,TRUE,"Inside";#N/A,#N/A,TRUE,"Contents";#N/A,#N/A,TRUE,"Basis";#N/A,#N/A,TRUE,"Inclusions";#N/A,#N/A,TRUE,"Exclusions";#N/A,#N/A,TRUE,"Areas";#N/A,#N/A,TRUE,"Summary";#N/A,#N/A,TRUE,"Detail"}</definedName>
    <definedName name="ska" localSheetId="11" hidden="1">{#N/A,#N/A,TRUE,"Front";#N/A,#N/A,TRUE,"Simple Letter";#N/A,#N/A,TRUE,"Inside";#N/A,#N/A,TRUE,"Contents";#N/A,#N/A,TRUE,"Basis";#N/A,#N/A,TRUE,"Inclusions";#N/A,#N/A,TRUE,"Exclusions";#N/A,#N/A,TRUE,"Areas";#N/A,#N/A,TRUE,"Summary";#N/A,#N/A,TRUE,"Detail"}</definedName>
    <definedName name="ska" localSheetId="9" hidden="1">{#N/A,#N/A,TRUE,"Front";#N/A,#N/A,TRUE,"Simple Letter";#N/A,#N/A,TRUE,"Inside";#N/A,#N/A,TRUE,"Contents";#N/A,#N/A,TRUE,"Basis";#N/A,#N/A,TRUE,"Inclusions";#N/A,#N/A,TRUE,"Exclusions";#N/A,#N/A,TRUE,"Areas";#N/A,#N/A,TRUE,"Summary";#N/A,#N/A,TRUE,"Detail"}</definedName>
    <definedName name="ska" localSheetId="13" hidden="1">{#N/A,#N/A,TRUE,"Front";#N/A,#N/A,TRUE,"Simple Letter";#N/A,#N/A,TRUE,"Inside";#N/A,#N/A,TRUE,"Contents";#N/A,#N/A,TRUE,"Basis";#N/A,#N/A,TRUE,"Inclusions";#N/A,#N/A,TRUE,"Exclusions";#N/A,#N/A,TRUE,"Areas";#N/A,#N/A,TRUE,"Summary";#N/A,#N/A,TRUE,"Detail"}</definedName>
    <definedName name="ska" localSheetId="18" hidden="1">{#N/A,#N/A,TRUE,"Front";#N/A,#N/A,TRUE,"Simple Letter";#N/A,#N/A,TRUE,"Inside";#N/A,#N/A,TRUE,"Contents";#N/A,#N/A,TRUE,"Basis";#N/A,#N/A,TRUE,"Inclusions";#N/A,#N/A,TRUE,"Exclusions";#N/A,#N/A,TRUE,"Areas";#N/A,#N/A,TRUE,"Summary";#N/A,#N/A,TRUE,"Detail"}</definedName>
    <definedName name="ska" localSheetId="15" hidden="1">{#N/A,#N/A,TRUE,"Front";#N/A,#N/A,TRUE,"Simple Letter";#N/A,#N/A,TRUE,"Inside";#N/A,#N/A,TRUE,"Contents";#N/A,#N/A,TRUE,"Basis";#N/A,#N/A,TRUE,"Inclusions";#N/A,#N/A,TRUE,"Exclusions";#N/A,#N/A,TRUE,"Areas";#N/A,#N/A,TRUE,"Summary";#N/A,#N/A,TRUE,"Detail"}</definedName>
    <definedName name="ska" localSheetId="7" hidden="1">{#N/A,#N/A,TRUE,"Front";#N/A,#N/A,TRUE,"Simple Letter";#N/A,#N/A,TRUE,"Inside";#N/A,#N/A,TRUE,"Contents";#N/A,#N/A,TRUE,"Basis";#N/A,#N/A,TRUE,"Inclusions";#N/A,#N/A,TRUE,"Exclusions";#N/A,#N/A,TRUE,"Areas";#N/A,#N/A,TRUE,"Summary";#N/A,#N/A,TRUE,"Detail"}</definedName>
    <definedName name="ska" hidden="1">{#N/A,#N/A,TRUE,"Front";#N/A,#N/A,TRUE,"Simple Letter";#N/A,#N/A,TRUE,"Inside";#N/A,#N/A,TRUE,"Contents";#N/A,#N/A,TRUE,"Basis";#N/A,#N/A,TRUE,"Inclusions";#N/A,#N/A,TRUE,"Exclusions";#N/A,#N/A,TRUE,"Areas";#N/A,#N/A,TRUE,"Summary";#N/A,#N/A,TRUE,"Detail"}</definedName>
    <definedName name="SKBEL" localSheetId="12">#REF!</definedName>
    <definedName name="SKBEL" localSheetId="6">#REF!</definedName>
    <definedName name="SKBEL" localSheetId="5">#REF!</definedName>
    <definedName name="SKBEL" localSheetId="8">#REF!</definedName>
    <definedName name="SKBEL" localSheetId="11">#REF!</definedName>
    <definedName name="SKBEL" localSheetId="9">#REF!</definedName>
    <definedName name="SKBEL" localSheetId="18">#REF!</definedName>
    <definedName name="SKBEL" localSheetId="15">#REF!</definedName>
    <definedName name="SKBEL" localSheetId="7">#REF!</definedName>
    <definedName name="SKBEL">#REF!</definedName>
    <definedName name="Skil" localSheetId="12">#REF!</definedName>
    <definedName name="Skil" localSheetId="6">#REF!</definedName>
    <definedName name="Skil" localSheetId="5">#REF!</definedName>
    <definedName name="Skil" localSheetId="8">#REF!</definedName>
    <definedName name="Skil" localSheetId="11">#REF!</definedName>
    <definedName name="Skil" localSheetId="9">#REF!</definedName>
    <definedName name="Skil" localSheetId="18">#REF!</definedName>
    <definedName name="Skil" localSheetId="15">#REF!</definedName>
    <definedName name="Skil" localSheetId="7">#REF!</definedName>
    <definedName name="Skil">#REF!</definedName>
    <definedName name="skq" localSheetId="12" hidden="1">{#N/A,#N/A,TRUE,"Front";#N/A,#N/A,TRUE,"Simple Letter";#N/A,#N/A,TRUE,"Inside";#N/A,#N/A,TRUE,"Contents";#N/A,#N/A,TRUE,"Basis";#N/A,#N/A,TRUE,"Inclusions";#N/A,#N/A,TRUE,"Exclusions";#N/A,#N/A,TRUE,"Areas";#N/A,#N/A,TRUE,"Summary";#N/A,#N/A,TRUE,"Detail"}</definedName>
    <definedName name="skq" localSheetId="6" hidden="1">{#N/A,#N/A,TRUE,"Front";#N/A,#N/A,TRUE,"Simple Letter";#N/A,#N/A,TRUE,"Inside";#N/A,#N/A,TRUE,"Contents";#N/A,#N/A,TRUE,"Basis";#N/A,#N/A,TRUE,"Inclusions";#N/A,#N/A,TRUE,"Exclusions";#N/A,#N/A,TRUE,"Areas";#N/A,#N/A,TRUE,"Summary";#N/A,#N/A,TRUE,"Detail"}</definedName>
    <definedName name="skq" localSheetId="5" hidden="1">{#N/A,#N/A,TRUE,"Front";#N/A,#N/A,TRUE,"Simple Letter";#N/A,#N/A,TRUE,"Inside";#N/A,#N/A,TRUE,"Contents";#N/A,#N/A,TRUE,"Basis";#N/A,#N/A,TRUE,"Inclusions";#N/A,#N/A,TRUE,"Exclusions";#N/A,#N/A,TRUE,"Areas";#N/A,#N/A,TRUE,"Summary";#N/A,#N/A,TRUE,"Detail"}</definedName>
    <definedName name="skq" localSheetId="8" hidden="1">{#N/A,#N/A,TRUE,"Front";#N/A,#N/A,TRUE,"Simple Letter";#N/A,#N/A,TRUE,"Inside";#N/A,#N/A,TRUE,"Contents";#N/A,#N/A,TRUE,"Basis";#N/A,#N/A,TRUE,"Inclusions";#N/A,#N/A,TRUE,"Exclusions";#N/A,#N/A,TRUE,"Areas";#N/A,#N/A,TRUE,"Summary";#N/A,#N/A,TRUE,"Detail"}</definedName>
    <definedName name="skq" localSheetId="11" hidden="1">{#N/A,#N/A,TRUE,"Front";#N/A,#N/A,TRUE,"Simple Letter";#N/A,#N/A,TRUE,"Inside";#N/A,#N/A,TRUE,"Contents";#N/A,#N/A,TRUE,"Basis";#N/A,#N/A,TRUE,"Inclusions";#N/A,#N/A,TRUE,"Exclusions";#N/A,#N/A,TRUE,"Areas";#N/A,#N/A,TRUE,"Summary";#N/A,#N/A,TRUE,"Detail"}</definedName>
    <definedName name="skq" localSheetId="9" hidden="1">{#N/A,#N/A,TRUE,"Front";#N/A,#N/A,TRUE,"Simple Letter";#N/A,#N/A,TRUE,"Inside";#N/A,#N/A,TRUE,"Contents";#N/A,#N/A,TRUE,"Basis";#N/A,#N/A,TRUE,"Inclusions";#N/A,#N/A,TRUE,"Exclusions";#N/A,#N/A,TRUE,"Areas";#N/A,#N/A,TRUE,"Summary";#N/A,#N/A,TRUE,"Detail"}</definedName>
    <definedName name="skq" localSheetId="13" hidden="1">{#N/A,#N/A,TRUE,"Front";#N/A,#N/A,TRUE,"Simple Letter";#N/A,#N/A,TRUE,"Inside";#N/A,#N/A,TRUE,"Contents";#N/A,#N/A,TRUE,"Basis";#N/A,#N/A,TRUE,"Inclusions";#N/A,#N/A,TRUE,"Exclusions";#N/A,#N/A,TRUE,"Areas";#N/A,#N/A,TRUE,"Summary";#N/A,#N/A,TRUE,"Detail"}</definedName>
    <definedName name="skq" localSheetId="18" hidden="1">{#N/A,#N/A,TRUE,"Front";#N/A,#N/A,TRUE,"Simple Letter";#N/A,#N/A,TRUE,"Inside";#N/A,#N/A,TRUE,"Contents";#N/A,#N/A,TRUE,"Basis";#N/A,#N/A,TRUE,"Inclusions";#N/A,#N/A,TRUE,"Exclusions";#N/A,#N/A,TRUE,"Areas";#N/A,#N/A,TRUE,"Summary";#N/A,#N/A,TRUE,"Detail"}</definedName>
    <definedName name="skq" localSheetId="15" hidden="1">{#N/A,#N/A,TRUE,"Front";#N/A,#N/A,TRUE,"Simple Letter";#N/A,#N/A,TRUE,"Inside";#N/A,#N/A,TRUE,"Contents";#N/A,#N/A,TRUE,"Basis";#N/A,#N/A,TRUE,"Inclusions";#N/A,#N/A,TRUE,"Exclusions";#N/A,#N/A,TRUE,"Areas";#N/A,#N/A,TRUE,"Summary";#N/A,#N/A,TRUE,"Detail"}</definedName>
    <definedName name="skq" localSheetId="7" hidden="1">{#N/A,#N/A,TRUE,"Front";#N/A,#N/A,TRUE,"Simple Letter";#N/A,#N/A,TRUE,"Inside";#N/A,#N/A,TRUE,"Contents";#N/A,#N/A,TRUE,"Basis";#N/A,#N/A,TRUE,"Inclusions";#N/A,#N/A,TRUE,"Exclusions";#N/A,#N/A,TRUE,"Areas";#N/A,#N/A,TRUE,"Summary";#N/A,#N/A,TRUE,"Detail"}</definedName>
    <definedName name="skq" hidden="1">{#N/A,#N/A,TRUE,"Front";#N/A,#N/A,TRUE,"Simple Letter";#N/A,#N/A,TRUE,"Inside";#N/A,#N/A,TRUE,"Contents";#N/A,#N/A,TRUE,"Basis";#N/A,#N/A,TRUE,"Inclusions";#N/A,#N/A,TRUE,"Exclusions";#N/A,#N/A,TRUE,"Areas";#N/A,#N/A,TRUE,"Summary";#N/A,#N/A,TRUE,"Detail"}</definedName>
    <definedName name="Sl_No" localSheetId="12">#REF!</definedName>
    <definedName name="Sl_No" localSheetId="6">#REF!</definedName>
    <definedName name="Sl_No" localSheetId="5">#REF!</definedName>
    <definedName name="Sl_No" localSheetId="8">#REF!</definedName>
    <definedName name="Sl_No" localSheetId="11">#REF!</definedName>
    <definedName name="Sl_No" localSheetId="9">#REF!</definedName>
    <definedName name="Sl_No" localSheetId="18">#REF!</definedName>
    <definedName name="Sl_No" localSheetId="15">#REF!</definedName>
    <definedName name="Sl_No" localSheetId="7">#REF!</definedName>
    <definedName name="Sl_No">#REF!</definedName>
    <definedName name="slab" localSheetId="12">#REF!</definedName>
    <definedName name="slab" localSheetId="0">#REF!</definedName>
    <definedName name="slab" localSheetId="1">#REF!</definedName>
    <definedName name="slab" localSheetId="6">#REF!</definedName>
    <definedName name="slab" localSheetId="5">#REF!</definedName>
    <definedName name="slab" localSheetId="8">#REF!</definedName>
    <definedName name="slab" localSheetId="11">#REF!</definedName>
    <definedName name="slab" localSheetId="9">#REF!</definedName>
    <definedName name="slab" localSheetId="18">#REF!</definedName>
    <definedName name="slab" localSheetId="15">#REF!</definedName>
    <definedName name="slab" localSheetId="7">#REF!</definedName>
    <definedName name="slab">#REF!</definedName>
    <definedName name="SLAB1" localSheetId="12">#REF!</definedName>
    <definedName name="SLAB1" localSheetId="0">#REF!</definedName>
    <definedName name="SLAB1" localSheetId="1">#REF!</definedName>
    <definedName name="SLAB1" localSheetId="8">#REF!</definedName>
    <definedName name="SLAB1" localSheetId="11">#REF!</definedName>
    <definedName name="SLAB1" localSheetId="9">#REF!</definedName>
    <definedName name="SLAB1" localSheetId="18">#REF!</definedName>
    <definedName name="SLAB1" localSheetId="15">#REF!</definedName>
    <definedName name="SLAB1" localSheetId="7">#REF!</definedName>
    <definedName name="SLAB1">#REF!</definedName>
    <definedName name="SLAB12" localSheetId="12">#REF!</definedName>
    <definedName name="SLAB12" localSheetId="0">#REF!</definedName>
    <definedName name="SLAB12" localSheetId="1">#REF!</definedName>
    <definedName name="SLAB12" localSheetId="8">#REF!</definedName>
    <definedName name="SLAB12" localSheetId="11">#REF!</definedName>
    <definedName name="SLAB12" localSheetId="9">#REF!</definedName>
    <definedName name="SLAB12" localSheetId="18">#REF!</definedName>
    <definedName name="SLAB12" localSheetId="15">#REF!</definedName>
    <definedName name="SLAB12" localSheetId="7">#REF!</definedName>
    <definedName name="SLAB12">#REF!</definedName>
    <definedName name="SLAB13" localSheetId="12">#REF!</definedName>
    <definedName name="SLAB13" localSheetId="0">#REF!</definedName>
    <definedName name="SLAB13" localSheetId="1">#REF!</definedName>
    <definedName name="SLAB13" localSheetId="8">#REF!</definedName>
    <definedName name="SLAB13" localSheetId="11">#REF!</definedName>
    <definedName name="SLAB13" localSheetId="9">#REF!</definedName>
    <definedName name="SLAB13" localSheetId="18">#REF!</definedName>
    <definedName name="SLAB13" localSheetId="15">#REF!</definedName>
    <definedName name="SLAB13" localSheetId="7">#REF!</definedName>
    <definedName name="SLAB13">#REF!</definedName>
    <definedName name="slab2" localSheetId="12">#REF!</definedName>
    <definedName name="slab2" localSheetId="0">#REF!</definedName>
    <definedName name="slab2" localSheetId="1">#REF!</definedName>
    <definedName name="slab2" localSheetId="8">#REF!</definedName>
    <definedName name="slab2" localSheetId="11">#REF!</definedName>
    <definedName name="slab2" localSheetId="9">#REF!</definedName>
    <definedName name="slab2" localSheetId="18">#REF!</definedName>
    <definedName name="slab2" localSheetId="15">#REF!</definedName>
    <definedName name="slab2" localSheetId="7">#REF!</definedName>
    <definedName name="slab2">#REF!</definedName>
    <definedName name="slab22" localSheetId="12">#REF!</definedName>
    <definedName name="slab22" localSheetId="0">#REF!</definedName>
    <definedName name="slab22" localSheetId="1">#REF!</definedName>
    <definedName name="slab22" localSheetId="8">#REF!</definedName>
    <definedName name="slab22" localSheetId="11">#REF!</definedName>
    <definedName name="slab22" localSheetId="9">#REF!</definedName>
    <definedName name="slab22" localSheetId="18">#REF!</definedName>
    <definedName name="slab22" localSheetId="15">#REF!</definedName>
    <definedName name="slab22" localSheetId="7">#REF!</definedName>
    <definedName name="slab22">#REF!</definedName>
    <definedName name="SLAB31" localSheetId="12">#REF!</definedName>
    <definedName name="SLAB31" localSheetId="0">#REF!</definedName>
    <definedName name="SLAB31" localSheetId="1">#REF!</definedName>
    <definedName name="SLAB31" localSheetId="8">#REF!</definedName>
    <definedName name="SLAB31" localSheetId="11">#REF!</definedName>
    <definedName name="SLAB31" localSheetId="9">#REF!</definedName>
    <definedName name="SLAB31" localSheetId="18">#REF!</definedName>
    <definedName name="SLAB31" localSheetId="15">#REF!</definedName>
    <definedName name="SLAB31" localSheetId="7">#REF!</definedName>
    <definedName name="SLAB31">#REF!</definedName>
    <definedName name="slab7" localSheetId="12">#REF!</definedName>
    <definedName name="slab7" localSheetId="0">#REF!</definedName>
    <definedName name="slab7" localSheetId="1">#REF!</definedName>
    <definedName name="slab7" localSheetId="8">#REF!</definedName>
    <definedName name="slab7" localSheetId="11">#REF!</definedName>
    <definedName name="slab7" localSheetId="9">#REF!</definedName>
    <definedName name="slab7" localSheetId="18">#REF!</definedName>
    <definedName name="slab7" localSheetId="15">#REF!</definedName>
    <definedName name="slab7" localSheetId="7">#REF!</definedName>
    <definedName name="slab7">#REF!</definedName>
    <definedName name="SLOPE" localSheetId="12">#REF!</definedName>
    <definedName name="SLOPE" localSheetId="8">#REF!</definedName>
    <definedName name="SLOPE" localSheetId="11">#REF!</definedName>
    <definedName name="SLOPE" localSheetId="9">#REF!</definedName>
    <definedName name="SLOPE" localSheetId="18">#REF!</definedName>
    <definedName name="SLOPE" localSheetId="15">#REF!</definedName>
    <definedName name="SLOPE" localSheetId="7">#REF!</definedName>
    <definedName name="SLOPE">#REF!</definedName>
    <definedName name="SmallProj" localSheetId="12">#REF!</definedName>
    <definedName name="SmallProj" localSheetId="0">#REF!</definedName>
    <definedName name="SmallProj" localSheetId="1">#REF!</definedName>
    <definedName name="SmallProj" localSheetId="8">#REF!</definedName>
    <definedName name="SmallProj" localSheetId="11">#REF!</definedName>
    <definedName name="SmallProj" localSheetId="9">#REF!</definedName>
    <definedName name="SmallProj" localSheetId="18">#REF!</definedName>
    <definedName name="SmallProj" localSheetId="15">#REF!</definedName>
    <definedName name="SmallProj" localSheetId="7">#REF!</definedName>
    <definedName name="SmallProj">#REF!</definedName>
    <definedName name="SmallProj_Text" localSheetId="12">#REF!</definedName>
    <definedName name="SmallProj_Text" localSheetId="0">#REF!</definedName>
    <definedName name="SmallProj_Text" localSheetId="1">#REF!</definedName>
    <definedName name="SmallProj_Text" localSheetId="8">#REF!</definedName>
    <definedName name="SmallProj_Text" localSheetId="11">#REF!</definedName>
    <definedName name="SmallProj_Text" localSheetId="9">#REF!</definedName>
    <definedName name="SmallProj_Text" localSheetId="18">#REF!</definedName>
    <definedName name="SmallProj_Text" localSheetId="15">#REF!</definedName>
    <definedName name="SmallProj_Text" localSheetId="7">#REF!</definedName>
    <definedName name="SmallProj_Text">#REF!</definedName>
    <definedName name="sond" localSheetId="12">#REF!</definedName>
    <definedName name="sond" localSheetId="8">#REF!</definedName>
    <definedName name="sond" localSheetId="11">#REF!</definedName>
    <definedName name="sond" localSheetId="9">#REF!</definedName>
    <definedName name="sond" localSheetId="18">#REF!</definedName>
    <definedName name="sond" localSheetId="15">#REF!</definedName>
    <definedName name="sond" localSheetId="7">#REF!</definedName>
    <definedName name="sond">#REF!</definedName>
    <definedName name="sondf" localSheetId="12">#REF!</definedName>
    <definedName name="sondf" localSheetId="8">#REF!</definedName>
    <definedName name="sondf" localSheetId="11">#REF!</definedName>
    <definedName name="sondf" localSheetId="9">#REF!</definedName>
    <definedName name="sondf" localSheetId="18">#REF!</definedName>
    <definedName name="sondf" localSheetId="15">#REF!</definedName>
    <definedName name="sondf" localSheetId="7">#REF!</definedName>
    <definedName name="sondf">#REF!</definedName>
    <definedName name="SONTF" localSheetId="12">#REF!</definedName>
    <definedName name="SONTF" localSheetId="8">#REF!</definedName>
    <definedName name="SONTF" localSheetId="11">#REF!</definedName>
    <definedName name="SONTF" localSheetId="9">#REF!</definedName>
    <definedName name="SONTF" localSheetId="18">#REF!</definedName>
    <definedName name="SONTF" localSheetId="15">#REF!</definedName>
    <definedName name="SONTF" localSheetId="7">#REF!</definedName>
    <definedName name="SONTF">#REF!</definedName>
    <definedName name="SP1Branch" localSheetId="12">#REF!</definedName>
    <definedName name="SP1Branch" localSheetId="0">#REF!</definedName>
    <definedName name="SP1Branch" localSheetId="1">#REF!</definedName>
    <definedName name="SP1Branch" localSheetId="8">#REF!</definedName>
    <definedName name="SP1Branch" localSheetId="11">#REF!</definedName>
    <definedName name="SP1Branch" localSheetId="9">#REF!</definedName>
    <definedName name="SP1Branch" localSheetId="18">#REF!</definedName>
    <definedName name="SP1Branch" localSheetId="15">#REF!</definedName>
    <definedName name="SP1Branch" localSheetId="7">#REF!</definedName>
    <definedName name="SP1Branch">#REF!</definedName>
    <definedName name="SP1Credit" localSheetId="12">#REF!</definedName>
    <definedName name="SP1Credit" localSheetId="0">#REF!</definedName>
    <definedName name="SP1Credit" localSheetId="1">#REF!</definedName>
    <definedName name="SP1Credit" localSheetId="8">#REF!</definedName>
    <definedName name="SP1Credit" localSheetId="11">#REF!</definedName>
    <definedName name="SP1Credit" localSheetId="9">#REF!</definedName>
    <definedName name="SP1Credit" localSheetId="18">#REF!</definedName>
    <definedName name="SP1Credit" localSheetId="15">#REF!</definedName>
    <definedName name="SP1Credit" localSheetId="7">#REF!</definedName>
    <definedName name="SP1Credit">#REF!</definedName>
    <definedName name="SP1Name" localSheetId="12">#REF!</definedName>
    <definedName name="SP1Name" localSheetId="0">#REF!</definedName>
    <definedName name="SP1Name" localSheetId="1">#REF!</definedName>
    <definedName name="SP1Name" localSheetId="8">#REF!</definedName>
    <definedName name="SP1Name" localSheetId="11">#REF!</definedName>
    <definedName name="SP1Name" localSheetId="9">#REF!</definedName>
    <definedName name="SP1Name" localSheetId="18">#REF!</definedName>
    <definedName name="SP1Name" localSheetId="15">#REF!</definedName>
    <definedName name="SP1Name" localSheetId="7">#REF!</definedName>
    <definedName name="SP1Name">#REF!</definedName>
    <definedName name="SP1Number" localSheetId="12">#REF!</definedName>
    <definedName name="SP1Number" localSheetId="0">#REF!</definedName>
    <definedName name="SP1Number" localSheetId="1">#REF!</definedName>
    <definedName name="SP1Number" localSheetId="8">#REF!</definedName>
    <definedName name="SP1Number" localSheetId="11">#REF!</definedName>
    <definedName name="SP1Number" localSheetId="9">#REF!</definedName>
    <definedName name="SP1Number" localSheetId="18">#REF!</definedName>
    <definedName name="SP1Number" localSheetId="15">#REF!</definedName>
    <definedName name="SP1Number" localSheetId="7">#REF!</definedName>
    <definedName name="SP1Number">#REF!</definedName>
    <definedName name="SP2Branch" localSheetId="12">#REF!</definedName>
    <definedName name="SP2Branch" localSheetId="0">#REF!</definedName>
    <definedName name="SP2Branch" localSheetId="1">#REF!</definedName>
    <definedName name="SP2Branch" localSheetId="8">#REF!</definedName>
    <definedName name="SP2Branch" localSheetId="11">#REF!</definedName>
    <definedName name="SP2Branch" localSheetId="9">#REF!</definedName>
    <definedName name="SP2Branch" localSheetId="18">#REF!</definedName>
    <definedName name="SP2Branch" localSheetId="15">#REF!</definedName>
    <definedName name="SP2Branch" localSheetId="7">#REF!</definedName>
    <definedName name="SP2Branch">#REF!</definedName>
    <definedName name="SP2Credit" localSheetId="12">#REF!</definedName>
    <definedName name="SP2Credit" localSheetId="0">#REF!</definedName>
    <definedName name="SP2Credit" localSheetId="1">#REF!</definedName>
    <definedName name="SP2Credit" localSheetId="8">#REF!</definedName>
    <definedName name="SP2Credit" localSheetId="11">#REF!</definedName>
    <definedName name="SP2Credit" localSheetId="9">#REF!</definedName>
    <definedName name="SP2Credit" localSheetId="18">#REF!</definedName>
    <definedName name="SP2Credit" localSheetId="15">#REF!</definedName>
    <definedName name="SP2Credit" localSheetId="7">#REF!</definedName>
    <definedName name="SP2Credit">#REF!</definedName>
    <definedName name="SP2Name" localSheetId="12">#REF!</definedName>
    <definedName name="SP2Name" localSheetId="0">#REF!</definedName>
    <definedName name="SP2Name" localSheetId="1">#REF!</definedName>
    <definedName name="SP2Name" localSheetId="8">#REF!</definedName>
    <definedName name="SP2Name" localSheetId="11">#REF!</definedName>
    <definedName name="SP2Name" localSheetId="9">#REF!</definedName>
    <definedName name="SP2Name" localSheetId="18">#REF!</definedName>
    <definedName name="SP2Name" localSheetId="15">#REF!</definedName>
    <definedName name="SP2Name" localSheetId="7">#REF!</definedName>
    <definedName name="SP2Name">#REF!</definedName>
    <definedName name="SP2Number" localSheetId="12">#REF!</definedName>
    <definedName name="SP2Number" localSheetId="0">#REF!</definedName>
    <definedName name="SP2Number" localSheetId="1">#REF!</definedName>
    <definedName name="SP2Number" localSheetId="8">#REF!</definedName>
    <definedName name="SP2Number" localSheetId="11">#REF!</definedName>
    <definedName name="SP2Number" localSheetId="9">#REF!</definedName>
    <definedName name="SP2Number" localSheetId="18">#REF!</definedName>
    <definedName name="SP2Number" localSheetId="15">#REF!</definedName>
    <definedName name="SP2Number" localSheetId="7">#REF!</definedName>
    <definedName name="SP2Number">#REF!</definedName>
    <definedName name="SP3Branch" localSheetId="12">#REF!</definedName>
    <definedName name="SP3Branch" localSheetId="0">#REF!</definedName>
    <definedName name="SP3Branch" localSheetId="1">#REF!</definedName>
    <definedName name="SP3Branch" localSheetId="8">#REF!</definedName>
    <definedName name="SP3Branch" localSheetId="11">#REF!</definedName>
    <definedName name="SP3Branch" localSheetId="9">#REF!</definedName>
    <definedName name="SP3Branch" localSheetId="18">#REF!</definedName>
    <definedName name="SP3Branch" localSheetId="15">#REF!</definedName>
    <definedName name="SP3Branch" localSheetId="7">#REF!</definedName>
    <definedName name="SP3Branch">#REF!</definedName>
    <definedName name="SP3Credit" localSheetId="12">#REF!</definedName>
    <definedName name="SP3Credit" localSheetId="0">#REF!</definedName>
    <definedName name="SP3Credit" localSheetId="1">#REF!</definedName>
    <definedName name="SP3Credit" localSheetId="8">#REF!</definedName>
    <definedName name="SP3Credit" localSheetId="11">#REF!</definedName>
    <definedName name="SP3Credit" localSheetId="9">#REF!</definedName>
    <definedName name="SP3Credit" localSheetId="18">#REF!</definedName>
    <definedName name="SP3Credit" localSheetId="15">#REF!</definedName>
    <definedName name="SP3Credit" localSheetId="7">#REF!</definedName>
    <definedName name="SP3Credit">#REF!</definedName>
    <definedName name="SP3Name" localSheetId="12">#REF!</definedName>
    <definedName name="SP3Name" localSheetId="0">#REF!</definedName>
    <definedName name="SP3Name" localSheetId="1">#REF!</definedName>
    <definedName name="SP3Name" localSheetId="8">#REF!</definedName>
    <definedName name="SP3Name" localSheetId="11">#REF!</definedName>
    <definedName name="SP3Name" localSheetId="9">#REF!</definedName>
    <definedName name="SP3Name" localSheetId="18">#REF!</definedName>
    <definedName name="SP3Name" localSheetId="15">#REF!</definedName>
    <definedName name="SP3Name" localSheetId="7">#REF!</definedName>
    <definedName name="SP3Name">#REF!</definedName>
    <definedName name="SP3Number" localSheetId="12">#REF!</definedName>
    <definedName name="SP3Number" localSheetId="0">#REF!</definedName>
    <definedName name="SP3Number" localSheetId="1">#REF!</definedName>
    <definedName name="SP3Number" localSheetId="8">#REF!</definedName>
    <definedName name="SP3Number" localSheetId="11">#REF!</definedName>
    <definedName name="SP3Number" localSheetId="9">#REF!</definedName>
    <definedName name="SP3Number" localSheetId="18">#REF!</definedName>
    <definedName name="SP3Number" localSheetId="15">#REF!</definedName>
    <definedName name="SP3Number" localSheetId="7">#REF!</definedName>
    <definedName name="SP3Number">#REF!</definedName>
    <definedName name="SP4Branch" localSheetId="12">#REF!</definedName>
    <definedName name="SP4Branch" localSheetId="0">#REF!</definedName>
    <definedName name="SP4Branch" localSheetId="1">#REF!</definedName>
    <definedName name="SP4Branch" localSheetId="8">#REF!</definedName>
    <definedName name="SP4Branch" localSheetId="11">#REF!</definedName>
    <definedName name="SP4Branch" localSheetId="9">#REF!</definedName>
    <definedName name="SP4Branch" localSheetId="18">#REF!</definedName>
    <definedName name="SP4Branch" localSheetId="15">#REF!</definedName>
    <definedName name="SP4Branch" localSheetId="7">#REF!</definedName>
    <definedName name="SP4Branch">#REF!</definedName>
    <definedName name="SP4Credit" localSheetId="12">#REF!</definedName>
    <definedName name="SP4Credit" localSheetId="0">#REF!</definedName>
    <definedName name="SP4Credit" localSheetId="1">#REF!</definedName>
    <definedName name="SP4Credit" localSheetId="8">#REF!</definedName>
    <definedName name="SP4Credit" localSheetId="11">#REF!</definedName>
    <definedName name="SP4Credit" localSheetId="9">#REF!</definedName>
    <definedName name="SP4Credit" localSheetId="18">#REF!</definedName>
    <definedName name="SP4Credit" localSheetId="15">#REF!</definedName>
    <definedName name="SP4Credit" localSheetId="7">#REF!</definedName>
    <definedName name="SP4Credit">#REF!</definedName>
    <definedName name="SP4Name" localSheetId="12">#REF!</definedName>
    <definedName name="SP4Name" localSheetId="0">#REF!</definedName>
    <definedName name="SP4Name" localSheetId="1">#REF!</definedName>
    <definedName name="SP4Name" localSheetId="8">#REF!</definedName>
    <definedName name="SP4Name" localSheetId="11">#REF!</definedName>
    <definedName name="SP4Name" localSheetId="9">#REF!</definedName>
    <definedName name="SP4Name" localSheetId="18">#REF!</definedName>
    <definedName name="SP4Name" localSheetId="15">#REF!</definedName>
    <definedName name="SP4Name" localSheetId="7">#REF!</definedName>
    <definedName name="SP4Name">#REF!</definedName>
    <definedName name="SP4Number" localSheetId="12">#REF!</definedName>
    <definedName name="SP4Number" localSheetId="0">#REF!</definedName>
    <definedName name="SP4Number" localSheetId="1">#REF!</definedName>
    <definedName name="SP4Number" localSheetId="8">#REF!</definedName>
    <definedName name="SP4Number" localSheetId="11">#REF!</definedName>
    <definedName name="SP4Number" localSheetId="9">#REF!</definedName>
    <definedName name="SP4Number" localSheetId="18">#REF!</definedName>
    <definedName name="SP4Number" localSheetId="15">#REF!</definedName>
    <definedName name="SP4Number" localSheetId="7">#REF!</definedName>
    <definedName name="SP4Number">#REF!</definedName>
    <definedName name="SP5Branch" localSheetId="12">#REF!</definedName>
    <definedName name="SP5Branch" localSheetId="0">#REF!</definedName>
    <definedName name="SP5Branch" localSheetId="1">#REF!</definedName>
    <definedName name="SP5Branch" localSheetId="8">#REF!</definedName>
    <definedName name="SP5Branch" localSheetId="11">#REF!</definedName>
    <definedName name="SP5Branch" localSheetId="9">#REF!</definedName>
    <definedName name="SP5Branch" localSheetId="18">#REF!</definedName>
    <definedName name="SP5Branch" localSheetId="15">#REF!</definedName>
    <definedName name="SP5Branch" localSheetId="7">#REF!</definedName>
    <definedName name="SP5Branch">#REF!</definedName>
    <definedName name="SP5Credit" localSheetId="12">#REF!</definedName>
    <definedName name="SP5Credit" localSheetId="0">#REF!</definedName>
    <definedName name="SP5Credit" localSheetId="1">#REF!</definedName>
    <definedName name="SP5Credit" localSheetId="8">#REF!</definedName>
    <definedName name="SP5Credit" localSheetId="11">#REF!</definedName>
    <definedName name="SP5Credit" localSheetId="9">#REF!</definedName>
    <definedName name="SP5Credit" localSheetId="18">#REF!</definedName>
    <definedName name="SP5Credit" localSheetId="15">#REF!</definedName>
    <definedName name="SP5Credit" localSheetId="7">#REF!</definedName>
    <definedName name="SP5Credit">#REF!</definedName>
    <definedName name="SP5Name" localSheetId="12">#REF!</definedName>
    <definedName name="SP5Name" localSheetId="0">#REF!</definedName>
    <definedName name="SP5Name" localSheetId="1">#REF!</definedName>
    <definedName name="SP5Name" localSheetId="8">#REF!</definedName>
    <definedName name="SP5Name" localSheetId="11">#REF!</definedName>
    <definedName name="SP5Name" localSheetId="9">#REF!</definedName>
    <definedName name="SP5Name" localSheetId="18">#REF!</definedName>
    <definedName name="SP5Name" localSheetId="15">#REF!</definedName>
    <definedName name="SP5Name" localSheetId="7">#REF!</definedName>
    <definedName name="SP5Name">#REF!</definedName>
    <definedName name="SP5Number" localSheetId="12">#REF!</definedName>
    <definedName name="SP5Number" localSheetId="0">#REF!</definedName>
    <definedName name="SP5Number" localSheetId="1">#REF!</definedName>
    <definedName name="SP5Number" localSheetId="8">#REF!</definedName>
    <definedName name="SP5Number" localSheetId="11">#REF!</definedName>
    <definedName name="SP5Number" localSheetId="9">#REF!</definedName>
    <definedName name="SP5Number" localSheetId="18">#REF!</definedName>
    <definedName name="SP5Number" localSheetId="15">#REF!</definedName>
    <definedName name="SP5Number" localSheetId="7">#REF!</definedName>
    <definedName name="SP5Number">#REF!</definedName>
    <definedName name="spa" localSheetId="12">#REF!</definedName>
    <definedName name="spa" localSheetId="0">#REF!</definedName>
    <definedName name="spa" localSheetId="1">#REF!</definedName>
    <definedName name="spa" localSheetId="8">#REF!</definedName>
    <definedName name="spa" localSheetId="11">#REF!</definedName>
    <definedName name="spa" localSheetId="9">#REF!</definedName>
    <definedName name="spa" localSheetId="18">#REF!</definedName>
    <definedName name="spa" localSheetId="15">#REF!</definedName>
    <definedName name="spa" localSheetId="7">#REF!</definedName>
    <definedName name="spa">#REF!</definedName>
    <definedName name="SpecClass" localSheetId="12">#REF!</definedName>
    <definedName name="SpecClass" localSheetId="0">#REF!</definedName>
    <definedName name="SpecClass" localSheetId="1">#REF!</definedName>
    <definedName name="SpecClass" localSheetId="8">#REF!</definedName>
    <definedName name="SpecClass" localSheetId="11">#REF!</definedName>
    <definedName name="SpecClass" localSheetId="9">#REF!</definedName>
    <definedName name="SpecClass" localSheetId="18">#REF!</definedName>
    <definedName name="SpecClass" localSheetId="15">#REF!</definedName>
    <definedName name="SpecClass" localSheetId="7">#REF!</definedName>
    <definedName name="SpecClass">#REF!</definedName>
    <definedName name="SpecClass_Text" localSheetId="12">#REF!</definedName>
    <definedName name="SpecClass_Text" localSheetId="0">#REF!</definedName>
    <definedName name="SpecClass_Text" localSheetId="1">#REF!</definedName>
    <definedName name="SpecClass_Text" localSheetId="8">#REF!</definedName>
    <definedName name="SpecClass_Text" localSheetId="11">#REF!</definedName>
    <definedName name="SpecClass_Text" localSheetId="9">#REF!</definedName>
    <definedName name="SpecClass_Text" localSheetId="18">#REF!</definedName>
    <definedName name="SpecClass_Text" localSheetId="15">#REF!</definedName>
    <definedName name="SpecClass_Text" localSheetId="7">#REF!</definedName>
    <definedName name="SpecClass_Text">#REF!</definedName>
    <definedName name="SpecEnv1" localSheetId="12">#REF!</definedName>
    <definedName name="SpecEnv1" localSheetId="0">#REF!</definedName>
    <definedName name="SpecEnv1" localSheetId="1">#REF!</definedName>
    <definedName name="SpecEnv1" localSheetId="8">#REF!</definedName>
    <definedName name="SpecEnv1" localSheetId="11">#REF!</definedName>
    <definedName name="SpecEnv1" localSheetId="9">#REF!</definedName>
    <definedName name="SpecEnv1" localSheetId="18">#REF!</definedName>
    <definedName name="SpecEnv1" localSheetId="15">#REF!</definedName>
    <definedName name="SpecEnv1" localSheetId="7">#REF!</definedName>
    <definedName name="SpecEnv1">#REF!</definedName>
    <definedName name="SpecEnv1_Text" localSheetId="12">#REF!</definedName>
    <definedName name="SpecEnv1_Text" localSheetId="0">#REF!</definedName>
    <definedName name="SpecEnv1_Text" localSheetId="1">#REF!</definedName>
    <definedName name="SpecEnv1_Text" localSheetId="8">#REF!</definedName>
    <definedName name="SpecEnv1_Text" localSheetId="11">#REF!</definedName>
    <definedName name="SpecEnv1_Text" localSheetId="9">#REF!</definedName>
    <definedName name="SpecEnv1_Text" localSheetId="18">#REF!</definedName>
    <definedName name="SpecEnv1_Text" localSheetId="15">#REF!</definedName>
    <definedName name="SpecEnv1_Text" localSheetId="7">#REF!</definedName>
    <definedName name="SpecEnv1_Text">#REF!</definedName>
    <definedName name="SpecEnv2" localSheetId="12">#REF!</definedName>
    <definedName name="SpecEnv2" localSheetId="0">#REF!</definedName>
    <definedName name="SpecEnv2" localSheetId="1">#REF!</definedName>
    <definedName name="SpecEnv2" localSheetId="8">#REF!</definedName>
    <definedName name="SpecEnv2" localSheetId="11">#REF!</definedName>
    <definedName name="SpecEnv2" localSheetId="9">#REF!</definedName>
    <definedName name="SpecEnv2" localSheetId="18">#REF!</definedName>
    <definedName name="SpecEnv2" localSheetId="15">#REF!</definedName>
    <definedName name="SpecEnv2" localSheetId="7">#REF!</definedName>
    <definedName name="SpecEnv2">#REF!</definedName>
    <definedName name="SpecEnv2_Text" localSheetId="12">#REF!</definedName>
    <definedName name="SpecEnv2_Text" localSheetId="0">#REF!</definedName>
    <definedName name="SpecEnv2_Text" localSheetId="1">#REF!</definedName>
    <definedName name="SpecEnv2_Text" localSheetId="8">#REF!</definedName>
    <definedName name="SpecEnv2_Text" localSheetId="11">#REF!</definedName>
    <definedName name="SpecEnv2_Text" localSheetId="9">#REF!</definedName>
    <definedName name="SpecEnv2_Text" localSheetId="18">#REF!</definedName>
    <definedName name="SpecEnv2_Text" localSheetId="15">#REF!</definedName>
    <definedName name="SpecEnv2_Text" localSheetId="7">#REF!</definedName>
    <definedName name="SpecEnv2_Text">#REF!</definedName>
    <definedName name="SPEED" localSheetId="12">#REF!</definedName>
    <definedName name="SPEED" localSheetId="8">#REF!</definedName>
    <definedName name="SPEED" localSheetId="11">#REF!</definedName>
    <definedName name="SPEED" localSheetId="9">#REF!</definedName>
    <definedName name="SPEED" localSheetId="18">#REF!</definedName>
    <definedName name="SPEED" localSheetId="15">#REF!</definedName>
    <definedName name="SPEED" localSheetId="7">#REF!</definedName>
    <definedName name="SPEED">#REF!</definedName>
    <definedName name="SPEED_TABLE" localSheetId="12">#REF!</definedName>
    <definedName name="SPEED_TABLE" localSheetId="8">#REF!</definedName>
    <definedName name="SPEED_TABLE" localSheetId="11">#REF!</definedName>
    <definedName name="SPEED_TABLE" localSheetId="9">#REF!</definedName>
    <definedName name="SPEED_TABLE" localSheetId="18">#REF!</definedName>
    <definedName name="SPEED_TABLE" localSheetId="15">#REF!</definedName>
    <definedName name="SPEED_TABLE" localSheetId="7">#REF!</definedName>
    <definedName name="SPEED_TABLE">#REF!</definedName>
    <definedName name="SPOT1" localSheetId="12">#REF!</definedName>
    <definedName name="SPOT1" localSheetId="8">#REF!</definedName>
    <definedName name="SPOT1" localSheetId="11">#REF!</definedName>
    <definedName name="SPOT1" localSheetId="9">#REF!</definedName>
    <definedName name="SPOT1" localSheetId="18">#REF!</definedName>
    <definedName name="SPOT1" localSheetId="15">#REF!</definedName>
    <definedName name="SPOT1" localSheetId="7">#REF!</definedName>
    <definedName name="SPOT1">#REF!</definedName>
    <definedName name="SPR" localSheetId="12">#REF!</definedName>
    <definedName name="SPR" localSheetId="8">#REF!</definedName>
    <definedName name="SPR" localSheetId="11">#REF!</definedName>
    <definedName name="SPR" localSheetId="9">#REF!</definedName>
    <definedName name="SPR" localSheetId="18">#REF!</definedName>
    <definedName name="SPR" localSheetId="15">#REF!</definedName>
    <definedName name="SPR" localSheetId="7">#REF!</definedName>
    <definedName name="SPR">#REF!</definedName>
    <definedName name="spray" localSheetId="12">#REF!</definedName>
    <definedName name="spray" localSheetId="8">#REF!</definedName>
    <definedName name="spray" localSheetId="11">#REF!</definedName>
    <definedName name="spray" localSheetId="9">#REF!</definedName>
    <definedName name="spray" localSheetId="18">#REF!</definedName>
    <definedName name="spray" localSheetId="15">#REF!</definedName>
    <definedName name="spray" localSheetId="7">#REF!</definedName>
    <definedName name="spray">#REF!</definedName>
    <definedName name="SQRT__1___0.6___1.0" localSheetId="12">#REF!</definedName>
    <definedName name="SQRT__1___0.6___1.0" localSheetId="8">#REF!</definedName>
    <definedName name="SQRT__1___0.6___1.0" localSheetId="11">#REF!</definedName>
    <definedName name="SQRT__1___0.6___1.0" localSheetId="9">#REF!</definedName>
    <definedName name="SQRT__1___0.6___1.0" localSheetId="18">#REF!</definedName>
    <definedName name="SQRT__1___0.6___1.0" localSheetId="15">#REF!</definedName>
    <definedName name="SQRT__1___0.6___1.0" localSheetId="7">#REF!</definedName>
    <definedName name="SQRT__1___0.6___1.0">#REF!</definedName>
    <definedName name="SQRT__1___0_6___1_0" localSheetId="12">#REF!</definedName>
    <definedName name="SQRT__1___0_6___1_0" localSheetId="8">#REF!</definedName>
    <definedName name="SQRT__1___0_6___1_0" localSheetId="11">#REF!</definedName>
    <definedName name="SQRT__1___0_6___1_0" localSheetId="9">#REF!</definedName>
    <definedName name="SQRT__1___0_6___1_0" localSheetId="18">#REF!</definedName>
    <definedName name="SQRT__1___0_6___1_0" localSheetId="15">#REF!</definedName>
    <definedName name="SQRT__1___0_6___1_0" localSheetId="7">#REF!</definedName>
    <definedName name="SQRT__1___0_6___1_0">#REF!</definedName>
    <definedName name="SQRT__1___0_6___1_0___0" localSheetId="12">#REF!</definedName>
    <definedName name="SQRT__1___0_6___1_0___0" localSheetId="8">#REF!</definedName>
    <definedName name="SQRT__1___0_6___1_0___0" localSheetId="11">#REF!</definedName>
    <definedName name="SQRT__1___0_6___1_0___0" localSheetId="9">#REF!</definedName>
    <definedName name="SQRT__1___0_6___1_0___0" localSheetId="18">#REF!</definedName>
    <definedName name="SQRT__1___0_6___1_0___0" localSheetId="15">#REF!</definedName>
    <definedName name="SQRT__1___0_6___1_0___0" localSheetId="7">#REF!</definedName>
    <definedName name="SQRT__1___0_6___1_0___0">#REF!</definedName>
    <definedName name="SQRT__1___0_6___1_0___13" localSheetId="12">#REF!</definedName>
    <definedName name="SQRT__1___0_6___1_0___13" localSheetId="8">#REF!</definedName>
    <definedName name="SQRT__1___0_6___1_0___13" localSheetId="11">#REF!</definedName>
    <definedName name="SQRT__1___0_6___1_0___13" localSheetId="9">#REF!</definedName>
    <definedName name="SQRT__1___0_6___1_0___13" localSheetId="18">#REF!</definedName>
    <definedName name="SQRT__1___0_6___1_0___13" localSheetId="15">#REF!</definedName>
    <definedName name="SQRT__1___0_6___1_0___13" localSheetId="7">#REF!</definedName>
    <definedName name="SQRT__1___0_6___1_0___13">#REF!</definedName>
    <definedName name="SRB" localSheetId="12" hidden="1">{"'Sheet1'!$A$4386:$N$4591"}</definedName>
    <definedName name="SRB" localSheetId="6" hidden="1">{"'Sheet1'!$A$4386:$N$4591"}</definedName>
    <definedName name="SRB" localSheetId="5" hidden="1">{"'Sheet1'!$A$4386:$N$4591"}</definedName>
    <definedName name="SRB" localSheetId="8" hidden="1">{"'Sheet1'!$A$4386:$N$4591"}</definedName>
    <definedName name="SRB" localSheetId="11" hidden="1">{"'Sheet1'!$A$4386:$N$4591"}</definedName>
    <definedName name="SRB" localSheetId="9" hidden="1">{"'Sheet1'!$A$4386:$N$4591"}</definedName>
    <definedName name="SRB" localSheetId="13" hidden="1">{"'Sheet1'!$A$4386:$N$4591"}</definedName>
    <definedName name="SRB" localSheetId="18" hidden="1">{"'Sheet1'!$A$4386:$N$4591"}</definedName>
    <definedName name="SRB" localSheetId="15" hidden="1">{"'Sheet1'!$A$4386:$N$4591"}</definedName>
    <definedName name="SRB" localSheetId="7" hidden="1">{"'Sheet1'!$A$4386:$N$4591"}</definedName>
    <definedName name="SRB" hidden="1">{"'Sheet1'!$A$4386:$N$4591"}</definedName>
    <definedName name="srh">#REF!</definedName>
    <definedName name="srp" localSheetId="12">#REF!</definedName>
    <definedName name="srp" localSheetId="8">#REF!</definedName>
    <definedName name="srp" localSheetId="11">#REF!</definedName>
    <definedName name="srp" localSheetId="9">#REF!</definedName>
    <definedName name="srp" localSheetId="18">#REF!</definedName>
    <definedName name="srp" localSheetId="15">#REF!</definedName>
    <definedName name="srp" localSheetId="7">#REF!</definedName>
    <definedName name="srp">#REF!</definedName>
    <definedName name="SrvcCode1" localSheetId="12">#REF!</definedName>
    <definedName name="SrvcCode1" localSheetId="0">#REF!</definedName>
    <definedName name="SrvcCode1" localSheetId="1">#REF!</definedName>
    <definedName name="SrvcCode1" localSheetId="8">#REF!</definedName>
    <definedName name="SrvcCode1" localSheetId="11">#REF!</definedName>
    <definedName name="SrvcCode1" localSheetId="9">#REF!</definedName>
    <definedName name="SrvcCode1" localSheetId="18">#REF!</definedName>
    <definedName name="SrvcCode1" localSheetId="15">#REF!</definedName>
    <definedName name="SrvcCode1" localSheetId="7">#REF!</definedName>
    <definedName name="SrvcCode1">#REF!</definedName>
    <definedName name="SrvcCode1_Text" localSheetId="12">#REF!</definedName>
    <definedName name="SrvcCode1_Text" localSheetId="0">#REF!</definedName>
    <definedName name="SrvcCode1_Text" localSheetId="1">#REF!</definedName>
    <definedName name="SrvcCode1_Text" localSheetId="8">#REF!</definedName>
    <definedName name="SrvcCode1_Text" localSheetId="11">#REF!</definedName>
    <definedName name="SrvcCode1_Text" localSheetId="9">#REF!</definedName>
    <definedName name="SrvcCode1_Text" localSheetId="18">#REF!</definedName>
    <definedName name="SrvcCode1_Text" localSheetId="15">#REF!</definedName>
    <definedName name="SrvcCode1_Text" localSheetId="7">#REF!</definedName>
    <definedName name="SrvcCode1_Text">#REF!</definedName>
    <definedName name="SrvcCode2" localSheetId="12">#REF!</definedName>
    <definedName name="SrvcCode2" localSheetId="0">#REF!</definedName>
    <definedName name="SrvcCode2" localSheetId="1">#REF!</definedName>
    <definedName name="SrvcCode2" localSheetId="8">#REF!</definedName>
    <definedName name="SrvcCode2" localSheetId="11">#REF!</definedName>
    <definedName name="SrvcCode2" localSheetId="9">#REF!</definedName>
    <definedName name="SrvcCode2" localSheetId="18">#REF!</definedName>
    <definedName name="SrvcCode2" localSheetId="15">#REF!</definedName>
    <definedName name="SrvcCode2" localSheetId="7">#REF!</definedName>
    <definedName name="SrvcCode2">#REF!</definedName>
    <definedName name="SrvcCode2_Text" localSheetId="12">#REF!</definedName>
    <definedName name="SrvcCode2_Text" localSheetId="0">#REF!</definedName>
    <definedName name="SrvcCode2_Text" localSheetId="1">#REF!</definedName>
    <definedName name="SrvcCode2_Text" localSheetId="8">#REF!</definedName>
    <definedName name="SrvcCode2_Text" localSheetId="11">#REF!</definedName>
    <definedName name="SrvcCode2_Text" localSheetId="9">#REF!</definedName>
    <definedName name="SrvcCode2_Text" localSheetId="18">#REF!</definedName>
    <definedName name="SrvcCode2_Text" localSheetId="15">#REF!</definedName>
    <definedName name="SrvcCode2_Text" localSheetId="7">#REF!</definedName>
    <definedName name="SrvcCode2_Text">#REF!</definedName>
    <definedName name="SrvcCode3" localSheetId="12">#REF!</definedName>
    <definedName name="SrvcCode3" localSheetId="0">#REF!</definedName>
    <definedName name="SrvcCode3" localSheetId="1">#REF!</definedName>
    <definedName name="SrvcCode3" localSheetId="8">#REF!</definedName>
    <definedName name="SrvcCode3" localSheetId="11">#REF!</definedName>
    <definedName name="SrvcCode3" localSheetId="9">#REF!</definedName>
    <definedName name="SrvcCode3" localSheetId="18">#REF!</definedName>
    <definedName name="SrvcCode3" localSheetId="15">#REF!</definedName>
    <definedName name="SrvcCode3" localSheetId="7">#REF!</definedName>
    <definedName name="SrvcCode3">#REF!</definedName>
    <definedName name="SrvcCode3_Text" localSheetId="12">#REF!</definedName>
    <definedName name="SrvcCode3_Text" localSheetId="0">#REF!</definedName>
    <definedName name="SrvcCode3_Text" localSheetId="1">#REF!</definedName>
    <definedName name="SrvcCode3_Text" localSheetId="8">#REF!</definedName>
    <definedName name="SrvcCode3_Text" localSheetId="11">#REF!</definedName>
    <definedName name="SrvcCode3_Text" localSheetId="9">#REF!</definedName>
    <definedName name="SrvcCode3_Text" localSheetId="18">#REF!</definedName>
    <definedName name="SrvcCode3_Text" localSheetId="15">#REF!</definedName>
    <definedName name="SrvcCode3_Text" localSheetId="7">#REF!</definedName>
    <definedName name="SrvcCode3_Text">#REF!</definedName>
    <definedName name="SrvcCode4" localSheetId="12">#REF!</definedName>
    <definedName name="SrvcCode4" localSheetId="0">#REF!</definedName>
    <definedName name="SrvcCode4" localSheetId="1">#REF!</definedName>
    <definedName name="SrvcCode4" localSheetId="8">#REF!</definedName>
    <definedName name="SrvcCode4" localSheetId="11">#REF!</definedName>
    <definedName name="SrvcCode4" localSheetId="9">#REF!</definedName>
    <definedName name="SrvcCode4" localSheetId="18">#REF!</definedName>
    <definedName name="SrvcCode4" localSheetId="15">#REF!</definedName>
    <definedName name="SrvcCode4" localSheetId="7">#REF!</definedName>
    <definedName name="SrvcCode4">#REF!</definedName>
    <definedName name="SrvcCode4_Text" localSheetId="12">#REF!</definedName>
    <definedName name="SrvcCode4_Text" localSheetId="0">#REF!</definedName>
    <definedName name="SrvcCode4_Text" localSheetId="1">#REF!</definedName>
    <definedName name="SrvcCode4_Text" localSheetId="8">#REF!</definedName>
    <definedName name="SrvcCode4_Text" localSheetId="11">#REF!</definedName>
    <definedName name="SrvcCode4_Text" localSheetId="9">#REF!</definedName>
    <definedName name="SrvcCode4_Text" localSheetId="18">#REF!</definedName>
    <definedName name="SrvcCode4_Text" localSheetId="15">#REF!</definedName>
    <definedName name="SrvcCode4_Text" localSheetId="7">#REF!</definedName>
    <definedName name="SrvcCode4_Text">#REF!</definedName>
    <definedName name="SrvcCode5" localSheetId="12">#REF!</definedName>
    <definedName name="SrvcCode5" localSheetId="0">#REF!</definedName>
    <definedName name="SrvcCode5" localSheetId="1">#REF!</definedName>
    <definedName name="SrvcCode5" localSheetId="8">#REF!</definedName>
    <definedName name="SrvcCode5" localSheetId="11">#REF!</definedName>
    <definedName name="SrvcCode5" localSheetId="9">#REF!</definedName>
    <definedName name="SrvcCode5" localSheetId="18">#REF!</definedName>
    <definedName name="SrvcCode5" localSheetId="15">#REF!</definedName>
    <definedName name="SrvcCode5" localSheetId="7">#REF!</definedName>
    <definedName name="SrvcCode5">#REF!</definedName>
    <definedName name="SrvcCode5_Text" localSheetId="12">#REF!</definedName>
    <definedName name="SrvcCode5_Text" localSheetId="0">#REF!</definedName>
    <definedName name="SrvcCode5_Text" localSheetId="1">#REF!</definedName>
    <definedName name="SrvcCode5_Text" localSheetId="8">#REF!</definedName>
    <definedName name="SrvcCode5_Text" localSheetId="11">#REF!</definedName>
    <definedName name="SrvcCode5_Text" localSheetId="9">#REF!</definedName>
    <definedName name="SrvcCode5_Text" localSheetId="18">#REF!</definedName>
    <definedName name="SrvcCode5_Text" localSheetId="15">#REF!</definedName>
    <definedName name="SrvcCode5_Text" localSheetId="7">#REF!</definedName>
    <definedName name="SrvcCode5_Text">#REF!</definedName>
    <definedName name="srvf" localSheetId="12">#REF!</definedName>
    <definedName name="srvf" localSheetId="8">#REF!</definedName>
    <definedName name="srvf" localSheetId="11">#REF!</definedName>
    <definedName name="srvf" localSheetId="9">#REF!</definedName>
    <definedName name="srvf" localSheetId="18">#REF!</definedName>
    <definedName name="srvf" localSheetId="15">#REF!</definedName>
    <definedName name="srvf" localSheetId="7">#REF!</definedName>
    <definedName name="srvf">#REF!</definedName>
    <definedName name="SS" comment="T12 IS USED IN MID MAIN LINKS" localSheetId="12">#REF!</definedName>
    <definedName name="SS" comment="T12 IS USED IN MID MAIN LINKS" localSheetId="8">#REF!</definedName>
    <definedName name="SS" comment="T12 IS USED IN MID MAIN LINKS" localSheetId="11">#REF!</definedName>
    <definedName name="SS" comment="T12 IS USED IN MID MAIN LINKS" localSheetId="9">#REF!</definedName>
    <definedName name="SS" comment="T12 IS USED IN MID MAIN LINKS" localSheetId="18">#REF!</definedName>
    <definedName name="SS" comment="T12 IS USED IN MID MAIN LINKS" localSheetId="15">#REF!</definedName>
    <definedName name="SS" comment="T12 IS USED IN MID MAIN LINKS" localSheetId="7">#REF!</definedName>
    <definedName name="SS" comment="T12 IS USED IN MID MAIN LINKS">#REF!</definedName>
    <definedName name="ssd" localSheetId="12">#REF!</definedName>
    <definedName name="ssd" localSheetId="8">#REF!</definedName>
    <definedName name="ssd" localSheetId="11">#REF!</definedName>
    <definedName name="ssd" localSheetId="9">#REF!</definedName>
    <definedName name="ssd" localSheetId="18">#REF!</definedName>
    <definedName name="ssd" localSheetId="15">#REF!</definedName>
    <definedName name="ssd" localSheetId="7">#REF!</definedName>
    <definedName name="ssd">#REF!</definedName>
    <definedName name="Ssec1" localSheetId="12">#REF!</definedName>
    <definedName name="Ssec1" localSheetId="0">#REF!</definedName>
    <definedName name="Ssec1" localSheetId="1">#REF!</definedName>
    <definedName name="Ssec1" localSheetId="8">#REF!</definedName>
    <definedName name="Ssec1" localSheetId="11">#REF!</definedName>
    <definedName name="Ssec1" localSheetId="9">#REF!</definedName>
    <definedName name="Ssec1" localSheetId="18">#REF!</definedName>
    <definedName name="Ssec1" localSheetId="15">#REF!</definedName>
    <definedName name="Ssec1" localSheetId="7">#REF!</definedName>
    <definedName name="Ssec1">#REF!</definedName>
    <definedName name="ssec12" localSheetId="12">#REF!</definedName>
    <definedName name="ssec12" localSheetId="0">#REF!</definedName>
    <definedName name="ssec12" localSheetId="1">#REF!</definedName>
    <definedName name="ssec12" localSheetId="8">#REF!</definedName>
    <definedName name="ssec12" localSheetId="11">#REF!</definedName>
    <definedName name="ssec12" localSheetId="9">#REF!</definedName>
    <definedName name="ssec12" localSheetId="18">#REF!</definedName>
    <definedName name="ssec12" localSheetId="15">#REF!</definedName>
    <definedName name="ssec12" localSheetId="7">#REF!</definedName>
    <definedName name="ssec12">#REF!</definedName>
    <definedName name="SSEC13" localSheetId="12">#REF!</definedName>
    <definedName name="SSEC13" localSheetId="0">#REF!</definedName>
    <definedName name="SSEC13" localSheetId="1">#REF!</definedName>
    <definedName name="SSEC13" localSheetId="8">#REF!</definedName>
    <definedName name="SSEC13" localSheetId="11">#REF!</definedName>
    <definedName name="SSEC13" localSheetId="9">#REF!</definedName>
    <definedName name="SSEC13" localSheetId="18">#REF!</definedName>
    <definedName name="SSEC13" localSheetId="15">#REF!</definedName>
    <definedName name="SSEC13" localSheetId="7">#REF!</definedName>
    <definedName name="SSEC13">#REF!</definedName>
    <definedName name="Ssec2" localSheetId="12">#REF!</definedName>
    <definedName name="Ssec2" localSheetId="0">#REF!</definedName>
    <definedName name="Ssec2" localSheetId="1">#REF!</definedName>
    <definedName name="Ssec2" localSheetId="8">#REF!</definedName>
    <definedName name="Ssec2" localSheetId="11">#REF!</definedName>
    <definedName name="Ssec2" localSheetId="9">#REF!</definedName>
    <definedName name="Ssec2" localSheetId="18">#REF!</definedName>
    <definedName name="Ssec2" localSheetId="15">#REF!</definedName>
    <definedName name="Ssec2" localSheetId="7">#REF!</definedName>
    <definedName name="Ssec2">#REF!</definedName>
    <definedName name="ssec22" localSheetId="12">#REF!</definedName>
    <definedName name="ssec22" localSheetId="0">#REF!</definedName>
    <definedName name="ssec22" localSheetId="1">#REF!</definedName>
    <definedName name="ssec22" localSheetId="8">#REF!</definedName>
    <definedName name="ssec22" localSheetId="11">#REF!</definedName>
    <definedName name="ssec22" localSheetId="9">#REF!</definedName>
    <definedName name="ssec22" localSheetId="18">#REF!</definedName>
    <definedName name="ssec22" localSheetId="15">#REF!</definedName>
    <definedName name="ssec22" localSheetId="7">#REF!</definedName>
    <definedName name="ssec22">#REF!</definedName>
    <definedName name="SSEC23" localSheetId="12">#REF!</definedName>
    <definedName name="SSEC23" localSheetId="0">#REF!</definedName>
    <definedName name="SSEC23" localSheetId="1">#REF!</definedName>
    <definedName name="SSEC23" localSheetId="8">#REF!</definedName>
    <definedName name="SSEC23" localSheetId="11">#REF!</definedName>
    <definedName name="SSEC23" localSheetId="9">#REF!</definedName>
    <definedName name="SSEC23" localSheetId="18">#REF!</definedName>
    <definedName name="SSEC23" localSheetId="15">#REF!</definedName>
    <definedName name="SSEC23" localSheetId="7">#REF!</definedName>
    <definedName name="SSEC23">#REF!</definedName>
    <definedName name="Ssec3" localSheetId="12">#REF!</definedName>
    <definedName name="Ssec3" localSheetId="0">#REF!</definedName>
    <definedName name="Ssec3" localSheetId="1">#REF!</definedName>
    <definedName name="Ssec3" localSheetId="8">#REF!</definedName>
    <definedName name="Ssec3" localSheetId="11">#REF!</definedName>
    <definedName name="Ssec3" localSheetId="9">#REF!</definedName>
    <definedName name="Ssec3" localSheetId="18">#REF!</definedName>
    <definedName name="Ssec3" localSheetId="15">#REF!</definedName>
    <definedName name="Ssec3" localSheetId="7">#REF!</definedName>
    <definedName name="Ssec3">#REF!</definedName>
    <definedName name="ssec34" localSheetId="12">#REF!</definedName>
    <definedName name="ssec34" localSheetId="0">#REF!</definedName>
    <definedName name="ssec34" localSheetId="1">#REF!</definedName>
    <definedName name="ssec34" localSheetId="8">#REF!</definedName>
    <definedName name="ssec34" localSheetId="11">#REF!</definedName>
    <definedName name="ssec34" localSheetId="9">#REF!</definedName>
    <definedName name="ssec34" localSheetId="18">#REF!</definedName>
    <definedName name="ssec34" localSheetId="15">#REF!</definedName>
    <definedName name="ssec34" localSheetId="7">#REF!</definedName>
    <definedName name="ssec34">#REF!</definedName>
    <definedName name="SSEC35" localSheetId="12">#REF!</definedName>
    <definedName name="SSEC35" localSheetId="0">#REF!</definedName>
    <definedName name="SSEC35" localSheetId="1">#REF!</definedName>
    <definedName name="SSEC35" localSheetId="8">#REF!</definedName>
    <definedName name="SSEC35" localSheetId="11">#REF!</definedName>
    <definedName name="SSEC35" localSheetId="9">#REF!</definedName>
    <definedName name="SSEC35" localSheetId="18">#REF!</definedName>
    <definedName name="SSEC35" localSheetId="15">#REF!</definedName>
    <definedName name="SSEC35" localSheetId="7">#REF!</definedName>
    <definedName name="SSEC35">#REF!</definedName>
    <definedName name="Ssec4" localSheetId="12">#REF!</definedName>
    <definedName name="Ssec4" localSheetId="0">#REF!</definedName>
    <definedName name="Ssec4" localSheetId="1">#REF!</definedName>
    <definedName name="Ssec4" localSheetId="8">#REF!</definedName>
    <definedName name="Ssec4" localSheetId="11">#REF!</definedName>
    <definedName name="Ssec4" localSheetId="9">#REF!</definedName>
    <definedName name="Ssec4" localSheetId="18">#REF!</definedName>
    <definedName name="Ssec4" localSheetId="15">#REF!</definedName>
    <definedName name="Ssec4" localSheetId="7">#REF!</definedName>
    <definedName name="Ssec4">#REF!</definedName>
    <definedName name="SSEC43" localSheetId="12">#REF!</definedName>
    <definedName name="SSEC43" localSheetId="0">#REF!</definedName>
    <definedName name="SSEC43" localSheetId="1">#REF!</definedName>
    <definedName name="SSEC43" localSheetId="8">#REF!</definedName>
    <definedName name="SSEC43" localSheetId="11">#REF!</definedName>
    <definedName name="SSEC43" localSheetId="9">#REF!</definedName>
    <definedName name="SSEC43" localSheetId="18">#REF!</definedName>
    <definedName name="SSEC43" localSheetId="15">#REF!</definedName>
    <definedName name="SSEC43" localSheetId="7">#REF!</definedName>
    <definedName name="SSEC43">#REF!</definedName>
    <definedName name="ssec45" localSheetId="12">#REF!</definedName>
    <definedName name="ssec45" localSheetId="0">#REF!</definedName>
    <definedName name="ssec45" localSheetId="1">#REF!</definedName>
    <definedName name="ssec45" localSheetId="8">#REF!</definedName>
    <definedName name="ssec45" localSheetId="11">#REF!</definedName>
    <definedName name="ssec45" localSheetId="9">#REF!</definedName>
    <definedName name="ssec45" localSheetId="18">#REF!</definedName>
    <definedName name="ssec45" localSheetId="15">#REF!</definedName>
    <definedName name="ssec45" localSheetId="7">#REF!</definedName>
    <definedName name="ssec45">#REF!</definedName>
    <definedName name="Ssec5" localSheetId="12">#REF!</definedName>
    <definedName name="Ssec5" localSheetId="0">#REF!</definedName>
    <definedName name="Ssec5" localSheetId="1">#REF!</definedName>
    <definedName name="Ssec5" localSheetId="8">#REF!</definedName>
    <definedName name="Ssec5" localSheetId="11">#REF!</definedName>
    <definedName name="Ssec5" localSheetId="9">#REF!</definedName>
    <definedName name="Ssec5" localSheetId="18">#REF!</definedName>
    <definedName name="Ssec5" localSheetId="15">#REF!</definedName>
    <definedName name="Ssec5" localSheetId="7">#REF!</definedName>
    <definedName name="Ssec5">#REF!</definedName>
    <definedName name="SSEC54" localSheetId="12">#REF!</definedName>
    <definedName name="SSEC54" localSheetId="0">#REF!</definedName>
    <definedName name="SSEC54" localSheetId="1">#REF!</definedName>
    <definedName name="SSEC54" localSheetId="8">#REF!</definedName>
    <definedName name="SSEC54" localSheetId="11">#REF!</definedName>
    <definedName name="SSEC54" localSheetId="9">#REF!</definedName>
    <definedName name="SSEC54" localSheetId="18">#REF!</definedName>
    <definedName name="SSEC54" localSheetId="15">#REF!</definedName>
    <definedName name="SSEC54" localSheetId="7">#REF!</definedName>
    <definedName name="SSEC54">#REF!</definedName>
    <definedName name="ssec55" localSheetId="12">#REF!</definedName>
    <definedName name="ssec55" localSheetId="0">#REF!</definedName>
    <definedName name="ssec55" localSheetId="1">#REF!</definedName>
    <definedName name="ssec55" localSheetId="8">#REF!</definedName>
    <definedName name="ssec55" localSheetId="11">#REF!</definedName>
    <definedName name="ssec55" localSheetId="9">#REF!</definedName>
    <definedName name="ssec55" localSheetId="18">#REF!</definedName>
    <definedName name="ssec55" localSheetId="15">#REF!</definedName>
    <definedName name="ssec55" localSheetId="7">#REF!</definedName>
    <definedName name="ssec55">#REF!</definedName>
    <definedName name="Ssec6" localSheetId="12">#REF!</definedName>
    <definedName name="Ssec6" localSheetId="0">#REF!</definedName>
    <definedName name="Ssec6" localSheetId="1">#REF!</definedName>
    <definedName name="Ssec6" localSheetId="8">#REF!</definedName>
    <definedName name="Ssec6" localSheetId="11">#REF!</definedName>
    <definedName name="Ssec6" localSheetId="9">#REF!</definedName>
    <definedName name="Ssec6" localSheetId="18">#REF!</definedName>
    <definedName name="Ssec6" localSheetId="15">#REF!</definedName>
    <definedName name="Ssec6" localSheetId="7">#REF!</definedName>
    <definedName name="Ssec6">#REF!</definedName>
    <definedName name="SSEC65" localSheetId="12">#REF!</definedName>
    <definedName name="SSEC65" localSheetId="0">#REF!</definedName>
    <definedName name="SSEC65" localSheetId="1">#REF!</definedName>
    <definedName name="SSEC65" localSheetId="8">#REF!</definedName>
    <definedName name="SSEC65" localSheetId="11">#REF!</definedName>
    <definedName name="SSEC65" localSheetId="9">#REF!</definedName>
    <definedName name="SSEC65" localSheetId="18">#REF!</definedName>
    <definedName name="SSEC65" localSheetId="15">#REF!</definedName>
    <definedName name="SSEC65" localSheetId="7">#REF!</definedName>
    <definedName name="SSEC65">#REF!</definedName>
    <definedName name="ssec66" localSheetId="12">#REF!</definedName>
    <definedName name="ssec66" localSheetId="0">#REF!</definedName>
    <definedName name="ssec66" localSheetId="1">#REF!</definedName>
    <definedName name="ssec66" localSheetId="8">#REF!</definedName>
    <definedName name="ssec66" localSheetId="11">#REF!</definedName>
    <definedName name="ssec66" localSheetId="9">#REF!</definedName>
    <definedName name="ssec66" localSheetId="18">#REF!</definedName>
    <definedName name="ssec66" localSheetId="15">#REF!</definedName>
    <definedName name="ssec66" localSheetId="7">#REF!</definedName>
    <definedName name="ssec66">#REF!</definedName>
    <definedName name="ssf" localSheetId="12">#REF!</definedName>
    <definedName name="ssf" localSheetId="8">#REF!</definedName>
    <definedName name="ssf" localSheetId="11">#REF!</definedName>
    <definedName name="ssf" localSheetId="9">#REF!</definedName>
    <definedName name="ssf" localSheetId="18">#REF!</definedName>
    <definedName name="ssf" localSheetId="15">#REF!</definedName>
    <definedName name="ssf" localSheetId="7">#REF!</definedName>
    <definedName name="ssf">#REF!</definedName>
    <definedName name="sss" localSheetId="1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 localSheetId="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 localSheetId="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 localSheetId="1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 localSheetId="9"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 localSheetId="1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 localSheetId="1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 localSheetId="7"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ss"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sss"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sss"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ss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sss"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sss" localSheetId="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sss"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sss" localSheetId="1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ss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sss"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ss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SSSSSSSSSSSSSSS" localSheetId="12">#REF!</definedName>
    <definedName name="SSSSSSSSSSSSSSSSS" localSheetId="6">#REF!</definedName>
    <definedName name="SSSSSSSSSSSSSSSSS" localSheetId="5">#REF!</definedName>
    <definedName name="SSSSSSSSSSSSSSSSS" localSheetId="8">#REF!</definedName>
    <definedName name="SSSSSSSSSSSSSSSSS" localSheetId="11">#REF!</definedName>
    <definedName name="SSSSSSSSSSSSSSSSS" localSheetId="9">#REF!</definedName>
    <definedName name="SSSSSSSSSSSSSSSSS" localSheetId="18">#REF!</definedName>
    <definedName name="SSSSSSSSSSSSSSSSS" localSheetId="15">#REF!</definedName>
    <definedName name="SSSSSSSSSSSSSSSSS" localSheetId="7">#REF!</definedName>
    <definedName name="SSSSSSSSSSSSSSSSS">#REF!</definedName>
    <definedName name="sssssssssssssssssss" localSheetId="12">#REF!</definedName>
    <definedName name="sssssssssssssssssss" localSheetId="6">#REF!</definedName>
    <definedName name="sssssssssssssssssss" localSheetId="5">#REF!</definedName>
    <definedName name="sssssssssssssssssss" localSheetId="8">#REF!</definedName>
    <definedName name="sssssssssssssssssss" localSheetId="11">#REF!</definedName>
    <definedName name="sssssssssssssssssss" localSheetId="9">#REF!</definedName>
    <definedName name="sssssssssssssssssss" localSheetId="18">#REF!</definedName>
    <definedName name="sssssssssssssssssss" localSheetId="15">#REF!</definedName>
    <definedName name="sssssssssssssssssss" localSheetId="7">#REF!</definedName>
    <definedName name="sssssssssssssssssss">#REF!</definedName>
    <definedName name="sstype3drop" localSheetId="12">#REF!</definedName>
    <definedName name="sstype3drop" localSheetId="0">#REF!</definedName>
    <definedName name="sstype3drop" localSheetId="1">#REF!</definedName>
    <definedName name="sstype3drop" localSheetId="8">#REF!</definedName>
    <definedName name="sstype3drop" localSheetId="11">#REF!</definedName>
    <definedName name="sstype3drop" localSheetId="9">#REF!</definedName>
    <definedName name="sstype3drop" localSheetId="18">#REF!</definedName>
    <definedName name="sstype3drop" localSheetId="15">#REF!</definedName>
    <definedName name="sstype3drop" localSheetId="7">#REF!</definedName>
    <definedName name="sstype3drop">#REF!</definedName>
    <definedName name="SSTYPE3DROP1" localSheetId="12">#REF!</definedName>
    <definedName name="SSTYPE3DROP1" localSheetId="0">#REF!</definedName>
    <definedName name="SSTYPE3DROP1" localSheetId="1">#REF!</definedName>
    <definedName name="SSTYPE3DROP1" localSheetId="8">#REF!</definedName>
    <definedName name="SSTYPE3DROP1" localSheetId="11">#REF!</definedName>
    <definedName name="SSTYPE3DROP1" localSheetId="9">#REF!</definedName>
    <definedName name="SSTYPE3DROP1" localSheetId="18">#REF!</definedName>
    <definedName name="SSTYPE3DROP1" localSheetId="15">#REF!</definedName>
    <definedName name="SSTYPE3DROP1" localSheetId="7">#REF!</definedName>
    <definedName name="SSTYPE3DROP1">#REF!</definedName>
    <definedName name="sstype3drop2" localSheetId="12">#REF!</definedName>
    <definedName name="sstype3drop2" localSheetId="0">#REF!</definedName>
    <definedName name="sstype3drop2" localSheetId="1">#REF!</definedName>
    <definedName name="sstype3drop2" localSheetId="8">#REF!</definedName>
    <definedName name="sstype3drop2" localSheetId="11">#REF!</definedName>
    <definedName name="sstype3drop2" localSheetId="9">#REF!</definedName>
    <definedName name="sstype3drop2" localSheetId="18">#REF!</definedName>
    <definedName name="sstype3drop2" localSheetId="15">#REF!</definedName>
    <definedName name="sstype3drop2" localSheetId="7">#REF!</definedName>
    <definedName name="sstype3drop2">#REF!</definedName>
    <definedName name="SSTYPE3DROP3" localSheetId="12">#REF!</definedName>
    <definedName name="SSTYPE3DROP3" localSheetId="0">#REF!</definedName>
    <definedName name="SSTYPE3DROP3" localSheetId="1">#REF!</definedName>
    <definedName name="SSTYPE3DROP3" localSheetId="8">#REF!</definedName>
    <definedName name="SSTYPE3DROP3" localSheetId="11">#REF!</definedName>
    <definedName name="SSTYPE3DROP3" localSheetId="9">#REF!</definedName>
    <definedName name="SSTYPE3DROP3" localSheetId="18">#REF!</definedName>
    <definedName name="SSTYPE3DROP3" localSheetId="15">#REF!</definedName>
    <definedName name="SSTYPE3DROP3" localSheetId="7">#REF!</definedName>
    <definedName name="SSTYPE3DROP3">#REF!</definedName>
    <definedName name="sstype3drop33" localSheetId="12">#REF!</definedName>
    <definedName name="sstype3drop33" localSheetId="0">#REF!</definedName>
    <definedName name="sstype3drop33" localSheetId="1">#REF!</definedName>
    <definedName name="sstype3drop33" localSheetId="8">#REF!</definedName>
    <definedName name="sstype3drop33" localSheetId="11">#REF!</definedName>
    <definedName name="sstype3drop33" localSheetId="9">#REF!</definedName>
    <definedName name="sstype3drop33" localSheetId="18">#REF!</definedName>
    <definedName name="sstype3drop33" localSheetId="15">#REF!</definedName>
    <definedName name="sstype3drop33" localSheetId="7">#REF!</definedName>
    <definedName name="sstype3drop33">#REF!</definedName>
    <definedName name="SSTYPE3DROP35" localSheetId="12">#REF!</definedName>
    <definedName name="SSTYPE3DROP35" localSheetId="0">#REF!</definedName>
    <definedName name="SSTYPE3DROP35" localSheetId="1">#REF!</definedName>
    <definedName name="SSTYPE3DROP35" localSheetId="8">#REF!</definedName>
    <definedName name="SSTYPE3DROP35" localSheetId="11">#REF!</definedName>
    <definedName name="SSTYPE3DROP35" localSheetId="9">#REF!</definedName>
    <definedName name="SSTYPE3DROP35" localSheetId="18">#REF!</definedName>
    <definedName name="SSTYPE3DROP35" localSheetId="15">#REF!</definedName>
    <definedName name="SSTYPE3DROP35" localSheetId="7">#REF!</definedName>
    <definedName name="SSTYPE3DROP35">#REF!</definedName>
    <definedName name="sstype3dropp" localSheetId="12">#REF!</definedName>
    <definedName name="sstype3dropp" localSheetId="0">#REF!</definedName>
    <definedName name="sstype3dropp" localSheetId="1">#REF!</definedName>
    <definedName name="sstype3dropp" localSheetId="8">#REF!</definedName>
    <definedName name="sstype3dropp" localSheetId="11">#REF!</definedName>
    <definedName name="sstype3dropp" localSheetId="9">#REF!</definedName>
    <definedName name="sstype3dropp" localSheetId="18">#REF!</definedName>
    <definedName name="sstype3dropp" localSheetId="15">#REF!</definedName>
    <definedName name="sstype3dropp" localSheetId="7">#REF!</definedName>
    <definedName name="sstype3dropp">#REF!</definedName>
    <definedName name="SSTYPE3DROPP1" localSheetId="12">#REF!</definedName>
    <definedName name="SSTYPE3DROPP1" localSheetId="0">#REF!</definedName>
    <definedName name="SSTYPE3DROPP1" localSheetId="1">#REF!</definedName>
    <definedName name="SSTYPE3DROPP1" localSheetId="8">#REF!</definedName>
    <definedName name="SSTYPE3DROPP1" localSheetId="11">#REF!</definedName>
    <definedName name="SSTYPE3DROPP1" localSheetId="9">#REF!</definedName>
    <definedName name="SSTYPE3DROPP1" localSheetId="18">#REF!</definedName>
    <definedName name="SSTYPE3DROPP1" localSheetId="15">#REF!</definedName>
    <definedName name="SSTYPE3DROPP1" localSheetId="7">#REF!</definedName>
    <definedName name="SSTYPE3DROPP1">#REF!</definedName>
    <definedName name="sstype3slab" localSheetId="12">#REF!</definedName>
    <definedName name="sstype3slab" localSheetId="0">#REF!</definedName>
    <definedName name="sstype3slab" localSheetId="1">#REF!</definedName>
    <definedName name="sstype3slab" localSheetId="8">#REF!</definedName>
    <definedName name="sstype3slab" localSheetId="11">#REF!</definedName>
    <definedName name="sstype3slab" localSheetId="9">#REF!</definedName>
    <definedName name="sstype3slab" localSheetId="18">#REF!</definedName>
    <definedName name="sstype3slab" localSheetId="15">#REF!</definedName>
    <definedName name="sstype3slab" localSheetId="7">#REF!</definedName>
    <definedName name="sstype3slab">#REF!</definedName>
    <definedName name="SSTYPE3SLAB121" localSheetId="12">#REF!</definedName>
    <definedName name="SSTYPE3SLAB121" localSheetId="0">#REF!</definedName>
    <definedName name="SSTYPE3SLAB121" localSheetId="1">#REF!</definedName>
    <definedName name="SSTYPE3SLAB121" localSheetId="8">#REF!</definedName>
    <definedName name="SSTYPE3SLAB121" localSheetId="11">#REF!</definedName>
    <definedName name="SSTYPE3SLAB121" localSheetId="9">#REF!</definedName>
    <definedName name="SSTYPE3SLAB121" localSheetId="18">#REF!</definedName>
    <definedName name="SSTYPE3SLAB121" localSheetId="15">#REF!</definedName>
    <definedName name="SSTYPE3SLAB121" localSheetId="7">#REF!</definedName>
    <definedName name="SSTYPE3SLAB121">#REF!</definedName>
    <definedName name="sstype3slab2" localSheetId="12">#REF!</definedName>
    <definedName name="sstype3slab2" localSheetId="0">#REF!</definedName>
    <definedName name="sstype3slab2" localSheetId="1">#REF!</definedName>
    <definedName name="sstype3slab2" localSheetId="8">#REF!</definedName>
    <definedName name="sstype3slab2" localSheetId="11">#REF!</definedName>
    <definedName name="sstype3slab2" localSheetId="9">#REF!</definedName>
    <definedName name="sstype3slab2" localSheetId="18">#REF!</definedName>
    <definedName name="sstype3slab2" localSheetId="15">#REF!</definedName>
    <definedName name="sstype3slab2" localSheetId="7">#REF!</definedName>
    <definedName name="sstype3slab2">#REF!</definedName>
    <definedName name="SSTYPE3SLAB3" localSheetId="12">#REF!</definedName>
    <definedName name="SSTYPE3SLAB3" localSheetId="0">#REF!</definedName>
    <definedName name="SSTYPE3SLAB3" localSheetId="1">#REF!</definedName>
    <definedName name="SSTYPE3SLAB3" localSheetId="8">#REF!</definedName>
    <definedName name="SSTYPE3SLAB3" localSheetId="11">#REF!</definedName>
    <definedName name="SSTYPE3SLAB3" localSheetId="9">#REF!</definedName>
    <definedName name="SSTYPE3SLAB3" localSheetId="18">#REF!</definedName>
    <definedName name="SSTYPE3SLAB3" localSheetId="15">#REF!</definedName>
    <definedName name="SSTYPE3SLAB3" localSheetId="7">#REF!</definedName>
    <definedName name="SSTYPE3SLAB3">#REF!</definedName>
    <definedName name="SSTYPE3SLAB32" localSheetId="12">#REF!</definedName>
    <definedName name="SSTYPE3SLAB32" localSheetId="0">#REF!</definedName>
    <definedName name="SSTYPE3SLAB32" localSheetId="1">#REF!</definedName>
    <definedName name="SSTYPE3SLAB32" localSheetId="8">#REF!</definedName>
    <definedName name="SSTYPE3SLAB32" localSheetId="11">#REF!</definedName>
    <definedName name="SSTYPE3SLAB32" localSheetId="9">#REF!</definedName>
    <definedName name="SSTYPE3SLAB32" localSheetId="18">#REF!</definedName>
    <definedName name="SSTYPE3SLAB32" localSheetId="15">#REF!</definedName>
    <definedName name="SSTYPE3SLAB32" localSheetId="7">#REF!</definedName>
    <definedName name="SSTYPE3SLAB32">#REF!</definedName>
    <definedName name="sstype3slab6" localSheetId="12">#REF!</definedName>
    <definedName name="sstype3slab6" localSheetId="0">#REF!</definedName>
    <definedName name="sstype3slab6" localSheetId="1">#REF!</definedName>
    <definedName name="sstype3slab6" localSheetId="8">#REF!</definedName>
    <definedName name="sstype3slab6" localSheetId="11">#REF!</definedName>
    <definedName name="sstype3slab6" localSheetId="9">#REF!</definedName>
    <definedName name="sstype3slab6" localSheetId="18">#REF!</definedName>
    <definedName name="sstype3slab6" localSheetId="15">#REF!</definedName>
    <definedName name="sstype3slab6" localSheetId="7">#REF!</definedName>
    <definedName name="sstype3slab6">#REF!</definedName>
    <definedName name="sstype3slabb" localSheetId="12">#REF!</definedName>
    <definedName name="sstype3slabb" localSheetId="0">#REF!</definedName>
    <definedName name="sstype3slabb" localSheetId="1">#REF!</definedName>
    <definedName name="sstype3slabb" localSheetId="8">#REF!</definedName>
    <definedName name="sstype3slabb" localSheetId="11">#REF!</definedName>
    <definedName name="sstype3slabb" localSheetId="9">#REF!</definedName>
    <definedName name="sstype3slabb" localSheetId="18">#REF!</definedName>
    <definedName name="sstype3slabb" localSheetId="15">#REF!</definedName>
    <definedName name="sstype3slabb" localSheetId="7">#REF!</definedName>
    <definedName name="sstype3slabb">#REF!</definedName>
    <definedName name="SSTYPESLAB1" localSheetId="12">#REF!</definedName>
    <definedName name="SSTYPESLAB1" localSheetId="0">#REF!</definedName>
    <definedName name="SSTYPESLAB1" localSheetId="1">#REF!</definedName>
    <definedName name="SSTYPESLAB1" localSheetId="8">#REF!</definedName>
    <definedName name="SSTYPESLAB1" localSheetId="11">#REF!</definedName>
    <definedName name="SSTYPESLAB1" localSheetId="9">#REF!</definedName>
    <definedName name="SSTYPESLAB1" localSheetId="18">#REF!</definedName>
    <definedName name="SSTYPESLAB1" localSheetId="15">#REF!</definedName>
    <definedName name="SSTYPESLAB1" localSheetId="7">#REF!</definedName>
    <definedName name="SSTYPESLAB1">#REF!</definedName>
    <definedName name="ST" localSheetId="12">#REF!</definedName>
    <definedName name="ST" localSheetId="8">#REF!</definedName>
    <definedName name="ST" localSheetId="11">#REF!</definedName>
    <definedName name="ST" localSheetId="9">#REF!</definedName>
    <definedName name="ST" localSheetId="18">#REF!</definedName>
    <definedName name="ST" localSheetId="15">#REF!</definedName>
    <definedName name="ST" localSheetId="7">#REF!</definedName>
    <definedName name="ST">#REF!</definedName>
    <definedName name="st_100" localSheetId="12">#REF!</definedName>
    <definedName name="st_100" localSheetId="8">#REF!</definedName>
    <definedName name="st_100" localSheetId="11">#REF!</definedName>
    <definedName name="st_100" localSheetId="9">#REF!</definedName>
    <definedName name="st_100" localSheetId="18">#REF!</definedName>
    <definedName name="st_100" localSheetId="15">#REF!</definedName>
    <definedName name="st_100" localSheetId="7">#REF!</definedName>
    <definedName name="st_100">#REF!</definedName>
    <definedName name="st_150" localSheetId="12">#REF!</definedName>
    <definedName name="st_150" localSheetId="8">#REF!</definedName>
    <definedName name="st_150" localSheetId="11">#REF!</definedName>
    <definedName name="st_150" localSheetId="9">#REF!</definedName>
    <definedName name="st_150" localSheetId="18">#REF!</definedName>
    <definedName name="st_150" localSheetId="15">#REF!</definedName>
    <definedName name="st_150" localSheetId="7">#REF!</definedName>
    <definedName name="st_150">#REF!</definedName>
    <definedName name="st_200" localSheetId="12">#REF!</definedName>
    <definedName name="st_200" localSheetId="8">#REF!</definedName>
    <definedName name="st_200" localSheetId="11">#REF!</definedName>
    <definedName name="st_200" localSheetId="9">#REF!</definedName>
    <definedName name="st_200" localSheetId="18">#REF!</definedName>
    <definedName name="st_200" localSheetId="15">#REF!</definedName>
    <definedName name="st_200" localSheetId="7">#REF!</definedName>
    <definedName name="st_200">#REF!</definedName>
    <definedName name="st_25" localSheetId="12">#REF!</definedName>
    <definedName name="st_25" localSheetId="8">#REF!</definedName>
    <definedName name="st_25" localSheetId="11">#REF!</definedName>
    <definedName name="st_25" localSheetId="9">#REF!</definedName>
    <definedName name="st_25" localSheetId="18">#REF!</definedName>
    <definedName name="st_25" localSheetId="15">#REF!</definedName>
    <definedName name="st_25" localSheetId="7">#REF!</definedName>
    <definedName name="st_25">#REF!</definedName>
    <definedName name="st_250" localSheetId="12">#REF!</definedName>
    <definedName name="st_250" localSheetId="8">#REF!</definedName>
    <definedName name="st_250" localSheetId="11">#REF!</definedName>
    <definedName name="st_250" localSheetId="9">#REF!</definedName>
    <definedName name="st_250" localSheetId="18">#REF!</definedName>
    <definedName name="st_250" localSheetId="15">#REF!</definedName>
    <definedName name="st_250" localSheetId="7">#REF!</definedName>
    <definedName name="st_250">#REF!</definedName>
    <definedName name="st_300" localSheetId="12">#REF!</definedName>
    <definedName name="st_300" localSheetId="8">#REF!</definedName>
    <definedName name="st_300" localSheetId="11">#REF!</definedName>
    <definedName name="st_300" localSheetId="9">#REF!</definedName>
    <definedName name="st_300" localSheetId="18">#REF!</definedName>
    <definedName name="st_300" localSheetId="15">#REF!</definedName>
    <definedName name="st_300" localSheetId="7">#REF!</definedName>
    <definedName name="st_300">#REF!</definedName>
    <definedName name="st_32" localSheetId="12">#REF!</definedName>
    <definedName name="st_32" localSheetId="8">#REF!</definedName>
    <definedName name="st_32" localSheetId="11">#REF!</definedName>
    <definedName name="st_32" localSheetId="9">#REF!</definedName>
    <definedName name="st_32" localSheetId="18">#REF!</definedName>
    <definedName name="st_32" localSheetId="15">#REF!</definedName>
    <definedName name="st_32" localSheetId="7">#REF!</definedName>
    <definedName name="st_32">#REF!</definedName>
    <definedName name="st_40" localSheetId="12">#REF!</definedName>
    <definedName name="st_40" localSheetId="8">#REF!</definedName>
    <definedName name="st_40" localSheetId="11">#REF!</definedName>
    <definedName name="st_40" localSheetId="9">#REF!</definedName>
    <definedName name="st_40" localSheetId="18">#REF!</definedName>
    <definedName name="st_40" localSheetId="15">#REF!</definedName>
    <definedName name="st_40" localSheetId="7">#REF!</definedName>
    <definedName name="st_40">#REF!</definedName>
    <definedName name="st_400" localSheetId="12">#REF!</definedName>
    <definedName name="st_400" localSheetId="8">#REF!</definedName>
    <definedName name="st_400" localSheetId="11">#REF!</definedName>
    <definedName name="st_400" localSheetId="9">#REF!</definedName>
    <definedName name="st_400" localSheetId="18">#REF!</definedName>
    <definedName name="st_400" localSheetId="15">#REF!</definedName>
    <definedName name="st_400" localSheetId="7">#REF!</definedName>
    <definedName name="st_400">#REF!</definedName>
    <definedName name="st_50" localSheetId="12">#REF!</definedName>
    <definedName name="st_50" localSheetId="8">#REF!</definedName>
    <definedName name="st_50" localSheetId="11">#REF!</definedName>
    <definedName name="st_50" localSheetId="9">#REF!</definedName>
    <definedName name="st_50" localSheetId="18">#REF!</definedName>
    <definedName name="st_50" localSheetId="15">#REF!</definedName>
    <definedName name="st_50" localSheetId="7">#REF!</definedName>
    <definedName name="st_50">#REF!</definedName>
    <definedName name="st_500" localSheetId="12">#REF!</definedName>
    <definedName name="st_500" localSheetId="8">#REF!</definedName>
    <definedName name="st_500" localSheetId="11">#REF!</definedName>
    <definedName name="st_500" localSheetId="9">#REF!</definedName>
    <definedName name="st_500" localSheetId="18">#REF!</definedName>
    <definedName name="st_500" localSheetId="15">#REF!</definedName>
    <definedName name="st_500" localSheetId="7">#REF!</definedName>
    <definedName name="st_500">#REF!</definedName>
    <definedName name="st_65" localSheetId="12">#REF!</definedName>
    <definedName name="st_65" localSheetId="8">#REF!</definedName>
    <definedName name="st_65" localSheetId="11">#REF!</definedName>
    <definedName name="st_65" localSheetId="9">#REF!</definedName>
    <definedName name="st_65" localSheetId="18">#REF!</definedName>
    <definedName name="st_65" localSheetId="15">#REF!</definedName>
    <definedName name="st_65" localSheetId="7">#REF!</definedName>
    <definedName name="st_65">#REF!</definedName>
    <definedName name="st_80" localSheetId="12">#REF!</definedName>
    <definedName name="st_80" localSheetId="8">#REF!</definedName>
    <definedName name="st_80" localSheetId="11">#REF!</definedName>
    <definedName name="st_80" localSheetId="9">#REF!</definedName>
    <definedName name="st_80" localSheetId="18">#REF!</definedName>
    <definedName name="st_80" localSheetId="15">#REF!</definedName>
    <definedName name="st_80" localSheetId="7">#REF!</definedName>
    <definedName name="st_80">#REF!</definedName>
    <definedName name="Stage" localSheetId="12">#REF!</definedName>
    <definedName name="Stage" localSheetId="8">#REF!</definedName>
    <definedName name="Stage" localSheetId="11">#REF!</definedName>
    <definedName name="Stage" localSheetId="9">#REF!</definedName>
    <definedName name="Stage" localSheetId="18">#REF!</definedName>
    <definedName name="Stage" localSheetId="15">#REF!</definedName>
    <definedName name="Stage" localSheetId="7">#REF!</definedName>
    <definedName name="Stage">#REF!</definedName>
    <definedName name="Staircase" localSheetId="12">#REF!</definedName>
    <definedName name="Staircase" localSheetId="0">#REF!</definedName>
    <definedName name="Staircase" localSheetId="1">#REF!</definedName>
    <definedName name="Staircase" localSheetId="8">#REF!</definedName>
    <definedName name="Staircase" localSheetId="11">#REF!</definedName>
    <definedName name="Staircase" localSheetId="9">#REF!</definedName>
    <definedName name="Staircase" localSheetId="18">#REF!</definedName>
    <definedName name="Staircase" localSheetId="15">#REF!</definedName>
    <definedName name="Staircase" localSheetId="7">#REF!</definedName>
    <definedName name="Staircase">#REF!</definedName>
    <definedName name="Staircase2" localSheetId="12">#REF!</definedName>
    <definedName name="Staircase2" localSheetId="0">#REF!</definedName>
    <definedName name="Staircase2" localSheetId="1">#REF!</definedName>
    <definedName name="Staircase2" localSheetId="8">#REF!</definedName>
    <definedName name="Staircase2" localSheetId="11">#REF!</definedName>
    <definedName name="Staircase2" localSheetId="9">#REF!</definedName>
    <definedName name="Staircase2" localSheetId="18">#REF!</definedName>
    <definedName name="Staircase2" localSheetId="15">#REF!</definedName>
    <definedName name="Staircase2" localSheetId="7">#REF!</definedName>
    <definedName name="Staircase2">#REF!</definedName>
    <definedName name="Start_Date" localSheetId="12">#REF!</definedName>
    <definedName name="Start_Date" localSheetId="8">#REF!</definedName>
    <definedName name="Start_Date" localSheetId="11">#REF!</definedName>
    <definedName name="Start_Date" localSheetId="9">#REF!</definedName>
    <definedName name="Start_Date" localSheetId="18">#REF!</definedName>
    <definedName name="Start_Date" localSheetId="15">#REF!</definedName>
    <definedName name="Start_Date" localSheetId="7">#REF!</definedName>
    <definedName name="Start_Date">#REF!</definedName>
    <definedName name="StartDate" localSheetId="12">#REF!</definedName>
    <definedName name="StartDate" localSheetId="0">#REF!</definedName>
    <definedName name="StartDate" localSheetId="1">#REF!</definedName>
    <definedName name="StartDate" localSheetId="8">#REF!</definedName>
    <definedName name="StartDate" localSheetId="11">#REF!</definedName>
    <definedName name="StartDate" localSheetId="9">#REF!</definedName>
    <definedName name="StartDate" localSheetId="18">#REF!</definedName>
    <definedName name="StartDate" localSheetId="15">#REF!</definedName>
    <definedName name="StartDate" localSheetId="7">#REF!</definedName>
    <definedName name="StartDate">#REF!</definedName>
    <definedName name="steel" localSheetId="12">#REF!</definedName>
    <definedName name="steel" localSheetId="8">#REF!</definedName>
    <definedName name="steel" localSheetId="11">#REF!</definedName>
    <definedName name="steel" localSheetId="9">#REF!</definedName>
    <definedName name="steel" localSheetId="18">#REF!</definedName>
    <definedName name="steel" localSheetId="15">#REF!</definedName>
    <definedName name="steel" localSheetId="7">#REF!</definedName>
    <definedName name="steel">#REF!</definedName>
    <definedName name="STEP" localSheetId="12">#REF!</definedName>
    <definedName name="STEP" localSheetId="8">#REF!</definedName>
    <definedName name="STEP" localSheetId="11">#REF!</definedName>
    <definedName name="STEP" localSheetId="9">#REF!</definedName>
    <definedName name="STEP" localSheetId="18">#REF!</definedName>
    <definedName name="STEP" localSheetId="15">#REF!</definedName>
    <definedName name="STEP" localSheetId="7">#REF!</definedName>
    <definedName name="STEP">#REF!</definedName>
    <definedName name="STEP_WIDTH" localSheetId="12">#REF!</definedName>
    <definedName name="STEP_WIDTH" localSheetId="8">#REF!</definedName>
    <definedName name="STEP_WIDTH" localSheetId="11">#REF!</definedName>
    <definedName name="STEP_WIDTH" localSheetId="9">#REF!</definedName>
    <definedName name="STEP_WIDTH" localSheetId="18">#REF!</definedName>
    <definedName name="STEP_WIDTH" localSheetId="15">#REF!</definedName>
    <definedName name="STEP_WIDTH" localSheetId="7">#REF!</definedName>
    <definedName name="STEP_WIDTH">#REF!</definedName>
    <definedName name="Stone_Aggregate_10_mm" localSheetId="12">#REF!</definedName>
    <definedName name="Stone_Aggregate_10_mm" localSheetId="8">#REF!</definedName>
    <definedName name="Stone_Aggregate_10_mm" localSheetId="11">#REF!</definedName>
    <definedName name="Stone_Aggregate_10_mm" localSheetId="9">#REF!</definedName>
    <definedName name="Stone_Aggregate_10_mm" localSheetId="18">#REF!</definedName>
    <definedName name="Stone_Aggregate_10_mm" localSheetId="15">#REF!</definedName>
    <definedName name="Stone_Aggregate_10_mm" localSheetId="7">#REF!</definedName>
    <definedName name="Stone_Aggregate_10_mm">#REF!</definedName>
    <definedName name="Stone_Aggregate_20_mm" localSheetId="12">#REF!</definedName>
    <definedName name="Stone_Aggregate_20_mm" localSheetId="8">#REF!</definedName>
    <definedName name="Stone_Aggregate_20_mm" localSheetId="11">#REF!</definedName>
    <definedName name="Stone_Aggregate_20_mm" localSheetId="9">#REF!</definedName>
    <definedName name="Stone_Aggregate_20_mm" localSheetId="18">#REF!</definedName>
    <definedName name="Stone_Aggregate_20_mm" localSheetId="15">#REF!</definedName>
    <definedName name="Stone_Aggregate_20_mm" localSheetId="7">#REF!</definedName>
    <definedName name="Stone_Aggregate_20_mm">#REF!</definedName>
    <definedName name="Stone_Aggregate_40_mm" localSheetId="12">#REF!</definedName>
    <definedName name="Stone_Aggregate_40_mm" localSheetId="8">#REF!</definedName>
    <definedName name="Stone_Aggregate_40_mm" localSheetId="11">#REF!</definedName>
    <definedName name="Stone_Aggregate_40_mm" localSheetId="9">#REF!</definedName>
    <definedName name="Stone_Aggregate_40_mm" localSheetId="18">#REF!</definedName>
    <definedName name="Stone_Aggregate_40_mm" localSheetId="15">#REF!</definedName>
    <definedName name="Stone_Aggregate_40_mm" localSheetId="7">#REF!</definedName>
    <definedName name="Stone_Aggregate_40_mm">#REF!</definedName>
    <definedName name="Stone_Dust" localSheetId="12">#REF!</definedName>
    <definedName name="Stone_Dust" localSheetId="8">#REF!</definedName>
    <definedName name="Stone_Dust" localSheetId="11">#REF!</definedName>
    <definedName name="Stone_Dust" localSheetId="9">#REF!</definedName>
    <definedName name="Stone_Dust" localSheetId="18">#REF!</definedName>
    <definedName name="Stone_Dust" localSheetId="15">#REF!</definedName>
    <definedName name="Stone_Dust" localSheetId="7">#REF!</definedName>
    <definedName name="Stone_Dust">#REF!</definedName>
    <definedName name="STOPS" localSheetId="12">#REF!</definedName>
    <definedName name="STOPS" localSheetId="8">#REF!</definedName>
    <definedName name="STOPS" localSheetId="11">#REF!</definedName>
    <definedName name="STOPS" localSheetId="9">#REF!</definedName>
    <definedName name="STOPS" localSheetId="18">#REF!</definedName>
    <definedName name="STOPS" localSheetId="15">#REF!</definedName>
    <definedName name="STOPS" localSheetId="7">#REF!</definedName>
    <definedName name="STOPS">#REF!</definedName>
    <definedName name="StrID" localSheetId="12">#REF!</definedName>
    <definedName name="StrID" localSheetId="0">#REF!</definedName>
    <definedName name="StrID" localSheetId="1">#REF!</definedName>
    <definedName name="StrID" localSheetId="8">#REF!</definedName>
    <definedName name="StrID" localSheetId="11">#REF!</definedName>
    <definedName name="StrID" localSheetId="9">#REF!</definedName>
    <definedName name="StrID" localSheetId="18">#REF!</definedName>
    <definedName name="StrID" localSheetId="15">#REF!</definedName>
    <definedName name="StrID" localSheetId="7">#REF!</definedName>
    <definedName name="StrID">#REF!</definedName>
    <definedName name="structure" localSheetId="12">#REF!</definedName>
    <definedName name="structure" localSheetId="8">#REF!</definedName>
    <definedName name="structure" localSheetId="11">#REF!</definedName>
    <definedName name="structure" localSheetId="9">#REF!</definedName>
    <definedName name="structure" localSheetId="18">#REF!</definedName>
    <definedName name="structure" localSheetId="15">#REF!</definedName>
    <definedName name="structure" localSheetId="7">#REF!</definedName>
    <definedName name="structure">#REF!</definedName>
    <definedName name="stype2drop" localSheetId="12">#REF!</definedName>
    <definedName name="stype2drop" localSheetId="0">#REF!</definedName>
    <definedName name="stype2drop" localSheetId="1">#REF!</definedName>
    <definedName name="stype2drop" localSheetId="8">#REF!</definedName>
    <definedName name="stype2drop" localSheetId="11">#REF!</definedName>
    <definedName name="stype2drop" localSheetId="9">#REF!</definedName>
    <definedName name="stype2drop" localSheetId="18">#REF!</definedName>
    <definedName name="stype2drop" localSheetId="15">#REF!</definedName>
    <definedName name="stype2drop" localSheetId="7">#REF!</definedName>
    <definedName name="stype2drop">#REF!</definedName>
    <definedName name="STYPE2DROP1" localSheetId="12">#REF!</definedName>
    <definedName name="STYPE2DROP1" localSheetId="0">#REF!</definedName>
    <definedName name="STYPE2DROP1" localSheetId="1">#REF!</definedName>
    <definedName name="STYPE2DROP1" localSheetId="8">#REF!</definedName>
    <definedName name="STYPE2DROP1" localSheetId="11">#REF!</definedName>
    <definedName name="STYPE2DROP1" localSheetId="9">#REF!</definedName>
    <definedName name="STYPE2DROP1" localSheetId="18">#REF!</definedName>
    <definedName name="STYPE2DROP1" localSheetId="15">#REF!</definedName>
    <definedName name="STYPE2DROP1" localSheetId="7">#REF!</definedName>
    <definedName name="STYPE2DROP1">#REF!</definedName>
    <definedName name="stype2drop11" localSheetId="12">#REF!</definedName>
    <definedName name="stype2drop11" localSheetId="0">#REF!</definedName>
    <definedName name="stype2drop11" localSheetId="1">#REF!</definedName>
    <definedName name="stype2drop11" localSheetId="8">#REF!</definedName>
    <definedName name="stype2drop11" localSheetId="11">#REF!</definedName>
    <definedName name="stype2drop11" localSheetId="9">#REF!</definedName>
    <definedName name="stype2drop11" localSheetId="18">#REF!</definedName>
    <definedName name="stype2drop11" localSheetId="15">#REF!</definedName>
    <definedName name="stype2drop11" localSheetId="7">#REF!</definedName>
    <definedName name="stype2drop11">#REF!</definedName>
    <definedName name="stype2drop2" localSheetId="12">#REF!</definedName>
    <definedName name="stype2drop2" localSheetId="0">#REF!</definedName>
    <definedName name="stype2drop2" localSheetId="1">#REF!</definedName>
    <definedName name="stype2drop2" localSheetId="8">#REF!</definedName>
    <definedName name="stype2drop2" localSheetId="11">#REF!</definedName>
    <definedName name="stype2drop2" localSheetId="9">#REF!</definedName>
    <definedName name="stype2drop2" localSheetId="18">#REF!</definedName>
    <definedName name="stype2drop2" localSheetId="15">#REF!</definedName>
    <definedName name="stype2drop2" localSheetId="7">#REF!</definedName>
    <definedName name="stype2drop2">#REF!</definedName>
    <definedName name="STYPE2DROP23" localSheetId="12">#REF!</definedName>
    <definedName name="STYPE2DROP23" localSheetId="0">#REF!</definedName>
    <definedName name="STYPE2DROP23" localSheetId="1">#REF!</definedName>
    <definedName name="STYPE2DROP23" localSheetId="8">#REF!</definedName>
    <definedName name="STYPE2DROP23" localSheetId="11">#REF!</definedName>
    <definedName name="STYPE2DROP23" localSheetId="9">#REF!</definedName>
    <definedName name="STYPE2DROP23" localSheetId="18">#REF!</definedName>
    <definedName name="STYPE2DROP23" localSheetId="15">#REF!</definedName>
    <definedName name="STYPE2DROP23" localSheetId="7">#REF!</definedName>
    <definedName name="STYPE2DROP23">#REF!</definedName>
    <definedName name="STYPE2DROP3" localSheetId="12">#REF!</definedName>
    <definedName name="STYPE2DROP3" localSheetId="0">#REF!</definedName>
    <definedName name="STYPE2DROP3" localSheetId="1">#REF!</definedName>
    <definedName name="STYPE2DROP3" localSheetId="8">#REF!</definedName>
    <definedName name="STYPE2DROP3" localSheetId="11">#REF!</definedName>
    <definedName name="STYPE2DROP3" localSheetId="9">#REF!</definedName>
    <definedName name="STYPE2DROP3" localSheetId="18">#REF!</definedName>
    <definedName name="STYPE2DROP3" localSheetId="15">#REF!</definedName>
    <definedName name="STYPE2DROP3" localSheetId="7">#REF!</definedName>
    <definedName name="STYPE2DROP3">#REF!</definedName>
    <definedName name="STYPE2DROP4" localSheetId="12">#REF!</definedName>
    <definedName name="STYPE2DROP4" localSheetId="0">#REF!</definedName>
    <definedName name="STYPE2DROP4" localSheetId="1">#REF!</definedName>
    <definedName name="STYPE2DROP4" localSheetId="8">#REF!</definedName>
    <definedName name="STYPE2DROP4" localSheetId="11">#REF!</definedName>
    <definedName name="STYPE2DROP4" localSheetId="9">#REF!</definedName>
    <definedName name="STYPE2DROP4" localSheetId="18">#REF!</definedName>
    <definedName name="STYPE2DROP4" localSheetId="15">#REF!</definedName>
    <definedName name="STYPE2DROP4" localSheetId="7">#REF!</definedName>
    <definedName name="STYPE2DROP4">#REF!</definedName>
    <definedName name="stype2drop6" localSheetId="12">#REF!</definedName>
    <definedName name="stype2drop6" localSheetId="0">#REF!</definedName>
    <definedName name="stype2drop6" localSheetId="1">#REF!</definedName>
    <definedName name="stype2drop6" localSheetId="8">#REF!</definedName>
    <definedName name="stype2drop6" localSheetId="11">#REF!</definedName>
    <definedName name="stype2drop6" localSheetId="9">#REF!</definedName>
    <definedName name="stype2drop6" localSheetId="18">#REF!</definedName>
    <definedName name="stype2drop6" localSheetId="15">#REF!</definedName>
    <definedName name="stype2drop6" localSheetId="7">#REF!</definedName>
    <definedName name="stype2drop6">#REF!</definedName>
    <definedName name="stype2slab" localSheetId="12">#REF!</definedName>
    <definedName name="stype2slab" localSheetId="0">#REF!</definedName>
    <definedName name="stype2slab" localSheetId="1">#REF!</definedName>
    <definedName name="stype2slab" localSheetId="8">#REF!</definedName>
    <definedName name="stype2slab" localSheetId="11">#REF!</definedName>
    <definedName name="stype2slab" localSheetId="9">#REF!</definedName>
    <definedName name="stype2slab" localSheetId="18">#REF!</definedName>
    <definedName name="stype2slab" localSheetId="15">#REF!</definedName>
    <definedName name="stype2slab" localSheetId="7">#REF!</definedName>
    <definedName name="stype2slab">#REF!</definedName>
    <definedName name="STYPE2SLAB1" localSheetId="12">#REF!</definedName>
    <definedName name="STYPE2SLAB1" localSheetId="0">#REF!</definedName>
    <definedName name="STYPE2SLAB1" localSheetId="1">#REF!</definedName>
    <definedName name="STYPE2SLAB1" localSheetId="8">#REF!</definedName>
    <definedName name="STYPE2SLAB1" localSheetId="11">#REF!</definedName>
    <definedName name="STYPE2SLAB1" localSheetId="9">#REF!</definedName>
    <definedName name="STYPE2SLAB1" localSheetId="18">#REF!</definedName>
    <definedName name="STYPE2SLAB1" localSheetId="15">#REF!</definedName>
    <definedName name="STYPE2SLAB1" localSheetId="7">#REF!</definedName>
    <definedName name="STYPE2SLAB1">#REF!</definedName>
    <definedName name="STYPE2SLAB12" localSheetId="12">#REF!</definedName>
    <definedName name="STYPE2SLAB12" localSheetId="0">#REF!</definedName>
    <definedName name="STYPE2SLAB12" localSheetId="1">#REF!</definedName>
    <definedName name="STYPE2SLAB12" localSheetId="8">#REF!</definedName>
    <definedName name="STYPE2SLAB12" localSheetId="11">#REF!</definedName>
    <definedName name="STYPE2SLAB12" localSheetId="9">#REF!</definedName>
    <definedName name="STYPE2SLAB12" localSheetId="18">#REF!</definedName>
    <definedName name="STYPE2SLAB12" localSheetId="15">#REF!</definedName>
    <definedName name="STYPE2SLAB12" localSheetId="7">#REF!</definedName>
    <definedName name="STYPE2SLAB12">#REF!</definedName>
    <definedName name="STYPE2SLAB2" localSheetId="12">#REF!</definedName>
    <definedName name="STYPE2SLAB2" localSheetId="0">#REF!</definedName>
    <definedName name="STYPE2SLAB2" localSheetId="1">#REF!</definedName>
    <definedName name="STYPE2SLAB2" localSheetId="8">#REF!</definedName>
    <definedName name="STYPE2SLAB2" localSheetId="11">#REF!</definedName>
    <definedName name="STYPE2SLAB2" localSheetId="9">#REF!</definedName>
    <definedName name="STYPE2SLAB2" localSheetId="18">#REF!</definedName>
    <definedName name="STYPE2SLAB2" localSheetId="15">#REF!</definedName>
    <definedName name="STYPE2SLAB2" localSheetId="7">#REF!</definedName>
    <definedName name="STYPE2SLAB2">#REF!</definedName>
    <definedName name="stype2slab22" localSheetId="12">#REF!</definedName>
    <definedName name="stype2slab22" localSheetId="0">#REF!</definedName>
    <definedName name="stype2slab22" localSheetId="1">#REF!</definedName>
    <definedName name="stype2slab22" localSheetId="8">#REF!</definedName>
    <definedName name="stype2slab22" localSheetId="11">#REF!</definedName>
    <definedName name="stype2slab22" localSheetId="9">#REF!</definedName>
    <definedName name="stype2slab22" localSheetId="18">#REF!</definedName>
    <definedName name="stype2slab22" localSheetId="15">#REF!</definedName>
    <definedName name="stype2slab22" localSheetId="7">#REF!</definedName>
    <definedName name="stype2slab22">#REF!</definedName>
    <definedName name="STYPE2SLAB23" localSheetId="12">#REF!</definedName>
    <definedName name="STYPE2SLAB23" localSheetId="0">#REF!</definedName>
    <definedName name="STYPE2SLAB23" localSheetId="1">#REF!</definedName>
    <definedName name="STYPE2SLAB23" localSheetId="8">#REF!</definedName>
    <definedName name="STYPE2SLAB23" localSheetId="11">#REF!</definedName>
    <definedName name="STYPE2SLAB23" localSheetId="9">#REF!</definedName>
    <definedName name="STYPE2SLAB23" localSheetId="18">#REF!</definedName>
    <definedName name="STYPE2SLAB23" localSheetId="15">#REF!</definedName>
    <definedName name="STYPE2SLAB23" localSheetId="7">#REF!</definedName>
    <definedName name="STYPE2SLAB23">#REF!</definedName>
    <definedName name="stype2slab3" localSheetId="12">#REF!</definedName>
    <definedName name="stype2slab3" localSheetId="0">#REF!</definedName>
    <definedName name="stype2slab3" localSheetId="1">#REF!</definedName>
    <definedName name="stype2slab3" localSheetId="8">#REF!</definedName>
    <definedName name="stype2slab3" localSheetId="11">#REF!</definedName>
    <definedName name="stype2slab3" localSheetId="9">#REF!</definedName>
    <definedName name="stype2slab3" localSheetId="18">#REF!</definedName>
    <definedName name="stype2slab3" localSheetId="15">#REF!</definedName>
    <definedName name="stype2slab3" localSheetId="7">#REF!</definedName>
    <definedName name="stype2slab3">#REF!</definedName>
    <definedName name="stype2slab6" localSheetId="12">#REF!</definedName>
    <definedName name="stype2slab6" localSheetId="0">#REF!</definedName>
    <definedName name="stype2slab6" localSheetId="1">#REF!</definedName>
    <definedName name="stype2slab6" localSheetId="8">#REF!</definedName>
    <definedName name="stype2slab6" localSheetId="11">#REF!</definedName>
    <definedName name="stype2slab6" localSheetId="9">#REF!</definedName>
    <definedName name="stype2slab6" localSheetId="18">#REF!</definedName>
    <definedName name="stype2slab6" localSheetId="15">#REF!</definedName>
    <definedName name="stype2slab6" localSheetId="7">#REF!</definedName>
    <definedName name="stype2slab6">#REF!</definedName>
    <definedName name="stype3drop" localSheetId="12">#REF!</definedName>
    <definedName name="stype3drop" localSheetId="0">#REF!</definedName>
    <definedName name="stype3drop" localSheetId="1">#REF!</definedName>
    <definedName name="stype3drop" localSheetId="8">#REF!</definedName>
    <definedName name="stype3drop" localSheetId="11">#REF!</definedName>
    <definedName name="stype3drop" localSheetId="9">#REF!</definedName>
    <definedName name="stype3drop" localSheetId="18">#REF!</definedName>
    <definedName name="stype3drop" localSheetId="15">#REF!</definedName>
    <definedName name="stype3drop" localSheetId="7">#REF!</definedName>
    <definedName name="stype3drop">#REF!</definedName>
    <definedName name="STYPE3DROP2" localSheetId="12">#REF!</definedName>
    <definedName name="STYPE3DROP2" localSheetId="0">#REF!</definedName>
    <definedName name="STYPE3DROP2" localSheetId="1">#REF!</definedName>
    <definedName name="STYPE3DROP2" localSheetId="8">#REF!</definedName>
    <definedName name="STYPE3DROP2" localSheetId="11">#REF!</definedName>
    <definedName name="STYPE3DROP2" localSheetId="9">#REF!</definedName>
    <definedName name="STYPE3DROP2" localSheetId="18">#REF!</definedName>
    <definedName name="STYPE3DROP2" localSheetId="15">#REF!</definedName>
    <definedName name="STYPE3DROP2" localSheetId="7">#REF!</definedName>
    <definedName name="STYPE3DROP2">#REF!</definedName>
    <definedName name="STYPE3DROP21" localSheetId="12">#REF!</definedName>
    <definedName name="STYPE3DROP21" localSheetId="0">#REF!</definedName>
    <definedName name="STYPE3DROP21" localSheetId="1">#REF!</definedName>
    <definedName name="STYPE3DROP21" localSheetId="8">#REF!</definedName>
    <definedName name="STYPE3DROP21" localSheetId="11">#REF!</definedName>
    <definedName name="STYPE3DROP21" localSheetId="9">#REF!</definedName>
    <definedName name="STYPE3DROP21" localSheetId="18">#REF!</definedName>
    <definedName name="STYPE3DROP21" localSheetId="15">#REF!</definedName>
    <definedName name="STYPE3DROP21" localSheetId="7">#REF!</definedName>
    <definedName name="STYPE3DROP21">#REF!</definedName>
    <definedName name="STYPE3DROP23" localSheetId="12">#REF!</definedName>
    <definedName name="STYPE3DROP23" localSheetId="0">#REF!</definedName>
    <definedName name="STYPE3DROP23" localSheetId="1">#REF!</definedName>
    <definedName name="STYPE3DROP23" localSheetId="8">#REF!</definedName>
    <definedName name="STYPE3DROP23" localSheetId="11">#REF!</definedName>
    <definedName name="STYPE3DROP23" localSheetId="9">#REF!</definedName>
    <definedName name="STYPE3DROP23" localSheetId="18">#REF!</definedName>
    <definedName name="STYPE3DROP23" localSheetId="15">#REF!</definedName>
    <definedName name="STYPE3DROP23" localSheetId="7">#REF!</definedName>
    <definedName name="STYPE3DROP23">#REF!</definedName>
    <definedName name="stype3drop3" localSheetId="12">#REF!</definedName>
    <definedName name="stype3drop3" localSheetId="0">#REF!</definedName>
    <definedName name="stype3drop3" localSheetId="1">#REF!</definedName>
    <definedName name="stype3drop3" localSheetId="8">#REF!</definedName>
    <definedName name="stype3drop3" localSheetId="11">#REF!</definedName>
    <definedName name="stype3drop3" localSheetId="9">#REF!</definedName>
    <definedName name="stype3drop3" localSheetId="18">#REF!</definedName>
    <definedName name="stype3drop3" localSheetId="15">#REF!</definedName>
    <definedName name="stype3drop3" localSheetId="7">#REF!</definedName>
    <definedName name="stype3drop3">#REF!</definedName>
    <definedName name="stype3drop33" localSheetId="12">#REF!</definedName>
    <definedName name="stype3drop33" localSheetId="0">#REF!</definedName>
    <definedName name="stype3drop33" localSheetId="1">#REF!</definedName>
    <definedName name="stype3drop33" localSheetId="8">#REF!</definedName>
    <definedName name="stype3drop33" localSheetId="11">#REF!</definedName>
    <definedName name="stype3drop33" localSheetId="9">#REF!</definedName>
    <definedName name="stype3drop33" localSheetId="18">#REF!</definedName>
    <definedName name="stype3drop33" localSheetId="15">#REF!</definedName>
    <definedName name="stype3drop33" localSheetId="7">#REF!</definedName>
    <definedName name="stype3drop33">#REF!</definedName>
    <definedName name="STYPE3DROP4" localSheetId="12">#REF!</definedName>
    <definedName name="STYPE3DROP4" localSheetId="0">#REF!</definedName>
    <definedName name="STYPE3DROP4" localSheetId="1">#REF!</definedName>
    <definedName name="STYPE3DROP4" localSheetId="8">#REF!</definedName>
    <definedName name="STYPE3DROP4" localSheetId="11">#REF!</definedName>
    <definedName name="STYPE3DROP4" localSheetId="9">#REF!</definedName>
    <definedName name="STYPE3DROP4" localSheetId="18">#REF!</definedName>
    <definedName name="STYPE3DROP4" localSheetId="15">#REF!</definedName>
    <definedName name="STYPE3DROP4" localSheetId="7">#REF!</definedName>
    <definedName name="STYPE3DROP4">#REF!</definedName>
    <definedName name="stype3drop6" localSheetId="12">#REF!</definedName>
    <definedName name="stype3drop6" localSheetId="0">#REF!</definedName>
    <definedName name="stype3drop6" localSheetId="1">#REF!</definedName>
    <definedName name="stype3drop6" localSheetId="8">#REF!</definedName>
    <definedName name="stype3drop6" localSheetId="11">#REF!</definedName>
    <definedName name="stype3drop6" localSheetId="9">#REF!</definedName>
    <definedName name="stype3drop6" localSheetId="18">#REF!</definedName>
    <definedName name="stype3drop6" localSheetId="15">#REF!</definedName>
    <definedName name="stype3drop6" localSheetId="7">#REF!</definedName>
    <definedName name="stype3drop6">#REF!</definedName>
    <definedName name="stype3slab" localSheetId="12">#REF!</definedName>
    <definedName name="stype3slab" localSheetId="0">#REF!</definedName>
    <definedName name="stype3slab" localSheetId="1">#REF!</definedName>
    <definedName name="stype3slab" localSheetId="8">#REF!</definedName>
    <definedName name="stype3slab" localSheetId="11">#REF!</definedName>
    <definedName name="stype3slab" localSheetId="9">#REF!</definedName>
    <definedName name="stype3slab" localSheetId="18">#REF!</definedName>
    <definedName name="stype3slab" localSheetId="15">#REF!</definedName>
    <definedName name="stype3slab" localSheetId="7">#REF!</definedName>
    <definedName name="stype3slab">#REF!</definedName>
    <definedName name="STYPE3SLAB1" localSheetId="12">#REF!</definedName>
    <definedName name="STYPE3SLAB1" localSheetId="0">#REF!</definedName>
    <definedName name="STYPE3SLAB1" localSheetId="1">#REF!</definedName>
    <definedName name="STYPE3SLAB1" localSheetId="8">#REF!</definedName>
    <definedName name="STYPE3SLAB1" localSheetId="11">#REF!</definedName>
    <definedName name="STYPE3SLAB1" localSheetId="9">#REF!</definedName>
    <definedName name="STYPE3SLAB1" localSheetId="18">#REF!</definedName>
    <definedName name="STYPE3SLAB1" localSheetId="15">#REF!</definedName>
    <definedName name="STYPE3SLAB1" localSheetId="7">#REF!</definedName>
    <definedName name="STYPE3SLAB1">#REF!</definedName>
    <definedName name="STYPE3SLAB12" localSheetId="12">#REF!</definedName>
    <definedName name="STYPE3SLAB12" localSheetId="0">#REF!</definedName>
    <definedName name="STYPE3SLAB12" localSheetId="1">#REF!</definedName>
    <definedName name="STYPE3SLAB12" localSheetId="8">#REF!</definedName>
    <definedName name="STYPE3SLAB12" localSheetId="11">#REF!</definedName>
    <definedName name="STYPE3SLAB12" localSheetId="9">#REF!</definedName>
    <definedName name="STYPE3SLAB12" localSheetId="18">#REF!</definedName>
    <definedName name="STYPE3SLAB12" localSheetId="15">#REF!</definedName>
    <definedName name="STYPE3SLAB12" localSheetId="7">#REF!</definedName>
    <definedName name="STYPE3SLAB12">#REF!</definedName>
    <definedName name="STYPE3SLAB13" localSheetId="12">#REF!</definedName>
    <definedName name="STYPE3SLAB13" localSheetId="0">#REF!</definedName>
    <definedName name="STYPE3SLAB13" localSheetId="1">#REF!</definedName>
    <definedName name="STYPE3SLAB13" localSheetId="8">#REF!</definedName>
    <definedName name="STYPE3SLAB13" localSheetId="11">#REF!</definedName>
    <definedName name="STYPE3SLAB13" localSheetId="9">#REF!</definedName>
    <definedName name="STYPE3SLAB13" localSheetId="18">#REF!</definedName>
    <definedName name="STYPE3SLAB13" localSheetId="15">#REF!</definedName>
    <definedName name="STYPE3SLAB13" localSheetId="7">#REF!</definedName>
    <definedName name="STYPE3SLAB13">#REF!</definedName>
    <definedName name="stype3slab22" localSheetId="12">#REF!</definedName>
    <definedName name="stype3slab22" localSheetId="0">#REF!</definedName>
    <definedName name="stype3slab22" localSheetId="1">#REF!</definedName>
    <definedName name="stype3slab22" localSheetId="8">#REF!</definedName>
    <definedName name="stype3slab22" localSheetId="11">#REF!</definedName>
    <definedName name="stype3slab22" localSheetId="9">#REF!</definedName>
    <definedName name="stype3slab22" localSheetId="18">#REF!</definedName>
    <definedName name="stype3slab22" localSheetId="15">#REF!</definedName>
    <definedName name="stype3slab22" localSheetId="7">#REF!</definedName>
    <definedName name="stype3slab22">#REF!</definedName>
    <definedName name="STYPE3SLAB23" localSheetId="12">#REF!</definedName>
    <definedName name="STYPE3SLAB23" localSheetId="0">#REF!</definedName>
    <definedName name="STYPE3SLAB23" localSheetId="1">#REF!</definedName>
    <definedName name="STYPE3SLAB23" localSheetId="8">#REF!</definedName>
    <definedName name="STYPE3SLAB23" localSheetId="11">#REF!</definedName>
    <definedName name="STYPE3SLAB23" localSheetId="9">#REF!</definedName>
    <definedName name="STYPE3SLAB23" localSheetId="18">#REF!</definedName>
    <definedName name="STYPE3SLAB23" localSheetId="15">#REF!</definedName>
    <definedName name="STYPE3SLAB23" localSheetId="7">#REF!</definedName>
    <definedName name="STYPE3SLAB23">#REF!</definedName>
    <definedName name="stype3slab3" localSheetId="12">#REF!</definedName>
    <definedName name="stype3slab3" localSheetId="0">#REF!</definedName>
    <definedName name="stype3slab3" localSheetId="1">#REF!</definedName>
    <definedName name="stype3slab3" localSheetId="8">#REF!</definedName>
    <definedName name="stype3slab3" localSheetId="11">#REF!</definedName>
    <definedName name="stype3slab3" localSheetId="9">#REF!</definedName>
    <definedName name="stype3slab3" localSheetId="18">#REF!</definedName>
    <definedName name="stype3slab3" localSheetId="15">#REF!</definedName>
    <definedName name="stype3slab3" localSheetId="7">#REF!</definedName>
    <definedName name="stype3slab3">#REF!</definedName>
    <definedName name="stype3slab6" localSheetId="12">#REF!</definedName>
    <definedName name="stype3slab6" localSheetId="0">#REF!</definedName>
    <definedName name="stype3slab6" localSheetId="1">#REF!</definedName>
    <definedName name="stype3slab6" localSheetId="8">#REF!</definedName>
    <definedName name="stype3slab6" localSheetId="11">#REF!</definedName>
    <definedName name="stype3slab6" localSheetId="9">#REF!</definedName>
    <definedName name="stype3slab6" localSheetId="18">#REF!</definedName>
    <definedName name="stype3slab6" localSheetId="15">#REF!</definedName>
    <definedName name="stype3slab6" localSheetId="7">#REF!</definedName>
    <definedName name="stype3slab6">#REF!</definedName>
    <definedName name="Subject" localSheetId="12">#REF!</definedName>
    <definedName name="Subject" localSheetId="0">#REF!</definedName>
    <definedName name="Subject" localSheetId="1">#REF!</definedName>
    <definedName name="Subject" localSheetId="8">#REF!</definedName>
    <definedName name="Subject" localSheetId="11">#REF!</definedName>
    <definedName name="Subject" localSheetId="9">#REF!</definedName>
    <definedName name="Subject" localSheetId="18">#REF!</definedName>
    <definedName name="Subject" localSheetId="15">#REF!</definedName>
    <definedName name="Subject" localSheetId="7">#REF!</definedName>
    <definedName name="Subject">#REF!</definedName>
    <definedName name="substructure" localSheetId="12">#REF!</definedName>
    <definedName name="substructure" localSheetId="8">#REF!</definedName>
    <definedName name="substructure" localSheetId="11">#REF!</definedName>
    <definedName name="substructure" localSheetId="9">#REF!</definedName>
    <definedName name="substructure" localSheetId="18">#REF!</definedName>
    <definedName name="substructure" localSheetId="15">#REF!</definedName>
    <definedName name="substructure" localSheetId="7">#REF!</definedName>
    <definedName name="substructure">#REF!</definedName>
    <definedName name="succ" localSheetId="12" hidden="1">{#N/A,#N/A,FALSE,"COVER1.XLS ";#N/A,#N/A,FALSE,"RACT1.XLS";#N/A,#N/A,FALSE,"RACT2.XLS";#N/A,#N/A,FALSE,"ECCMP";#N/A,#N/A,FALSE,"WELDER.XLS"}</definedName>
    <definedName name="succ" localSheetId="6" hidden="1">{#N/A,#N/A,FALSE,"COVER1.XLS ";#N/A,#N/A,FALSE,"RACT1.XLS";#N/A,#N/A,FALSE,"RACT2.XLS";#N/A,#N/A,FALSE,"ECCMP";#N/A,#N/A,FALSE,"WELDER.XLS"}</definedName>
    <definedName name="succ" localSheetId="5" hidden="1">{#N/A,#N/A,FALSE,"COVER1.XLS ";#N/A,#N/A,FALSE,"RACT1.XLS";#N/A,#N/A,FALSE,"RACT2.XLS";#N/A,#N/A,FALSE,"ECCMP";#N/A,#N/A,FALSE,"WELDER.XLS"}</definedName>
    <definedName name="succ" localSheetId="8" hidden="1">{#N/A,#N/A,FALSE,"COVER1.XLS ";#N/A,#N/A,FALSE,"RACT1.XLS";#N/A,#N/A,FALSE,"RACT2.XLS";#N/A,#N/A,FALSE,"ECCMP";#N/A,#N/A,FALSE,"WELDER.XLS"}</definedName>
    <definedName name="succ" localSheetId="11" hidden="1">{#N/A,#N/A,FALSE,"COVER1.XLS ";#N/A,#N/A,FALSE,"RACT1.XLS";#N/A,#N/A,FALSE,"RACT2.XLS";#N/A,#N/A,FALSE,"ECCMP";#N/A,#N/A,FALSE,"WELDER.XLS"}</definedName>
    <definedName name="succ" localSheetId="9" hidden="1">{#N/A,#N/A,FALSE,"COVER1.XLS ";#N/A,#N/A,FALSE,"RACT1.XLS";#N/A,#N/A,FALSE,"RACT2.XLS";#N/A,#N/A,FALSE,"ECCMP";#N/A,#N/A,FALSE,"WELDER.XLS"}</definedName>
    <definedName name="succ" localSheetId="13" hidden="1">{#N/A,#N/A,FALSE,"COVER1.XLS ";#N/A,#N/A,FALSE,"RACT1.XLS";#N/A,#N/A,FALSE,"RACT2.XLS";#N/A,#N/A,FALSE,"ECCMP";#N/A,#N/A,FALSE,"WELDER.XLS"}</definedName>
    <definedName name="succ" localSheetId="18" hidden="1">{#N/A,#N/A,FALSE,"COVER1.XLS ";#N/A,#N/A,FALSE,"RACT1.XLS";#N/A,#N/A,FALSE,"RACT2.XLS";#N/A,#N/A,FALSE,"ECCMP";#N/A,#N/A,FALSE,"WELDER.XLS"}</definedName>
    <definedName name="succ" localSheetId="15" hidden="1">{#N/A,#N/A,FALSE,"COVER1.XLS ";#N/A,#N/A,FALSE,"RACT1.XLS";#N/A,#N/A,FALSE,"RACT2.XLS";#N/A,#N/A,FALSE,"ECCMP";#N/A,#N/A,FALSE,"WELDER.XLS"}</definedName>
    <definedName name="succ" localSheetId="7" hidden="1">{#N/A,#N/A,FALSE,"COVER1.XLS ";#N/A,#N/A,FALSE,"RACT1.XLS";#N/A,#N/A,FALSE,"RACT2.XLS";#N/A,#N/A,FALSE,"ECCMP";#N/A,#N/A,FALSE,"WELDER.XLS"}</definedName>
    <definedName name="succ" hidden="1">{#N/A,#N/A,FALSE,"COVER1.XLS ";#N/A,#N/A,FALSE,"RACT1.XLS";#N/A,#N/A,FALSE,"RACT2.XLS";#N/A,#N/A,FALSE,"ECCMP";#N/A,#N/A,FALSE,"WELDER.XLS"}</definedName>
    <definedName name="summary" localSheetId="12">#REF!</definedName>
    <definedName name="summary" localSheetId="6">#REF!</definedName>
    <definedName name="summary" localSheetId="5">#REF!</definedName>
    <definedName name="summary" localSheetId="8">#REF!</definedName>
    <definedName name="summary" localSheetId="11">#REF!</definedName>
    <definedName name="summary" localSheetId="9">#REF!</definedName>
    <definedName name="summary" localSheetId="18">#REF!</definedName>
    <definedName name="summary" localSheetId="15">#REF!</definedName>
    <definedName name="summary" localSheetId="7">#REF!</definedName>
    <definedName name="summary">#REF!</definedName>
    <definedName name="superstructure" localSheetId="12">#REF!</definedName>
    <definedName name="superstructure" localSheetId="6">#REF!</definedName>
    <definedName name="superstructure" localSheetId="5">#REF!</definedName>
    <definedName name="superstructure" localSheetId="8">#REF!</definedName>
    <definedName name="superstructure" localSheetId="11">#REF!</definedName>
    <definedName name="superstructure" localSheetId="9">#REF!</definedName>
    <definedName name="superstructure" localSheetId="18">#REF!</definedName>
    <definedName name="superstructure" localSheetId="15">#REF!</definedName>
    <definedName name="superstructure" localSheetId="7">#REF!</definedName>
    <definedName name="superstructure">#REF!</definedName>
    <definedName name="surf" localSheetId="12">#REF!</definedName>
    <definedName name="surf" localSheetId="6">#REF!</definedName>
    <definedName name="surf" localSheetId="5">#REF!</definedName>
    <definedName name="surf" localSheetId="8">#REF!</definedName>
    <definedName name="surf" localSheetId="11">#REF!</definedName>
    <definedName name="surf" localSheetId="9">#REF!</definedName>
    <definedName name="surf" localSheetId="18">#REF!</definedName>
    <definedName name="surf" localSheetId="15">#REF!</definedName>
    <definedName name="surf" localSheetId="7">#REF!</definedName>
    <definedName name="surf">#REF!</definedName>
    <definedName name="SURYA" localSheetId="12">#REF!</definedName>
    <definedName name="SURYA" localSheetId="8">#REF!</definedName>
    <definedName name="SURYA" localSheetId="11">#REF!</definedName>
    <definedName name="SURYA" localSheetId="9">#REF!</definedName>
    <definedName name="SURYA" localSheetId="18">#REF!</definedName>
    <definedName name="SURYA" localSheetId="15">#REF!</definedName>
    <definedName name="SURYA" localSheetId="7">#REF!</definedName>
    <definedName name="SURYA">#REF!</definedName>
    <definedName name="SWALL" localSheetId="12">#REF!</definedName>
    <definedName name="SWALL" localSheetId="0">#REF!</definedName>
    <definedName name="SWALL" localSheetId="1">#REF!</definedName>
    <definedName name="SWALL" localSheetId="8">#REF!</definedName>
    <definedName name="SWALL" localSheetId="11">#REF!</definedName>
    <definedName name="SWALL" localSheetId="9">#REF!</definedName>
    <definedName name="SWALL" localSheetId="18">#REF!</definedName>
    <definedName name="SWALL" localSheetId="15">#REF!</definedName>
    <definedName name="SWALL" localSheetId="7">#REF!</definedName>
    <definedName name="SWALL">#REF!</definedName>
    <definedName name="sweep" localSheetId="12">#REF!</definedName>
    <definedName name="sweep" localSheetId="8">#REF!</definedName>
    <definedName name="sweep" localSheetId="11">#REF!</definedName>
    <definedName name="sweep" localSheetId="9">#REF!</definedName>
    <definedName name="sweep" localSheetId="18">#REF!</definedName>
    <definedName name="sweep" localSheetId="15">#REF!</definedName>
    <definedName name="sweep" localSheetId="7">#REF!</definedName>
    <definedName name="sweep">#REF!</definedName>
    <definedName name="swf" localSheetId="12">#REF!</definedName>
    <definedName name="swf" localSheetId="0">#REF!</definedName>
    <definedName name="swf" localSheetId="1">#REF!</definedName>
    <definedName name="swf" localSheetId="8">#REF!</definedName>
    <definedName name="swf" localSheetId="11">#REF!</definedName>
    <definedName name="swf" localSheetId="9">#REF!</definedName>
    <definedName name="swf" localSheetId="18">#REF!</definedName>
    <definedName name="swf" localSheetId="15">#REF!</definedName>
    <definedName name="swf" localSheetId="7">#REF!</definedName>
    <definedName name="swf">#REF!</definedName>
    <definedName name="SYN" localSheetId="12">#REF!</definedName>
    <definedName name="SYN" localSheetId="8">#REF!</definedName>
    <definedName name="SYN" localSheetId="11">#REF!</definedName>
    <definedName name="SYN" localSheetId="9">#REF!</definedName>
    <definedName name="SYN" localSheetId="18">#REF!</definedName>
    <definedName name="SYN" localSheetId="15">#REF!</definedName>
    <definedName name="SYN" localSheetId="7">#REF!</definedName>
    <definedName name="SYN">#REF!</definedName>
    <definedName name="T">#N/A</definedName>
    <definedName name="t___0" localSheetId="12">#REF!</definedName>
    <definedName name="t___0" localSheetId="6">#REF!</definedName>
    <definedName name="t___0" localSheetId="5">#REF!</definedName>
    <definedName name="t___0" localSheetId="8">#REF!</definedName>
    <definedName name="t___0" localSheetId="11">#REF!</definedName>
    <definedName name="t___0" localSheetId="9">#REF!</definedName>
    <definedName name="t___0" localSheetId="18">#REF!</definedName>
    <definedName name="t___0" localSheetId="15">#REF!</definedName>
    <definedName name="t___0" localSheetId="7">#REF!</definedName>
    <definedName name="t___0">#REF!</definedName>
    <definedName name="t___13" localSheetId="12">#REF!</definedName>
    <definedName name="t___13" localSheetId="6">#REF!</definedName>
    <definedName name="t___13" localSheetId="5">#REF!</definedName>
    <definedName name="t___13" localSheetId="8">#REF!</definedName>
    <definedName name="t___13" localSheetId="11">#REF!</definedName>
    <definedName name="t___13" localSheetId="9">#REF!</definedName>
    <definedName name="t___13" localSheetId="18">#REF!</definedName>
    <definedName name="t___13" localSheetId="15">#REF!</definedName>
    <definedName name="t___13" localSheetId="7">#REF!</definedName>
    <definedName name="t___13">#REF!</definedName>
    <definedName name="T0" localSheetId="12">#REF!</definedName>
    <definedName name="T0" localSheetId="6">#REF!</definedName>
    <definedName name="T0" localSheetId="5">#REF!</definedName>
    <definedName name="T0" localSheetId="8">#REF!</definedName>
    <definedName name="T0" localSheetId="11">#REF!</definedName>
    <definedName name="T0" localSheetId="9">#REF!</definedName>
    <definedName name="T0" localSheetId="18">#REF!</definedName>
    <definedName name="T0" localSheetId="15">#REF!</definedName>
    <definedName name="T0" localSheetId="7">#REF!</definedName>
    <definedName name="T0">#REF!</definedName>
    <definedName name="Table" localSheetId="12">#REF!</definedName>
    <definedName name="Table" localSheetId="8">#REF!</definedName>
    <definedName name="Table" localSheetId="11">#REF!</definedName>
    <definedName name="Table" localSheetId="9">#REF!</definedName>
    <definedName name="Table" localSheetId="18">#REF!</definedName>
    <definedName name="Table" localSheetId="15">#REF!</definedName>
    <definedName name="Table" localSheetId="7">#REF!</definedName>
    <definedName name="Table">#REF!</definedName>
    <definedName name="table1" localSheetId="12">#REF!</definedName>
    <definedName name="table1" localSheetId="8">#REF!</definedName>
    <definedName name="table1" localSheetId="11">#REF!</definedName>
    <definedName name="table1" localSheetId="9">#REF!</definedName>
    <definedName name="table1" localSheetId="18">#REF!</definedName>
    <definedName name="table1" localSheetId="15">#REF!</definedName>
    <definedName name="table1" localSheetId="7">#REF!</definedName>
    <definedName name="table1">#REF!</definedName>
    <definedName name="TABLE2" localSheetId="12">#REF!</definedName>
    <definedName name="TABLE2" localSheetId="0">#REF!</definedName>
    <definedName name="TABLE2" localSheetId="1">#REF!</definedName>
    <definedName name="TABLE2" localSheetId="8">#REF!</definedName>
    <definedName name="TABLE2" localSheetId="11">#REF!</definedName>
    <definedName name="TABLE2" localSheetId="9">#REF!</definedName>
    <definedName name="TABLE2" localSheetId="18">#REF!</definedName>
    <definedName name="TABLE2" localSheetId="15">#REF!</definedName>
    <definedName name="TABLE2" localSheetId="7">#REF!</definedName>
    <definedName name="TABLE2">#REF!</definedName>
    <definedName name="TableRange" localSheetId="12">#REF!</definedName>
    <definedName name="TableRange" localSheetId="0">#REF!</definedName>
    <definedName name="TableRange" localSheetId="1">#REF!</definedName>
    <definedName name="TableRange" localSheetId="8">#REF!</definedName>
    <definedName name="TableRange" localSheetId="11">#REF!</definedName>
    <definedName name="TableRange" localSheetId="9">#REF!</definedName>
    <definedName name="TableRange" localSheetId="18">#REF!</definedName>
    <definedName name="TableRange" localSheetId="15">#REF!</definedName>
    <definedName name="TableRange" localSheetId="7">#REF!</definedName>
    <definedName name="TableRange">#REF!</definedName>
    <definedName name="tac_labor" localSheetId="12">#REF!</definedName>
    <definedName name="tac_labor" localSheetId="8">#REF!</definedName>
    <definedName name="tac_labor" localSheetId="11">#REF!</definedName>
    <definedName name="tac_labor" localSheetId="9">#REF!</definedName>
    <definedName name="tac_labor" localSheetId="18">#REF!</definedName>
    <definedName name="tac_labor" localSheetId="15">#REF!</definedName>
    <definedName name="tac_labor" localSheetId="7">#REF!</definedName>
    <definedName name="tac_labor">#REF!</definedName>
    <definedName name="tac_matl" localSheetId="12">#REF!</definedName>
    <definedName name="tac_matl" localSheetId="8">#REF!</definedName>
    <definedName name="tac_matl" localSheetId="11">#REF!</definedName>
    <definedName name="tac_matl" localSheetId="9">#REF!</definedName>
    <definedName name="tac_matl" localSheetId="18">#REF!</definedName>
    <definedName name="tac_matl" localSheetId="15">#REF!</definedName>
    <definedName name="tac_matl" localSheetId="7">#REF!</definedName>
    <definedName name="tac_matl">#REF!</definedName>
    <definedName name="TAMT" localSheetId="12">#REF!</definedName>
    <definedName name="TAMT" localSheetId="8">#REF!</definedName>
    <definedName name="TAMT" localSheetId="11">#REF!</definedName>
    <definedName name="TAMT" localSheetId="9">#REF!</definedName>
    <definedName name="TAMT" localSheetId="18">#REF!</definedName>
    <definedName name="TAMT" localSheetId="15">#REF!</definedName>
    <definedName name="TAMT" localSheetId="7">#REF!</definedName>
    <definedName name="TAMT">#REF!</definedName>
    <definedName name="tank" localSheetId="12">#REF!</definedName>
    <definedName name="tank" localSheetId="8">#REF!</definedName>
    <definedName name="tank" localSheetId="11">#REF!</definedName>
    <definedName name="tank" localSheetId="9">#REF!</definedName>
    <definedName name="tank" localSheetId="18">#REF!</definedName>
    <definedName name="tank" localSheetId="15">#REF!</definedName>
    <definedName name="tank" localSheetId="7">#REF!</definedName>
    <definedName name="tank">#REF!</definedName>
    <definedName name="tarar"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xTV">10%</definedName>
    <definedName name="TaxXL">5%</definedName>
    <definedName name="TECHI" localSheetId="12">#REF!</definedName>
    <definedName name="TECHI" localSheetId="6">#REF!</definedName>
    <definedName name="TECHI" localSheetId="5">#REF!</definedName>
    <definedName name="TECHI" localSheetId="8">#REF!</definedName>
    <definedName name="TECHI" localSheetId="11">#REF!</definedName>
    <definedName name="TECHI" localSheetId="9">#REF!</definedName>
    <definedName name="TECHI" localSheetId="18">#REF!</definedName>
    <definedName name="TECHI" localSheetId="15">#REF!</definedName>
    <definedName name="TECHI" localSheetId="7">#REF!</definedName>
    <definedName name="TECHI">#REF!</definedName>
    <definedName name="TEI" localSheetId="12">#REF!</definedName>
    <definedName name="TEI" localSheetId="6">#REF!</definedName>
    <definedName name="TEI" localSheetId="5">#REF!</definedName>
    <definedName name="TEI" localSheetId="8">#REF!</definedName>
    <definedName name="TEI" localSheetId="11">#REF!</definedName>
    <definedName name="TEI" localSheetId="9">#REF!</definedName>
    <definedName name="TEI" localSheetId="18">#REF!</definedName>
    <definedName name="TEI" localSheetId="15">#REF!</definedName>
    <definedName name="TEI" localSheetId="7">#REF!</definedName>
    <definedName name="TEI">#REF!</definedName>
    <definedName name="telephonepoles" localSheetId="12">#REF!</definedName>
    <definedName name="telephonepoles" localSheetId="6">#REF!</definedName>
    <definedName name="telephonepoles" localSheetId="5">#REF!</definedName>
    <definedName name="telephonepoles" localSheetId="8">#REF!</definedName>
    <definedName name="telephonepoles" localSheetId="11">#REF!</definedName>
    <definedName name="telephonepoles" localSheetId="9">#REF!</definedName>
    <definedName name="telephonepoles" localSheetId="18">#REF!</definedName>
    <definedName name="telephonepoles" localSheetId="15">#REF!</definedName>
    <definedName name="telephonepoles" localSheetId="7">#REF!</definedName>
    <definedName name="telephonepoles">#REF!</definedName>
    <definedName name="tem" localSheetId="12" hidden="1">{#N/A,#N/A,TRUE,"Front";#N/A,#N/A,TRUE,"Simple Letter";#N/A,#N/A,TRUE,"Inside";#N/A,#N/A,TRUE,"Contents";#N/A,#N/A,TRUE,"Basis";#N/A,#N/A,TRUE,"Inclusions";#N/A,#N/A,TRUE,"Exclusions";#N/A,#N/A,TRUE,"Areas";#N/A,#N/A,TRUE,"Summary";#N/A,#N/A,TRUE,"Detail"}</definedName>
    <definedName name="tem" localSheetId="6" hidden="1">{#N/A,#N/A,TRUE,"Front";#N/A,#N/A,TRUE,"Simple Letter";#N/A,#N/A,TRUE,"Inside";#N/A,#N/A,TRUE,"Contents";#N/A,#N/A,TRUE,"Basis";#N/A,#N/A,TRUE,"Inclusions";#N/A,#N/A,TRUE,"Exclusions";#N/A,#N/A,TRUE,"Areas";#N/A,#N/A,TRUE,"Summary";#N/A,#N/A,TRUE,"Detail"}</definedName>
    <definedName name="tem" localSheetId="5" hidden="1">{#N/A,#N/A,TRUE,"Front";#N/A,#N/A,TRUE,"Simple Letter";#N/A,#N/A,TRUE,"Inside";#N/A,#N/A,TRUE,"Contents";#N/A,#N/A,TRUE,"Basis";#N/A,#N/A,TRUE,"Inclusions";#N/A,#N/A,TRUE,"Exclusions";#N/A,#N/A,TRUE,"Areas";#N/A,#N/A,TRUE,"Summary";#N/A,#N/A,TRUE,"Detail"}</definedName>
    <definedName name="tem" localSheetId="8" hidden="1">{#N/A,#N/A,TRUE,"Front";#N/A,#N/A,TRUE,"Simple Letter";#N/A,#N/A,TRUE,"Inside";#N/A,#N/A,TRUE,"Contents";#N/A,#N/A,TRUE,"Basis";#N/A,#N/A,TRUE,"Inclusions";#N/A,#N/A,TRUE,"Exclusions";#N/A,#N/A,TRUE,"Areas";#N/A,#N/A,TRUE,"Summary";#N/A,#N/A,TRUE,"Detail"}</definedName>
    <definedName name="tem" localSheetId="11" hidden="1">{#N/A,#N/A,TRUE,"Front";#N/A,#N/A,TRUE,"Simple Letter";#N/A,#N/A,TRUE,"Inside";#N/A,#N/A,TRUE,"Contents";#N/A,#N/A,TRUE,"Basis";#N/A,#N/A,TRUE,"Inclusions";#N/A,#N/A,TRUE,"Exclusions";#N/A,#N/A,TRUE,"Areas";#N/A,#N/A,TRUE,"Summary";#N/A,#N/A,TRUE,"Detail"}</definedName>
    <definedName name="tem" localSheetId="9" hidden="1">{#N/A,#N/A,TRUE,"Front";#N/A,#N/A,TRUE,"Simple Letter";#N/A,#N/A,TRUE,"Inside";#N/A,#N/A,TRUE,"Contents";#N/A,#N/A,TRUE,"Basis";#N/A,#N/A,TRUE,"Inclusions";#N/A,#N/A,TRUE,"Exclusions";#N/A,#N/A,TRUE,"Areas";#N/A,#N/A,TRUE,"Summary";#N/A,#N/A,TRUE,"Detail"}</definedName>
    <definedName name="tem" localSheetId="13" hidden="1">{#N/A,#N/A,TRUE,"Front";#N/A,#N/A,TRUE,"Simple Letter";#N/A,#N/A,TRUE,"Inside";#N/A,#N/A,TRUE,"Contents";#N/A,#N/A,TRUE,"Basis";#N/A,#N/A,TRUE,"Inclusions";#N/A,#N/A,TRUE,"Exclusions";#N/A,#N/A,TRUE,"Areas";#N/A,#N/A,TRUE,"Summary";#N/A,#N/A,TRUE,"Detail"}</definedName>
    <definedName name="tem" localSheetId="18" hidden="1">{#N/A,#N/A,TRUE,"Front";#N/A,#N/A,TRUE,"Simple Letter";#N/A,#N/A,TRUE,"Inside";#N/A,#N/A,TRUE,"Contents";#N/A,#N/A,TRUE,"Basis";#N/A,#N/A,TRUE,"Inclusions";#N/A,#N/A,TRUE,"Exclusions";#N/A,#N/A,TRUE,"Areas";#N/A,#N/A,TRUE,"Summary";#N/A,#N/A,TRUE,"Detail"}</definedName>
    <definedName name="tem" localSheetId="15" hidden="1">{#N/A,#N/A,TRUE,"Front";#N/A,#N/A,TRUE,"Simple Letter";#N/A,#N/A,TRUE,"Inside";#N/A,#N/A,TRUE,"Contents";#N/A,#N/A,TRUE,"Basis";#N/A,#N/A,TRUE,"Inclusions";#N/A,#N/A,TRUE,"Exclusions";#N/A,#N/A,TRUE,"Areas";#N/A,#N/A,TRUE,"Summary";#N/A,#N/A,TRUE,"Detail"}</definedName>
    <definedName name="tem" localSheetId="7" hidden="1">{#N/A,#N/A,TRUE,"Front";#N/A,#N/A,TRUE,"Simple Letter";#N/A,#N/A,TRUE,"Inside";#N/A,#N/A,TRUE,"Contents";#N/A,#N/A,TRUE,"Basis";#N/A,#N/A,TRUE,"Inclusions";#N/A,#N/A,TRUE,"Exclusions";#N/A,#N/A,TRUE,"Areas";#N/A,#N/A,TRUE,"Summary";#N/A,#N/A,TRUE,"Detail"}</definedName>
    <definedName name="tem" hidden="1">{#N/A,#N/A,TRUE,"Front";#N/A,#N/A,TRUE,"Simple Letter";#N/A,#N/A,TRUE,"Inside";#N/A,#N/A,TRUE,"Contents";#N/A,#N/A,TRUE,"Basis";#N/A,#N/A,TRUE,"Inclusions";#N/A,#N/A,TRUE,"Exclusions";#N/A,#N/A,TRUE,"Areas";#N/A,#N/A,TRUE,"Summary";#N/A,#N/A,TRUE,"Detail"}</definedName>
    <definedName name="temp" localSheetId="12">#REF!</definedName>
    <definedName name="temp" localSheetId="0">#REF!</definedName>
    <definedName name="temp" localSheetId="1">#REF!</definedName>
    <definedName name="temp" localSheetId="6">#REF!</definedName>
    <definedName name="temp" localSheetId="5">#REF!</definedName>
    <definedName name="temp" localSheetId="8">#REF!</definedName>
    <definedName name="temp" localSheetId="11">#REF!</definedName>
    <definedName name="temp" localSheetId="9">#REF!</definedName>
    <definedName name="temp" localSheetId="18">#REF!</definedName>
    <definedName name="temp" localSheetId="15">#REF!</definedName>
    <definedName name="temp" localSheetId="7">#REF!</definedName>
    <definedName name="temp">#REF!</definedName>
    <definedName name="temp1" localSheetId="12">#REF!</definedName>
    <definedName name="temp1" localSheetId="0">#REF!</definedName>
    <definedName name="temp1" localSheetId="1">#REF!</definedName>
    <definedName name="temp1" localSheetId="8">#REF!</definedName>
    <definedName name="temp1" localSheetId="11">#REF!</definedName>
    <definedName name="temp1" localSheetId="9">#REF!</definedName>
    <definedName name="temp1" localSheetId="18">#REF!</definedName>
    <definedName name="temp1" localSheetId="15">#REF!</definedName>
    <definedName name="temp1" localSheetId="7">#REF!</definedName>
    <definedName name="temp1">#REF!</definedName>
    <definedName name="TEs" localSheetId="12">#REF!</definedName>
    <definedName name="TEs" localSheetId="8">#REF!</definedName>
    <definedName name="TEs" localSheetId="11">#REF!</definedName>
    <definedName name="TEs" localSheetId="9">#REF!</definedName>
    <definedName name="TEs" localSheetId="18">#REF!</definedName>
    <definedName name="TEs" localSheetId="15">#REF!</definedName>
    <definedName name="TEs" localSheetId="7">#REF!</definedName>
    <definedName name="TEs">#REF!</definedName>
    <definedName name="TEs___0" localSheetId="12">#REF!</definedName>
    <definedName name="TEs___0" localSheetId="8">#REF!</definedName>
    <definedName name="TEs___0" localSheetId="11">#REF!</definedName>
    <definedName name="TEs___0" localSheetId="9">#REF!</definedName>
    <definedName name="TEs___0" localSheetId="18">#REF!</definedName>
    <definedName name="TEs___0" localSheetId="15">#REF!</definedName>
    <definedName name="TEs___0" localSheetId="7">#REF!</definedName>
    <definedName name="TEs___0">#REF!</definedName>
    <definedName name="TEs___13" localSheetId="12">#REF!</definedName>
    <definedName name="TEs___13" localSheetId="8">#REF!</definedName>
    <definedName name="TEs___13" localSheetId="11">#REF!</definedName>
    <definedName name="TEs___13" localSheetId="9">#REF!</definedName>
    <definedName name="TEs___13" localSheetId="18">#REF!</definedName>
    <definedName name="TEs___13" localSheetId="15">#REF!</definedName>
    <definedName name="TEs___13" localSheetId="7">#REF!</definedName>
    <definedName name="TEs___13">#REF!</definedName>
    <definedName name="TEt" localSheetId="12">#REF!</definedName>
    <definedName name="TEt" localSheetId="8">#REF!</definedName>
    <definedName name="TEt" localSheetId="11">#REF!</definedName>
    <definedName name="TEt" localSheetId="9">#REF!</definedName>
    <definedName name="TEt" localSheetId="18">#REF!</definedName>
    <definedName name="TEt" localSheetId="15">#REF!</definedName>
    <definedName name="TEt" localSheetId="7">#REF!</definedName>
    <definedName name="TEt">#REF!</definedName>
    <definedName name="TEt___0" localSheetId="12">#REF!</definedName>
    <definedName name="TEt___0" localSheetId="8">#REF!</definedName>
    <definedName name="TEt___0" localSheetId="11">#REF!</definedName>
    <definedName name="TEt___0" localSheetId="9">#REF!</definedName>
    <definedName name="TEt___0" localSheetId="18">#REF!</definedName>
    <definedName name="TEt___0" localSheetId="15">#REF!</definedName>
    <definedName name="TEt___0" localSheetId="7">#REF!</definedName>
    <definedName name="TEt___0">#REF!</definedName>
    <definedName name="TEt___13" localSheetId="12">#REF!</definedName>
    <definedName name="TEt___13" localSheetId="8">#REF!</definedName>
    <definedName name="TEt___13" localSheetId="11">#REF!</definedName>
    <definedName name="TEt___13" localSheetId="9">#REF!</definedName>
    <definedName name="TEt___13" localSheetId="18">#REF!</definedName>
    <definedName name="TEt___13" localSheetId="15">#REF!</definedName>
    <definedName name="TEt___13" localSheetId="7">#REF!</definedName>
    <definedName name="TEt___13">#REF!</definedName>
    <definedName name="text" localSheetId="12">#REF!</definedName>
    <definedName name="text" localSheetId="8">#REF!</definedName>
    <definedName name="text" localSheetId="11">#REF!</definedName>
    <definedName name="text" localSheetId="9">#REF!</definedName>
    <definedName name="text" localSheetId="18">#REF!</definedName>
    <definedName name="text" localSheetId="15">#REF!</definedName>
    <definedName name="text" localSheetId="7">#REF!</definedName>
    <definedName name="text">#REF!</definedName>
    <definedName name="TF" localSheetId="12">#REF!</definedName>
    <definedName name="TF" localSheetId="8">#REF!</definedName>
    <definedName name="TF" localSheetId="11">#REF!</definedName>
    <definedName name="TF" localSheetId="9">#REF!</definedName>
    <definedName name="TF" localSheetId="18">#REF!</definedName>
    <definedName name="TF" localSheetId="15">#REF!</definedName>
    <definedName name="TF" localSheetId="7">#REF!</definedName>
    <definedName name="TF">#REF!</definedName>
    <definedName name="th" localSheetId="12">#REF!</definedName>
    <definedName name="th" localSheetId="8">#REF!</definedName>
    <definedName name="th" localSheetId="11">#REF!</definedName>
    <definedName name="th" localSheetId="9">#REF!</definedName>
    <definedName name="th" localSheetId="18">#REF!</definedName>
    <definedName name="th" localSheetId="15">#REF!</definedName>
    <definedName name="th" localSheetId="7">#REF!</definedName>
    <definedName name="th">#REF!</definedName>
    <definedName name="Tier2." localSheetId="12">#REF!</definedName>
    <definedName name="Tier2." localSheetId="8">#REF!</definedName>
    <definedName name="Tier2." localSheetId="11">#REF!</definedName>
    <definedName name="Tier2." localSheetId="9">#REF!</definedName>
    <definedName name="Tier2." localSheetId="18">#REF!</definedName>
    <definedName name="Tier2." localSheetId="15">#REF!</definedName>
    <definedName name="Tier2." localSheetId="7">#REF!</definedName>
    <definedName name="Tier2.">#REF!</definedName>
    <definedName name="TierCode" localSheetId="12">#REF!</definedName>
    <definedName name="TierCode" localSheetId="0">#REF!</definedName>
    <definedName name="TierCode" localSheetId="1">#REF!</definedName>
    <definedName name="TierCode" localSheetId="8">#REF!</definedName>
    <definedName name="TierCode" localSheetId="11">#REF!</definedName>
    <definedName name="TierCode" localSheetId="9">#REF!</definedName>
    <definedName name="TierCode" localSheetId="18">#REF!</definedName>
    <definedName name="TierCode" localSheetId="15">#REF!</definedName>
    <definedName name="TierCode" localSheetId="7">#REF!</definedName>
    <definedName name="TierCode">#REF!</definedName>
    <definedName name="TierCode_Text" localSheetId="12">#REF!</definedName>
    <definedName name="TierCode_Text" localSheetId="0">#REF!</definedName>
    <definedName name="TierCode_Text" localSheetId="1">#REF!</definedName>
    <definedName name="TierCode_Text" localSheetId="8">#REF!</definedName>
    <definedName name="TierCode_Text" localSheetId="11">#REF!</definedName>
    <definedName name="TierCode_Text" localSheetId="9">#REF!</definedName>
    <definedName name="TierCode_Text" localSheetId="18">#REF!</definedName>
    <definedName name="TierCode_Text" localSheetId="15">#REF!</definedName>
    <definedName name="TierCode_Text" localSheetId="7">#REF!</definedName>
    <definedName name="TierCode_Text">#REF!</definedName>
    <definedName name="tipp" localSheetId="12">#REF!</definedName>
    <definedName name="tipp" localSheetId="8">#REF!</definedName>
    <definedName name="tipp" localSheetId="11">#REF!</definedName>
    <definedName name="tipp" localSheetId="9">#REF!</definedName>
    <definedName name="tipp" localSheetId="18">#REF!</definedName>
    <definedName name="tipp" localSheetId="15">#REF!</definedName>
    <definedName name="tipp" localSheetId="7">#REF!</definedName>
    <definedName name="tipp">#REF!</definedName>
    <definedName name="Title" localSheetId="12">#REF!</definedName>
    <definedName name="Title" localSheetId="8">#REF!</definedName>
    <definedName name="Title" localSheetId="11">#REF!</definedName>
    <definedName name="Title" localSheetId="9">#REF!</definedName>
    <definedName name="Title" localSheetId="18">#REF!</definedName>
    <definedName name="Title" localSheetId="15">#REF!</definedName>
    <definedName name="Title" localSheetId="7">#REF!</definedName>
    <definedName name="Title">#REF!</definedName>
    <definedName name="Title1" localSheetId="12">#REF!</definedName>
    <definedName name="Title1" localSheetId="0">#REF!</definedName>
    <definedName name="Title1" localSheetId="1">#REF!</definedName>
    <definedName name="Title1" localSheetId="8">#REF!</definedName>
    <definedName name="Title1" localSheetId="11">#REF!</definedName>
    <definedName name="Title1" localSheetId="9">#REF!</definedName>
    <definedName name="Title1" localSheetId="18">#REF!</definedName>
    <definedName name="Title1" localSheetId="15">#REF!</definedName>
    <definedName name="Title1" localSheetId="7">#REF!</definedName>
    <definedName name="Title1">#REF!</definedName>
    <definedName name="Title1_1" localSheetId="12">#REF!</definedName>
    <definedName name="Title1_1" localSheetId="8">#REF!</definedName>
    <definedName name="Title1_1" localSheetId="11">#REF!</definedName>
    <definedName name="Title1_1" localSheetId="9">#REF!</definedName>
    <definedName name="Title1_1" localSheetId="18">#REF!</definedName>
    <definedName name="Title1_1" localSheetId="15">#REF!</definedName>
    <definedName name="Title1_1" localSheetId="7">#REF!</definedName>
    <definedName name="Title1_1">#REF!</definedName>
    <definedName name="Title2" localSheetId="12">#REF!</definedName>
    <definedName name="Title2" localSheetId="0">#REF!</definedName>
    <definedName name="Title2" localSheetId="1">#REF!</definedName>
    <definedName name="Title2" localSheetId="8">#REF!</definedName>
    <definedName name="Title2" localSheetId="11">#REF!</definedName>
    <definedName name="Title2" localSheetId="9">#REF!</definedName>
    <definedName name="Title2" localSheetId="18">#REF!</definedName>
    <definedName name="Title2" localSheetId="15">#REF!</definedName>
    <definedName name="Title2" localSheetId="7">#REF!</definedName>
    <definedName name="Title2">#REF!</definedName>
    <definedName name="TMBPLA" localSheetId="12">#REF!</definedName>
    <definedName name="TMBPLA" localSheetId="8">#REF!</definedName>
    <definedName name="TMBPLA" localSheetId="11">#REF!</definedName>
    <definedName name="TMBPLA" localSheetId="9">#REF!</definedName>
    <definedName name="TMBPLA" localSheetId="18">#REF!</definedName>
    <definedName name="TMBPLA" localSheetId="15">#REF!</definedName>
    <definedName name="TMBPLA" localSheetId="7">#REF!</definedName>
    <definedName name="TMBPLA">#REF!</definedName>
    <definedName name="TMBSCA" localSheetId="12">#REF!</definedName>
    <definedName name="TMBSCA" localSheetId="8">#REF!</definedName>
    <definedName name="TMBSCA" localSheetId="11">#REF!</definedName>
    <definedName name="TMBSCA" localSheetId="9">#REF!</definedName>
    <definedName name="TMBSCA" localSheetId="18">#REF!</definedName>
    <definedName name="TMBSCA" localSheetId="15">#REF!</definedName>
    <definedName name="TMBSCA" localSheetId="7">#REF!</definedName>
    <definedName name="TMBSCA">#REF!</definedName>
    <definedName name="tmt" localSheetId="12">#REF!</definedName>
    <definedName name="tmt" localSheetId="8">#REF!</definedName>
    <definedName name="tmt" localSheetId="11">#REF!</definedName>
    <definedName name="tmt" localSheetId="9">#REF!</definedName>
    <definedName name="tmt" localSheetId="18">#REF!</definedName>
    <definedName name="tmt" localSheetId="15">#REF!</definedName>
    <definedName name="tmt" localSheetId="7">#REF!</definedName>
    <definedName name="tmt">#REF!</definedName>
    <definedName name="tol" localSheetId="12">#REF!</definedName>
    <definedName name="tol" localSheetId="0">#REF!</definedName>
    <definedName name="tol" localSheetId="1">#REF!</definedName>
    <definedName name="tol" localSheetId="8">#REF!</definedName>
    <definedName name="tol" localSheetId="11">#REF!</definedName>
    <definedName name="tol" localSheetId="9">#REF!</definedName>
    <definedName name="tol" localSheetId="18">#REF!</definedName>
    <definedName name="tol" localSheetId="15">#REF!</definedName>
    <definedName name="tol" localSheetId="7">#REF!</definedName>
    <definedName name="tol">#REF!</definedName>
    <definedName name="top" localSheetId="12">#REF!</definedName>
    <definedName name="top" localSheetId="8">#REF!</definedName>
    <definedName name="top" localSheetId="11">#REF!</definedName>
    <definedName name="top" localSheetId="9">#REF!</definedName>
    <definedName name="top" localSheetId="18">#REF!</definedName>
    <definedName name="top" localSheetId="15">#REF!</definedName>
    <definedName name="top" localSheetId="7">#REF!</definedName>
    <definedName name="top">#REF!</definedName>
    <definedName name="topl" localSheetId="12">#REF!</definedName>
    <definedName name="topl" localSheetId="0">#REF!</definedName>
    <definedName name="topl" localSheetId="1">#REF!</definedName>
    <definedName name="topl" localSheetId="8">#REF!</definedName>
    <definedName name="topl" localSheetId="11">#REF!</definedName>
    <definedName name="topl" localSheetId="9">#REF!</definedName>
    <definedName name="topl" localSheetId="18">#REF!</definedName>
    <definedName name="topl" localSheetId="15">#REF!</definedName>
    <definedName name="topl" localSheetId="7">#REF!</definedName>
    <definedName name="topl">#REF!</definedName>
    <definedName name="topn" localSheetId="12">#REF!</definedName>
    <definedName name="topn" localSheetId="0">#REF!</definedName>
    <definedName name="topn" localSheetId="1">#REF!</definedName>
    <definedName name="topn" localSheetId="8">#REF!</definedName>
    <definedName name="topn" localSheetId="11">#REF!</definedName>
    <definedName name="topn" localSheetId="9">#REF!</definedName>
    <definedName name="topn" localSheetId="18">#REF!</definedName>
    <definedName name="topn" localSheetId="15">#REF!</definedName>
    <definedName name="topn" localSheetId="7">#REF!</definedName>
    <definedName name="topn">#REF!</definedName>
    <definedName name="TOR" localSheetId="12">#REF!</definedName>
    <definedName name="TOR" localSheetId="8">#REF!</definedName>
    <definedName name="TOR" localSheetId="11">#REF!</definedName>
    <definedName name="TOR" localSheetId="9">#REF!</definedName>
    <definedName name="TOR" localSheetId="18">#REF!</definedName>
    <definedName name="TOR" localSheetId="15">#REF!</definedName>
    <definedName name="TOR" localSheetId="7">#REF!</definedName>
    <definedName name="TOR">#REF!</definedName>
    <definedName name="Tot_Hr" localSheetId="12">#REF!</definedName>
    <definedName name="Tot_Hr" localSheetId="8">#REF!</definedName>
    <definedName name="Tot_Hr" localSheetId="11">#REF!</definedName>
    <definedName name="Tot_Hr" localSheetId="9">#REF!</definedName>
    <definedName name="Tot_Hr" localSheetId="18">#REF!</definedName>
    <definedName name="Tot_Hr" localSheetId="15">#REF!</definedName>
    <definedName name="Tot_Hr" localSheetId="7">#REF!</definedName>
    <definedName name="Tot_Hr">#REF!</definedName>
    <definedName name="totalqtyfinal" localSheetId="12">#REF!</definedName>
    <definedName name="totalqtyfinal" localSheetId="8">#REF!</definedName>
    <definedName name="totalqtyfinal" localSheetId="11">#REF!</definedName>
    <definedName name="totalqtyfinal" localSheetId="9">#REF!</definedName>
    <definedName name="totalqtyfinal" localSheetId="18">#REF!</definedName>
    <definedName name="totalqtyfinal" localSheetId="15">#REF!</definedName>
    <definedName name="totalqtyfinal" localSheetId="7">#REF!</definedName>
    <definedName name="totalqtyfinal">#REF!</definedName>
    <definedName name="tr" localSheetId="12" hidden="1">{#N/A,#N/A,FALSE,"COVER.XLS";#N/A,#N/A,FALSE,"RACT1.XLS";#N/A,#N/A,FALSE,"RACT2.XLS";#N/A,#N/A,FALSE,"ECCMP";#N/A,#N/A,FALSE,"WELDER.XLS"}</definedName>
    <definedName name="tr" localSheetId="6" hidden="1">{#N/A,#N/A,FALSE,"COVER.XLS";#N/A,#N/A,FALSE,"RACT1.XLS";#N/A,#N/A,FALSE,"RACT2.XLS";#N/A,#N/A,FALSE,"ECCMP";#N/A,#N/A,FALSE,"WELDER.XLS"}</definedName>
    <definedName name="tr" localSheetId="5" hidden="1">{#N/A,#N/A,FALSE,"COVER.XLS";#N/A,#N/A,FALSE,"RACT1.XLS";#N/A,#N/A,FALSE,"RACT2.XLS";#N/A,#N/A,FALSE,"ECCMP";#N/A,#N/A,FALSE,"WELDER.XLS"}</definedName>
    <definedName name="tr" localSheetId="8" hidden="1">{#N/A,#N/A,FALSE,"COVER.XLS";#N/A,#N/A,FALSE,"RACT1.XLS";#N/A,#N/A,FALSE,"RACT2.XLS";#N/A,#N/A,FALSE,"ECCMP";#N/A,#N/A,FALSE,"WELDER.XLS"}</definedName>
    <definedName name="tr" localSheetId="11" hidden="1">{#N/A,#N/A,FALSE,"COVER.XLS";#N/A,#N/A,FALSE,"RACT1.XLS";#N/A,#N/A,FALSE,"RACT2.XLS";#N/A,#N/A,FALSE,"ECCMP";#N/A,#N/A,FALSE,"WELDER.XLS"}</definedName>
    <definedName name="tr" localSheetId="9" hidden="1">{#N/A,#N/A,FALSE,"COVER.XLS";#N/A,#N/A,FALSE,"RACT1.XLS";#N/A,#N/A,FALSE,"RACT2.XLS";#N/A,#N/A,FALSE,"ECCMP";#N/A,#N/A,FALSE,"WELDER.XLS"}</definedName>
    <definedName name="tr" localSheetId="13" hidden="1">{#N/A,#N/A,FALSE,"COVER.XLS";#N/A,#N/A,FALSE,"RACT1.XLS";#N/A,#N/A,FALSE,"RACT2.XLS";#N/A,#N/A,FALSE,"ECCMP";#N/A,#N/A,FALSE,"WELDER.XLS"}</definedName>
    <definedName name="tr" localSheetId="18" hidden="1">{#N/A,#N/A,FALSE,"COVER.XLS";#N/A,#N/A,FALSE,"RACT1.XLS";#N/A,#N/A,FALSE,"RACT2.XLS";#N/A,#N/A,FALSE,"ECCMP";#N/A,#N/A,FALSE,"WELDER.XLS"}</definedName>
    <definedName name="tr" localSheetId="15" hidden="1">{#N/A,#N/A,FALSE,"COVER.XLS";#N/A,#N/A,FALSE,"RACT1.XLS";#N/A,#N/A,FALSE,"RACT2.XLS";#N/A,#N/A,FALSE,"ECCMP";#N/A,#N/A,FALSE,"WELDER.XLS"}</definedName>
    <definedName name="tr" localSheetId="7" hidden="1">{#N/A,#N/A,FALSE,"COVER.XLS";#N/A,#N/A,FALSE,"RACT1.XLS";#N/A,#N/A,FALSE,"RACT2.XLS";#N/A,#N/A,FALSE,"ECCMP";#N/A,#N/A,FALSE,"WELDER.XLS"}</definedName>
    <definedName name="tr" hidden="1">{#N/A,#N/A,FALSE,"COVER.XLS";#N/A,#N/A,FALSE,"RACT1.XLS";#N/A,#N/A,FALSE,"RACT2.XLS";#N/A,#N/A,FALSE,"ECCMP";#N/A,#N/A,FALSE,"WELDER.XLS"}</definedName>
    <definedName name="trans" localSheetId="12">#REF!</definedName>
    <definedName name="trans" localSheetId="6">#REF!</definedName>
    <definedName name="trans" localSheetId="5">#REF!</definedName>
    <definedName name="trans" localSheetId="8">#REF!</definedName>
    <definedName name="trans" localSheetId="11">#REF!</definedName>
    <definedName name="trans" localSheetId="9">#REF!</definedName>
    <definedName name="trans" localSheetId="18">#REF!</definedName>
    <definedName name="trans" localSheetId="15">#REF!</definedName>
    <definedName name="trans" localSheetId="7">#REF!</definedName>
    <definedName name="trans">#REF!</definedName>
    <definedName name="tS" localSheetId="12">#REF!</definedName>
    <definedName name="tS" localSheetId="6">#REF!</definedName>
    <definedName name="tS" localSheetId="5">#REF!</definedName>
    <definedName name="tS" localSheetId="8">#REF!</definedName>
    <definedName name="tS" localSheetId="11">#REF!</definedName>
    <definedName name="tS" localSheetId="9">#REF!</definedName>
    <definedName name="tS" localSheetId="18">#REF!</definedName>
    <definedName name="tS" localSheetId="15">#REF!</definedName>
    <definedName name="tS" localSheetId="7">#REF!</definedName>
    <definedName name="tS">#REF!</definedName>
    <definedName name="tS___0" localSheetId="12">#REF!</definedName>
    <definedName name="tS___0" localSheetId="6">#REF!</definedName>
    <definedName name="tS___0" localSheetId="5">#REF!</definedName>
    <definedName name="tS___0" localSheetId="8">#REF!</definedName>
    <definedName name="tS___0" localSheetId="11">#REF!</definedName>
    <definedName name="tS___0" localSheetId="9">#REF!</definedName>
    <definedName name="tS___0" localSheetId="18">#REF!</definedName>
    <definedName name="tS___0" localSheetId="15">#REF!</definedName>
    <definedName name="tS___0" localSheetId="7">#REF!</definedName>
    <definedName name="tS___0">#REF!</definedName>
    <definedName name="tS___13" localSheetId="12">#REF!</definedName>
    <definedName name="tS___13" localSheetId="8">#REF!</definedName>
    <definedName name="tS___13" localSheetId="11">#REF!</definedName>
    <definedName name="tS___13" localSheetId="9">#REF!</definedName>
    <definedName name="tS___13" localSheetId="18">#REF!</definedName>
    <definedName name="tS___13" localSheetId="15">#REF!</definedName>
    <definedName name="tS___13" localSheetId="7">#REF!</definedName>
    <definedName name="tS___13">#REF!</definedName>
    <definedName name="tttttttttttttt" localSheetId="12">#REF!</definedName>
    <definedName name="tttttttttttttt" localSheetId="8">#REF!</definedName>
    <definedName name="tttttttttttttt" localSheetId="11">#REF!</definedName>
    <definedName name="tttttttttttttt" localSheetId="9">#REF!</definedName>
    <definedName name="tttttttttttttt" localSheetId="18">#REF!</definedName>
    <definedName name="tttttttttttttt" localSheetId="15">#REF!</definedName>
    <definedName name="tttttttttttttt" localSheetId="7">#REF!</definedName>
    <definedName name="tttttttttttttt">#REF!</definedName>
    <definedName name="tttttttttttttttttttt" localSheetId="12">#REF!</definedName>
    <definedName name="tttttttttttttttttttt" localSheetId="8">#REF!</definedName>
    <definedName name="tttttttttttttttttttt" localSheetId="11">#REF!</definedName>
    <definedName name="tttttttttttttttttttt" localSheetId="9">#REF!</definedName>
    <definedName name="tttttttttttttttttttt" localSheetId="18">#REF!</definedName>
    <definedName name="tttttttttttttttttttt" localSheetId="15">#REF!</definedName>
    <definedName name="tttttttttttttttttttt" localSheetId="7">#REF!</definedName>
    <definedName name="tttttttttttttttttttt">#REF!</definedName>
    <definedName name="TUES1" localSheetId="12">#REF!</definedName>
    <definedName name="TUES1" localSheetId="8">#REF!</definedName>
    <definedName name="TUES1" localSheetId="11">#REF!</definedName>
    <definedName name="TUES1" localSheetId="9">#REF!</definedName>
    <definedName name="TUES1" localSheetId="18">#REF!</definedName>
    <definedName name="TUES1" localSheetId="15">#REF!</definedName>
    <definedName name="TUES1" localSheetId="7">#REF!</definedName>
    <definedName name="TUES1">#REF!</definedName>
    <definedName name="type" localSheetId="12">#REF!</definedName>
    <definedName name="type" localSheetId="8">#REF!</definedName>
    <definedName name="type" localSheetId="11">#REF!</definedName>
    <definedName name="type" localSheetId="9">#REF!</definedName>
    <definedName name="type" localSheetId="18">#REF!</definedName>
    <definedName name="type" localSheetId="15">#REF!</definedName>
    <definedName name="type" localSheetId="7">#REF!</definedName>
    <definedName name="type">#REF!</definedName>
    <definedName name="type1" localSheetId="12">#REF!</definedName>
    <definedName name="type1" localSheetId="0">#REF!</definedName>
    <definedName name="type1" localSheetId="1">#REF!</definedName>
    <definedName name="type1" localSheetId="8">#REF!</definedName>
    <definedName name="type1" localSheetId="11">#REF!</definedName>
    <definedName name="type1" localSheetId="9">#REF!</definedName>
    <definedName name="type1" localSheetId="18">#REF!</definedName>
    <definedName name="type1" localSheetId="15">#REF!</definedName>
    <definedName name="type1" localSheetId="7">#REF!</definedName>
    <definedName name="type1">#REF!</definedName>
    <definedName name="type11" localSheetId="12">#REF!</definedName>
    <definedName name="type11" localSheetId="0">#REF!</definedName>
    <definedName name="type11" localSheetId="1">#REF!</definedName>
    <definedName name="type11" localSheetId="8">#REF!</definedName>
    <definedName name="type11" localSheetId="11">#REF!</definedName>
    <definedName name="type11" localSheetId="9">#REF!</definedName>
    <definedName name="type11" localSheetId="18">#REF!</definedName>
    <definedName name="type11" localSheetId="15">#REF!</definedName>
    <definedName name="type11" localSheetId="7">#REF!</definedName>
    <definedName name="type11">#REF!</definedName>
    <definedName name="type12" localSheetId="12">#REF!</definedName>
    <definedName name="type12" localSheetId="0">#REF!</definedName>
    <definedName name="type12" localSheetId="1">#REF!</definedName>
    <definedName name="type12" localSheetId="8">#REF!</definedName>
    <definedName name="type12" localSheetId="11">#REF!</definedName>
    <definedName name="type12" localSheetId="9">#REF!</definedName>
    <definedName name="type12" localSheetId="18">#REF!</definedName>
    <definedName name="type12" localSheetId="15">#REF!</definedName>
    <definedName name="type12" localSheetId="7">#REF!</definedName>
    <definedName name="type12">#REF!</definedName>
    <definedName name="TYPE13" localSheetId="12">#REF!</definedName>
    <definedName name="TYPE13" localSheetId="0">#REF!</definedName>
    <definedName name="TYPE13" localSheetId="1">#REF!</definedName>
    <definedName name="TYPE13" localSheetId="8">#REF!</definedName>
    <definedName name="TYPE13" localSheetId="11">#REF!</definedName>
    <definedName name="TYPE13" localSheetId="9">#REF!</definedName>
    <definedName name="TYPE13" localSheetId="18">#REF!</definedName>
    <definedName name="TYPE13" localSheetId="15">#REF!</definedName>
    <definedName name="TYPE13" localSheetId="7">#REF!</definedName>
    <definedName name="TYPE13">#REF!</definedName>
    <definedName name="type1drop" localSheetId="12">#REF!</definedName>
    <definedName name="type1drop" localSheetId="0">#REF!</definedName>
    <definedName name="type1drop" localSheetId="1">#REF!</definedName>
    <definedName name="type1drop" localSheetId="8">#REF!</definedName>
    <definedName name="type1drop" localSheetId="11">#REF!</definedName>
    <definedName name="type1drop" localSheetId="9">#REF!</definedName>
    <definedName name="type1drop" localSheetId="18">#REF!</definedName>
    <definedName name="type1drop" localSheetId="15">#REF!</definedName>
    <definedName name="type1drop" localSheetId="7">#REF!</definedName>
    <definedName name="type1drop">#REF!</definedName>
    <definedName name="type1drop11" localSheetId="12">#REF!</definedName>
    <definedName name="type1drop11" localSheetId="0">#REF!</definedName>
    <definedName name="type1drop11" localSheetId="1">#REF!</definedName>
    <definedName name="type1drop11" localSheetId="8">#REF!</definedName>
    <definedName name="type1drop11" localSheetId="11">#REF!</definedName>
    <definedName name="type1drop11" localSheetId="9">#REF!</definedName>
    <definedName name="type1drop11" localSheetId="18">#REF!</definedName>
    <definedName name="type1drop11" localSheetId="15">#REF!</definedName>
    <definedName name="type1drop11" localSheetId="7">#REF!</definedName>
    <definedName name="type1drop11">#REF!</definedName>
    <definedName name="type1drop12" localSheetId="12">#REF!</definedName>
    <definedName name="type1drop12" localSheetId="0">#REF!</definedName>
    <definedName name="type1drop12" localSheetId="1">#REF!</definedName>
    <definedName name="type1drop12" localSheetId="8">#REF!</definedName>
    <definedName name="type1drop12" localSheetId="11">#REF!</definedName>
    <definedName name="type1drop12" localSheetId="9">#REF!</definedName>
    <definedName name="type1drop12" localSheetId="18">#REF!</definedName>
    <definedName name="type1drop12" localSheetId="15">#REF!</definedName>
    <definedName name="type1drop12" localSheetId="7">#REF!</definedName>
    <definedName name="type1drop12">#REF!</definedName>
    <definedName name="type1drop2" localSheetId="12">#REF!</definedName>
    <definedName name="type1drop2" localSheetId="0">#REF!</definedName>
    <definedName name="type1drop2" localSheetId="1">#REF!</definedName>
    <definedName name="type1drop2" localSheetId="8">#REF!</definedName>
    <definedName name="type1drop2" localSheetId="11">#REF!</definedName>
    <definedName name="type1drop2" localSheetId="9">#REF!</definedName>
    <definedName name="type1drop2" localSheetId="18">#REF!</definedName>
    <definedName name="type1drop2" localSheetId="15">#REF!</definedName>
    <definedName name="type1drop2" localSheetId="7">#REF!</definedName>
    <definedName name="type1drop2">#REF!</definedName>
    <definedName name="TYPE1DROP212" localSheetId="12">#REF!</definedName>
    <definedName name="TYPE1DROP212" localSheetId="0">#REF!</definedName>
    <definedName name="TYPE1DROP212" localSheetId="1">#REF!</definedName>
    <definedName name="TYPE1DROP212" localSheetId="8">#REF!</definedName>
    <definedName name="TYPE1DROP212" localSheetId="11">#REF!</definedName>
    <definedName name="TYPE1DROP212" localSheetId="9">#REF!</definedName>
    <definedName name="TYPE1DROP212" localSheetId="18">#REF!</definedName>
    <definedName name="TYPE1DROP212" localSheetId="15">#REF!</definedName>
    <definedName name="TYPE1DROP212" localSheetId="7">#REF!</definedName>
    <definedName name="TYPE1DROP212">#REF!</definedName>
    <definedName name="TYPE1DROP23" localSheetId="12">#REF!</definedName>
    <definedName name="TYPE1DROP23" localSheetId="0">#REF!</definedName>
    <definedName name="TYPE1DROP23" localSheetId="1">#REF!</definedName>
    <definedName name="TYPE1DROP23" localSheetId="8">#REF!</definedName>
    <definedName name="TYPE1DROP23" localSheetId="11">#REF!</definedName>
    <definedName name="TYPE1DROP23" localSheetId="9">#REF!</definedName>
    <definedName name="TYPE1DROP23" localSheetId="18">#REF!</definedName>
    <definedName name="TYPE1DROP23" localSheetId="15">#REF!</definedName>
    <definedName name="TYPE1DROP23" localSheetId="7">#REF!</definedName>
    <definedName name="TYPE1DROP23">#REF!</definedName>
    <definedName name="TYPE1DROP3" localSheetId="12">#REF!</definedName>
    <definedName name="TYPE1DROP3" localSheetId="0">#REF!</definedName>
    <definedName name="TYPE1DROP3" localSheetId="1">#REF!</definedName>
    <definedName name="TYPE1DROP3" localSheetId="8">#REF!</definedName>
    <definedName name="TYPE1DROP3" localSheetId="11">#REF!</definedName>
    <definedName name="TYPE1DROP3" localSheetId="9">#REF!</definedName>
    <definedName name="TYPE1DROP3" localSheetId="18">#REF!</definedName>
    <definedName name="TYPE1DROP3" localSheetId="15">#REF!</definedName>
    <definedName name="TYPE1DROP3" localSheetId="7">#REF!</definedName>
    <definedName name="TYPE1DROP3">#REF!</definedName>
    <definedName name="type1slab" localSheetId="12">#REF!</definedName>
    <definedName name="type1slab" localSheetId="0">#REF!</definedName>
    <definedName name="type1slab" localSheetId="1">#REF!</definedName>
    <definedName name="type1slab" localSheetId="8">#REF!</definedName>
    <definedName name="type1slab" localSheetId="11">#REF!</definedName>
    <definedName name="type1slab" localSheetId="9">#REF!</definedName>
    <definedName name="type1slab" localSheetId="18">#REF!</definedName>
    <definedName name="type1slab" localSheetId="15">#REF!</definedName>
    <definedName name="type1slab" localSheetId="7">#REF!</definedName>
    <definedName name="type1slab">#REF!</definedName>
    <definedName name="type1slab11" localSheetId="12">#REF!</definedName>
    <definedName name="type1slab11" localSheetId="0">#REF!</definedName>
    <definedName name="type1slab11" localSheetId="1">#REF!</definedName>
    <definedName name="type1slab11" localSheetId="8">#REF!</definedName>
    <definedName name="type1slab11" localSheetId="11">#REF!</definedName>
    <definedName name="type1slab11" localSheetId="9">#REF!</definedName>
    <definedName name="type1slab11" localSheetId="18">#REF!</definedName>
    <definedName name="type1slab11" localSheetId="15">#REF!</definedName>
    <definedName name="type1slab11" localSheetId="7">#REF!</definedName>
    <definedName name="type1slab11">#REF!</definedName>
    <definedName name="TYPE1SLAB12" localSheetId="12">#REF!</definedName>
    <definedName name="TYPE1SLAB12" localSheetId="0">#REF!</definedName>
    <definedName name="TYPE1SLAB12" localSheetId="1">#REF!</definedName>
    <definedName name="TYPE1SLAB12" localSheetId="8">#REF!</definedName>
    <definedName name="TYPE1SLAB12" localSheetId="11">#REF!</definedName>
    <definedName name="TYPE1SLAB12" localSheetId="9">#REF!</definedName>
    <definedName name="TYPE1SLAB12" localSheetId="18">#REF!</definedName>
    <definedName name="TYPE1SLAB12" localSheetId="15">#REF!</definedName>
    <definedName name="TYPE1SLAB12" localSheetId="7">#REF!</definedName>
    <definedName name="TYPE1SLAB12">#REF!</definedName>
    <definedName name="TYPE1SLAB13" localSheetId="12">#REF!</definedName>
    <definedName name="TYPE1SLAB13" localSheetId="0">#REF!</definedName>
    <definedName name="TYPE1SLAB13" localSheetId="1">#REF!</definedName>
    <definedName name="TYPE1SLAB13" localSheetId="8">#REF!</definedName>
    <definedName name="TYPE1SLAB13" localSheetId="11">#REF!</definedName>
    <definedName name="TYPE1SLAB13" localSheetId="9">#REF!</definedName>
    <definedName name="TYPE1SLAB13" localSheetId="18">#REF!</definedName>
    <definedName name="TYPE1SLAB13" localSheetId="15">#REF!</definedName>
    <definedName name="TYPE1SLAB13" localSheetId="7">#REF!</definedName>
    <definedName name="TYPE1SLAB13">#REF!</definedName>
    <definedName name="type1slab2" localSheetId="12">#REF!</definedName>
    <definedName name="type1slab2" localSheetId="0">#REF!</definedName>
    <definedName name="type1slab2" localSheetId="1">#REF!</definedName>
    <definedName name="type1slab2" localSheetId="8">#REF!</definedName>
    <definedName name="type1slab2" localSheetId="11">#REF!</definedName>
    <definedName name="type1slab2" localSheetId="9">#REF!</definedName>
    <definedName name="type1slab2" localSheetId="18">#REF!</definedName>
    <definedName name="type1slab2" localSheetId="15">#REF!</definedName>
    <definedName name="type1slab2" localSheetId="7">#REF!</definedName>
    <definedName name="type1slab2">#REF!</definedName>
    <definedName name="TYPE1SLAB21" localSheetId="12">#REF!</definedName>
    <definedName name="TYPE1SLAB21" localSheetId="0">#REF!</definedName>
    <definedName name="TYPE1SLAB21" localSheetId="1">#REF!</definedName>
    <definedName name="TYPE1SLAB21" localSheetId="8">#REF!</definedName>
    <definedName name="TYPE1SLAB21" localSheetId="11">#REF!</definedName>
    <definedName name="TYPE1SLAB21" localSheetId="9">#REF!</definedName>
    <definedName name="TYPE1SLAB21" localSheetId="18">#REF!</definedName>
    <definedName name="TYPE1SLAB21" localSheetId="15">#REF!</definedName>
    <definedName name="TYPE1SLAB21" localSheetId="7">#REF!</definedName>
    <definedName name="TYPE1SLAB21">#REF!</definedName>
    <definedName name="type1slab6" localSheetId="12">#REF!</definedName>
    <definedName name="type1slab6" localSheetId="0">#REF!</definedName>
    <definedName name="type1slab6" localSheetId="1">#REF!</definedName>
    <definedName name="type1slab6" localSheetId="8">#REF!</definedName>
    <definedName name="type1slab6" localSheetId="11">#REF!</definedName>
    <definedName name="type1slab6" localSheetId="9">#REF!</definedName>
    <definedName name="type1slab6" localSheetId="18">#REF!</definedName>
    <definedName name="type1slab6" localSheetId="15">#REF!</definedName>
    <definedName name="type1slab6" localSheetId="7">#REF!</definedName>
    <definedName name="type1slab6">#REF!</definedName>
    <definedName name="TYPE2" localSheetId="12">#REF!</definedName>
    <definedName name="TYPE2" localSheetId="0">#REF!</definedName>
    <definedName name="TYPE2" localSheetId="1">#REF!</definedName>
    <definedName name="TYPE2" localSheetId="8">#REF!</definedName>
    <definedName name="TYPE2" localSheetId="11">#REF!</definedName>
    <definedName name="TYPE2" localSheetId="9">#REF!</definedName>
    <definedName name="TYPE2" localSheetId="18">#REF!</definedName>
    <definedName name="TYPE2" localSheetId="15">#REF!</definedName>
    <definedName name="TYPE2" localSheetId="7">#REF!</definedName>
    <definedName name="TYPE2">#REF!</definedName>
    <definedName name="type22" localSheetId="12">#REF!</definedName>
    <definedName name="type22" localSheetId="0">#REF!</definedName>
    <definedName name="type22" localSheetId="1">#REF!</definedName>
    <definedName name="type22" localSheetId="8">#REF!</definedName>
    <definedName name="type22" localSheetId="11">#REF!</definedName>
    <definedName name="type22" localSheetId="9">#REF!</definedName>
    <definedName name="type22" localSheetId="18">#REF!</definedName>
    <definedName name="type22" localSheetId="15">#REF!</definedName>
    <definedName name="type22" localSheetId="7">#REF!</definedName>
    <definedName name="type22">#REF!</definedName>
    <definedName name="TYPE23" localSheetId="12">#REF!</definedName>
    <definedName name="TYPE23" localSheetId="0">#REF!</definedName>
    <definedName name="TYPE23" localSheetId="1">#REF!</definedName>
    <definedName name="TYPE23" localSheetId="8">#REF!</definedName>
    <definedName name="TYPE23" localSheetId="11">#REF!</definedName>
    <definedName name="TYPE23" localSheetId="9">#REF!</definedName>
    <definedName name="TYPE23" localSheetId="18">#REF!</definedName>
    <definedName name="TYPE23" localSheetId="15">#REF!</definedName>
    <definedName name="TYPE23" localSheetId="7">#REF!</definedName>
    <definedName name="TYPE23">#REF!</definedName>
    <definedName name="type2drop" localSheetId="12">#REF!</definedName>
    <definedName name="type2drop" localSheetId="0">#REF!</definedName>
    <definedName name="type2drop" localSheetId="1">#REF!</definedName>
    <definedName name="type2drop" localSheetId="8">#REF!</definedName>
    <definedName name="type2drop" localSheetId="11">#REF!</definedName>
    <definedName name="type2drop" localSheetId="9">#REF!</definedName>
    <definedName name="type2drop" localSheetId="18">#REF!</definedName>
    <definedName name="type2drop" localSheetId="15">#REF!</definedName>
    <definedName name="type2drop" localSheetId="7">#REF!</definedName>
    <definedName name="type2drop">#REF!</definedName>
    <definedName name="type2drop2" localSheetId="12">#REF!</definedName>
    <definedName name="type2drop2" localSheetId="0">#REF!</definedName>
    <definedName name="type2drop2" localSheetId="1">#REF!</definedName>
    <definedName name="type2drop2" localSheetId="8">#REF!</definedName>
    <definedName name="type2drop2" localSheetId="11">#REF!</definedName>
    <definedName name="type2drop2" localSheetId="9">#REF!</definedName>
    <definedName name="type2drop2" localSheetId="18">#REF!</definedName>
    <definedName name="type2drop2" localSheetId="15">#REF!</definedName>
    <definedName name="type2drop2" localSheetId="7">#REF!</definedName>
    <definedName name="type2drop2">#REF!</definedName>
    <definedName name="type2drop22" localSheetId="12">#REF!</definedName>
    <definedName name="type2drop22" localSheetId="0">#REF!</definedName>
    <definedName name="type2drop22" localSheetId="1">#REF!</definedName>
    <definedName name="type2drop22" localSheetId="8">#REF!</definedName>
    <definedName name="type2drop22" localSheetId="11">#REF!</definedName>
    <definedName name="type2drop22" localSheetId="9">#REF!</definedName>
    <definedName name="type2drop22" localSheetId="18">#REF!</definedName>
    <definedName name="type2drop22" localSheetId="15">#REF!</definedName>
    <definedName name="type2drop22" localSheetId="7">#REF!</definedName>
    <definedName name="type2drop22">#REF!</definedName>
    <definedName name="type2drop23" localSheetId="12">#REF!</definedName>
    <definedName name="type2drop23" localSheetId="0">#REF!</definedName>
    <definedName name="type2drop23" localSheetId="1">#REF!</definedName>
    <definedName name="type2drop23" localSheetId="8">#REF!</definedName>
    <definedName name="type2drop23" localSheetId="11">#REF!</definedName>
    <definedName name="type2drop23" localSheetId="9">#REF!</definedName>
    <definedName name="type2drop23" localSheetId="18">#REF!</definedName>
    <definedName name="type2drop23" localSheetId="15">#REF!</definedName>
    <definedName name="type2drop23" localSheetId="7">#REF!</definedName>
    <definedName name="type2drop23">#REF!</definedName>
    <definedName name="TYPE2DROP24" localSheetId="12">#REF!</definedName>
    <definedName name="TYPE2DROP24" localSheetId="0">#REF!</definedName>
    <definedName name="TYPE2DROP24" localSheetId="1">#REF!</definedName>
    <definedName name="TYPE2DROP24" localSheetId="8">#REF!</definedName>
    <definedName name="TYPE2DROP24" localSheetId="11">#REF!</definedName>
    <definedName name="TYPE2DROP24" localSheetId="9">#REF!</definedName>
    <definedName name="TYPE2DROP24" localSheetId="18">#REF!</definedName>
    <definedName name="TYPE2DROP24" localSheetId="15">#REF!</definedName>
    <definedName name="TYPE2DROP24" localSheetId="7">#REF!</definedName>
    <definedName name="TYPE2DROP24">#REF!</definedName>
    <definedName name="TYPE2DROP3" localSheetId="12">#REF!</definedName>
    <definedName name="TYPE2DROP3" localSheetId="0">#REF!</definedName>
    <definedName name="TYPE2DROP3" localSheetId="1">#REF!</definedName>
    <definedName name="TYPE2DROP3" localSheetId="8">#REF!</definedName>
    <definedName name="TYPE2DROP3" localSheetId="11">#REF!</definedName>
    <definedName name="TYPE2DROP3" localSheetId="9">#REF!</definedName>
    <definedName name="TYPE2DROP3" localSheetId="18">#REF!</definedName>
    <definedName name="TYPE2DROP3" localSheetId="15">#REF!</definedName>
    <definedName name="TYPE2DROP3" localSheetId="7">#REF!</definedName>
    <definedName name="TYPE2DROP3">#REF!</definedName>
    <definedName name="TYPE2DROP32" localSheetId="12">#REF!</definedName>
    <definedName name="TYPE2DROP32" localSheetId="0">#REF!</definedName>
    <definedName name="TYPE2DROP32" localSheetId="1">#REF!</definedName>
    <definedName name="TYPE2DROP32" localSheetId="8">#REF!</definedName>
    <definedName name="TYPE2DROP32" localSheetId="11">#REF!</definedName>
    <definedName name="TYPE2DROP32" localSheetId="9">#REF!</definedName>
    <definedName name="TYPE2DROP32" localSheetId="18">#REF!</definedName>
    <definedName name="TYPE2DROP32" localSheetId="15">#REF!</definedName>
    <definedName name="TYPE2DROP32" localSheetId="7">#REF!</definedName>
    <definedName name="TYPE2DROP32">#REF!</definedName>
    <definedName name="type2slab" localSheetId="12">#REF!</definedName>
    <definedName name="type2slab" localSheetId="0">#REF!</definedName>
    <definedName name="type2slab" localSheetId="1">#REF!</definedName>
    <definedName name="type2slab" localSheetId="8">#REF!</definedName>
    <definedName name="type2slab" localSheetId="11">#REF!</definedName>
    <definedName name="type2slab" localSheetId="9">#REF!</definedName>
    <definedName name="type2slab" localSheetId="18">#REF!</definedName>
    <definedName name="type2slab" localSheetId="15">#REF!</definedName>
    <definedName name="type2slab" localSheetId="7">#REF!</definedName>
    <definedName name="type2slab">#REF!</definedName>
    <definedName name="TYPE2SLAB12" localSheetId="12">#REF!</definedName>
    <definedName name="TYPE2SLAB12" localSheetId="0">#REF!</definedName>
    <definedName name="TYPE2SLAB12" localSheetId="1">#REF!</definedName>
    <definedName name="TYPE2SLAB12" localSheetId="8">#REF!</definedName>
    <definedName name="TYPE2SLAB12" localSheetId="11">#REF!</definedName>
    <definedName name="TYPE2SLAB12" localSheetId="9">#REF!</definedName>
    <definedName name="TYPE2SLAB12" localSheetId="18">#REF!</definedName>
    <definedName name="TYPE2SLAB12" localSheetId="15">#REF!</definedName>
    <definedName name="TYPE2SLAB12" localSheetId="7">#REF!</definedName>
    <definedName name="TYPE2SLAB12">#REF!</definedName>
    <definedName name="type2slab2" localSheetId="12">#REF!</definedName>
    <definedName name="type2slab2" localSheetId="0">#REF!</definedName>
    <definedName name="type2slab2" localSheetId="1">#REF!</definedName>
    <definedName name="type2slab2" localSheetId="8">#REF!</definedName>
    <definedName name="type2slab2" localSheetId="11">#REF!</definedName>
    <definedName name="type2slab2" localSheetId="9">#REF!</definedName>
    <definedName name="type2slab2" localSheetId="18">#REF!</definedName>
    <definedName name="type2slab2" localSheetId="15">#REF!</definedName>
    <definedName name="type2slab2" localSheetId="7">#REF!</definedName>
    <definedName name="type2slab2">#REF!</definedName>
    <definedName name="TYPE2SLAB21" localSheetId="12">#REF!</definedName>
    <definedName name="TYPE2SLAB21" localSheetId="0">#REF!</definedName>
    <definedName name="TYPE2SLAB21" localSheetId="1">#REF!</definedName>
    <definedName name="TYPE2SLAB21" localSheetId="8">#REF!</definedName>
    <definedName name="TYPE2SLAB21" localSheetId="11">#REF!</definedName>
    <definedName name="TYPE2SLAB21" localSheetId="9">#REF!</definedName>
    <definedName name="TYPE2SLAB21" localSheetId="18">#REF!</definedName>
    <definedName name="TYPE2SLAB21" localSheetId="15">#REF!</definedName>
    <definedName name="TYPE2SLAB21" localSheetId="7">#REF!</definedName>
    <definedName name="TYPE2SLAB21">#REF!</definedName>
    <definedName name="type2slab22" localSheetId="12">#REF!</definedName>
    <definedName name="type2slab22" localSheetId="0">#REF!</definedName>
    <definedName name="type2slab22" localSheetId="1">#REF!</definedName>
    <definedName name="type2slab22" localSheetId="8">#REF!</definedName>
    <definedName name="type2slab22" localSheetId="11">#REF!</definedName>
    <definedName name="type2slab22" localSheetId="9">#REF!</definedName>
    <definedName name="type2slab22" localSheetId="18">#REF!</definedName>
    <definedName name="type2slab22" localSheetId="15">#REF!</definedName>
    <definedName name="type2slab22" localSheetId="7">#REF!</definedName>
    <definedName name="type2slab22">#REF!</definedName>
    <definedName name="TYPE2SLAB24" localSheetId="12">#REF!</definedName>
    <definedName name="TYPE2SLAB24" localSheetId="0">#REF!</definedName>
    <definedName name="TYPE2SLAB24" localSheetId="1">#REF!</definedName>
    <definedName name="TYPE2SLAB24" localSheetId="8">#REF!</definedName>
    <definedName name="TYPE2SLAB24" localSheetId="11">#REF!</definedName>
    <definedName name="TYPE2SLAB24" localSheetId="9">#REF!</definedName>
    <definedName name="TYPE2SLAB24" localSheetId="18">#REF!</definedName>
    <definedName name="TYPE2SLAB24" localSheetId="15">#REF!</definedName>
    <definedName name="TYPE2SLAB24" localSheetId="7">#REF!</definedName>
    <definedName name="TYPE2SLAB24">#REF!</definedName>
    <definedName name="type2slab3" localSheetId="12">#REF!</definedName>
    <definedName name="type2slab3" localSheetId="0">#REF!</definedName>
    <definedName name="type2slab3" localSheetId="1">#REF!</definedName>
    <definedName name="type2slab3" localSheetId="8">#REF!</definedName>
    <definedName name="type2slab3" localSheetId="11">#REF!</definedName>
    <definedName name="type2slab3" localSheetId="9">#REF!</definedName>
    <definedName name="type2slab3" localSheetId="18">#REF!</definedName>
    <definedName name="type2slab3" localSheetId="15">#REF!</definedName>
    <definedName name="type2slab3" localSheetId="7">#REF!</definedName>
    <definedName name="type2slab3">#REF!</definedName>
    <definedName name="Type3" localSheetId="12">#REF!</definedName>
    <definedName name="Type3" localSheetId="0">#REF!</definedName>
    <definedName name="Type3" localSheetId="1">#REF!</definedName>
    <definedName name="Type3" localSheetId="8">#REF!</definedName>
    <definedName name="Type3" localSheetId="11">#REF!</definedName>
    <definedName name="Type3" localSheetId="9">#REF!</definedName>
    <definedName name="Type3" localSheetId="18">#REF!</definedName>
    <definedName name="Type3" localSheetId="15">#REF!</definedName>
    <definedName name="Type3" localSheetId="7">#REF!</definedName>
    <definedName name="Type3">#REF!</definedName>
    <definedName name="type3drop" localSheetId="12">#REF!</definedName>
    <definedName name="type3drop" localSheetId="0">#REF!</definedName>
    <definedName name="type3drop" localSheetId="1">#REF!</definedName>
    <definedName name="type3drop" localSheetId="8">#REF!</definedName>
    <definedName name="type3drop" localSheetId="11">#REF!</definedName>
    <definedName name="type3drop" localSheetId="9">#REF!</definedName>
    <definedName name="type3drop" localSheetId="18">#REF!</definedName>
    <definedName name="type3drop" localSheetId="15">#REF!</definedName>
    <definedName name="type3drop" localSheetId="7">#REF!</definedName>
    <definedName name="type3drop">#REF!</definedName>
    <definedName name="type3drop2" localSheetId="12">#REF!</definedName>
    <definedName name="type3drop2" localSheetId="0">#REF!</definedName>
    <definedName name="type3drop2" localSheetId="1">#REF!</definedName>
    <definedName name="type3drop2" localSheetId="8">#REF!</definedName>
    <definedName name="type3drop2" localSheetId="11">#REF!</definedName>
    <definedName name="type3drop2" localSheetId="9">#REF!</definedName>
    <definedName name="type3drop2" localSheetId="18">#REF!</definedName>
    <definedName name="type3drop2" localSheetId="15">#REF!</definedName>
    <definedName name="type3drop2" localSheetId="7">#REF!</definedName>
    <definedName name="type3drop2">#REF!</definedName>
    <definedName name="type3drop22" localSheetId="12">#REF!</definedName>
    <definedName name="type3drop22" localSheetId="0">#REF!</definedName>
    <definedName name="type3drop22" localSheetId="1">#REF!</definedName>
    <definedName name="type3drop22" localSheetId="8">#REF!</definedName>
    <definedName name="type3drop22" localSheetId="11">#REF!</definedName>
    <definedName name="type3drop22" localSheetId="9">#REF!</definedName>
    <definedName name="type3drop22" localSheetId="18">#REF!</definedName>
    <definedName name="type3drop22" localSheetId="15">#REF!</definedName>
    <definedName name="type3drop22" localSheetId="7">#REF!</definedName>
    <definedName name="type3drop22">#REF!</definedName>
    <definedName name="TYPE3DROP23" localSheetId="12">#REF!</definedName>
    <definedName name="TYPE3DROP23" localSheetId="0">#REF!</definedName>
    <definedName name="TYPE3DROP23" localSheetId="1">#REF!</definedName>
    <definedName name="TYPE3DROP23" localSheetId="8">#REF!</definedName>
    <definedName name="TYPE3DROP23" localSheetId="11">#REF!</definedName>
    <definedName name="TYPE3DROP23" localSheetId="9">#REF!</definedName>
    <definedName name="TYPE3DROP23" localSheetId="18">#REF!</definedName>
    <definedName name="TYPE3DROP23" localSheetId="15">#REF!</definedName>
    <definedName name="TYPE3DROP23" localSheetId="7">#REF!</definedName>
    <definedName name="TYPE3DROP23">#REF!</definedName>
    <definedName name="TYPE3DROP43" localSheetId="12">#REF!</definedName>
    <definedName name="TYPE3DROP43" localSheetId="0">#REF!</definedName>
    <definedName name="TYPE3DROP43" localSheetId="1">#REF!</definedName>
    <definedName name="TYPE3DROP43" localSheetId="8">#REF!</definedName>
    <definedName name="TYPE3DROP43" localSheetId="11">#REF!</definedName>
    <definedName name="TYPE3DROP43" localSheetId="9">#REF!</definedName>
    <definedName name="TYPE3DROP43" localSheetId="18">#REF!</definedName>
    <definedName name="TYPE3DROP43" localSheetId="15">#REF!</definedName>
    <definedName name="TYPE3DROP43" localSheetId="7">#REF!</definedName>
    <definedName name="TYPE3DROP43">#REF!</definedName>
    <definedName name="TYPE3DROP56" localSheetId="12">#REF!</definedName>
    <definedName name="TYPE3DROP56" localSheetId="0">#REF!</definedName>
    <definedName name="TYPE3DROP56" localSheetId="1">#REF!</definedName>
    <definedName name="TYPE3DROP56" localSheetId="8">#REF!</definedName>
    <definedName name="TYPE3DROP56" localSheetId="11">#REF!</definedName>
    <definedName name="TYPE3DROP56" localSheetId="9">#REF!</definedName>
    <definedName name="TYPE3DROP56" localSheetId="18">#REF!</definedName>
    <definedName name="TYPE3DROP56" localSheetId="15">#REF!</definedName>
    <definedName name="TYPE3DROP56" localSheetId="7">#REF!</definedName>
    <definedName name="TYPE3DROP56">#REF!</definedName>
    <definedName name="type3drop6" localSheetId="12">#REF!</definedName>
    <definedName name="type3drop6" localSheetId="0">#REF!</definedName>
    <definedName name="type3drop6" localSheetId="1">#REF!</definedName>
    <definedName name="type3drop6" localSheetId="8">#REF!</definedName>
    <definedName name="type3drop6" localSheetId="11">#REF!</definedName>
    <definedName name="type3drop6" localSheetId="9">#REF!</definedName>
    <definedName name="type3drop6" localSheetId="18">#REF!</definedName>
    <definedName name="type3drop6" localSheetId="15">#REF!</definedName>
    <definedName name="type3drop6" localSheetId="7">#REF!</definedName>
    <definedName name="type3drop6">#REF!</definedName>
    <definedName name="type3slab" localSheetId="12">#REF!</definedName>
    <definedName name="type3slab" localSheetId="0">#REF!</definedName>
    <definedName name="type3slab" localSheetId="1">#REF!</definedName>
    <definedName name="type3slab" localSheetId="8">#REF!</definedName>
    <definedName name="type3slab" localSheetId="11">#REF!</definedName>
    <definedName name="type3slab" localSheetId="9">#REF!</definedName>
    <definedName name="type3slab" localSheetId="18">#REF!</definedName>
    <definedName name="type3slab" localSheetId="15">#REF!</definedName>
    <definedName name="type3slab" localSheetId="7">#REF!</definedName>
    <definedName name="type3slab">#REF!</definedName>
    <definedName name="TYPE3SLAB12" localSheetId="12">#REF!</definedName>
    <definedName name="TYPE3SLAB12" localSheetId="0">#REF!</definedName>
    <definedName name="TYPE3SLAB12" localSheetId="1">#REF!</definedName>
    <definedName name="TYPE3SLAB12" localSheetId="8">#REF!</definedName>
    <definedName name="TYPE3SLAB12" localSheetId="11">#REF!</definedName>
    <definedName name="TYPE3SLAB12" localSheetId="9">#REF!</definedName>
    <definedName name="TYPE3SLAB12" localSheetId="18">#REF!</definedName>
    <definedName name="TYPE3SLAB12" localSheetId="15">#REF!</definedName>
    <definedName name="TYPE3SLAB12" localSheetId="7">#REF!</definedName>
    <definedName name="TYPE3SLAB12">#REF!</definedName>
    <definedName name="type3slab2" localSheetId="12">#REF!</definedName>
    <definedName name="type3slab2" localSheetId="0">#REF!</definedName>
    <definedName name="type3slab2" localSheetId="1">#REF!</definedName>
    <definedName name="type3slab2" localSheetId="8">#REF!</definedName>
    <definedName name="type3slab2" localSheetId="11">#REF!</definedName>
    <definedName name="type3slab2" localSheetId="9">#REF!</definedName>
    <definedName name="type3slab2" localSheetId="18">#REF!</definedName>
    <definedName name="type3slab2" localSheetId="15">#REF!</definedName>
    <definedName name="type3slab2" localSheetId="7">#REF!</definedName>
    <definedName name="type3slab2">#REF!</definedName>
    <definedName name="TYPE3SLAB23" localSheetId="12">#REF!</definedName>
    <definedName name="TYPE3SLAB23" localSheetId="0">#REF!</definedName>
    <definedName name="TYPE3SLAB23" localSheetId="1">#REF!</definedName>
    <definedName name="TYPE3SLAB23" localSheetId="8">#REF!</definedName>
    <definedName name="TYPE3SLAB23" localSheetId="11">#REF!</definedName>
    <definedName name="TYPE3SLAB23" localSheetId="9">#REF!</definedName>
    <definedName name="TYPE3SLAB23" localSheetId="18">#REF!</definedName>
    <definedName name="TYPE3SLAB23" localSheetId="15">#REF!</definedName>
    <definedName name="TYPE3SLAB23" localSheetId="7">#REF!</definedName>
    <definedName name="TYPE3SLAB23">#REF!</definedName>
    <definedName name="type3slab3" localSheetId="12">#REF!</definedName>
    <definedName name="type3slab3" localSheetId="0">#REF!</definedName>
    <definedName name="type3slab3" localSheetId="1">#REF!</definedName>
    <definedName name="type3slab3" localSheetId="8">#REF!</definedName>
    <definedName name="type3slab3" localSheetId="11">#REF!</definedName>
    <definedName name="type3slab3" localSheetId="9">#REF!</definedName>
    <definedName name="type3slab3" localSheetId="18">#REF!</definedName>
    <definedName name="type3slab3" localSheetId="15">#REF!</definedName>
    <definedName name="type3slab3" localSheetId="7">#REF!</definedName>
    <definedName name="type3slab3">#REF!</definedName>
    <definedName name="TYPE3SLAB32" localSheetId="12">#REF!</definedName>
    <definedName name="TYPE3SLAB32" localSheetId="0">#REF!</definedName>
    <definedName name="TYPE3SLAB32" localSheetId="1">#REF!</definedName>
    <definedName name="TYPE3SLAB32" localSheetId="8">#REF!</definedName>
    <definedName name="TYPE3SLAB32" localSheetId="11">#REF!</definedName>
    <definedName name="TYPE3SLAB32" localSheetId="9">#REF!</definedName>
    <definedName name="TYPE3SLAB32" localSheetId="18">#REF!</definedName>
    <definedName name="TYPE3SLAB32" localSheetId="15">#REF!</definedName>
    <definedName name="TYPE3SLAB32" localSheetId="7">#REF!</definedName>
    <definedName name="TYPE3SLAB32">#REF!</definedName>
    <definedName name="type3slab4" localSheetId="12">#REF!</definedName>
    <definedName name="type3slab4" localSheetId="0">#REF!</definedName>
    <definedName name="type3slab4" localSheetId="1">#REF!</definedName>
    <definedName name="type3slab4" localSheetId="8">#REF!</definedName>
    <definedName name="type3slab4" localSheetId="11">#REF!</definedName>
    <definedName name="type3slab4" localSheetId="9">#REF!</definedName>
    <definedName name="type3slab4" localSheetId="18">#REF!</definedName>
    <definedName name="type3slab4" localSheetId="15">#REF!</definedName>
    <definedName name="type3slab4" localSheetId="7">#REF!</definedName>
    <definedName name="type3slab4">#REF!</definedName>
    <definedName name="type3slab6" localSheetId="12">#REF!</definedName>
    <definedName name="type3slab6" localSheetId="0">#REF!</definedName>
    <definedName name="type3slab6" localSheetId="1">#REF!</definedName>
    <definedName name="type3slab6" localSheetId="8">#REF!</definedName>
    <definedName name="type3slab6" localSheetId="11">#REF!</definedName>
    <definedName name="type3slab6" localSheetId="9">#REF!</definedName>
    <definedName name="type3slab6" localSheetId="18">#REF!</definedName>
    <definedName name="type3slab6" localSheetId="15">#REF!</definedName>
    <definedName name="type3slab6" localSheetId="7">#REF!</definedName>
    <definedName name="type3slab6">#REF!</definedName>
    <definedName name="type4" localSheetId="12">#REF!</definedName>
    <definedName name="type4" localSheetId="0">#REF!</definedName>
    <definedName name="type4" localSheetId="1">#REF!</definedName>
    <definedName name="type4" localSheetId="8">#REF!</definedName>
    <definedName name="type4" localSheetId="11">#REF!</definedName>
    <definedName name="type4" localSheetId="9">#REF!</definedName>
    <definedName name="type4" localSheetId="18">#REF!</definedName>
    <definedName name="type4" localSheetId="15">#REF!</definedName>
    <definedName name="type4" localSheetId="7">#REF!</definedName>
    <definedName name="type4">#REF!</definedName>
    <definedName name="type44" localSheetId="12">#REF!</definedName>
    <definedName name="type44" localSheetId="0">#REF!</definedName>
    <definedName name="type44" localSheetId="1">#REF!</definedName>
    <definedName name="type44" localSheetId="8">#REF!</definedName>
    <definedName name="type44" localSheetId="11">#REF!</definedName>
    <definedName name="type44" localSheetId="9">#REF!</definedName>
    <definedName name="type44" localSheetId="18">#REF!</definedName>
    <definedName name="type44" localSheetId="15">#REF!</definedName>
    <definedName name="type44" localSheetId="7">#REF!</definedName>
    <definedName name="type44">#REF!</definedName>
    <definedName name="type45" localSheetId="12">#REF!</definedName>
    <definedName name="type45" localSheetId="0">#REF!</definedName>
    <definedName name="type45" localSheetId="1">#REF!</definedName>
    <definedName name="type45" localSheetId="8">#REF!</definedName>
    <definedName name="type45" localSheetId="11">#REF!</definedName>
    <definedName name="type45" localSheetId="9">#REF!</definedName>
    <definedName name="type45" localSheetId="18">#REF!</definedName>
    <definedName name="type45" localSheetId="15">#REF!</definedName>
    <definedName name="type45" localSheetId="7">#REF!</definedName>
    <definedName name="type45">#REF!</definedName>
    <definedName name="type46" localSheetId="12">#REF!</definedName>
    <definedName name="type46" localSheetId="0">#REF!</definedName>
    <definedName name="type46" localSheetId="1">#REF!</definedName>
    <definedName name="type46" localSheetId="8">#REF!</definedName>
    <definedName name="type46" localSheetId="11">#REF!</definedName>
    <definedName name="type46" localSheetId="9">#REF!</definedName>
    <definedName name="type46" localSheetId="18">#REF!</definedName>
    <definedName name="type46" localSheetId="15">#REF!</definedName>
    <definedName name="type46" localSheetId="7">#REF!</definedName>
    <definedName name="type46">#REF!</definedName>
    <definedName name="TYPE47" localSheetId="12">#REF!</definedName>
    <definedName name="TYPE47" localSheetId="0">#REF!</definedName>
    <definedName name="TYPE47" localSheetId="1">#REF!</definedName>
    <definedName name="TYPE47" localSheetId="8">#REF!</definedName>
    <definedName name="TYPE47" localSheetId="11">#REF!</definedName>
    <definedName name="TYPE47" localSheetId="9">#REF!</definedName>
    <definedName name="TYPE47" localSheetId="18">#REF!</definedName>
    <definedName name="TYPE47" localSheetId="15">#REF!</definedName>
    <definedName name="TYPE47" localSheetId="7">#REF!</definedName>
    <definedName name="TYPE47">#REF!</definedName>
    <definedName name="TYPE48" localSheetId="12">#REF!</definedName>
    <definedName name="TYPE48" localSheetId="0">#REF!</definedName>
    <definedName name="TYPE48" localSheetId="1">#REF!</definedName>
    <definedName name="TYPE48" localSheetId="8">#REF!</definedName>
    <definedName name="TYPE48" localSheetId="11">#REF!</definedName>
    <definedName name="TYPE48" localSheetId="9">#REF!</definedName>
    <definedName name="TYPE48" localSheetId="18">#REF!</definedName>
    <definedName name="TYPE48" localSheetId="15">#REF!</definedName>
    <definedName name="TYPE48" localSheetId="7">#REF!</definedName>
    <definedName name="TYPE48">#REF!</definedName>
    <definedName name="type4drop" localSheetId="12">#REF!</definedName>
    <definedName name="type4drop" localSheetId="0">#REF!</definedName>
    <definedName name="type4drop" localSheetId="1">#REF!</definedName>
    <definedName name="type4drop" localSheetId="8">#REF!</definedName>
    <definedName name="type4drop" localSheetId="11">#REF!</definedName>
    <definedName name="type4drop" localSheetId="9">#REF!</definedName>
    <definedName name="type4drop" localSheetId="18">#REF!</definedName>
    <definedName name="type4drop" localSheetId="15">#REF!</definedName>
    <definedName name="type4drop" localSheetId="7">#REF!</definedName>
    <definedName name="type4drop">#REF!</definedName>
    <definedName name="TYPE4DROP12" localSheetId="12">#REF!</definedName>
    <definedName name="TYPE4DROP12" localSheetId="0">#REF!</definedName>
    <definedName name="TYPE4DROP12" localSheetId="1">#REF!</definedName>
    <definedName name="TYPE4DROP12" localSheetId="8">#REF!</definedName>
    <definedName name="TYPE4DROP12" localSheetId="11">#REF!</definedName>
    <definedName name="TYPE4DROP12" localSheetId="9">#REF!</definedName>
    <definedName name="TYPE4DROP12" localSheetId="18">#REF!</definedName>
    <definedName name="TYPE4DROP12" localSheetId="15">#REF!</definedName>
    <definedName name="TYPE4DROP12" localSheetId="7">#REF!</definedName>
    <definedName name="TYPE4DROP12">#REF!</definedName>
    <definedName name="type4drop2" localSheetId="12">#REF!</definedName>
    <definedName name="type4drop2" localSheetId="0">#REF!</definedName>
    <definedName name="type4drop2" localSheetId="1">#REF!</definedName>
    <definedName name="type4drop2" localSheetId="8">#REF!</definedName>
    <definedName name="type4drop2" localSheetId="11">#REF!</definedName>
    <definedName name="type4drop2" localSheetId="9">#REF!</definedName>
    <definedName name="type4drop2" localSheetId="18">#REF!</definedName>
    <definedName name="type4drop2" localSheetId="15">#REF!</definedName>
    <definedName name="type4drop2" localSheetId="7">#REF!</definedName>
    <definedName name="type4drop2">#REF!</definedName>
    <definedName name="TYPE4DROP23" localSheetId="12">#REF!</definedName>
    <definedName name="TYPE4DROP23" localSheetId="0">#REF!</definedName>
    <definedName name="TYPE4DROP23" localSheetId="1">#REF!</definedName>
    <definedName name="TYPE4DROP23" localSheetId="8">#REF!</definedName>
    <definedName name="TYPE4DROP23" localSheetId="11">#REF!</definedName>
    <definedName name="TYPE4DROP23" localSheetId="9">#REF!</definedName>
    <definedName name="TYPE4DROP23" localSheetId="18">#REF!</definedName>
    <definedName name="TYPE4DROP23" localSheetId="15">#REF!</definedName>
    <definedName name="TYPE4DROP23" localSheetId="7">#REF!</definedName>
    <definedName name="TYPE4DROP23">#REF!</definedName>
    <definedName name="type4drop4" localSheetId="12">#REF!</definedName>
    <definedName name="type4drop4" localSheetId="0">#REF!</definedName>
    <definedName name="type4drop4" localSheetId="1">#REF!</definedName>
    <definedName name="type4drop4" localSheetId="8">#REF!</definedName>
    <definedName name="type4drop4" localSheetId="11">#REF!</definedName>
    <definedName name="type4drop4" localSheetId="9">#REF!</definedName>
    <definedName name="type4drop4" localSheetId="18">#REF!</definedName>
    <definedName name="type4drop4" localSheetId="15">#REF!</definedName>
    <definedName name="type4drop4" localSheetId="7">#REF!</definedName>
    <definedName name="type4drop4">#REF!</definedName>
    <definedName name="TYPE4DROP54" localSheetId="12">#REF!</definedName>
    <definedName name="TYPE4DROP54" localSheetId="0">#REF!</definedName>
    <definedName name="TYPE4DROP54" localSheetId="1">#REF!</definedName>
    <definedName name="TYPE4DROP54" localSheetId="8">#REF!</definedName>
    <definedName name="TYPE4DROP54" localSheetId="11">#REF!</definedName>
    <definedName name="TYPE4DROP54" localSheetId="9">#REF!</definedName>
    <definedName name="TYPE4DROP54" localSheetId="18">#REF!</definedName>
    <definedName name="TYPE4DROP54" localSheetId="15">#REF!</definedName>
    <definedName name="TYPE4DROP54" localSheetId="7">#REF!</definedName>
    <definedName name="TYPE4DROP54">#REF!</definedName>
    <definedName name="type4drops" localSheetId="12">#REF!</definedName>
    <definedName name="type4drops" localSheetId="0">#REF!</definedName>
    <definedName name="type4drops" localSheetId="1">#REF!</definedName>
    <definedName name="type4drops" localSheetId="8">#REF!</definedName>
    <definedName name="type4drops" localSheetId="11">#REF!</definedName>
    <definedName name="type4drops" localSheetId="9">#REF!</definedName>
    <definedName name="type4drops" localSheetId="18">#REF!</definedName>
    <definedName name="type4drops" localSheetId="15">#REF!</definedName>
    <definedName name="type4drops" localSheetId="7">#REF!</definedName>
    <definedName name="type4drops">#REF!</definedName>
    <definedName name="type4slab" localSheetId="12">#REF!</definedName>
    <definedName name="type4slab" localSheetId="0">#REF!</definedName>
    <definedName name="type4slab" localSheetId="1">#REF!</definedName>
    <definedName name="type4slab" localSheetId="8">#REF!</definedName>
    <definedName name="type4slab" localSheetId="11">#REF!</definedName>
    <definedName name="type4slab" localSheetId="9">#REF!</definedName>
    <definedName name="type4slab" localSheetId="18">#REF!</definedName>
    <definedName name="type4slab" localSheetId="15">#REF!</definedName>
    <definedName name="type4slab" localSheetId="7">#REF!</definedName>
    <definedName name="type4slab">#REF!</definedName>
    <definedName name="TYPE4SLAB12" localSheetId="12">#REF!</definedName>
    <definedName name="TYPE4SLAB12" localSheetId="0">#REF!</definedName>
    <definedName name="TYPE4SLAB12" localSheetId="1">#REF!</definedName>
    <definedName name="TYPE4SLAB12" localSheetId="8">#REF!</definedName>
    <definedName name="TYPE4SLAB12" localSheetId="11">#REF!</definedName>
    <definedName name="TYPE4SLAB12" localSheetId="9">#REF!</definedName>
    <definedName name="TYPE4SLAB12" localSheetId="18">#REF!</definedName>
    <definedName name="TYPE4SLAB12" localSheetId="15">#REF!</definedName>
    <definedName name="TYPE4SLAB12" localSheetId="7">#REF!</definedName>
    <definedName name="TYPE4SLAB12">#REF!</definedName>
    <definedName name="type4slab22" localSheetId="12">#REF!</definedName>
    <definedName name="type4slab22" localSheetId="0">#REF!</definedName>
    <definedName name="type4slab22" localSheetId="1">#REF!</definedName>
    <definedName name="type4slab22" localSheetId="8">#REF!</definedName>
    <definedName name="type4slab22" localSheetId="11">#REF!</definedName>
    <definedName name="type4slab22" localSheetId="9">#REF!</definedName>
    <definedName name="type4slab22" localSheetId="18">#REF!</definedName>
    <definedName name="type4slab22" localSheetId="15">#REF!</definedName>
    <definedName name="type4slab22" localSheetId="7">#REF!</definedName>
    <definedName name="type4slab22">#REF!</definedName>
    <definedName name="TYPE4SLAB23" localSheetId="12">#REF!</definedName>
    <definedName name="TYPE4SLAB23" localSheetId="0">#REF!</definedName>
    <definedName name="TYPE4SLAB23" localSheetId="1">#REF!</definedName>
    <definedName name="TYPE4SLAB23" localSheetId="8">#REF!</definedName>
    <definedName name="TYPE4SLAB23" localSheetId="11">#REF!</definedName>
    <definedName name="TYPE4SLAB23" localSheetId="9">#REF!</definedName>
    <definedName name="TYPE4SLAB23" localSheetId="18">#REF!</definedName>
    <definedName name="TYPE4SLAB23" localSheetId="15">#REF!</definedName>
    <definedName name="TYPE4SLAB23" localSheetId="7">#REF!</definedName>
    <definedName name="TYPE4SLAB23">#REF!</definedName>
    <definedName name="TYPE4SLAB32" localSheetId="12">#REF!</definedName>
    <definedName name="TYPE4SLAB32" localSheetId="0">#REF!</definedName>
    <definedName name="TYPE4SLAB32" localSheetId="1">#REF!</definedName>
    <definedName name="TYPE4SLAB32" localSheetId="8">#REF!</definedName>
    <definedName name="TYPE4SLAB32" localSheetId="11">#REF!</definedName>
    <definedName name="TYPE4SLAB32" localSheetId="9">#REF!</definedName>
    <definedName name="TYPE4SLAB32" localSheetId="18">#REF!</definedName>
    <definedName name="TYPE4SLAB32" localSheetId="15">#REF!</definedName>
    <definedName name="TYPE4SLAB32" localSheetId="7">#REF!</definedName>
    <definedName name="TYPE4SLAB32">#REF!</definedName>
    <definedName name="type4slab6" localSheetId="12">#REF!</definedName>
    <definedName name="type4slab6" localSheetId="0">#REF!</definedName>
    <definedName name="type4slab6" localSheetId="1">#REF!</definedName>
    <definedName name="type4slab6" localSheetId="8">#REF!</definedName>
    <definedName name="type4slab6" localSheetId="11">#REF!</definedName>
    <definedName name="type4slab6" localSheetId="9">#REF!</definedName>
    <definedName name="type4slab6" localSheetId="18">#REF!</definedName>
    <definedName name="type4slab6" localSheetId="15">#REF!</definedName>
    <definedName name="type4slab6" localSheetId="7">#REF!</definedName>
    <definedName name="type4slab6">#REF!</definedName>
    <definedName name="type5" localSheetId="12">#REF!</definedName>
    <definedName name="type5" localSheetId="0">#REF!</definedName>
    <definedName name="type5" localSheetId="1">#REF!</definedName>
    <definedName name="type5" localSheetId="8">#REF!</definedName>
    <definedName name="type5" localSheetId="11">#REF!</definedName>
    <definedName name="type5" localSheetId="9">#REF!</definedName>
    <definedName name="type5" localSheetId="18">#REF!</definedName>
    <definedName name="type5" localSheetId="15">#REF!</definedName>
    <definedName name="type5" localSheetId="7">#REF!</definedName>
    <definedName name="type5">#REF!</definedName>
    <definedName name="type6" localSheetId="12">#REF!</definedName>
    <definedName name="type6" localSheetId="0">#REF!</definedName>
    <definedName name="type6" localSheetId="1">#REF!</definedName>
    <definedName name="type6" localSheetId="8">#REF!</definedName>
    <definedName name="type6" localSheetId="11">#REF!</definedName>
    <definedName name="type6" localSheetId="9">#REF!</definedName>
    <definedName name="type6" localSheetId="18">#REF!</definedName>
    <definedName name="type6" localSheetId="15">#REF!</definedName>
    <definedName name="type6" localSheetId="7">#REF!</definedName>
    <definedName name="type6">#REF!</definedName>
    <definedName name="TYPE64" localSheetId="12">#REF!</definedName>
    <definedName name="TYPE64" localSheetId="0">#REF!</definedName>
    <definedName name="TYPE64" localSheetId="1">#REF!</definedName>
    <definedName name="TYPE64" localSheetId="8">#REF!</definedName>
    <definedName name="TYPE64" localSheetId="11">#REF!</definedName>
    <definedName name="TYPE64" localSheetId="9">#REF!</definedName>
    <definedName name="TYPE64" localSheetId="18">#REF!</definedName>
    <definedName name="TYPE64" localSheetId="15">#REF!</definedName>
    <definedName name="TYPE64" localSheetId="7">#REF!</definedName>
    <definedName name="TYPE64">#REF!</definedName>
    <definedName name="U" localSheetId="12">#REF!</definedName>
    <definedName name="U" localSheetId="8">#REF!</definedName>
    <definedName name="U" localSheetId="11">#REF!</definedName>
    <definedName name="U" localSheetId="9">#REF!</definedName>
    <definedName name="U" localSheetId="18">#REF!</definedName>
    <definedName name="U" localSheetId="15">#REF!</definedName>
    <definedName name="U" localSheetId="7">#REF!</definedName>
    <definedName name="U">#REF!</definedName>
    <definedName name="UI" localSheetId="12" hidden="1">#REF!</definedName>
    <definedName name="UI" localSheetId="8" hidden="1">#REF!</definedName>
    <definedName name="UI" localSheetId="11" hidden="1">#REF!</definedName>
    <definedName name="UI" localSheetId="9" hidden="1">#REF!</definedName>
    <definedName name="UI" localSheetId="18" hidden="1">#REF!</definedName>
    <definedName name="UI" localSheetId="15" hidden="1">#REF!</definedName>
    <definedName name="UI" localSheetId="7" hidden="1">#REF!</definedName>
    <definedName name="UI" hidden="1">#REF!</definedName>
    <definedName name="uma" localSheetId="12" hidden="1">{#N/A,#N/A,FALSE,"COVER1.XLS ";#N/A,#N/A,FALSE,"RACT1.XLS";#N/A,#N/A,FALSE,"RACT2.XLS";#N/A,#N/A,FALSE,"ECCMP";#N/A,#N/A,FALSE,"WELDER.XLS"}</definedName>
    <definedName name="uma" localSheetId="6" hidden="1">{#N/A,#N/A,FALSE,"COVER1.XLS ";#N/A,#N/A,FALSE,"RACT1.XLS";#N/A,#N/A,FALSE,"RACT2.XLS";#N/A,#N/A,FALSE,"ECCMP";#N/A,#N/A,FALSE,"WELDER.XLS"}</definedName>
    <definedName name="uma" localSheetId="5" hidden="1">{#N/A,#N/A,FALSE,"COVER1.XLS ";#N/A,#N/A,FALSE,"RACT1.XLS";#N/A,#N/A,FALSE,"RACT2.XLS";#N/A,#N/A,FALSE,"ECCMP";#N/A,#N/A,FALSE,"WELDER.XLS"}</definedName>
    <definedName name="uma" localSheetId="8" hidden="1">{#N/A,#N/A,FALSE,"COVER1.XLS ";#N/A,#N/A,FALSE,"RACT1.XLS";#N/A,#N/A,FALSE,"RACT2.XLS";#N/A,#N/A,FALSE,"ECCMP";#N/A,#N/A,FALSE,"WELDER.XLS"}</definedName>
    <definedName name="uma" localSheetId="11" hidden="1">{#N/A,#N/A,FALSE,"COVER1.XLS ";#N/A,#N/A,FALSE,"RACT1.XLS";#N/A,#N/A,FALSE,"RACT2.XLS";#N/A,#N/A,FALSE,"ECCMP";#N/A,#N/A,FALSE,"WELDER.XLS"}</definedName>
    <definedName name="uma" localSheetId="9" hidden="1">{#N/A,#N/A,FALSE,"COVER1.XLS ";#N/A,#N/A,FALSE,"RACT1.XLS";#N/A,#N/A,FALSE,"RACT2.XLS";#N/A,#N/A,FALSE,"ECCMP";#N/A,#N/A,FALSE,"WELDER.XLS"}</definedName>
    <definedName name="uma" localSheetId="13" hidden="1">{#N/A,#N/A,FALSE,"COVER1.XLS ";#N/A,#N/A,FALSE,"RACT1.XLS";#N/A,#N/A,FALSE,"RACT2.XLS";#N/A,#N/A,FALSE,"ECCMP";#N/A,#N/A,FALSE,"WELDER.XLS"}</definedName>
    <definedName name="uma" localSheetId="18" hidden="1">{#N/A,#N/A,FALSE,"COVER1.XLS ";#N/A,#N/A,FALSE,"RACT1.XLS";#N/A,#N/A,FALSE,"RACT2.XLS";#N/A,#N/A,FALSE,"ECCMP";#N/A,#N/A,FALSE,"WELDER.XLS"}</definedName>
    <definedName name="uma" localSheetId="15" hidden="1">{#N/A,#N/A,FALSE,"COVER1.XLS ";#N/A,#N/A,FALSE,"RACT1.XLS";#N/A,#N/A,FALSE,"RACT2.XLS";#N/A,#N/A,FALSE,"ECCMP";#N/A,#N/A,FALSE,"WELDER.XLS"}</definedName>
    <definedName name="uma" localSheetId="7" hidden="1">{#N/A,#N/A,FALSE,"COVER1.XLS ";#N/A,#N/A,FALSE,"RACT1.XLS";#N/A,#N/A,FALSE,"RACT2.XLS";#N/A,#N/A,FALSE,"ECCMP";#N/A,#N/A,FALSE,"WELDER.XLS"}</definedName>
    <definedName name="uma" hidden="1">{#N/A,#N/A,FALSE,"COVER1.XLS ";#N/A,#N/A,FALSE,"RACT1.XLS";#N/A,#N/A,FALSE,"RACT2.XLS";#N/A,#N/A,FALSE,"ECCMP";#N/A,#N/A,FALSE,"WELDER.XLS"}</definedName>
    <definedName name="UMAR" localSheetId="12">#REF!</definedName>
    <definedName name="UMAR" localSheetId="6">#REF!</definedName>
    <definedName name="UMAR" localSheetId="5">#REF!</definedName>
    <definedName name="UMAR" localSheetId="8">#REF!</definedName>
    <definedName name="UMAR" localSheetId="11">#REF!</definedName>
    <definedName name="UMAR" localSheetId="9">#REF!</definedName>
    <definedName name="UMAR" localSheetId="18">#REF!</definedName>
    <definedName name="UMAR" localSheetId="15">#REF!</definedName>
    <definedName name="UMAR" localSheetId="7">#REF!</definedName>
    <definedName name="UMAR">#REF!</definedName>
    <definedName name="UNITS" localSheetId="12">#REF!</definedName>
    <definedName name="UNITS" localSheetId="6">#REF!</definedName>
    <definedName name="UNITS" localSheetId="5">#REF!</definedName>
    <definedName name="UNITS" localSheetId="8">#REF!</definedName>
    <definedName name="UNITS" localSheetId="11">#REF!</definedName>
    <definedName name="UNITS" localSheetId="9">#REF!</definedName>
    <definedName name="UNITS" localSheetId="18">#REF!</definedName>
    <definedName name="UNITS" localSheetId="15">#REF!</definedName>
    <definedName name="UNITS" localSheetId="7">#REF!</definedName>
    <definedName name="UNITS">#REF!</definedName>
    <definedName name="unsecured" localSheetId="12">#REF!</definedName>
    <definedName name="unsecured" localSheetId="0">#REF!</definedName>
    <definedName name="unsecured" localSheetId="1">#REF!</definedName>
    <definedName name="unsecured" localSheetId="8">#REF!</definedName>
    <definedName name="unsecured" localSheetId="11">#REF!</definedName>
    <definedName name="unsecured" localSheetId="9">#REF!</definedName>
    <definedName name="unsecured" localSheetId="18">#REF!</definedName>
    <definedName name="unsecured" localSheetId="15">#REF!</definedName>
    <definedName name="unsecured" localSheetId="7">#REF!</definedName>
    <definedName name="unsecured">#REF!</definedName>
    <definedName name="usd" localSheetId="12">#REF!</definedName>
    <definedName name="usd" localSheetId="8">#REF!</definedName>
    <definedName name="usd" localSheetId="11">#REF!</definedName>
    <definedName name="usd" localSheetId="9">#REF!</definedName>
    <definedName name="usd" localSheetId="18">#REF!</definedName>
    <definedName name="usd" localSheetId="15">#REF!</definedName>
    <definedName name="usd" localSheetId="7">#REF!</definedName>
    <definedName name="usd">#REF!</definedName>
    <definedName name="Use_Alternates" localSheetId="12">#REF!</definedName>
    <definedName name="Use_Alternates" localSheetId="8">#REF!</definedName>
    <definedName name="Use_Alternates" localSheetId="11">#REF!</definedName>
    <definedName name="Use_Alternates" localSheetId="9">#REF!</definedName>
    <definedName name="Use_Alternates" localSheetId="18">#REF!</definedName>
    <definedName name="Use_Alternates" localSheetId="15">#REF!</definedName>
    <definedName name="Use_Alternates" localSheetId="7">#REF!</definedName>
    <definedName name="Use_Alternates">#REF!</definedName>
    <definedName name="UserChoice" localSheetId="12">#REF!</definedName>
    <definedName name="UserChoice" localSheetId="8">#REF!</definedName>
    <definedName name="UserChoice" localSheetId="11">#REF!</definedName>
    <definedName name="UserChoice" localSheetId="9">#REF!</definedName>
    <definedName name="UserChoice" localSheetId="18">#REF!</definedName>
    <definedName name="UserChoice" localSheetId="15">#REF!</definedName>
    <definedName name="UserChoice" localSheetId="7">#REF!</definedName>
    <definedName name="UserChoice">#REF!</definedName>
    <definedName name="uuuuuuuuuuuuuu" localSheetId="12">#REF!</definedName>
    <definedName name="uuuuuuuuuuuuuu" localSheetId="8">#REF!</definedName>
    <definedName name="uuuuuuuuuuuuuu" localSheetId="11">#REF!</definedName>
    <definedName name="uuuuuuuuuuuuuu" localSheetId="9">#REF!</definedName>
    <definedName name="uuuuuuuuuuuuuu" localSheetId="18">#REF!</definedName>
    <definedName name="uuuuuuuuuuuuuu" localSheetId="15">#REF!</definedName>
    <definedName name="uuuuuuuuuuuuuu" localSheetId="7">#REF!</definedName>
    <definedName name="uuuuuuuuuuuuuu">#REF!</definedName>
    <definedName name="v" localSheetId="12">#REF!</definedName>
    <definedName name="v" localSheetId="8">#REF!</definedName>
    <definedName name="v" localSheetId="11">#REF!</definedName>
    <definedName name="v" localSheetId="9">#REF!</definedName>
    <definedName name="v" localSheetId="18">#REF!</definedName>
    <definedName name="v" localSheetId="15">#REF!</definedName>
    <definedName name="v" localSheetId="7">#REF!</definedName>
    <definedName name="v">#REF!</definedName>
    <definedName name="va" localSheetId="12">#REF!</definedName>
    <definedName name="va" localSheetId="8">#REF!</definedName>
    <definedName name="va" localSheetId="11">#REF!</definedName>
    <definedName name="va" localSheetId="9">#REF!</definedName>
    <definedName name="va" localSheetId="18">#REF!</definedName>
    <definedName name="va" localSheetId="15">#REF!</definedName>
    <definedName name="va" localSheetId="7">#REF!</definedName>
    <definedName name="va">#REF!</definedName>
    <definedName name="va___0" localSheetId="12">#REF!</definedName>
    <definedName name="va___0" localSheetId="8">#REF!</definedName>
    <definedName name="va___0" localSheetId="11">#REF!</definedName>
    <definedName name="va___0" localSheetId="9">#REF!</definedName>
    <definedName name="va___0" localSheetId="18">#REF!</definedName>
    <definedName name="va___0" localSheetId="15">#REF!</definedName>
    <definedName name="va___0" localSheetId="7">#REF!</definedName>
    <definedName name="va___0">#REF!</definedName>
    <definedName name="va___13" localSheetId="12">#REF!</definedName>
    <definedName name="va___13" localSheetId="8">#REF!</definedName>
    <definedName name="va___13" localSheetId="11">#REF!</definedName>
    <definedName name="va___13" localSheetId="9">#REF!</definedName>
    <definedName name="va___13" localSheetId="18">#REF!</definedName>
    <definedName name="va___13" localSheetId="15">#REF!</definedName>
    <definedName name="va___13" localSheetId="7">#REF!</definedName>
    <definedName name="va___13">#REF!</definedName>
    <definedName name="Validation" localSheetId="12">#REF!</definedName>
    <definedName name="Validation" localSheetId="8">#REF!</definedName>
    <definedName name="Validation" localSheetId="11">#REF!</definedName>
    <definedName name="Validation" localSheetId="9">#REF!</definedName>
    <definedName name="Validation" localSheetId="18">#REF!</definedName>
    <definedName name="Validation" localSheetId="15">#REF!</definedName>
    <definedName name="Validation" localSheetId="7">#REF!</definedName>
    <definedName name="Validation">#REF!</definedName>
    <definedName name="VANDEMATARAM" localSheetId="12">#REF!</definedName>
    <definedName name="VANDEMATARAM" localSheetId="8">#REF!</definedName>
    <definedName name="VANDEMATARAM" localSheetId="11">#REF!</definedName>
    <definedName name="VANDEMATARAM" localSheetId="9">#REF!</definedName>
    <definedName name="VANDEMATARAM" localSheetId="18">#REF!</definedName>
    <definedName name="VANDEMATARAM" localSheetId="15">#REF!</definedName>
    <definedName name="VANDEMATARAM" localSheetId="7">#REF!</definedName>
    <definedName name="VANDEMATARAM">#REF!</definedName>
    <definedName name="VAT" localSheetId="12">#REF!</definedName>
    <definedName name="VAT" localSheetId="8">#REF!</definedName>
    <definedName name="VAT" localSheetId="11">#REF!</definedName>
    <definedName name="VAT" localSheetId="9">#REF!</definedName>
    <definedName name="VAT" localSheetId="18">#REF!</definedName>
    <definedName name="VAT" localSheetId="15">#REF!</definedName>
    <definedName name="VAT" localSheetId="7">#REF!</definedName>
    <definedName name="VAT">#REF!</definedName>
    <definedName name="vatf" localSheetId="12">#REF!</definedName>
    <definedName name="vatf" localSheetId="0">#REF!</definedName>
    <definedName name="vatf" localSheetId="1">#REF!</definedName>
    <definedName name="vatf" localSheetId="8">#REF!</definedName>
    <definedName name="vatf" localSheetId="11">#REF!</definedName>
    <definedName name="vatf" localSheetId="9">#REF!</definedName>
    <definedName name="vatf" localSheetId="18">#REF!</definedName>
    <definedName name="vatf" localSheetId="15">#REF!</definedName>
    <definedName name="vatf" localSheetId="7">#REF!</definedName>
    <definedName name="vatf">#REF!</definedName>
    <definedName name="VB" localSheetId="12">#REF!</definedName>
    <definedName name="VB" localSheetId="8">#REF!</definedName>
    <definedName name="VB" localSheetId="11">#REF!</definedName>
    <definedName name="VB" localSheetId="9">#REF!</definedName>
    <definedName name="VB" localSheetId="18">#REF!</definedName>
    <definedName name="VB" localSheetId="15">#REF!</definedName>
    <definedName name="VB" localSheetId="7">#REF!</definedName>
    <definedName name="VB">#REF!</definedName>
    <definedName name="VD" localSheetId="12">#REF!</definedName>
    <definedName name="VD" localSheetId="8">#REF!</definedName>
    <definedName name="VD" localSheetId="11">#REF!</definedName>
    <definedName name="VD" localSheetId="9">#REF!</definedName>
    <definedName name="VD" localSheetId="18">#REF!</definedName>
    <definedName name="VD" localSheetId="15">#REF!</definedName>
    <definedName name="VD" localSheetId="7">#REF!</definedName>
    <definedName name="VD">#REF!</definedName>
    <definedName name="Vend" localSheetId="12">#REF!</definedName>
    <definedName name="Vend" localSheetId="8">#REF!</definedName>
    <definedName name="Vend" localSheetId="11">#REF!</definedName>
    <definedName name="Vend" localSheetId="9">#REF!</definedName>
    <definedName name="Vend" localSheetId="18">#REF!</definedName>
    <definedName name="Vend" localSheetId="15">#REF!</definedName>
    <definedName name="Vend" localSheetId="7">#REF!</definedName>
    <definedName name="Vend">#REF!</definedName>
    <definedName name="vender_1500KVA" localSheetId="12">#REF!</definedName>
    <definedName name="vender_1500KVA" localSheetId="8">#REF!</definedName>
    <definedName name="vender_1500KVA" localSheetId="11">#REF!</definedName>
    <definedName name="vender_1500KVA" localSheetId="9">#REF!</definedName>
    <definedName name="vender_1500KVA" localSheetId="18">#REF!</definedName>
    <definedName name="vender_1500KVA" localSheetId="15">#REF!</definedName>
    <definedName name="vender_1500KVA" localSheetId="7">#REF!</definedName>
    <definedName name="vender_1500KVA">#REF!</definedName>
    <definedName name="VENDOR" localSheetId="12">#REF!</definedName>
    <definedName name="VENDOR" localSheetId="8">#REF!</definedName>
    <definedName name="VENDOR" localSheetId="11">#REF!</definedName>
    <definedName name="VENDOR" localSheetId="9">#REF!</definedName>
    <definedName name="VENDOR" localSheetId="18">#REF!</definedName>
    <definedName name="VENDOR" localSheetId="15">#REF!</definedName>
    <definedName name="VENDOR" localSheetId="7">#REF!</definedName>
    <definedName name="VENDOR">#REF!</definedName>
    <definedName name="vendor_500KVA" localSheetId="12">#REF!</definedName>
    <definedName name="vendor_500KVA" localSheetId="8">#REF!</definedName>
    <definedName name="vendor_500KVA" localSheetId="11">#REF!</definedName>
    <definedName name="vendor_500KVA" localSheetId="9">#REF!</definedName>
    <definedName name="vendor_500KVA" localSheetId="18">#REF!</definedName>
    <definedName name="vendor_500KVA" localSheetId="15">#REF!</definedName>
    <definedName name="vendor_500KVA" localSheetId="7">#REF!</definedName>
    <definedName name="vendor_500KVA">#REF!</definedName>
    <definedName name="venky" localSheetId="12" hidden="1">{"PLANT BREAKUP",#N/A,FALSE,"E"}</definedName>
    <definedName name="venky" localSheetId="6" hidden="1">{"PLANT BREAKUP",#N/A,FALSE,"E"}</definedName>
    <definedName name="venky" localSheetId="5" hidden="1">{"PLANT BREAKUP",#N/A,FALSE,"E"}</definedName>
    <definedName name="venky" localSheetId="8" hidden="1">{"PLANT BREAKUP",#N/A,FALSE,"E"}</definedName>
    <definedName name="venky" localSheetId="11" hidden="1">{"PLANT BREAKUP",#N/A,FALSE,"E"}</definedName>
    <definedName name="venky" localSheetId="9" hidden="1">{"PLANT BREAKUP",#N/A,FALSE,"E"}</definedName>
    <definedName name="venky" localSheetId="13" hidden="1">{"PLANT BREAKUP",#N/A,FALSE,"E"}</definedName>
    <definedName name="venky" localSheetId="18" hidden="1">{"PLANT BREAKUP",#N/A,FALSE,"E"}</definedName>
    <definedName name="venky" localSheetId="15" hidden="1">{"PLANT BREAKUP",#N/A,FALSE,"E"}</definedName>
    <definedName name="venky" localSheetId="7" hidden="1">{"PLANT BREAKUP",#N/A,FALSE,"E"}</definedName>
    <definedName name="venky" hidden="1">{"PLANT BREAKUP",#N/A,FALSE,"E"}</definedName>
    <definedName name="vertical_col_and_corner_walls" localSheetId="12">#REF!</definedName>
    <definedName name="vertical_col_and_corner_walls" localSheetId="6">#REF!</definedName>
    <definedName name="vertical_col_and_corner_walls" localSheetId="5">#REF!</definedName>
    <definedName name="vertical_col_and_corner_walls" localSheetId="8">#REF!</definedName>
    <definedName name="vertical_col_and_corner_walls" localSheetId="11">#REF!</definedName>
    <definedName name="vertical_col_and_corner_walls" localSheetId="9">#REF!</definedName>
    <definedName name="vertical_col_and_corner_walls" localSheetId="18">#REF!</definedName>
    <definedName name="vertical_col_and_corner_walls" localSheetId="15">#REF!</definedName>
    <definedName name="vertical_col_and_corner_walls" localSheetId="7">#REF!</definedName>
    <definedName name="vertical_col_and_corner_walls">#REF!</definedName>
    <definedName name="vertical_col_and_corner_walls_1" localSheetId="12">#REF!</definedName>
    <definedName name="vertical_col_and_corner_walls_1" localSheetId="6">#REF!</definedName>
    <definedName name="vertical_col_and_corner_walls_1" localSheetId="5">#REF!</definedName>
    <definedName name="vertical_col_and_corner_walls_1" localSheetId="8">#REF!</definedName>
    <definedName name="vertical_col_and_corner_walls_1" localSheetId="11">#REF!</definedName>
    <definedName name="vertical_col_and_corner_walls_1" localSheetId="9">#REF!</definedName>
    <definedName name="vertical_col_and_corner_walls_1" localSheetId="18">#REF!</definedName>
    <definedName name="vertical_col_and_corner_walls_1" localSheetId="15">#REF!</definedName>
    <definedName name="vertical_col_and_corner_walls_1" localSheetId="7">#REF!</definedName>
    <definedName name="vertical_col_and_corner_walls_1">#REF!</definedName>
    <definedName name="vertical_col_and_corner_walls_3" localSheetId="12">#REF!</definedName>
    <definedName name="vertical_col_and_corner_walls_3" localSheetId="6">#REF!</definedName>
    <definedName name="vertical_col_and_corner_walls_3" localSheetId="5">#REF!</definedName>
    <definedName name="vertical_col_and_corner_walls_3" localSheetId="8">#REF!</definedName>
    <definedName name="vertical_col_and_corner_walls_3" localSheetId="11">#REF!</definedName>
    <definedName name="vertical_col_and_corner_walls_3" localSheetId="9">#REF!</definedName>
    <definedName name="vertical_col_and_corner_walls_3" localSheetId="18">#REF!</definedName>
    <definedName name="vertical_col_and_corner_walls_3" localSheetId="15">#REF!</definedName>
    <definedName name="vertical_col_and_corner_walls_3" localSheetId="7">#REF!</definedName>
    <definedName name="vertical_col_and_corner_walls_3">#REF!</definedName>
    <definedName name="vertical_col_and_corner_walls_3_1" localSheetId="12">#REF!</definedName>
    <definedName name="vertical_col_and_corner_walls_3_1" localSheetId="8">#REF!</definedName>
    <definedName name="vertical_col_and_corner_walls_3_1" localSheetId="11">#REF!</definedName>
    <definedName name="vertical_col_and_corner_walls_3_1" localSheetId="9">#REF!</definedName>
    <definedName name="vertical_col_and_corner_walls_3_1" localSheetId="18">#REF!</definedName>
    <definedName name="vertical_col_and_corner_walls_3_1" localSheetId="15">#REF!</definedName>
    <definedName name="vertical_col_and_corner_walls_3_1" localSheetId="7">#REF!</definedName>
    <definedName name="vertical_col_and_corner_walls_3_1">#REF!</definedName>
    <definedName name="VF" localSheetId="12">#REF!</definedName>
    <definedName name="VF" localSheetId="8">#REF!</definedName>
    <definedName name="VF" localSheetId="11">#REF!</definedName>
    <definedName name="VF" localSheetId="9">#REF!</definedName>
    <definedName name="VF" localSheetId="18">#REF!</definedName>
    <definedName name="VF" localSheetId="15">#REF!</definedName>
    <definedName name="VF" localSheetId="7">#REF!</definedName>
    <definedName name="VF">#REF!</definedName>
    <definedName name="vfff" localSheetId="12">#REF!</definedName>
    <definedName name="vfff" localSheetId="8">#REF!</definedName>
    <definedName name="vfff" localSheetId="11">#REF!</definedName>
    <definedName name="vfff" localSheetId="9">#REF!</definedName>
    <definedName name="vfff" localSheetId="18">#REF!</definedName>
    <definedName name="vfff" localSheetId="15">#REF!</definedName>
    <definedName name="vfff" localSheetId="7">#REF!</definedName>
    <definedName name="vfff">#REF!</definedName>
    <definedName name="vib" localSheetId="12">#REF!</definedName>
    <definedName name="vib" localSheetId="8">#REF!</definedName>
    <definedName name="vib" localSheetId="11">#REF!</definedName>
    <definedName name="vib" localSheetId="9">#REF!</definedName>
    <definedName name="vib" localSheetId="18">#REF!</definedName>
    <definedName name="vib" localSheetId="15">#REF!</definedName>
    <definedName name="vib" localSheetId="7">#REF!</definedName>
    <definedName name="vib">#REF!</definedName>
    <definedName name="vibroll" localSheetId="12">#REF!</definedName>
    <definedName name="vibroll" localSheetId="8">#REF!</definedName>
    <definedName name="vibroll" localSheetId="11">#REF!</definedName>
    <definedName name="vibroll" localSheetId="9">#REF!</definedName>
    <definedName name="vibroll" localSheetId="18">#REF!</definedName>
    <definedName name="vibroll" localSheetId="15">#REF!</definedName>
    <definedName name="vibroll" localSheetId="7">#REF!</definedName>
    <definedName name="vibroll">#REF!</definedName>
    <definedName name="Vinod"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1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VEKANANDA" localSheetId="12">#REF!</definedName>
    <definedName name="VIVEKANANDA" localSheetId="6">#REF!</definedName>
    <definedName name="VIVEKANANDA" localSheetId="5">#REF!</definedName>
    <definedName name="VIVEKANANDA" localSheetId="8">#REF!</definedName>
    <definedName name="VIVEKANANDA" localSheetId="11">#REF!</definedName>
    <definedName name="VIVEKANANDA" localSheetId="9">#REF!</definedName>
    <definedName name="VIVEKANANDA" localSheetId="18">#REF!</definedName>
    <definedName name="VIVEKANANDA" localSheetId="15">#REF!</definedName>
    <definedName name="VIVEKANANDA" localSheetId="7">#REF!</definedName>
    <definedName name="VIVEKANANDA">#REF!</definedName>
    <definedName name="vsasgfsghxas" localSheetId="12" hidden="1">{#N/A,#N/A,FALSE,"consu_cover";#N/A,#N/A,FALSE,"consu_strategy";#N/A,#N/A,FALSE,"consu_flow";#N/A,#N/A,FALSE,"Summary_reqmt";#N/A,#N/A,FALSE,"field_ppg";#N/A,#N/A,FALSE,"ppg_shop";#N/A,#N/A,FALSE,"strl";#N/A,#N/A,FALSE,"tankages";#N/A,#N/A,FALSE,"gases"}</definedName>
    <definedName name="vsasgfsghxas" localSheetId="6" hidden="1">{#N/A,#N/A,FALSE,"consu_cover";#N/A,#N/A,FALSE,"consu_strategy";#N/A,#N/A,FALSE,"consu_flow";#N/A,#N/A,FALSE,"Summary_reqmt";#N/A,#N/A,FALSE,"field_ppg";#N/A,#N/A,FALSE,"ppg_shop";#N/A,#N/A,FALSE,"strl";#N/A,#N/A,FALSE,"tankages";#N/A,#N/A,FALSE,"gases"}</definedName>
    <definedName name="vsasgfsghxas" localSheetId="5" hidden="1">{#N/A,#N/A,FALSE,"consu_cover";#N/A,#N/A,FALSE,"consu_strategy";#N/A,#N/A,FALSE,"consu_flow";#N/A,#N/A,FALSE,"Summary_reqmt";#N/A,#N/A,FALSE,"field_ppg";#N/A,#N/A,FALSE,"ppg_shop";#N/A,#N/A,FALSE,"strl";#N/A,#N/A,FALSE,"tankages";#N/A,#N/A,FALSE,"gases"}</definedName>
    <definedName name="vsasgfsghxas" localSheetId="8" hidden="1">{#N/A,#N/A,FALSE,"consu_cover";#N/A,#N/A,FALSE,"consu_strategy";#N/A,#N/A,FALSE,"consu_flow";#N/A,#N/A,FALSE,"Summary_reqmt";#N/A,#N/A,FALSE,"field_ppg";#N/A,#N/A,FALSE,"ppg_shop";#N/A,#N/A,FALSE,"strl";#N/A,#N/A,FALSE,"tankages";#N/A,#N/A,FALSE,"gases"}</definedName>
    <definedName name="vsasgfsghxas" localSheetId="11" hidden="1">{#N/A,#N/A,FALSE,"consu_cover";#N/A,#N/A,FALSE,"consu_strategy";#N/A,#N/A,FALSE,"consu_flow";#N/A,#N/A,FALSE,"Summary_reqmt";#N/A,#N/A,FALSE,"field_ppg";#N/A,#N/A,FALSE,"ppg_shop";#N/A,#N/A,FALSE,"strl";#N/A,#N/A,FALSE,"tankages";#N/A,#N/A,FALSE,"gases"}</definedName>
    <definedName name="vsasgfsghxas" localSheetId="9" hidden="1">{#N/A,#N/A,FALSE,"consu_cover";#N/A,#N/A,FALSE,"consu_strategy";#N/A,#N/A,FALSE,"consu_flow";#N/A,#N/A,FALSE,"Summary_reqmt";#N/A,#N/A,FALSE,"field_ppg";#N/A,#N/A,FALSE,"ppg_shop";#N/A,#N/A,FALSE,"strl";#N/A,#N/A,FALSE,"tankages";#N/A,#N/A,FALSE,"gases"}</definedName>
    <definedName name="vsasgfsghxas" localSheetId="13" hidden="1">{#N/A,#N/A,FALSE,"consu_cover";#N/A,#N/A,FALSE,"consu_strategy";#N/A,#N/A,FALSE,"consu_flow";#N/A,#N/A,FALSE,"Summary_reqmt";#N/A,#N/A,FALSE,"field_ppg";#N/A,#N/A,FALSE,"ppg_shop";#N/A,#N/A,FALSE,"strl";#N/A,#N/A,FALSE,"tankages";#N/A,#N/A,FALSE,"gases"}</definedName>
    <definedName name="vsasgfsghxas" localSheetId="18" hidden="1">{#N/A,#N/A,FALSE,"consu_cover";#N/A,#N/A,FALSE,"consu_strategy";#N/A,#N/A,FALSE,"consu_flow";#N/A,#N/A,FALSE,"Summary_reqmt";#N/A,#N/A,FALSE,"field_ppg";#N/A,#N/A,FALSE,"ppg_shop";#N/A,#N/A,FALSE,"strl";#N/A,#N/A,FALSE,"tankages";#N/A,#N/A,FALSE,"gases"}</definedName>
    <definedName name="vsasgfsghxas" localSheetId="15" hidden="1">{#N/A,#N/A,FALSE,"consu_cover";#N/A,#N/A,FALSE,"consu_strategy";#N/A,#N/A,FALSE,"consu_flow";#N/A,#N/A,FALSE,"Summary_reqmt";#N/A,#N/A,FALSE,"field_ppg";#N/A,#N/A,FALSE,"ppg_shop";#N/A,#N/A,FALSE,"strl";#N/A,#N/A,FALSE,"tankages";#N/A,#N/A,FALSE,"gases"}</definedName>
    <definedName name="vsasgfsghxas" localSheetId="7" hidden="1">{#N/A,#N/A,FALSE,"consu_cover";#N/A,#N/A,FALSE,"consu_strategy";#N/A,#N/A,FALSE,"consu_flow";#N/A,#N/A,FALSE,"Summary_reqmt";#N/A,#N/A,FALSE,"field_ppg";#N/A,#N/A,FALSE,"ppg_shop";#N/A,#N/A,FALSE,"strl";#N/A,#N/A,FALSE,"tankages";#N/A,#N/A,FALSE,"gases"}</definedName>
    <definedName name="vsasgfsghxas" hidden="1">{#N/A,#N/A,FALSE,"consu_cover";#N/A,#N/A,FALSE,"consu_strategy";#N/A,#N/A,FALSE,"consu_flow";#N/A,#N/A,FALSE,"Summary_reqmt";#N/A,#N/A,FALSE,"field_ppg";#N/A,#N/A,FALSE,"ppg_shop";#N/A,#N/A,FALSE,"strl";#N/A,#N/A,FALSE,"tankages";#N/A,#N/A,FALSE,"gases"}</definedName>
    <definedName name="Vsigma" localSheetId="12">#REF!</definedName>
    <definedName name="Vsigma" localSheetId="6">#REF!</definedName>
    <definedName name="Vsigma" localSheetId="5">#REF!</definedName>
    <definedName name="Vsigma" localSheetId="8">#REF!</definedName>
    <definedName name="Vsigma" localSheetId="11">#REF!</definedName>
    <definedName name="Vsigma" localSheetId="9">#REF!</definedName>
    <definedName name="Vsigma" localSheetId="18">#REF!</definedName>
    <definedName name="Vsigma" localSheetId="15">#REF!</definedName>
    <definedName name="Vsigma" localSheetId="7">#REF!</definedName>
    <definedName name="Vsigma">#REF!</definedName>
    <definedName name="vvv" localSheetId="12">#REF!</definedName>
    <definedName name="vvv" localSheetId="6">#REF!</definedName>
    <definedName name="vvv" localSheetId="5">#REF!</definedName>
    <definedName name="vvv" localSheetId="8">#REF!</definedName>
    <definedName name="vvv" localSheetId="11">#REF!</definedName>
    <definedName name="vvv" localSheetId="9">#REF!</definedName>
    <definedName name="vvv" localSheetId="18">#REF!</definedName>
    <definedName name="vvv" localSheetId="15">#REF!</definedName>
    <definedName name="vvv" localSheetId="7">#REF!</definedName>
    <definedName name="vvv">#REF!</definedName>
    <definedName name="vvvvvvvvvvvvvvv" localSheetId="12">#REF!</definedName>
    <definedName name="vvvvvvvvvvvvvvv" localSheetId="6">#REF!</definedName>
    <definedName name="vvvvvvvvvvvvvvv" localSheetId="5">#REF!</definedName>
    <definedName name="vvvvvvvvvvvvvvv" localSheetId="8">#REF!</definedName>
    <definedName name="vvvvvvvvvvvvvvv" localSheetId="11">#REF!</definedName>
    <definedName name="vvvvvvvvvvvvvvv" localSheetId="9">#REF!</definedName>
    <definedName name="vvvvvvvvvvvvvvv" localSheetId="18">#REF!</definedName>
    <definedName name="vvvvvvvvvvvvvvv" localSheetId="15">#REF!</definedName>
    <definedName name="vvvvvvvvvvvvvvv" localSheetId="7">#REF!</definedName>
    <definedName name="vvvvvvvvvvvvvvv">#REF!</definedName>
    <definedName name="Vz" localSheetId="12">#REF!</definedName>
    <definedName name="Vz" localSheetId="8">#REF!</definedName>
    <definedName name="Vz" localSheetId="11">#REF!</definedName>
    <definedName name="Vz" localSheetId="9">#REF!</definedName>
    <definedName name="Vz" localSheetId="18">#REF!</definedName>
    <definedName name="Vz" localSheetId="15">#REF!</definedName>
    <definedName name="Vz" localSheetId="7">#REF!</definedName>
    <definedName name="Vz">#REF!</definedName>
    <definedName name="w" localSheetId="12">#REF!</definedName>
    <definedName name="w" localSheetId="0">#REF!</definedName>
    <definedName name="w" localSheetId="1">#REF!</definedName>
    <definedName name="w" localSheetId="8">#REF!</definedName>
    <definedName name="w" localSheetId="11">#REF!</definedName>
    <definedName name="w" localSheetId="9">#REF!</definedName>
    <definedName name="w" localSheetId="18">#REF!</definedName>
    <definedName name="w" localSheetId="15">#REF!</definedName>
    <definedName name="w" localSheetId="7">#REF!</definedName>
    <definedName name="w">#REF!</definedName>
    <definedName name="Waiting">"Picture 1"</definedName>
    <definedName name="Wall_form_panel" localSheetId="12">#REF!</definedName>
    <definedName name="Wall_form_panel" localSheetId="6">#REF!</definedName>
    <definedName name="Wall_form_panel" localSheetId="5">#REF!</definedName>
    <definedName name="Wall_form_panel" localSheetId="8">#REF!</definedName>
    <definedName name="Wall_form_panel" localSheetId="11">#REF!</definedName>
    <definedName name="Wall_form_panel" localSheetId="9">#REF!</definedName>
    <definedName name="Wall_form_panel" localSheetId="18">#REF!</definedName>
    <definedName name="Wall_form_panel" localSheetId="15">#REF!</definedName>
    <definedName name="Wall_form_panel" localSheetId="7">#REF!</definedName>
    <definedName name="Wall_form_panel">#REF!</definedName>
    <definedName name="Wall_form_panel_1250x400" localSheetId="12">#REF!</definedName>
    <definedName name="Wall_form_panel_1250x400" localSheetId="6">#REF!</definedName>
    <definedName name="Wall_form_panel_1250x400" localSheetId="5">#REF!</definedName>
    <definedName name="Wall_form_panel_1250x400" localSheetId="8">#REF!</definedName>
    <definedName name="Wall_form_panel_1250x400" localSheetId="11">#REF!</definedName>
    <definedName name="Wall_form_panel_1250x400" localSheetId="9">#REF!</definedName>
    <definedName name="Wall_form_panel_1250x400" localSheetId="18">#REF!</definedName>
    <definedName name="Wall_form_panel_1250x400" localSheetId="15">#REF!</definedName>
    <definedName name="Wall_form_panel_1250x400" localSheetId="7">#REF!</definedName>
    <definedName name="Wall_form_panel_1250x400">#REF!</definedName>
    <definedName name="Wall_form_panel_1250x500" localSheetId="12">#REF!</definedName>
    <definedName name="Wall_form_panel_1250x500" localSheetId="6">#REF!</definedName>
    <definedName name="Wall_form_panel_1250x500" localSheetId="5">#REF!</definedName>
    <definedName name="Wall_form_panel_1250x500" localSheetId="8">#REF!</definedName>
    <definedName name="Wall_form_panel_1250x500" localSheetId="11">#REF!</definedName>
    <definedName name="Wall_form_panel_1250x500" localSheetId="9">#REF!</definedName>
    <definedName name="Wall_form_panel_1250x500" localSheetId="18">#REF!</definedName>
    <definedName name="Wall_form_panel_1250x500" localSheetId="15">#REF!</definedName>
    <definedName name="Wall_form_panel_1250x500" localSheetId="7">#REF!</definedName>
    <definedName name="Wall_form_panel_1250x500">#REF!</definedName>
    <definedName name="walls1" localSheetId="12">#REF!</definedName>
    <definedName name="walls1" localSheetId="8">#REF!</definedName>
    <definedName name="walls1" localSheetId="11">#REF!</definedName>
    <definedName name="walls1" localSheetId="9">#REF!</definedName>
    <definedName name="walls1" localSheetId="18">#REF!</definedName>
    <definedName name="walls1" localSheetId="15">#REF!</definedName>
    <definedName name="walls1" localSheetId="7">#REF!</definedName>
    <definedName name="walls1">#REF!</definedName>
    <definedName name="WATER" localSheetId="12">#REF!</definedName>
    <definedName name="WATER" localSheetId="8">#REF!</definedName>
    <definedName name="WATER" localSheetId="11">#REF!</definedName>
    <definedName name="WATER" localSheetId="9">#REF!</definedName>
    <definedName name="WATER" localSheetId="18">#REF!</definedName>
    <definedName name="WATER" localSheetId="15">#REF!</definedName>
    <definedName name="WATER" localSheetId="7">#REF!</definedName>
    <definedName name="WATER">#REF!</definedName>
    <definedName name="Water_Proofing_compound" localSheetId="12">#REF!</definedName>
    <definedName name="Water_Proofing_compound" localSheetId="8">#REF!</definedName>
    <definedName name="Water_Proofing_compound" localSheetId="11">#REF!</definedName>
    <definedName name="Water_Proofing_compound" localSheetId="9">#REF!</definedName>
    <definedName name="Water_Proofing_compound" localSheetId="18">#REF!</definedName>
    <definedName name="Water_Proofing_compound" localSheetId="15">#REF!</definedName>
    <definedName name="Water_Proofing_compound" localSheetId="7">#REF!</definedName>
    <definedName name="Water_Proofing_compound">#REF!</definedName>
    <definedName name="WaterandPower">1.5/100</definedName>
    <definedName name="wdf">#REF!</definedName>
    <definedName name="wdtytr" localSheetId="12">#REF!</definedName>
    <definedName name="wdtytr" localSheetId="8">#REF!</definedName>
    <definedName name="wdtytr" localSheetId="11">#REF!</definedName>
    <definedName name="wdtytr" localSheetId="9">#REF!</definedName>
    <definedName name="wdtytr" localSheetId="18">#REF!</definedName>
    <definedName name="wdtytr" localSheetId="15">#REF!</definedName>
    <definedName name="wdtytr" localSheetId="7">#REF!</definedName>
    <definedName name="wdtytr">#REF!</definedName>
    <definedName name="we" localSheetId="12" hidden="1">{"form-D1",#N/A,FALSE,"FORM-D1";"form-D1_amt",#N/A,FALSE,"FORM-D1"}</definedName>
    <definedName name="we" localSheetId="6" hidden="1">{"form-D1",#N/A,FALSE,"FORM-D1";"form-D1_amt",#N/A,FALSE,"FORM-D1"}</definedName>
    <definedName name="we" localSheetId="5" hidden="1">{"form-D1",#N/A,FALSE,"FORM-D1";"form-D1_amt",#N/A,FALSE,"FORM-D1"}</definedName>
    <definedName name="we" localSheetId="8" hidden="1">{"form-D1",#N/A,FALSE,"FORM-D1";"form-D1_amt",#N/A,FALSE,"FORM-D1"}</definedName>
    <definedName name="we" localSheetId="11" hidden="1">{"form-D1",#N/A,FALSE,"FORM-D1";"form-D1_amt",#N/A,FALSE,"FORM-D1"}</definedName>
    <definedName name="we" localSheetId="9" hidden="1">{"form-D1",#N/A,FALSE,"FORM-D1";"form-D1_amt",#N/A,FALSE,"FORM-D1"}</definedName>
    <definedName name="we" localSheetId="13" hidden="1">{"form-D1",#N/A,FALSE,"FORM-D1";"form-D1_amt",#N/A,FALSE,"FORM-D1"}</definedName>
    <definedName name="we" localSheetId="18" hidden="1">{"form-D1",#N/A,FALSE,"FORM-D1";"form-D1_amt",#N/A,FALSE,"FORM-D1"}</definedName>
    <definedName name="we" localSheetId="15" hidden="1">{"form-D1",#N/A,FALSE,"FORM-D1";"form-D1_amt",#N/A,FALSE,"FORM-D1"}</definedName>
    <definedName name="we" localSheetId="7" hidden="1">{"form-D1",#N/A,FALSE,"FORM-D1";"form-D1_amt",#N/A,FALSE,"FORM-D1"}</definedName>
    <definedName name="we" hidden="1">{"form-D1",#N/A,FALSE,"FORM-D1";"form-D1_amt",#N/A,FALSE,"FORM-D1"}</definedName>
    <definedName name="wen" localSheetId="12" hidden="1">{#N/A,#N/A,TRUE,"Front";#N/A,#N/A,TRUE,"Simple Letter";#N/A,#N/A,TRUE,"Inside";#N/A,#N/A,TRUE,"Contents";#N/A,#N/A,TRUE,"Basis";#N/A,#N/A,TRUE,"Inclusions";#N/A,#N/A,TRUE,"Exclusions";#N/A,#N/A,TRUE,"Areas";#N/A,#N/A,TRUE,"Summary";#N/A,#N/A,TRUE,"Detail"}</definedName>
    <definedName name="wen" localSheetId="6" hidden="1">{#N/A,#N/A,TRUE,"Front";#N/A,#N/A,TRUE,"Simple Letter";#N/A,#N/A,TRUE,"Inside";#N/A,#N/A,TRUE,"Contents";#N/A,#N/A,TRUE,"Basis";#N/A,#N/A,TRUE,"Inclusions";#N/A,#N/A,TRUE,"Exclusions";#N/A,#N/A,TRUE,"Areas";#N/A,#N/A,TRUE,"Summary";#N/A,#N/A,TRUE,"Detail"}</definedName>
    <definedName name="wen" localSheetId="5" hidden="1">{#N/A,#N/A,TRUE,"Front";#N/A,#N/A,TRUE,"Simple Letter";#N/A,#N/A,TRUE,"Inside";#N/A,#N/A,TRUE,"Contents";#N/A,#N/A,TRUE,"Basis";#N/A,#N/A,TRUE,"Inclusions";#N/A,#N/A,TRUE,"Exclusions";#N/A,#N/A,TRUE,"Areas";#N/A,#N/A,TRUE,"Summary";#N/A,#N/A,TRUE,"Detail"}</definedName>
    <definedName name="wen" localSheetId="8" hidden="1">{#N/A,#N/A,TRUE,"Front";#N/A,#N/A,TRUE,"Simple Letter";#N/A,#N/A,TRUE,"Inside";#N/A,#N/A,TRUE,"Contents";#N/A,#N/A,TRUE,"Basis";#N/A,#N/A,TRUE,"Inclusions";#N/A,#N/A,TRUE,"Exclusions";#N/A,#N/A,TRUE,"Areas";#N/A,#N/A,TRUE,"Summary";#N/A,#N/A,TRUE,"Detail"}</definedName>
    <definedName name="wen" localSheetId="11" hidden="1">{#N/A,#N/A,TRUE,"Front";#N/A,#N/A,TRUE,"Simple Letter";#N/A,#N/A,TRUE,"Inside";#N/A,#N/A,TRUE,"Contents";#N/A,#N/A,TRUE,"Basis";#N/A,#N/A,TRUE,"Inclusions";#N/A,#N/A,TRUE,"Exclusions";#N/A,#N/A,TRUE,"Areas";#N/A,#N/A,TRUE,"Summary";#N/A,#N/A,TRUE,"Detail"}</definedName>
    <definedName name="wen" localSheetId="9" hidden="1">{#N/A,#N/A,TRUE,"Front";#N/A,#N/A,TRUE,"Simple Letter";#N/A,#N/A,TRUE,"Inside";#N/A,#N/A,TRUE,"Contents";#N/A,#N/A,TRUE,"Basis";#N/A,#N/A,TRUE,"Inclusions";#N/A,#N/A,TRUE,"Exclusions";#N/A,#N/A,TRUE,"Areas";#N/A,#N/A,TRUE,"Summary";#N/A,#N/A,TRUE,"Detail"}</definedName>
    <definedName name="wen" localSheetId="13" hidden="1">{#N/A,#N/A,TRUE,"Front";#N/A,#N/A,TRUE,"Simple Letter";#N/A,#N/A,TRUE,"Inside";#N/A,#N/A,TRUE,"Contents";#N/A,#N/A,TRUE,"Basis";#N/A,#N/A,TRUE,"Inclusions";#N/A,#N/A,TRUE,"Exclusions";#N/A,#N/A,TRUE,"Areas";#N/A,#N/A,TRUE,"Summary";#N/A,#N/A,TRUE,"Detail"}</definedName>
    <definedName name="wen" localSheetId="18" hidden="1">{#N/A,#N/A,TRUE,"Front";#N/A,#N/A,TRUE,"Simple Letter";#N/A,#N/A,TRUE,"Inside";#N/A,#N/A,TRUE,"Contents";#N/A,#N/A,TRUE,"Basis";#N/A,#N/A,TRUE,"Inclusions";#N/A,#N/A,TRUE,"Exclusions";#N/A,#N/A,TRUE,"Areas";#N/A,#N/A,TRUE,"Summary";#N/A,#N/A,TRUE,"Detail"}</definedName>
    <definedName name="wen" localSheetId="15" hidden="1">{#N/A,#N/A,TRUE,"Front";#N/A,#N/A,TRUE,"Simple Letter";#N/A,#N/A,TRUE,"Inside";#N/A,#N/A,TRUE,"Contents";#N/A,#N/A,TRUE,"Basis";#N/A,#N/A,TRUE,"Inclusions";#N/A,#N/A,TRUE,"Exclusions";#N/A,#N/A,TRUE,"Areas";#N/A,#N/A,TRUE,"Summary";#N/A,#N/A,TRUE,"Detail"}</definedName>
    <definedName name="wen" localSheetId="7" hidden="1">{#N/A,#N/A,TRUE,"Front";#N/A,#N/A,TRUE,"Simple Letter";#N/A,#N/A,TRUE,"Inside";#N/A,#N/A,TRUE,"Contents";#N/A,#N/A,TRUE,"Basis";#N/A,#N/A,TRUE,"Inclusions";#N/A,#N/A,TRUE,"Exclusions";#N/A,#N/A,TRUE,"Areas";#N/A,#N/A,TRUE,"Summary";#N/A,#N/A,TRUE,"Detail"}</definedName>
    <definedName name="wen" hidden="1">{#N/A,#N/A,TRUE,"Front";#N/A,#N/A,TRUE,"Simple Letter";#N/A,#N/A,TRUE,"Inside";#N/A,#N/A,TRUE,"Contents";#N/A,#N/A,TRUE,"Basis";#N/A,#N/A,TRUE,"Inclusions";#N/A,#N/A,TRUE,"Exclusions";#N/A,#N/A,TRUE,"Areas";#N/A,#N/A,TRUE,"Summary";#N/A,#N/A,TRUE,"Detail"}</definedName>
    <definedName name="WH" localSheetId="12">#REF!</definedName>
    <definedName name="WH" localSheetId="6">#REF!</definedName>
    <definedName name="WH" localSheetId="5">#REF!</definedName>
    <definedName name="WH" localSheetId="8">#REF!</definedName>
    <definedName name="WH" localSheetId="11">#REF!</definedName>
    <definedName name="WH" localSheetId="9">#REF!</definedName>
    <definedName name="WH" localSheetId="18">#REF!</definedName>
    <definedName name="WH" localSheetId="15">#REF!</definedName>
    <definedName name="WH" localSheetId="7">#REF!</definedName>
    <definedName name="WH">#REF!</definedName>
    <definedName name="White_Cement" localSheetId="12">#REF!</definedName>
    <definedName name="White_Cement" localSheetId="6">#REF!</definedName>
    <definedName name="White_Cement" localSheetId="5">#REF!</definedName>
    <definedName name="White_Cement" localSheetId="8">#REF!</definedName>
    <definedName name="White_Cement" localSheetId="11">#REF!</definedName>
    <definedName name="White_Cement" localSheetId="9">#REF!</definedName>
    <definedName name="White_Cement" localSheetId="18">#REF!</definedName>
    <definedName name="White_Cement" localSheetId="15">#REF!</definedName>
    <definedName name="White_Cement" localSheetId="7">#REF!</definedName>
    <definedName name="White_Cement">#REF!</definedName>
    <definedName name="wid" localSheetId="12">#REF!</definedName>
    <definedName name="wid" localSheetId="6">#REF!</definedName>
    <definedName name="wid" localSheetId="5">#REF!</definedName>
    <definedName name="wid" localSheetId="8">#REF!</definedName>
    <definedName name="wid" localSheetId="11">#REF!</definedName>
    <definedName name="wid" localSheetId="9">#REF!</definedName>
    <definedName name="wid" localSheetId="18">#REF!</definedName>
    <definedName name="wid" localSheetId="15">#REF!</definedName>
    <definedName name="wid" localSheetId="7">#REF!</definedName>
    <definedName name="wid">#REF!</definedName>
    <definedName name="WINDOW" localSheetId="12">#REF!</definedName>
    <definedName name="WINDOW" localSheetId="8">#REF!</definedName>
    <definedName name="WINDOW" localSheetId="11">#REF!</definedName>
    <definedName name="WINDOW" localSheetId="9">#REF!</definedName>
    <definedName name="WINDOW" localSheetId="18">#REF!</definedName>
    <definedName name="WINDOW" localSheetId="15">#REF!</definedName>
    <definedName name="WINDOW" localSheetId="7">#REF!</definedName>
    <definedName name="WINDOW">#REF!</definedName>
    <definedName name="wip" localSheetId="12">#REF!</definedName>
    <definedName name="wip" localSheetId="0">#REF!</definedName>
    <definedName name="wip" localSheetId="1">#REF!</definedName>
    <definedName name="wip" localSheetId="8">#REF!</definedName>
    <definedName name="wip" localSheetId="11">#REF!</definedName>
    <definedName name="wip" localSheetId="9">#REF!</definedName>
    <definedName name="wip" localSheetId="18">#REF!</definedName>
    <definedName name="wip" localSheetId="15">#REF!</definedName>
    <definedName name="wip" localSheetId="7">#REF!</definedName>
    <definedName name="wip">#REF!</definedName>
    <definedName name="wire" localSheetId="12">#REF!</definedName>
    <definedName name="wire" localSheetId="8">#REF!</definedName>
    <definedName name="wire" localSheetId="11">#REF!</definedName>
    <definedName name="wire" localSheetId="9">#REF!</definedName>
    <definedName name="wire" localSheetId="18">#REF!</definedName>
    <definedName name="wire" localSheetId="15">#REF!</definedName>
    <definedName name="wire" localSheetId="7">#REF!</definedName>
    <definedName name="wire">#REF!</definedName>
    <definedName name="Wires" localSheetId="12">#REF!</definedName>
    <definedName name="Wires" localSheetId="8">#REF!</definedName>
    <definedName name="Wires" localSheetId="11">#REF!</definedName>
    <definedName name="Wires" localSheetId="9">#REF!</definedName>
    <definedName name="Wires" localSheetId="18">#REF!</definedName>
    <definedName name="Wires" localSheetId="15">#REF!</definedName>
    <definedName name="Wires" localSheetId="7">#REF!</definedName>
    <definedName name="Wires">#REF!</definedName>
    <definedName name="WIRING_OPTIONS" localSheetId="12">#REF!</definedName>
    <definedName name="WIRING_OPTIONS" localSheetId="8">#REF!</definedName>
    <definedName name="WIRING_OPTIONS" localSheetId="11">#REF!</definedName>
    <definedName name="WIRING_OPTIONS" localSheetId="9">#REF!</definedName>
    <definedName name="WIRING_OPTIONS" localSheetId="18">#REF!</definedName>
    <definedName name="WIRING_OPTIONS" localSheetId="15">#REF!</definedName>
    <definedName name="WIRING_OPTIONS" localSheetId="7">#REF!</definedName>
    <definedName name="WIRING_OPTIONS">#REF!</definedName>
    <definedName name="Wkshopblk" localSheetId="12">#REF!</definedName>
    <definedName name="Wkshopblk" localSheetId="8">#REF!</definedName>
    <definedName name="Wkshopblk" localSheetId="11">#REF!</definedName>
    <definedName name="Wkshopblk" localSheetId="9">#REF!</definedName>
    <definedName name="Wkshopblk" localSheetId="18">#REF!</definedName>
    <definedName name="Wkshopblk" localSheetId="15">#REF!</definedName>
    <definedName name="Wkshopblk" localSheetId="7">#REF!</definedName>
    <definedName name="Wkshopblk">#REF!</definedName>
    <definedName name="WLP" localSheetId="12">#REF!</definedName>
    <definedName name="WLP" localSheetId="8">#REF!</definedName>
    <definedName name="WLP" localSheetId="11">#REF!</definedName>
    <definedName name="WLP" localSheetId="9">#REF!</definedName>
    <definedName name="WLP" localSheetId="18">#REF!</definedName>
    <definedName name="WLP" localSheetId="15">#REF!</definedName>
    <definedName name="WLP" localSheetId="7">#REF!</definedName>
    <definedName name="WLP">#REF!</definedName>
    <definedName name="work" localSheetId="12">#REF!</definedName>
    <definedName name="work" localSheetId="8">#REF!</definedName>
    <definedName name="work" localSheetId="11">#REF!</definedName>
    <definedName name="work" localSheetId="9">#REF!</definedName>
    <definedName name="work" localSheetId="18">#REF!</definedName>
    <definedName name="work" localSheetId="15">#REF!</definedName>
    <definedName name="work" localSheetId="7">#REF!</definedName>
    <definedName name="work">#REF!</definedName>
    <definedName name="WORKING" localSheetId="12">#REF!</definedName>
    <definedName name="WORKING" localSheetId="8">#REF!</definedName>
    <definedName name="WORKING" localSheetId="11">#REF!</definedName>
    <definedName name="WORKING" localSheetId="9">#REF!</definedName>
    <definedName name="WORKING" localSheetId="18">#REF!</definedName>
    <definedName name="WORKING" localSheetId="15">#REF!</definedName>
    <definedName name="WORKING" localSheetId="7">#REF!</definedName>
    <definedName name="WORKING">#REF!</definedName>
    <definedName name="WP" localSheetId="12">#REF!</definedName>
    <definedName name="WP" localSheetId="8">#REF!</definedName>
    <definedName name="WP" localSheetId="11">#REF!</definedName>
    <definedName name="WP" localSheetId="9">#REF!</definedName>
    <definedName name="WP" localSheetId="18">#REF!</definedName>
    <definedName name="WP" localSheetId="15">#REF!</definedName>
    <definedName name="WP" localSheetId="7">#REF!</definedName>
    <definedName name="WP">#REF!</definedName>
    <definedName name="wqe" localSheetId="12">#REF!</definedName>
    <definedName name="wqe" localSheetId="8">#REF!</definedName>
    <definedName name="wqe" localSheetId="11">#REF!</definedName>
    <definedName name="wqe" localSheetId="9">#REF!</definedName>
    <definedName name="wqe" localSheetId="18">#REF!</definedName>
    <definedName name="wqe" localSheetId="15">#REF!</definedName>
    <definedName name="wqe" localSheetId="7">#REF!</definedName>
    <definedName name="wqe">#REF!</definedName>
    <definedName name="wr" localSheetId="12" hidden="1">{#N/A,#N/A,FALSE,"COVER1.XLS ";#N/A,#N/A,FALSE,"RACT1.XLS";#N/A,#N/A,FALSE,"RACT2.XLS";#N/A,#N/A,FALSE,"ECCMP";#N/A,#N/A,FALSE,"WELDER.XLS"}</definedName>
    <definedName name="wr" localSheetId="6" hidden="1">{#N/A,#N/A,FALSE,"COVER1.XLS ";#N/A,#N/A,FALSE,"RACT1.XLS";#N/A,#N/A,FALSE,"RACT2.XLS";#N/A,#N/A,FALSE,"ECCMP";#N/A,#N/A,FALSE,"WELDER.XLS"}</definedName>
    <definedName name="wr" localSheetId="5" hidden="1">{#N/A,#N/A,FALSE,"COVER1.XLS ";#N/A,#N/A,FALSE,"RACT1.XLS";#N/A,#N/A,FALSE,"RACT2.XLS";#N/A,#N/A,FALSE,"ECCMP";#N/A,#N/A,FALSE,"WELDER.XLS"}</definedName>
    <definedName name="wr" localSheetId="8" hidden="1">{#N/A,#N/A,FALSE,"COVER1.XLS ";#N/A,#N/A,FALSE,"RACT1.XLS";#N/A,#N/A,FALSE,"RACT2.XLS";#N/A,#N/A,FALSE,"ECCMP";#N/A,#N/A,FALSE,"WELDER.XLS"}</definedName>
    <definedName name="wr" localSheetId="11" hidden="1">{#N/A,#N/A,FALSE,"COVER1.XLS ";#N/A,#N/A,FALSE,"RACT1.XLS";#N/A,#N/A,FALSE,"RACT2.XLS";#N/A,#N/A,FALSE,"ECCMP";#N/A,#N/A,FALSE,"WELDER.XLS"}</definedName>
    <definedName name="wr" localSheetId="9" hidden="1">{#N/A,#N/A,FALSE,"COVER1.XLS ";#N/A,#N/A,FALSE,"RACT1.XLS";#N/A,#N/A,FALSE,"RACT2.XLS";#N/A,#N/A,FALSE,"ECCMP";#N/A,#N/A,FALSE,"WELDER.XLS"}</definedName>
    <definedName name="wr" localSheetId="13" hidden="1">{#N/A,#N/A,FALSE,"COVER1.XLS ";#N/A,#N/A,FALSE,"RACT1.XLS";#N/A,#N/A,FALSE,"RACT2.XLS";#N/A,#N/A,FALSE,"ECCMP";#N/A,#N/A,FALSE,"WELDER.XLS"}</definedName>
    <definedName name="wr" localSheetId="18" hidden="1">{#N/A,#N/A,FALSE,"COVER1.XLS ";#N/A,#N/A,FALSE,"RACT1.XLS";#N/A,#N/A,FALSE,"RACT2.XLS";#N/A,#N/A,FALSE,"ECCMP";#N/A,#N/A,FALSE,"WELDER.XLS"}</definedName>
    <definedName name="wr" localSheetId="15" hidden="1">{#N/A,#N/A,FALSE,"COVER1.XLS ";#N/A,#N/A,FALSE,"RACT1.XLS";#N/A,#N/A,FALSE,"RACT2.XLS";#N/A,#N/A,FALSE,"ECCMP";#N/A,#N/A,FALSE,"WELDER.XLS"}</definedName>
    <definedName name="wr" localSheetId="7" hidden="1">{#N/A,#N/A,FALSE,"COVER1.XLS ";#N/A,#N/A,FALSE,"RACT1.XLS";#N/A,#N/A,FALSE,"RACT2.XLS";#N/A,#N/A,FALSE,"ECCMP";#N/A,#N/A,FALSE,"WELDER.XLS"}</definedName>
    <definedName name="wr" hidden="1">{#N/A,#N/A,FALSE,"COVER1.XLS ";#N/A,#N/A,FALSE,"RACT1.XLS";#N/A,#N/A,FALSE,"RACT2.XLS";#N/A,#N/A,FALSE,"ECCMP";#N/A,#N/A,FALSE,"WELDER.XLS"}</definedName>
    <definedName name="wrn" localSheetId="1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1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9"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1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1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7"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2" hidden="1">{#N/A,#N/A,FALSE,"17MAY";#N/A,#N/A,FALSE,"24MAY"}</definedName>
    <definedName name="wrn.1." localSheetId="6" hidden="1">{#N/A,#N/A,FALSE,"17MAY";#N/A,#N/A,FALSE,"24MAY"}</definedName>
    <definedName name="wrn.1." localSheetId="5" hidden="1">{#N/A,#N/A,FALSE,"17MAY";#N/A,#N/A,FALSE,"24MAY"}</definedName>
    <definedName name="wrn.1." localSheetId="8" hidden="1">{#N/A,#N/A,FALSE,"17MAY";#N/A,#N/A,FALSE,"24MAY"}</definedName>
    <definedName name="wrn.1." localSheetId="11" hidden="1">{#N/A,#N/A,FALSE,"17MAY";#N/A,#N/A,FALSE,"24MAY"}</definedName>
    <definedName name="wrn.1." localSheetId="9" hidden="1">{#N/A,#N/A,FALSE,"17MAY";#N/A,#N/A,FALSE,"24MAY"}</definedName>
    <definedName name="wrn.1." localSheetId="13" hidden="1">{#N/A,#N/A,FALSE,"17MAY";#N/A,#N/A,FALSE,"24MAY"}</definedName>
    <definedName name="wrn.1." localSheetId="18" hidden="1">{#N/A,#N/A,FALSE,"17MAY";#N/A,#N/A,FALSE,"24MAY"}</definedName>
    <definedName name="wrn.1." localSheetId="15" hidden="1">{#N/A,#N/A,FALSE,"17MAY";#N/A,#N/A,FALSE,"24MAY"}</definedName>
    <definedName name="wrn.1." localSheetId="7" hidden="1">{#N/A,#N/A,FALSE,"17MAY";#N/A,#N/A,FALSE,"24MAY"}</definedName>
    <definedName name="wrn.1." hidden="1">{#N/A,#N/A,FALSE,"17MAY";#N/A,#N/A,FALSE,"24MAY"}</definedName>
    <definedName name="wrn.2.2" localSheetId="12" hidden="1">{#N/A,#N/A,FALSE,"17MAY";#N/A,#N/A,FALSE,"24MAY"}</definedName>
    <definedName name="wrn.2.2" localSheetId="6" hidden="1">{#N/A,#N/A,FALSE,"17MAY";#N/A,#N/A,FALSE,"24MAY"}</definedName>
    <definedName name="wrn.2.2" localSheetId="5" hidden="1">{#N/A,#N/A,FALSE,"17MAY";#N/A,#N/A,FALSE,"24MAY"}</definedName>
    <definedName name="wrn.2.2" localSheetId="8" hidden="1">{#N/A,#N/A,FALSE,"17MAY";#N/A,#N/A,FALSE,"24MAY"}</definedName>
    <definedName name="wrn.2.2" localSheetId="11" hidden="1">{#N/A,#N/A,FALSE,"17MAY";#N/A,#N/A,FALSE,"24MAY"}</definedName>
    <definedName name="wrn.2.2" localSheetId="9" hidden="1">{#N/A,#N/A,FALSE,"17MAY";#N/A,#N/A,FALSE,"24MAY"}</definedName>
    <definedName name="wrn.2.2" localSheetId="13" hidden="1">{#N/A,#N/A,FALSE,"17MAY";#N/A,#N/A,FALSE,"24MAY"}</definedName>
    <definedName name="wrn.2.2" localSheetId="18" hidden="1">{#N/A,#N/A,FALSE,"17MAY";#N/A,#N/A,FALSE,"24MAY"}</definedName>
    <definedName name="wrn.2.2" localSheetId="15" hidden="1">{#N/A,#N/A,FALSE,"17MAY";#N/A,#N/A,FALSE,"24MAY"}</definedName>
    <definedName name="wrn.2.2" localSheetId="7" hidden="1">{#N/A,#N/A,FALSE,"17MAY";#N/A,#N/A,FALSE,"24MAY"}</definedName>
    <definedName name="wrn.2.2" hidden="1">{#N/A,#N/A,FALSE,"17MAY";#N/A,#N/A,FALSE,"24MAY"}</definedName>
    <definedName name="wrn.Aging._.and._.Trend._.Analysis." localSheetId="12"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localSheetId="9" hidden="1">{#N/A,#N/A,FALSE,"Aging Summary";#N/A,#N/A,FALSE,"Ratio Analysis";#N/A,#N/A,FALSE,"Test 120 Day Accts";#N/A,#N/A,FALSE,"Tickmarks"}</definedName>
    <definedName name="wrn.Aging._.and._.Trend._.Analysis." localSheetId="13" hidden="1">{#N/A,#N/A,FALSE,"Aging Summary";#N/A,#N/A,FALSE,"Ratio Analysis";#N/A,#N/A,FALSE,"Test 120 Day Accts";#N/A,#N/A,FALSE,"Tickmarks"}</definedName>
    <definedName name="wrn.Aging._.and._.Trend._.Analysis." localSheetId="18" hidden="1">{#N/A,#N/A,FALSE,"Aging Summary";#N/A,#N/A,FALSE,"Ratio Analysis";#N/A,#N/A,FALSE,"Test 120 Day Accts";#N/A,#N/A,FALSE,"Tickmarks"}</definedName>
    <definedName name="wrn.Aging._.and._.Trend._.Analysis." localSheetId="15"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_.Three._.Sheets." localSheetId="12" hidden="1">{#N/A,#N/A,FALSE,"Legal Entities";#N/A,#N/A,FALSE,"Departments";#N/A,#N/A,FALSE,"Chart of Accounts"}</definedName>
    <definedName name="wrn.All._.Three._.Sheets." localSheetId="6" hidden="1">{#N/A,#N/A,FALSE,"Legal Entities";#N/A,#N/A,FALSE,"Departments";#N/A,#N/A,FALSE,"Chart of Accounts"}</definedName>
    <definedName name="wrn.All._.Three._.Sheets." localSheetId="5" hidden="1">{#N/A,#N/A,FALSE,"Legal Entities";#N/A,#N/A,FALSE,"Departments";#N/A,#N/A,FALSE,"Chart of Accounts"}</definedName>
    <definedName name="wrn.All._.Three._.Sheets." localSheetId="8" hidden="1">{#N/A,#N/A,FALSE,"Legal Entities";#N/A,#N/A,FALSE,"Departments";#N/A,#N/A,FALSE,"Chart of Accounts"}</definedName>
    <definedName name="wrn.All._.Three._.Sheets." localSheetId="11" hidden="1">{#N/A,#N/A,FALSE,"Legal Entities";#N/A,#N/A,FALSE,"Departments";#N/A,#N/A,FALSE,"Chart of Accounts"}</definedName>
    <definedName name="wrn.All._.Three._.Sheets." localSheetId="9" hidden="1">{#N/A,#N/A,FALSE,"Legal Entities";#N/A,#N/A,FALSE,"Departments";#N/A,#N/A,FALSE,"Chart of Accounts"}</definedName>
    <definedName name="wrn.All._.Three._.Sheets." localSheetId="13" hidden="1">{#N/A,#N/A,FALSE,"Legal Entities";#N/A,#N/A,FALSE,"Departments";#N/A,#N/A,FALSE,"Chart of Accounts"}</definedName>
    <definedName name="wrn.All._.Three._.Sheets." localSheetId="18" hidden="1">{#N/A,#N/A,FALSE,"Legal Entities";#N/A,#N/A,FALSE,"Departments";#N/A,#N/A,FALSE,"Chart of Accounts"}</definedName>
    <definedName name="wrn.All._.Three._.Sheets." localSheetId="15" hidden="1">{#N/A,#N/A,FALSE,"Legal Entities";#N/A,#N/A,FALSE,"Departments";#N/A,#N/A,FALSE,"Chart of Accounts"}</definedName>
    <definedName name="wrn.All._.Three._.Sheets." localSheetId="7" hidden="1">{#N/A,#N/A,FALSE,"Legal Entities";#N/A,#N/A,FALSE,"Departments";#N/A,#N/A,FALSE,"Chart of Accounts"}</definedName>
    <definedName name="wrn.All._.Three._.Sheets." hidden="1">{#N/A,#N/A,FALSE,"Legal Entities";#N/A,#N/A,FALSE,"Departments";#N/A,#N/A,FALSE,"Chart of Accounts"}</definedName>
    <definedName name="wrn.budget." localSheetId="12" hidden="1">{"form-D1",#N/A,FALSE,"FORM-D1";"form-D1_amt",#N/A,FALSE,"FORM-D1"}</definedName>
    <definedName name="wrn.budget." localSheetId="6" hidden="1">{"form-D1",#N/A,FALSE,"FORM-D1";"form-D1_amt",#N/A,FALSE,"FORM-D1"}</definedName>
    <definedName name="wrn.budget." localSheetId="5" hidden="1">{"form-D1",#N/A,FALSE,"FORM-D1";"form-D1_amt",#N/A,FALSE,"FORM-D1"}</definedName>
    <definedName name="wrn.budget." localSheetId="8" hidden="1">{"form-D1",#N/A,FALSE,"FORM-D1";"form-D1_amt",#N/A,FALSE,"FORM-D1"}</definedName>
    <definedName name="wrn.budget." localSheetId="11" hidden="1">{"form-D1",#N/A,FALSE,"FORM-D1";"form-D1_amt",#N/A,FALSE,"FORM-D1"}</definedName>
    <definedName name="wrn.budget." localSheetId="9" hidden="1">{"form-D1",#N/A,FALSE,"FORM-D1";"form-D1_amt",#N/A,FALSE,"FORM-D1"}</definedName>
    <definedName name="wrn.budget." localSheetId="13" hidden="1">{"form-D1",#N/A,FALSE,"FORM-D1";"form-D1_amt",#N/A,FALSE,"FORM-D1"}</definedName>
    <definedName name="wrn.budget." localSheetId="18" hidden="1">{"form-D1",#N/A,FALSE,"FORM-D1";"form-D1_amt",#N/A,FALSE,"FORM-D1"}</definedName>
    <definedName name="wrn.budget." localSheetId="15" hidden="1">{"form-D1",#N/A,FALSE,"FORM-D1";"form-D1_amt",#N/A,FALSE,"FORM-D1"}</definedName>
    <definedName name="wrn.budget." localSheetId="7" hidden="1">{"form-D1",#N/A,FALSE,"FORM-D1";"form-D1_amt",#N/A,FALSE,"FORM-D1"}</definedName>
    <definedName name="wrn.budget." hidden="1">{"form-D1",#N/A,FALSE,"FORM-D1";"form-D1_amt",#N/A,FALSE,"FORM-D1"}</definedName>
    <definedName name="wrn.CASH._.FLOW." localSheetId="12" hidden="1">{"CASH FLOW",#N/A,FALSE,"A"}</definedName>
    <definedName name="wrn.CASH._.FLOW." localSheetId="6" hidden="1">{"CASH FLOW",#N/A,FALSE,"A"}</definedName>
    <definedName name="wrn.CASH._.FLOW." localSheetId="5" hidden="1">{"CASH FLOW",#N/A,FALSE,"A"}</definedName>
    <definedName name="wrn.CASH._.FLOW." localSheetId="8" hidden="1">{"CASH FLOW",#N/A,FALSE,"A"}</definedName>
    <definedName name="wrn.CASH._.FLOW." localSheetId="11" hidden="1">{"CASH FLOW",#N/A,FALSE,"A"}</definedName>
    <definedName name="wrn.CASH._.FLOW." localSheetId="9" hidden="1">{"CASH FLOW",#N/A,FALSE,"A"}</definedName>
    <definedName name="wrn.CASH._.FLOW." localSheetId="13" hidden="1">{"CASH FLOW",#N/A,FALSE,"A"}</definedName>
    <definedName name="wrn.CASH._.FLOW." localSheetId="18" hidden="1">{"CASH FLOW",#N/A,FALSE,"A"}</definedName>
    <definedName name="wrn.CASH._.FLOW." localSheetId="15" hidden="1">{"CASH FLOW",#N/A,FALSE,"A"}</definedName>
    <definedName name="wrn.CASH._.FLOW." localSheetId="7" hidden="1">{"CASH FLOW",#N/A,FALSE,"A"}</definedName>
    <definedName name="wrn.CASH._.FLOW." hidden="1">{"CASH FLOW",#N/A,FALSE,"A"}</definedName>
    <definedName name="wrn.consumable." localSheetId="12" hidden="1">{#N/A,#N/A,FALSE,"consu_cover";#N/A,#N/A,FALSE,"consu_strategy";#N/A,#N/A,FALSE,"consu_flow";#N/A,#N/A,FALSE,"Summary_reqmt";#N/A,#N/A,FALSE,"field_ppg";#N/A,#N/A,FALSE,"ppg_shop";#N/A,#N/A,FALSE,"strl";#N/A,#N/A,FALSE,"tankages";#N/A,#N/A,FALSE,"gases"}</definedName>
    <definedName name="wrn.consumable." localSheetId="6" hidden="1">{#N/A,#N/A,FALSE,"consu_cover";#N/A,#N/A,FALSE,"consu_strategy";#N/A,#N/A,FALSE,"consu_flow";#N/A,#N/A,FALSE,"Summary_reqmt";#N/A,#N/A,FALSE,"field_ppg";#N/A,#N/A,FALSE,"ppg_shop";#N/A,#N/A,FALSE,"strl";#N/A,#N/A,FALSE,"tankages";#N/A,#N/A,FALSE,"gases"}</definedName>
    <definedName name="wrn.consumable." localSheetId="5" hidden="1">{#N/A,#N/A,FALSE,"consu_cover";#N/A,#N/A,FALSE,"consu_strategy";#N/A,#N/A,FALSE,"consu_flow";#N/A,#N/A,FALSE,"Summary_reqmt";#N/A,#N/A,FALSE,"field_ppg";#N/A,#N/A,FALSE,"ppg_shop";#N/A,#N/A,FALSE,"strl";#N/A,#N/A,FALSE,"tankages";#N/A,#N/A,FALSE,"gases"}</definedName>
    <definedName name="wrn.consumable." localSheetId="8" hidden="1">{#N/A,#N/A,FALSE,"consu_cover";#N/A,#N/A,FALSE,"consu_strategy";#N/A,#N/A,FALSE,"consu_flow";#N/A,#N/A,FALSE,"Summary_reqmt";#N/A,#N/A,FALSE,"field_ppg";#N/A,#N/A,FALSE,"ppg_shop";#N/A,#N/A,FALSE,"strl";#N/A,#N/A,FALSE,"tankages";#N/A,#N/A,FALSE,"gases"}</definedName>
    <definedName name="wrn.consumable." localSheetId="11" hidden="1">{#N/A,#N/A,FALSE,"consu_cover";#N/A,#N/A,FALSE,"consu_strategy";#N/A,#N/A,FALSE,"consu_flow";#N/A,#N/A,FALSE,"Summary_reqmt";#N/A,#N/A,FALSE,"field_ppg";#N/A,#N/A,FALSE,"ppg_shop";#N/A,#N/A,FALSE,"strl";#N/A,#N/A,FALSE,"tankages";#N/A,#N/A,FALSE,"gases"}</definedName>
    <definedName name="wrn.consumable." localSheetId="9" hidden="1">{#N/A,#N/A,FALSE,"consu_cover";#N/A,#N/A,FALSE,"consu_strategy";#N/A,#N/A,FALSE,"consu_flow";#N/A,#N/A,FALSE,"Summary_reqmt";#N/A,#N/A,FALSE,"field_ppg";#N/A,#N/A,FALSE,"ppg_shop";#N/A,#N/A,FALSE,"strl";#N/A,#N/A,FALSE,"tankages";#N/A,#N/A,FALSE,"gases"}</definedName>
    <definedName name="wrn.consumable." localSheetId="13" hidden="1">{#N/A,#N/A,FALSE,"consu_cover";#N/A,#N/A,FALSE,"consu_strategy";#N/A,#N/A,FALSE,"consu_flow";#N/A,#N/A,FALSE,"Summary_reqmt";#N/A,#N/A,FALSE,"field_ppg";#N/A,#N/A,FALSE,"ppg_shop";#N/A,#N/A,FALSE,"strl";#N/A,#N/A,FALSE,"tankages";#N/A,#N/A,FALSE,"gases"}</definedName>
    <definedName name="wrn.consumable." localSheetId="18" hidden="1">{#N/A,#N/A,FALSE,"consu_cover";#N/A,#N/A,FALSE,"consu_strategy";#N/A,#N/A,FALSE,"consu_flow";#N/A,#N/A,FALSE,"Summary_reqmt";#N/A,#N/A,FALSE,"field_ppg";#N/A,#N/A,FALSE,"ppg_shop";#N/A,#N/A,FALSE,"strl";#N/A,#N/A,FALSE,"tankages";#N/A,#N/A,FALSE,"gases"}</definedName>
    <definedName name="wrn.consumable." localSheetId="15" hidden="1">{#N/A,#N/A,FALSE,"consu_cover";#N/A,#N/A,FALSE,"consu_strategy";#N/A,#N/A,FALSE,"consu_flow";#N/A,#N/A,FALSE,"Summary_reqmt";#N/A,#N/A,FALSE,"field_ppg";#N/A,#N/A,FALSE,"ppg_shop";#N/A,#N/A,FALSE,"strl";#N/A,#N/A,FALSE,"tankages";#N/A,#N/A,FALSE,"gases"}</definedName>
    <definedName name="wrn.consumable." localSheetId="7"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9"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7"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TS." localSheetId="12" hidden="1">{"FTS",#N/A,FALSE,"E"}</definedName>
    <definedName name="wrn.FTS." localSheetId="6" hidden="1">{"FTS",#N/A,FALSE,"E"}</definedName>
    <definedName name="wrn.FTS." localSheetId="5" hidden="1">{"FTS",#N/A,FALSE,"E"}</definedName>
    <definedName name="wrn.FTS." localSheetId="8" hidden="1">{"FTS",#N/A,FALSE,"E"}</definedName>
    <definedName name="wrn.FTS." localSheetId="11" hidden="1">{"FTS",#N/A,FALSE,"E"}</definedName>
    <definedName name="wrn.FTS." localSheetId="9" hidden="1">{"FTS",#N/A,FALSE,"E"}</definedName>
    <definedName name="wrn.FTS." localSheetId="13" hidden="1">{"FTS",#N/A,FALSE,"E"}</definedName>
    <definedName name="wrn.FTS." localSheetId="18" hidden="1">{"FTS",#N/A,FALSE,"E"}</definedName>
    <definedName name="wrn.FTS." localSheetId="15" hidden="1">{"FTS",#N/A,FALSE,"E"}</definedName>
    <definedName name="wrn.FTS." localSheetId="7" hidden="1">{"FTS",#N/A,FALSE,"E"}</definedName>
    <definedName name="wrn.FTS." hidden="1">{"FTS",#N/A,FALSE,"E"}</definedName>
    <definedName name="wrn.FTS._.PLANT._.BREAKUP." localSheetId="12" hidden="1">{"PLANT BREAKUP",#N/A,FALSE,"E"}</definedName>
    <definedName name="wrn.FTS._.PLANT._.BREAKUP." localSheetId="6" hidden="1">{"PLANT BREAKUP",#N/A,FALSE,"E"}</definedName>
    <definedName name="wrn.FTS._.PLANT._.BREAKUP." localSheetId="5" hidden="1">{"PLANT BREAKUP",#N/A,FALSE,"E"}</definedName>
    <definedName name="wrn.FTS._.PLANT._.BREAKUP." localSheetId="8" hidden="1">{"PLANT BREAKUP",#N/A,FALSE,"E"}</definedName>
    <definedName name="wrn.FTS._.PLANT._.BREAKUP." localSheetId="11" hidden="1">{"PLANT BREAKUP",#N/A,FALSE,"E"}</definedName>
    <definedName name="wrn.FTS._.PLANT._.BREAKUP." localSheetId="9" hidden="1">{"PLANT BREAKUP",#N/A,FALSE,"E"}</definedName>
    <definedName name="wrn.FTS._.PLANT._.BREAKUP." localSheetId="13" hidden="1">{"PLANT BREAKUP",#N/A,FALSE,"E"}</definedName>
    <definedName name="wrn.FTS._.PLANT._.BREAKUP." localSheetId="18" hidden="1">{"PLANT BREAKUP",#N/A,FALSE,"E"}</definedName>
    <definedName name="wrn.FTS._.PLANT._.BREAKUP." localSheetId="15" hidden="1">{"PLANT BREAKUP",#N/A,FALSE,"E"}</definedName>
    <definedName name="wrn.FTS._.PLANT._.BREAKUP." localSheetId="7" hidden="1">{"PLANT BREAKUP",#N/A,FALSE,"E"}</definedName>
    <definedName name="wrn.FTS._.PLANT._.BREAKUP." hidden="1">{"PLANT BREAKUP",#N/A,FALSE,"E"}</definedName>
    <definedName name="wrn.Full._.Report." localSheetId="12"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5" hidden="1">{#N/A,#N/A,TRUE,"Front";#N/A,#N/A,TRUE,"Simple Letter";#N/A,#N/A,TRUE,"Inside";#N/A,#N/A,TRUE,"Contents";#N/A,#N/A,TRUE,"Basis";#N/A,#N/A,TRUE,"Inclusions";#N/A,#N/A,TRUE,"Exclusions";#N/A,#N/A,TRUE,"Areas";#N/A,#N/A,TRUE,"Summary";#N/A,#N/A,TRUE,"Detail"}</definedName>
    <definedName name="wrn.Full._.Report." localSheetId="8" hidden="1">{#N/A,#N/A,TRUE,"Front";#N/A,#N/A,TRUE,"Simple Letter";#N/A,#N/A,TRUE,"Inside";#N/A,#N/A,TRUE,"Contents";#N/A,#N/A,TRUE,"Basis";#N/A,#N/A,TRUE,"Inclusions";#N/A,#N/A,TRUE,"Exclusions";#N/A,#N/A,TRUE,"Areas";#N/A,#N/A,TRUE,"Summary";#N/A,#N/A,TRUE,"Detail"}</definedName>
    <definedName name="wrn.Full._.Report." localSheetId="11" hidden="1">{#N/A,#N/A,TRUE,"Front";#N/A,#N/A,TRUE,"Simple Letter";#N/A,#N/A,TRUE,"Inside";#N/A,#N/A,TRUE,"Contents";#N/A,#N/A,TRUE,"Basis";#N/A,#N/A,TRUE,"Inclusions";#N/A,#N/A,TRUE,"Exclusions";#N/A,#N/A,TRUE,"Areas";#N/A,#N/A,TRUE,"Summary";#N/A,#N/A,TRUE,"Detail"}</definedName>
    <definedName name="wrn.Full._.Report." localSheetId="9" hidden="1">{#N/A,#N/A,TRUE,"Front";#N/A,#N/A,TRUE,"Simple Letter";#N/A,#N/A,TRUE,"Inside";#N/A,#N/A,TRUE,"Contents";#N/A,#N/A,TRUE,"Basis";#N/A,#N/A,TRUE,"Inclusions";#N/A,#N/A,TRUE,"Exclusions";#N/A,#N/A,TRUE,"Areas";#N/A,#N/A,TRUE,"Summary";#N/A,#N/A,TRUE,"Detail"}</definedName>
    <definedName name="wrn.Full._.Report." localSheetId="13" hidden="1">{#N/A,#N/A,TRUE,"Front";#N/A,#N/A,TRUE,"Simple Letter";#N/A,#N/A,TRUE,"Inside";#N/A,#N/A,TRUE,"Contents";#N/A,#N/A,TRUE,"Basis";#N/A,#N/A,TRUE,"Inclusions";#N/A,#N/A,TRUE,"Exclusions";#N/A,#N/A,TRUE,"Areas";#N/A,#N/A,TRUE,"Summary";#N/A,#N/A,TRUE,"Detail"}</definedName>
    <definedName name="wrn.Full._.Report." localSheetId="18" hidden="1">{#N/A,#N/A,TRUE,"Front";#N/A,#N/A,TRUE,"Simple Letter";#N/A,#N/A,TRUE,"Inside";#N/A,#N/A,TRUE,"Contents";#N/A,#N/A,TRUE,"Basis";#N/A,#N/A,TRUE,"Inclusions";#N/A,#N/A,TRUE,"Exclusions";#N/A,#N/A,TRUE,"Areas";#N/A,#N/A,TRUE,"Summary";#N/A,#N/A,TRUE,"Detail"}</definedName>
    <definedName name="wrn.Full._.Report." localSheetId="15"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piping."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12" hidden="1">{"PLANNING",#N/A,FALSE,"A"}</definedName>
    <definedName name="wrn.PLANNING." localSheetId="6" hidden="1">{"PLANNING",#N/A,FALSE,"A"}</definedName>
    <definedName name="wrn.PLANNING." localSheetId="5" hidden="1">{"PLANNING",#N/A,FALSE,"A"}</definedName>
    <definedName name="wrn.PLANNING." localSheetId="8" hidden="1">{"PLANNING",#N/A,FALSE,"A"}</definedName>
    <definedName name="wrn.PLANNING." localSheetId="11" hidden="1">{"PLANNING",#N/A,FALSE,"A"}</definedName>
    <definedName name="wrn.PLANNING." localSheetId="9" hidden="1">{"PLANNING",#N/A,FALSE,"A"}</definedName>
    <definedName name="wrn.PLANNING." localSheetId="13" hidden="1">{"PLANNING",#N/A,FALSE,"A"}</definedName>
    <definedName name="wrn.PLANNING." localSheetId="18" hidden="1">{"PLANNING",#N/A,FALSE,"A"}</definedName>
    <definedName name="wrn.PLANNING." localSheetId="15" hidden="1">{"PLANNING",#N/A,FALSE,"A"}</definedName>
    <definedName name="wrn.PLANNING." localSheetId="7" hidden="1">{"PLANNING",#N/A,FALSE,"A"}</definedName>
    <definedName name="wrn.PLANNING." hidden="1">{"PLANNING",#N/A,FALSE,"A"}</definedName>
    <definedName name="wrn.RCC." localSheetId="12"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1"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9"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2"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5" hidden="1">{#N/A,#N/A,FALSE,"COVER.XLS";#N/A,#N/A,FALSE,"RACT1.XLS";#N/A,#N/A,FALSE,"RACT2.XLS";#N/A,#N/A,FALSE,"ECCMP";#N/A,#N/A,FALSE,"WELDER.XLS"}</definedName>
    <definedName name="wrn.report." localSheetId="8" hidden="1">{#N/A,#N/A,FALSE,"COVER.XLS";#N/A,#N/A,FALSE,"RACT1.XLS";#N/A,#N/A,FALSE,"RACT2.XLS";#N/A,#N/A,FALSE,"ECCMP";#N/A,#N/A,FALSE,"WELDER.XLS"}</definedName>
    <definedName name="wrn.report." localSheetId="11" hidden="1">{#N/A,#N/A,FALSE,"COVER.XLS";#N/A,#N/A,FALSE,"RACT1.XLS";#N/A,#N/A,FALSE,"RACT2.XLS";#N/A,#N/A,FALSE,"ECCMP";#N/A,#N/A,FALSE,"WELDER.XLS"}</definedName>
    <definedName name="wrn.report." localSheetId="9" hidden="1">{#N/A,#N/A,FALSE,"COVER.XLS";#N/A,#N/A,FALSE,"RACT1.XLS";#N/A,#N/A,FALSE,"RACT2.XLS";#N/A,#N/A,FALSE,"ECCMP";#N/A,#N/A,FALSE,"WELDER.XLS"}</definedName>
    <definedName name="wrn.report." localSheetId="13" hidden="1">{#N/A,#N/A,FALSE,"COVER.XLS";#N/A,#N/A,FALSE,"RACT1.XLS";#N/A,#N/A,FALSE,"RACT2.XLS";#N/A,#N/A,FALSE,"ECCMP";#N/A,#N/A,FALSE,"WELDER.XLS"}</definedName>
    <definedName name="wrn.report." localSheetId="18" hidden="1">{#N/A,#N/A,FALSE,"COVER.XLS";#N/A,#N/A,FALSE,"RACT1.XLS";#N/A,#N/A,FALSE,"RACT2.XLS";#N/A,#N/A,FALSE,"ECCMP";#N/A,#N/A,FALSE,"WELDER.XLS"}</definedName>
    <definedName name="wrn.report." localSheetId="15" hidden="1">{#N/A,#N/A,FALSE,"COVER.XLS";#N/A,#N/A,FALSE,"RACT1.XLS";#N/A,#N/A,FALSE,"RACT2.XLS";#N/A,#N/A,FALSE,"ECCMP";#N/A,#N/A,FALSE,"WELDER.XLS"}</definedName>
    <definedName name="wrn.report." localSheetId="7" hidden="1">{#N/A,#N/A,FALSE,"COVER.XLS";#N/A,#N/A,FALSE,"RACT1.XLS";#N/A,#N/A,FALSE,"RACT2.XLS";#N/A,#N/A,FALSE,"ECCMP";#N/A,#N/A,FALSE,"WELDER.XLS"}</definedName>
    <definedName name="wrn.report." hidden="1">{#N/A,#N/A,FALSE,"COVER.XLS";#N/A,#N/A,FALSE,"RACT1.XLS";#N/A,#N/A,FALSE,"RACT2.XLS";#N/A,#N/A,FALSE,"ECCMP";#N/A,#N/A,FALSE,"WELDER.XLS"}</definedName>
    <definedName name="wrn.RPLINS." localSheetId="12"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5" hidden="1">{#N/A,#N/A,FALSE,"str_title";#N/A,#N/A,FALSE,"SUM";#N/A,#N/A,FALSE,"Scope";#N/A,#N/A,FALSE,"PIE-Jn";#N/A,#N/A,FALSE,"PIE-Jn_Hz";#N/A,#N/A,FALSE,"Liq_Plan";#N/A,#N/A,FALSE,"S_Curve";#N/A,#N/A,FALSE,"Liq_Prof";#N/A,#N/A,FALSE,"Man_Pwr";#N/A,#N/A,FALSE,"Man_Prof"}</definedName>
    <definedName name="wrn.RPLINS." localSheetId="8" hidden="1">{#N/A,#N/A,FALSE,"str_title";#N/A,#N/A,FALSE,"SUM";#N/A,#N/A,FALSE,"Scope";#N/A,#N/A,FALSE,"PIE-Jn";#N/A,#N/A,FALSE,"PIE-Jn_Hz";#N/A,#N/A,FALSE,"Liq_Plan";#N/A,#N/A,FALSE,"S_Curve";#N/A,#N/A,FALSE,"Liq_Prof";#N/A,#N/A,FALSE,"Man_Pwr";#N/A,#N/A,FALSE,"Man_Prof"}</definedName>
    <definedName name="wrn.RPLINS." localSheetId="11" hidden="1">{#N/A,#N/A,FALSE,"str_title";#N/A,#N/A,FALSE,"SUM";#N/A,#N/A,FALSE,"Scope";#N/A,#N/A,FALSE,"PIE-Jn";#N/A,#N/A,FALSE,"PIE-Jn_Hz";#N/A,#N/A,FALSE,"Liq_Plan";#N/A,#N/A,FALSE,"S_Curve";#N/A,#N/A,FALSE,"Liq_Prof";#N/A,#N/A,FALSE,"Man_Pwr";#N/A,#N/A,FALSE,"Man_Prof"}</definedName>
    <definedName name="wrn.RPLINS." localSheetId="9" hidden="1">{#N/A,#N/A,FALSE,"str_title";#N/A,#N/A,FALSE,"SUM";#N/A,#N/A,FALSE,"Scope";#N/A,#N/A,FALSE,"PIE-Jn";#N/A,#N/A,FALSE,"PIE-Jn_Hz";#N/A,#N/A,FALSE,"Liq_Plan";#N/A,#N/A,FALSE,"S_Curve";#N/A,#N/A,FALSE,"Liq_Prof";#N/A,#N/A,FALSE,"Man_Pwr";#N/A,#N/A,FALSE,"Man_Prof"}</definedName>
    <definedName name="wrn.RPLINS." localSheetId="13" hidden="1">{#N/A,#N/A,FALSE,"str_title";#N/A,#N/A,FALSE,"SUM";#N/A,#N/A,FALSE,"Scope";#N/A,#N/A,FALSE,"PIE-Jn";#N/A,#N/A,FALSE,"PIE-Jn_Hz";#N/A,#N/A,FALSE,"Liq_Plan";#N/A,#N/A,FALSE,"S_Curve";#N/A,#N/A,FALSE,"Liq_Prof";#N/A,#N/A,FALSE,"Man_Pwr";#N/A,#N/A,FALSE,"Man_Prof"}</definedName>
    <definedName name="wrn.RPLINS." localSheetId="18" hidden="1">{#N/A,#N/A,FALSE,"str_title";#N/A,#N/A,FALSE,"SUM";#N/A,#N/A,FALSE,"Scope";#N/A,#N/A,FALSE,"PIE-Jn";#N/A,#N/A,FALSE,"PIE-Jn_Hz";#N/A,#N/A,FALSE,"Liq_Plan";#N/A,#N/A,FALSE,"S_Curve";#N/A,#N/A,FALSE,"Liq_Prof";#N/A,#N/A,FALSE,"Man_Pwr";#N/A,#N/A,FALSE,"Man_Prof"}</definedName>
    <definedName name="wrn.RPLINS." localSheetId="15"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1" localSheetId="12" hidden="1">{#N/A,#N/A,FALSE,"COVER1.XLS ";#N/A,#N/A,FALSE,"RACT1.XLS";#N/A,#N/A,FALSE,"RACT2.XLS";#N/A,#N/A,FALSE,"ECCMP";#N/A,#N/A,FALSE,"WELDER.XLS"}</definedName>
    <definedName name="wrn.summ1" localSheetId="6" hidden="1">{#N/A,#N/A,FALSE,"COVER1.XLS ";#N/A,#N/A,FALSE,"RACT1.XLS";#N/A,#N/A,FALSE,"RACT2.XLS";#N/A,#N/A,FALSE,"ECCMP";#N/A,#N/A,FALSE,"WELDER.XLS"}</definedName>
    <definedName name="wrn.summ1" localSheetId="5" hidden="1">{#N/A,#N/A,FALSE,"COVER1.XLS ";#N/A,#N/A,FALSE,"RACT1.XLS";#N/A,#N/A,FALSE,"RACT2.XLS";#N/A,#N/A,FALSE,"ECCMP";#N/A,#N/A,FALSE,"WELDER.XLS"}</definedName>
    <definedName name="wrn.summ1" localSheetId="8" hidden="1">{#N/A,#N/A,FALSE,"COVER1.XLS ";#N/A,#N/A,FALSE,"RACT1.XLS";#N/A,#N/A,FALSE,"RACT2.XLS";#N/A,#N/A,FALSE,"ECCMP";#N/A,#N/A,FALSE,"WELDER.XLS"}</definedName>
    <definedName name="wrn.summ1" localSheetId="11" hidden="1">{#N/A,#N/A,FALSE,"COVER1.XLS ";#N/A,#N/A,FALSE,"RACT1.XLS";#N/A,#N/A,FALSE,"RACT2.XLS";#N/A,#N/A,FALSE,"ECCMP";#N/A,#N/A,FALSE,"WELDER.XLS"}</definedName>
    <definedName name="wrn.summ1" localSheetId="9" hidden="1">{#N/A,#N/A,FALSE,"COVER1.XLS ";#N/A,#N/A,FALSE,"RACT1.XLS";#N/A,#N/A,FALSE,"RACT2.XLS";#N/A,#N/A,FALSE,"ECCMP";#N/A,#N/A,FALSE,"WELDER.XLS"}</definedName>
    <definedName name="wrn.summ1" localSheetId="13" hidden="1">{#N/A,#N/A,FALSE,"COVER1.XLS ";#N/A,#N/A,FALSE,"RACT1.XLS";#N/A,#N/A,FALSE,"RACT2.XLS";#N/A,#N/A,FALSE,"ECCMP";#N/A,#N/A,FALSE,"WELDER.XLS"}</definedName>
    <definedName name="wrn.summ1" localSheetId="18" hidden="1">{#N/A,#N/A,FALSE,"COVER1.XLS ";#N/A,#N/A,FALSE,"RACT1.XLS";#N/A,#N/A,FALSE,"RACT2.XLS";#N/A,#N/A,FALSE,"ECCMP";#N/A,#N/A,FALSE,"WELDER.XLS"}</definedName>
    <definedName name="wrn.summ1" localSheetId="15" hidden="1">{#N/A,#N/A,FALSE,"COVER1.XLS ";#N/A,#N/A,FALSE,"RACT1.XLS";#N/A,#N/A,FALSE,"RACT2.XLS";#N/A,#N/A,FALSE,"ECCMP";#N/A,#N/A,FALSE,"WELDER.XLS"}</definedName>
    <definedName name="wrn.summ1" localSheetId="7" hidden="1">{#N/A,#N/A,FALSE,"COVER1.XLS ";#N/A,#N/A,FALSE,"RACT1.XLS";#N/A,#N/A,FALSE,"RACT2.XLS";#N/A,#N/A,FALSE,"ECCMP";#N/A,#N/A,FALSE,"WELDER.XLS"}</definedName>
    <definedName name="wrn.summ1" hidden="1">{#N/A,#N/A,FALSE,"COVER1.XLS ";#N/A,#N/A,FALSE,"RACT1.XLS";#N/A,#N/A,FALSE,"RACT2.XLS";#N/A,#N/A,FALSE,"ECCMP";#N/A,#N/A,FALSE,"WELDER.XLS"}</definedName>
    <definedName name="wrn.summary." localSheetId="12"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5" hidden="1">{#N/A,#N/A,FALSE,"COVER1.XLS ";#N/A,#N/A,FALSE,"RACT1.XLS";#N/A,#N/A,FALSE,"RACT2.XLS";#N/A,#N/A,FALSE,"ECCMP";#N/A,#N/A,FALSE,"WELDER.XLS"}</definedName>
    <definedName name="wrn.summary." localSheetId="8" hidden="1">{#N/A,#N/A,FALSE,"COVER1.XLS ";#N/A,#N/A,FALSE,"RACT1.XLS";#N/A,#N/A,FALSE,"RACT2.XLS";#N/A,#N/A,FALSE,"ECCMP";#N/A,#N/A,FALSE,"WELDER.XLS"}</definedName>
    <definedName name="wrn.summary." localSheetId="11" hidden="1">{#N/A,#N/A,FALSE,"COVER1.XLS ";#N/A,#N/A,FALSE,"RACT1.XLS";#N/A,#N/A,FALSE,"RACT2.XLS";#N/A,#N/A,FALSE,"ECCMP";#N/A,#N/A,FALSE,"WELDER.XLS"}</definedName>
    <definedName name="wrn.summary." localSheetId="9" hidden="1">{#N/A,#N/A,FALSE,"COVER1.XLS ";#N/A,#N/A,FALSE,"RACT1.XLS";#N/A,#N/A,FALSE,"RACT2.XLS";#N/A,#N/A,FALSE,"ECCMP";#N/A,#N/A,FALSE,"WELDER.XLS"}</definedName>
    <definedName name="wrn.summary." localSheetId="13" hidden="1">{#N/A,#N/A,FALSE,"COVER1.XLS ";#N/A,#N/A,FALSE,"RACT1.XLS";#N/A,#N/A,FALSE,"RACT2.XLS";#N/A,#N/A,FALSE,"ECCMP";#N/A,#N/A,FALSE,"WELDER.XLS"}</definedName>
    <definedName name="wrn.summary." localSheetId="18" hidden="1">{#N/A,#N/A,FALSE,"COVER1.XLS ";#N/A,#N/A,FALSE,"RACT1.XLS";#N/A,#N/A,FALSE,"RACT2.XLS";#N/A,#N/A,FALSE,"ECCMP";#N/A,#N/A,FALSE,"WELDER.XLS"}</definedName>
    <definedName name="wrn.summary." localSheetId="15" hidden="1">{#N/A,#N/A,FALSE,"COVER1.XLS ";#N/A,#N/A,FALSE,"RACT1.XLS";#N/A,#N/A,FALSE,"RACT2.XLS";#N/A,#N/A,FALSE,"ECCMP";#N/A,#N/A,FALSE,"WELDER.XLS"}</definedName>
    <definedName name="wrn.summary." localSheetId="7" hidden="1">{#N/A,#N/A,FALSE,"COVER1.XLS ";#N/A,#N/A,FALSE,"RACT1.XLS";#N/A,#N/A,FALSE,"RACT2.XLS";#N/A,#N/A,FALSE,"ECCMP";#N/A,#N/A,FALSE,"WELDER.XLS"}</definedName>
    <definedName name="wrn.summary." hidden="1">{#N/A,#N/A,FALSE,"COVER1.XLS ";#N/A,#N/A,FALSE,"RACT1.XLS";#N/A,#N/A,FALSE,"RACT2.XLS";#N/A,#N/A,FALSE,"ECCMP";#N/A,#N/A,FALSE,"WELDER.XLS"}</definedName>
    <definedName name="wrn.trial." localSheetId="12" hidden="1">{#N/A,#N/A,FALSE,"mpph1";#N/A,#N/A,FALSE,"mpmseb";#N/A,#N/A,FALSE,"mpph2"}</definedName>
    <definedName name="wrn.trial." localSheetId="6" hidden="1">{#N/A,#N/A,FALSE,"mpph1";#N/A,#N/A,FALSE,"mpmseb";#N/A,#N/A,FALSE,"mpph2"}</definedName>
    <definedName name="wrn.trial." localSheetId="5" hidden="1">{#N/A,#N/A,FALSE,"mpph1";#N/A,#N/A,FALSE,"mpmseb";#N/A,#N/A,FALSE,"mpph2"}</definedName>
    <definedName name="wrn.trial." localSheetId="8" hidden="1">{#N/A,#N/A,FALSE,"mpph1";#N/A,#N/A,FALSE,"mpmseb";#N/A,#N/A,FALSE,"mpph2"}</definedName>
    <definedName name="wrn.trial." localSheetId="11" hidden="1">{#N/A,#N/A,FALSE,"mpph1";#N/A,#N/A,FALSE,"mpmseb";#N/A,#N/A,FALSE,"mpph2"}</definedName>
    <definedName name="wrn.trial." localSheetId="9" hidden="1">{#N/A,#N/A,FALSE,"mpph1";#N/A,#N/A,FALSE,"mpmseb";#N/A,#N/A,FALSE,"mpph2"}</definedName>
    <definedName name="wrn.trial." localSheetId="13" hidden="1">{#N/A,#N/A,FALSE,"mpph1";#N/A,#N/A,FALSE,"mpmseb";#N/A,#N/A,FALSE,"mpph2"}</definedName>
    <definedName name="wrn.trial." localSheetId="18" hidden="1">{#N/A,#N/A,FALSE,"mpph1";#N/A,#N/A,FALSE,"mpmseb";#N/A,#N/A,FALSE,"mpph2"}</definedName>
    <definedName name="wrn.trial." localSheetId="15" hidden="1">{#N/A,#N/A,FALSE,"mpph1";#N/A,#N/A,FALSE,"mpmseb";#N/A,#N/A,FALSE,"mpph2"}</definedName>
    <definedName name="wrn.trial." localSheetId="7" hidden="1">{#N/A,#N/A,FALSE,"mpph1";#N/A,#N/A,FALSE,"mpmseb";#N/A,#N/A,FALSE,"mpph2"}</definedName>
    <definedName name="wrn.trial." hidden="1">{#N/A,#N/A,FALSE,"mpph1";#N/A,#N/A,FALSE,"mpmseb";#N/A,#N/A,FALSE,"mpph2"}</definedName>
    <definedName name="WRN0" localSheetId="12" hidden="1">{#N/A,#N/A,FALSE,"COVER1.XLS ";#N/A,#N/A,FALSE,"RACT1.XLS";#N/A,#N/A,FALSE,"RACT2.XLS";#N/A,#N/A,FALSE,"ECCMP";#N/A,#N/A,FALSE,"WELDER.XLS"}</definedName>
    <definedName name="WRN0" localSheetId="6" hidden="1">{#N/A,#N/A,FALSE,"COVER1.XLS ";#N/A,#N/A,FALSE,"RACT1.XLS";#N/A,#N/A,FALSE,"RACT2.XLS";#N/A,#N/A,FALSE,"ECCMP";#N/A,#N/A,FALSE,"WELDER.XLS"}</definedName>
    <definedName name="WRN0" localSheetId="5" hidden="1">{#N/A,#N/A,FALSE,"COVER1.XLS ";#N/A,#N/A,FALSE,"RACT1.XLS";#N/A,#N/A,FALSE,"RACT2.XLS";#N/A,#N/A,FALSE,"ECCMP";#N/A,#N/A,FALSE,"WELDER.XLS"}</definedName>
    <definedName name="WRN0" localSheetId="8" hidden="1">{#N/A,#N/A,FALSE,"COVER1.XLS ";#N/A,#N/A,FALSE,"RACT1.XLS";#N/A,#N/A,FALSE,"RACT2.XLS";#N/A,#N/A,FALSE,"ECCMP";#N/A,#N/A,FALSE,"WELDER.XLS"}</definedName>
    <definedName name="WRN0" localSheetId="11" hidden="1">{#N/A,#N/A,FALSE,"COVER1.XLS ";#N/A,#N/A,FALSE,"RACT1.XLS";#N/A,#N/A,FALSE,"RACT2.XLS";#N/A,#N/A,FALSE,"ECCMP";#N/A,#N/A,FALSE,"WELDER.XLS"}</definedName>
    <definedName name="WRN0" localSheetId="9" hidden="1">{#N/A,#N/A,FALSE,"COVER1.XLS ";#N/A,#N/A,FALSE,"RACT1.XLS";#N/A,#N/A,FALSE,"RACT2.XLS";#N/A,#N/A,FALSE,"ECCMP";#N/A,#N/A,FALSE,"WELDER.XLS"}</definedName>
    <definedName name="WRN0" localSheetId="13" hidden="1">{#N/A,#N/A,FALSE,"COVER1.XLS ";#N/A,#N/A,FALSE,"RACT1.XLS";#N/A,#N/A,FALSE,"RACT2.XLS";#N/A,#N/A,FALSE,"ECCMP";#N/A,#N/A,FALSE,"WELDER.XLS"}</definedName>
    <definedName name="WRN0" localSheetId="18" hidden="1">{#N/A,#N/A,FALSE,"COVER1.XLS ";#N/A,#N/A,FALSE,"RACT1.XLS";#N/A,#N/A,FALSE,"RACT2.XLS";#N/A,#N/A,FALSE,"ECCMP";#N/A,#N/A,FALSE,"WELDER.XLS"}</definedName>
    <definedName name="WRN0" localSheetId="15" hidden="1">{#N/A,#N/A,FALSE,"COVER1.XLS ";#N/A,#N/A,FALSE,"RACT1.XLS";#N/A,#N/A,FALSE,"RACT2.XLS";#N/A,#N/A,FALSE,"ECCMP";#N/A,#N/A,FALSE,"WELDER.XLS"}</definedName>
    <definedName name="WRN0" localSheetId="7" hidden="1">{#N/A,#N/A,FALSE,"COVER1.XLS ";#N/A,#N/A,FALSE,"RACT1.XLS";#N/A,#N/A,FALSE,"RACT2.XLS";#N/A,#N/A,FALSE,"ECCMP";#N/A,#N/A,FALSE,"WELDER.XLS"}</definedName>
    <definedName name="WRN0" hidden="1">{#N/A,#N/A,FALSE,"COVER1.XLS ";#N/A,#N/A,FALSE,"RACT1.XLS";#N/A,#N/A,FALSE,"RACT2.XLS";#N/A,#N/A,FALSE,"ECCMP";#N/A,#N/A,FALSE,"WELDER.XLS"}</definedName>
    <definedName name="wrt" localSheetId="12" hidden="1">{#N/A,#N/A,TRUE,"Front";#N/A,#N/A,TRUE,"Simple Letter";#N/A,#N/A,TRUE,"Inside";#N/A,#N/A,TRUE,"Contents";#N/A,#N/A,TRUE,"Basis";#N/A,#N/A,TRUE,"Inclusions";#N/A,#N/A,TRUE,"Exclusions";#N/A,#N/A,TRUE,"Areas";#N/A,#N/A,TRUE,"Summary";#N/A,#N/A,TRUE,"Detail"}</definedName>
    <definedName name="wrt" localSheetId="6" hidden="1">{#N/A,#N/A,TRUE,"Front";#N/A,#N/A,TRUE,"Simple Letter";#N/A,#N/A,TRUE,"Inside";#N/A,#N/A,TRUE,"Contents";#N/A,#N/A,TRUE,"Basis";#N/A,#N/A,TRUE,"Inclusions";#N/A,#N/A,TRUE,"Exclusions";#N/A,#N/A,TRUE,"Areas";#N/A,#N/A,TRUE,"Summary";#N/A,#N/A,TRUE,"Detail"}</definedName>
    <definedName name="wrt" localSheetId="5" hidden="1">{#N/A,#N/A,TRUE,"Front";#N/A,#N/A,TRUE,"Simple Letter";#N/A,#N/A,TRUE,"Inside";#N/A,#N/A,TRUE,"Contents";#N/A,#N/A,TRUE,"Basis";#N/A,#N/A,TRUE,"Inclusions";#N/A,#N/A,TRUE,"Exclusions";#N/A,#N/A,TRUE,"Areas";#N/A,#N/A,TRUE,"Summary";#N/A,#N/A,TRUE,"Detail"}</definedName>
    <definedName name="wrt" localSheetId="8" hidden="1">{#N/A,#N/A,TRUE,"Front";#N/A,#N/A,TRUE,"Simple Letter";#N/A,#N/A,TRUE,"Inside";#N/A,#N/A,TRUE,"Contents";#N/A,#N/A,TRUE,"Basis";#N/A,#N/A,TRUE,"Inclusions";#N/A,#N/A,TRUE,"Exclusions";#N/A,#N/A,TRUE,"Areas";#N/A,#N/A,TRUE,"Summary";#N/A,#N/A,TRUE,"Detail"}</definedName>
    <definedName name="wrt" localSheetId="11" hidden="1">{#N/A,#N/A,TRUE,"Front";#N/A,#N/A,TRUE,"Simple Letter";#N/A,#N/A,TRUE,"Inside";#N/A,#N/A,TRUE,"Contents";#N/A,#N/A,TRUE,"Basis";#N/A,#N/A,TRUE,"Inclusions";#N/A,#N/A,TRUE,"Exclusions";#N/A,#N/A,TRUE,"Areas";#N/A,#N/A,TRUE,"Summary";#N/A,#N/A,TRUE,"Detail"}</definedName>
    <definedName name="wrt" localSheetId="9" hidden="1">{#N/A,#N/A,TRUE,"Front";#N/A,#N/A,TRUE,"Simple Letter";#N/A,#N/A,TRUE,"Inside";#N/A,#N/A,TRUE,"Contents";#N/A,#N/A,TRUE,"Basis";#N/A,#N/A,TRUE,"Inclusions";#N/A,#N/A,TRUE,"Exclusions";#N/A,#N/A,TRUE,"Areas";#N/A,#N/A,TRUE,"Summary";#N/A,#N/A,TRUE,"Detail"}</definedName>
    <definedName name="wrt" localSheetId="13" hidden="1">{#N/A,#N/A,TRUE,"Front";#N/A,#N/A,TRUE,"Simple Letter";#N/A,#N/A,TRUE,"Inside";#N/A,#N/A,TRUE,"Contents";#N/A,#N/A,TRUE,"Basis";#N/A,#N/A,TRUE,"Inclusions";#N/A,#N/A,TRUE,"Exclusions";#N/A,#N/A,TRUE,"Areas";#N/A,#N/A,TRUE,"Summary";#N/A,#N/A,TRUE,"Detail"}</definedName>
    <definedName name="wrt" localSheetId="18" hidden="1">{#N/A,#N/A,TRUE,"Front";#N/A,#N/A,TRUE,"Simple Letter";#N/A,#N/A,TRUE,"Inside";#N/A,#N/A,TRUE,"Contents";#N/A,#N/A,TRUE,"Basis";#N/A,#N/A,TRUE,"Inclusions";#N/A,#N/A,TRUE,"Exclusions";#N/A,#N/A,TRUE,"Areas";#N/A,#N/A,TRUE,"Summary";#N/A,#N/A,TRUE,"Detail"}</definedName>
    <definedName name="wrt" localSheetId="15" hidden="1">{#N/A,#N/A,TRUE,"Front";#N/A,#N/A,TRUE,"Simple Letter";#N/A,#N/A,TRUE,"Inside";#N/A,#N/A,TRUE,"Contents";#N/A,#N/A,TRUE,"Basis";#N/A,#N/A,TRUE,"Inclusions";#N/A,#N/A,TRUE,"Exclusions";#N/A,#N/A,TRUE,"Areas";#N/A,#N/A,TRUE,"Summary";#N/A,#N/A,TRUE,"Detail"}</definedName>
    <definedName name="wrt" localSheetId="7" hidden="1">{#N/A,#N/A,TRUE,"Front";#N/A,#N/A,TRUE,"Simple Letter";#N/A,#N/A,TRUE,"Inside";#N/A,#N/A,TRUE,"Contents";#N/A,#N/A,TRUE,"Basis";#N/A,#N/A,TRUE,"Inclusions";#N/A,#N/A,TRUE,"Exclusions";#N/A,#N/A,TRUE,"Areas";#N/A,#N/A,TRUE,"Summary";#N/A,#N/A,TRUE,"Detail"}</definedName>
    <definedName name="wrt" hidden="1">{#N/A,#N/A,TRUE,"Front";#N/A,#N/A,TRUE,"Simple Letter";#N/A,#N/A,TRUE,"Inside";#N/A,#N/A,TRUE,"Contents";#N/A,#N/A,TRUE,"Basis";#N/A,#N/A,TRUE,"Inclusions";#N/A,#N/A,TRUE,"Exclusions";#N/A,#N/A,TRUE,"Areas";#N/A,#N/A,TRUE,"Summary";#N/A,#N/A,TRUE,"Detail"}</definedName>
    <definedName name="wsgz" localSheetId="12" hidden="1">{#N/A,#N/A,FALSE,"COVER1.XLS ";#N/A,#N/A,FALSE,"RACT1.XLS";#N/A,#N/A,FALSE,"RACT2.XLS";#N/A,#N/A,FALSE,"ECCMP";#N/A,#N/A,FALSE,"WELDER.XLS"}</definedName>
    <definedName name="wsgz" localSheetId="6" hidden="1">{#N/A,#N/A,FALSE,"COVER1.XLS ";#N/A,#N/A,FALSE,"RACT1.XLS";#N/A,#N/A,FALSE,"RACT2.XLS";#N/A,#N/A,FALSE,"ECCMP";#N/A,#N/A,FALSE,"WELDER.XLS"}</definedName>
    <definedName name="wsgz" localSheetId="5" hidden="1">{#N/A,#N/A,FALSE,"COVER1.XLS ";#N/A,#N/A,FALSE,"RACT1.XLS";#N/A,#N/A,FALSE,"RACT2.XLS";#N/A,#N/A,FALSE,"ECCMP";#N/A,#N/A,FALSE,"WELDER.XLS"}</definedName>
    <definedName name="wsgz" localSheetId="8" hidden="1">{#N/A,#N/A,FALSE,"COVER1.XLS ";#N/A,#N/A,FALSE,"RACT1.XLS";#N/A,#N/A,FALSE,"RACT2.XLS";#N/A,#N/A,FALSE,"ECCMP";#N/A,#N/A,FALSE,"WELDER.XLS"}</definedName>
    <definedName name="wsgz" localSheetId="11" hidden="1">{#N/A,#N/A,FALSE,"COVER1.XLS ";#N/A,#N/A,FALSE,"RACT1.XLS";#N/A,#N/A,FALSE,"RACT2.XLS";#N/A,#N/A,FALSE,"ECCMP";#N/A,#N/A,FALSE,"WELDER.XLS"}</definedName>
    <definedName name="wsgz" localSheetId="9" hidden="1">{#N/A,#N/A,FALSE,"COVER1.XLS ";#N/A,#N/A,FALSE,"RACT1.XLS";#N/A,#N/A,FALSE,"RACT2.XLS";#N/A,#N/A,FALSE,"ECCMP";#N/A,#N/A,FALSE,"WELDER.XLS"}</definedName>
    <definedName name="wsgz" localSheetId="13" hidden="1">{#N/A,#N/A,FALSE,"COVER1.XLS ";#N/A,#N/A,FALSE,"RACT1.XLS";#N/A,#N/A,FALSE,"RACT2.XLS";#N/A,#N/A,FALSE,"ECCMP";#N/A,#N/A,FALSE,"WELDER.XLS"}</definedName>
    <definedName name="wsgz" localSheetId="18" hidden="1">{#N/A,#N/A,FALSE,"COVER1.XLS ";#N/A,#N/A,FALSE,"RACT1.XLS";#N/A,#N/A,FALSE,"RACT2.XLS";#N/A,#N/A,FALSE,"ECCMP";#N/A,#N/A,FALSE,"WELDER.XLS"}</definedName>
    <definedName name="wsgz" localSheetId="15" hidden="1">{#N/A,#N/A,FALSE,"COVER1.XLS ";#N/A,#N/A,FALSE,"RACT1.XLS";#N/A,#N/A,FALSE,"RACT2.XLS";#N/A,#N/A,FALSE,"ECCMP";#N/A,#N/A,FALSE,"WELDER.XLS"}</definedName>
    <definedName name="wsgz" localSheetId="7" hidden="1">{#N/A,#N/A,FALSE,"COVER1.XLS ";#N/A,#N/A,FALSE,"RACT1.XLS";#N/A,#N/A,FALSE,"RACT2.XLS";#N/A,#N/A,FALSE,"ECCMP";#N/A,#N/A,FALSE,"WELDER.XLS"}</definedName>
    <definedName name="wsgz" hidden="1">{#N/A,#N/A,FALSE,"COVER1.XLS ";#N/A,#N/A,FALSE,"RACT1.XLS";#N/A,#N/A,FALSE,"RACT2.XLS";#N/A,#N/A,FALSE,"ECCMP";#N/A,#N/A,FALSE,"WELDER.XLS"}</definedName>
    <definedName name="ww" localSheetId="12">#REF!</definedName>
    <definedName name="ww" localSheetId="0">#REF!</definedName>
    <definedName name="ww" localSheetId="1">#REF!</definedName>
    <definedName name="ww" localSheetId="6">#REF!</definedName>
    <definedName name="ww" localSheetId="5">#REF!</definedName>
    <definedName name="ww" localSheetId="8">#REF!</definedName>
    <definedName name="ww" localSheetId="11">#REF!</definedName>
    <definedName name="ww" localSheetId="9">#REF!</definedName>
    <definedName name="ww" localSheetId="18">#REF!</definedName>
    <definedName name="ww" localSheetId="15">#REF!</definedName>
    <definedName name="ww" localSheetId="7">#REF!</definedName>
    <definedName name="ww">#REF!</definedName>
    <definedName name="www" localSheetId="12" hidden="1">{#N/A,#N/A,FALSE,"COVER.XLS";#N/A,#N/A,FALSE,"RACT1.XLS";#N/A,#N/A,FALSE,"RACT2.XLS";#N/A,#N/A,FALSE,"ECCMP";#N/A,#N/A,FALSE,"WELDER.XLS"}</definedName>
    <definedName name="www" localSheetId="6" hidden="1">{#N/A,#N/A,FALSE,"COVER.XLS";#N/A,#N/A,FALSE,"RACT1.XLS";#N/A,#N/A,FALSE,"RACT2.XLS";#N/A,#N/A,FALSE,"ECCMP";#N/A,#N/A,FALSE,"WELDER.XLS"}</definedName>
    <definedName name="www" localSheetId="5" hidden="1">{#N/A,#N/A,FALSE,"COVER.XLS";#N/A,#N/A,FALSE,"RACT1.XLS";#N/A,#N/A,FALSE,"RACT2.XLS";#N/A,#N/A,FALSE,"ECCMP";#N/A,#N/A,FALSE,"WELDER.XLS"}</definedName>
    <definedName name="www" localSheetId="8" hidden="1">{#N/A,#N/A,FALSE,"COVER.XLS";#N/A,#N/A,FALSE,"RACT1.XLS";#N/A,#N/A,FALSE,"RACT2.XLS";#N/A,#N/A,FALSE,"ECCMP";#N/A,#N/A,FALSE,"WELDER.XLS"}</definedName>
    <definedName name="www" localSheetId="11" hidden="1">{#N/A,#N/A,FALSE,"COVER.XLS";#N/A,#N/A,FALSE,"RACT1.XLS";#N/A,#N/A,FALSE,"RACT2.XLS";#N/A,#N/A,FALSE,"ECCMP";#N/A,#N/A,FALSE,"WELDER.XLS"}</definedName>
    <definedName name="www" localSheetId="9" hidden="1">{#N/A,#N/A,FALSE,"COVER.XLS";#N/A,#N/A,FALSE,"RACT1.XLS";#N/A,#N/A,FALSE,"RACT2.XLS";#N/A,#N/A,FALSE,"ECCMP";#N/A,#N/A,FALSE,"WELDER.XLS"}</definedName>
    <definedName name="www" localSheetId="13" hidden="1">{#N/A,#N/A,FALSE,"COVER.XLS";#N/A,#N/A,FALSE,"RACT1.XLS";#N/A,#N/A,FALSE,"RACT2.XLS";#N/A,#N/A,FALSE,"ECCMP";#N/A,#N/A,FALSE,"WELDER.XLS"}</definedName>
    <definedName name="www" localSheetId="18" hidden="1">{#N/A,#N/A,FALSE,"COVER.XLS";#N/A,#N/A,FALSE,"RACT1.XLS";#N/A,#N/A,FALSE,"RACT2.XLS";#N/A,#N/A,FALSE,"ECCMP";#N/A,#N/A,FALSE,"WELDER.XLS"}</definedName>
    <definedName name="www" localSheetId="15" hidden="1">{#N/A,#N/A,FALSE,"COVER.XLS";#N/A,#N/A,FALSE,"RACT1.XLS";#N/A,#N/A,FALSE,"RACT2.XLS";#N/A,#N/A,FALSE,"ECCMP";#N/A,#N/A,FALSE,"WELDER.XLS"}</definedName>
    <definedName name="www" localSheetId="7" hidden="1">{#N/A,#N/A,FALSE,"COVER.XLS";#N/A,#N/A,FALSE,"RACT1.XLS";#N/A,#N/A,FALSE,"RACT2.XLS";#N/A,#N/A,FALSE,"ECCMP";#N/A,#N/A,FALSE,"WELDER.XLS"}</definedName>
    <definedName name="www" hidden="1">{#N/A,#N/A,FALSE,"COVER.XLS";#N/A,#N/A,FALSE,"RACT1.XLS";#N/A,#N/A,FALSE,"RACT2.XLS";#N/A,#N/A,FALSE,"ECCMP";#N/A,#N/A,FALSE,"WELDER.XLS"}</definedName>
    <definedName name="WWWW" localSheetId="12" hidden="1">{#N/A,#N/A,FALSE,"COVER.XLS";#N/A,#N/A,FALSE,"RACT1.XLS";#N/A,#N/A,FALSE,"RACT2.XLS";#N/A,#N/A,FALSE,"ECCMP";#N/A,#N/A,FALSE,"WELDER.XLS"}</definedName>
    <definedName name="WWWW" localSheetId="6" hidden="1">{#N/A,#N/A,FALSE,"COVER.XLS";#N/A,#N/A,FALSE,"RACT1.XLS";#N/A,#N/A,FALSE,"RACT2.XLS";#N/A,#N/A,FALSE,"ECCMP";#N/A,#N/A,FALSE,"WELDER.XLS"}</definedName>
    <definedName name="WWWW" localSheetId="5" hidden="1">{#N/A,#N/A,FALSE,"COVER.XLS";#N/A,#N/A,FALSE,"RACT1.XLS";#N/A,#N/A,FALSE,"RACT2.XLS";#N/A,#N/A,FALSE,"ECCMP";#N/A,#N/A,FALSE,"WELDER.XLS"}</definedName>
    <definedName name="WWWW" localSheetId="8" hidden="1">{#N/A,#N/A,FALSE,"COVER.XLS";#N/A,#N/A,FALSE,"RACT1.XLS";#N/A,#N/A,FALSE,"RACT2.XLS";#N/A,#N/A,FALSE,"ECCMP";#N/A,#N/A,FALSE,"WELDER.XLS"}</definedName>
    <definedName name="WWWW" localSheetId="11" hidden="1">{#N/A,#N/A,FALSE,"COVER.XLS";#N/A,#N/A,FALSE,"RACT1.XLS";#N/A,#N/A,FALSE,"RACT2.XLS";#N/A,#N/A,FALSE,"ECCMP";#N/A,#N/A,FALSE,"WELDER.XLS"}</definedName>
    <definedName name="WWWW" localSheetId="9" hidden="1">{#N/A,#N/A,FALSE,"COVER.XLS";#N/A,#N/A,FALSE,"RACT1.XLS";#N/A,#N/A,FALSE,"RACT2.XLS";#N/A,#N/A,FALSE,"ECCMP";#N/A,#N/A,FALSE,"WELDER.XLS"}</definedName>
    <definedName name="WWWW" localSheetId="13" hidden="1">{#N/A,#N/A,FALSE,"COVER.XLS";#N/A,#N/A,FALSE,"RACT1.XLS";#N/A,#N/A,FALSE,"RACT2.XLS";#N/A,#N/A,FALSE,"ECCMP";#N/A,#N/A,FALSE,"WELDER.XLS"}</definedName>
    <definedName name="WWWW" localSheetId="18" hidden="1">{#N/A,#N/A,FALSE,"COVER.XLS";#N/A,#N/A,FALSE,"RACT1.XLS";#N/A,#N/A,FALSE,"RACT2.XLS";#N/A,#N/A,FALSE,"ECCMP";#N/A,#N/A,FALSE,"WELDER.XLS"}</definedName>
    <definedName name="WWWW" localSheetId="15" hidden="1">{#N/A,#N/A,FALSE,"COVER.XLS";#N/A,#N/A,FALSE,"RACT1.XLS";#N/A,#N/A,FALSE,"RACT2.XLS";#N/A,#N/A,FALSE,"ECCMP";#N/A,#N/A,FALSE,"WELDER.XLS"}</definedName>
    <definedName name="WWWW" localSheetId="7" hidden="1">{#N/A,#N/A,FALSE,"COVER.XLS";#N/A,#N/A,FALSE,"RACT1.XLS";#N/A,#N/A,FALSE,"RACT2.XLS";#N/A,#N/A,FALSE,"ECCMP";#N/A,#N/A,FALSE,"WELDER.XLS"}</definedName>
    <definedName name="WWWW" hidden="1">{#N/A,#N/A,FALSE,"COVER.XLS";#N/A,#N/A,FALSE,"RACT1.XLS";#N/A,#N/A,FALSE,"RACT2.XLS";#N/A,#N/A,FALSE,"ECCMP";#N/A,#N/A,FALSE,"WELDER.XLS"}</definedName>
    <definedName name="wwwww" localSheetId="12" hidden="1">#REF!</definedName>
    <definedName name="wwwww" localSheetId="6" hidden="1">#REF!</definedName>
    <definedName name="wwwww" localSheetId="5" hidden="1">#REF!</definedName>
    <definedName name="wwwww" localSheetId="8" hidden="1">#REF!</definedName>
    <definedName name="wwwww" localSheetId="11" hidden="1">#REF!</definedName>
    <definedName name="wwwww" localSheetId="9" hidden="1">#REF!</definedName>
    <definedName name="wwwww" localSheetId="18" hidden="1">#REF!</definedName>
    <definedName name="wwwww" localSheetId="15" hidden="1">#REF!</definedName>
    <definedName name="wwwww" localSheetId="7" hidden="1">#REF!</definedName>
    <definedName name="wwwww" hidden="1">#REF!</definedName>
    <definedName name="wwwwwwwwwwwww" localSheetId="12">#REF!</definedName>
    <definedName name="wwwwwwwwwwwww" localSheetId="6">#REF!</definedName>
    <definedName name="wwwwwwwwwwwww" localSheetId="5">#REF!</definedName>
    <definedName name="wwwwwwwwwwwww" localSheetId="8">#REF!</definedName>
    <definedName name="wwwwwwwwwwwww" localSheetId="11">#REF!</definedName>
    <definedName name="wwwwwwwwwwwww" localSheetId="9">#REF!</definedName>
    <definedName name="wwwwwwwwwwwww" localSheetId="18">#REF!</definedName>
    <definedName name="wwwwwwwwwwwww" localSheetId="15">#REF!</definedName>
    <definedName name="wwwwwwwwwwwww" localSheetId="7">#REF!</definedName>
    <definedName name="wwwwwwwwwwwww">#REF!</definedName>
    <definedName name="wwwwwwwwwwwwwwww" localSheetId="12">#REF!</definedName>
    <definedName name="wwwwwwwwwwwwwwww" localSheetId="6">#REF!</definedName>
    <definedName name="wwwwwwwwwwwwwwww" localSheetId="5">#REF!</definedName>
    <definedName name="wwwwwwwwwwwwwwww" localSheetId="8">#REF!</definedName>
    <definedName name="wwwwwwwwwwwwwwww" localSheetId="11">#REF!</definedName>
    <definedName name="wwwwwwwwwwwwwwww" localSheetId="9">#REF!</definedName>
    <definedName name="wwwwwwwwwwwwwwww" localSheetId="18">#REF!</definedName>
    <definedName name="wwwwwwwwwwwwwwww" localSheetId="15">#REF!</definedName>
    <definedName name="wwwwwwwwwwwwwwww" localSheetId="7">#REF!</definedName>
    <definedName name="wwwwwwwwwwwwwwww">#REF!</definedName>
    <definedName name="x" localSheetId="12">#REF!</definedName>
    <definedName name="x" localSheetId="8">#REF!</definedName>
    <definedName name="x" localSheetId="11">#REF!</definedName>
    <definedName name="x" localSheetId="9">#REF!</definedName>
    <definedName name="x" localSheetId="18">#REF!</definedName>
    <definedName name="x" localSheetId="15">#REF!</definedName>
    <definedName name="x" localSheetId="7">#REF!</definedName>
    <definedName name="x">#REF!</definedName>
    <definedName name="Xl" localSheetId="12">#REF!</definedName>
    <definedName name="Xl" localSheetId="8">#REF!</definedName>
    <definedName name="Xl" localSheetId="11">#REF!</definedName>
    <definedName name="Xl" localSheetId="9">#REF!</definedName>
    <definedName name="Xl" localSheetId="18">#REF!</definedName>
    <definedName name="Xl" localSheetId="15">#REF!</definedName>
    <definedName name="Xl" localSheetId="7">#REF!</definedName>
    <definedName name="Xl">#REF!</definedName>
    <definedName name="Xl___0" localSheetId="12">#REF!</definedName>
    <definedName name="Xl___0" localSheetId="8">#REF!</definedName>
    <definedName name="Xl___0" localSheetId="11">#REF!</definedName>
    <definedName name="Xl___0" localSheetId="9">#REF!</definedName>
    <definedName name="Xl___0" localSheetId="18">#REF!</definedName>
    <definedName name="Xl___0" localSheetId="15">#REF!</definedName>
    <definedName name="Xl___0" localSheetId="7">#REF!</definedName>
    <definedName name="Xl___0">#REF!</definedName>
    <definedName name="Xl___13" localSheetId="12">#REF!</definedName>
    <definedName name="Xl___13" localSheetId="8">#REF!</definedName>
    <definedName name="Xl___13" localSheetId="11">#REF!</definedName>
    <definedName name="Xl___13" localSheetId="9">#REF!</definedName>
    <definedName name="Xl___13" localSheetId="18">#REF!</definedName>
    <definedName name="Xl___13" localSheetId="15">#REF!</definedName>
    <definedName name="Xl___13" localSheetId="7">#REF!</definedName>
    <definedName name="Xl___13">#REF!</definedName>
    <definedName name="xx" localSheetId="12">#REF!</definedName>
    <definedName name="xx" localSheetId="8">#REF!</definedName>
    <definedName name="xx" localSheetId="11">#REF!</definedName>
    <definedName name="xx" localSheetId="9">#REF!</definedName>
    <definedName name="xx" localSheetId="18">#REF!</definedName>
    <definedName name="xx" localSheetId="15">#REF!</definedName>
    <definedName name="xx" localSheetId="7">#REF!</definedName>
    <definedName name="xx">#REF!</definedName>
    <definedName name="xxx" localSheetId="12">#REF!</definedName>
    <definedName name="xxx" localSheetId="8">#REF!</definedName>
    <definedName name="xxx" localSheetId="11">#REF!</definedName>
    <definedName name="xxx" localSheetId="9">#REF!</definedName>
    <definedName name="xxx" localSheetId="18">#REF!</definedName>
    <definedName name="xxx" localSheetId="15">#REF!</definedName>
    <definedName name="xxx" localSheetId="7">#REF!</definedName>
    <definedName name="xxx">#REF!</definedName>
    <definedName name="xxxxxxxxxxxxx" localSheetId="12">#REF!</definedName>
    <definedName name="xxxxxxxxxxxxx" localSheetId="8">#REF!</definedName>
    <definedName name="xxxxxxxxxxxxx" localSheetId="11">#REF!</definedName>
    <definedName name="xxxxxxxxxxxxx" localSheetId="9">#REF!</definedName>
    <definedName name="xxxxxxxxxxxxx" localSheetId="18">#REF!</definedName>
    <definedName name="xxxxxxxxxxxxx" localSheetId="15">#REF!</definedName>
    <definedName name="xxxxxxxxxxxxx" localSheetId="7">#REF!</definedName>
    <definedName name="xxxxxxxxxxxxx">#REF!</definedName>
    <definedName name="XXXXXXXXXXXXXXX" localSheetId="12">#REF!</definedName>
    <definedName name="XXXXXXXXXXXXXXX" localSheetId="8">#REF!</definedName>
    <definedName name="XXXXXXXXXXXXXXX" localSheetId="11">#REF!</definedName>
    <definedName name="XXXXXXXXXXXXXXX" localSheetId="9">#REF!</definedName>
    <definedName name="XXXXXXXXXXXXXXX" localSheetId="18">#REF!</definedName>
    <definedName name="XXXXXXXXXXXXXXX" localSheetId="15">#REF!</definedName>
    <definedName name="XXXXXXXXXXXXXXX" localSheetId="7">#REF!</definedName>
    <definedName name="XXXXXXXXXXXXXXX">#REF!</definedName>
    <definedName name="xyz" localSheetId="12">#REF!</definedName>
    <definedName name="xyz" localSheetId="8">#REF!</definedName>
    <definedName name="xyz" localSheetId="11">#REF!</definedName>
    <definedName name="xyz" localSheetId="9">#REF!</definedName>
    <definedName name="xyz" localSheetId="18">#REF!</definedName>
    <definedName name="xyz" localSheetId="15">#REF!</definedName>
    <definedName name="xyz" localSheetId="7">#REF!</definedName>
    <definedName name="xyz">#REF!</definedName>
    <definedName name="y" localSheetId="12">#REF!</definedName>
    <definedName name="y" localSheetId="8">#REF!</definedName>
    <definedName name="y" localSheetId="11">#REF!</definedName>
    <definedName name="y" localSheetId="9">#REF!</definedName>
    <definedName name="y" localSheetId="18">#REF!</definedName>
    <definedName name="y" localSheetId="15">#REF!</definedName>
    <definedName name="y" localSheetId="7">#REF!</definedName>
    <definedName name="y">#REF!</definedName>
    <definedName name="yyyyyyyyyy" localSheetId="12">#REF!</definedName>
    <definedName name="yyyyyyyyyy" localSheetId="8">#REF!</definedName>
    <definedName name="yyyyyyyyyy" localSheetId="11">#REF!</definedName>
    <definedName name="yyyyyyyyyy" localSheetId="9">#REF!</definedName>
    <definedName name="yyyyyyyyyy" localSheetId="18">#REF!</definedName>
    <definedName name="yyyyyyyyyy" localSheetId="15">#REF!</definedName>
    <definedName name="yyyyyyyyyy" localSheetId="7">#REF!</definedName>
    <definedName name="yyyyyyyyyy">#REF!</definedName>
    <definedName name="yyyyyyyyyyyyyyyy" localSheetId="12">#REF!</definedName>
    <definedName name="yyyyyyyyyyyyyyyy" localSheetId="8">#REF!</definedName>
    <definedName name="yyyyyyyyyyyyyyyy" localSheetId="11">#REF!</definedName>
    <definedName name="yyyyyyyyyyyyyyyy" localSheetId="9">#REF!</definedName>
    <definedName name="yyyyyyyyyyyyyyyy" localSheetId="18">#REF!</definedName>
    <definedName name="yyyyyyyyyyyyyyyy" localSheetId="15">#REF!</definedName>
    <definedName name="yyyyyyyyyyyyyyyy" localSheetId="7">#REF!</definedName>
    <definedName name="yyyyyyyyyyyyyyyy">#REF!</definedName>
    <definedName name="z" localSheetId="12">#REF!</definedName>
    <definedName name="z" localSheetId="8">#REF!</definedName>
    <definedName name="z" localSheetId="11">#REF!</definedName>
    <definedName name="z" localSheetId="9">#REF!</definedName>
    <definedName name="z" localSheetId="18">#REF!</definedName>
    <definedName name="z" localSheetId="15">#REF!</definedName>
    <definedName name="z" localSheetId="7">#REF!</definedName>
    <definedName name="z">#REF!</definedName>
    <definedName name="zitd" localSheetId="12">#REF!</definedName>
    <definedName name="zitd" localSheetId="8">#REF!</definedName>
    <definedName name="zitd" localSheetId="11">#REF!</definedName>
    <definedName name="zitd" localSheetId="9">#REF!</definedName>
    <definedName name="zitd" localSheetId="18">#REF!</definedName>
    <definedName name="zitd" localSheetId="15">#REF!</definedName>
    <definedName name="zitd" localSheetId="7">#REF!</definedName>
    <definedName name="zitd">#REF!</definedName>
    <definedName name="zl" localSheetId="12">#REF!</definedName>
    <definedName name="zl" localSheetId="8">#REF!</definedName>
    <definedName name="zl" localSheetId="11">#REF!</definedName>
    <definedName name="zl" localSheetId="9">#REF!</definedName>
    <definedName name="zl" localSheetId="18">#REF!</definedName>
    <definedName name="zl" localSheetId="15">#REF!</definedName>
    <definedName name="zl" localSheetId="7">#REF!</definedName>
    <definedName name="zl">#REF!</definedName>
    <definedName name="zl___0" localSheetId="12">#REF!</definedName>
    <definedName name="zl___0" localSheetId="8">#REF!</definedName>
    <definedName name="zl___0" localSheetId="11">#REF!</definedName>
    <definedName name="zl___0" localSheetId="9">#REF!</definedName>
    <definedName name="zl___0" localSheetId="18">#REF!</definedName>
    <definedName name="zl___0" localSheetId="15">#REF!</definedName>
    <definedName name="zl___0" localSheetId="7">#REF!</definedName>
    <definedName name="zl___0">#REF!</definedName>
    <definedName name="zl___13" localSheetId="12">#REF!</definedName>
    <definedName name="zl___13" localSheetId="8">#REF!</definedName>
    <definedName name="zl___13" localSheetId="11">#REF!</definedName>
    <definedName name="zl___13" localSheetId="9">#REF!</definedName>
    <definedName name="zl___13" localSheetId="18">#REF!</definedName>
    <definedName name="zl___13" localSheetId="15">#REF!</definedName>
    <definedName name="zl___13" localSheetId="7">#REF!</definedName>
    <definedName name="zl___13">#REF!</definedName>
    <definedName name="zlpu" localSheetId="12">#REF!</definedName>
    <definedName name="zlpu" localSheetId="8">#REF!</definedName>
    <definedName name="zlpu" localSheetId="11">#REF!</definedName>
    <definedName name="zlpu" localSheetId="9">#REF!</definedName>
    <definedName name="zlpu" localSheetId="18">#REF!</definedName>
    <definedName name="zlpu" localSheetId="15">#REF!</definedName>
    <definedName name="zlpu" localSheetId="7">#REF!</definedName>
    <definedName name="zlpu">#REF!</definedName>
    <definedName name="zlpu___0" localSheetId="12">#REF!</definedName>
    <definedName name="zlpu___0" localSheetId="8">#REF!</definedName>
    <definedName name="zlpu___0" localSheetId="11">#REF!</definedName>
    <definedName name="zlpu___0" localSheetId="9">#REF!</definedName>
    <definedName name="zlpu___0" localSheetId="18">#REF!</definedName>
    <definedName name="zlpu___0" localSheetId="15">#REF!</definedName>
    <definedName name="zlpu___0" localSheetId="7">#REF!</definedName>
    <definedName name="zlpu___0">#REF!</definedName>
    <definedName name="zlpu___13" localSheetId="12">#REF!</definedName>
    <definedName name="zlpu___13" localSheetId="8">#REF!</definedName>
    <definedName name="zlpu___13" localSheetId="11">#REF!</definedName>
    <definedName name="zlpu___13" localSheetId="9">#REF!</definedName>
    <definedName name="zlpu___13" localSheetId="18">#REF!</definedName>
    <definedName name="zlpu___13" localSheetId="15">#REF!</definedName>
    <definedName name="zlpu___13" localSheetId="7">#REF!</definedName>
    <definedName name="zlpu___13">#REF!</definedName>
    <definedName name="zs" localSheetId="12">#REF!</definedName>
    <definedName name="zs" localSheetId="8">#REF!</definedName>
    <definedName name="zs" localSheetId="11">#REF!</definedName>
    <definedName name="zs" localSheetId="9">#REF!</definedName>
    <definedName name="zs" localSheetId="18">#REF!</definedName>
    <definedName name="zs" localSheetId="15">#REF!</definedName>
    <definedName name="zs" localSheetId="7">#REF!</definedName>
    <definedName name="zs">#REF!</definedName>
    <definedName name="zs___0" localSheetId="12">#REF!</definedName>
    <definedName name="zs___0" localSheetId="8">#REF!</definedName>
    <definedName name="zs___0" localSheetId="11">#REF!</definedName>
    <definedName name="zs___0" localSheetId="9">#REF!</definedName>
    <definedName name="zs___0" localSheetId="18">#REF!</definedName>
    <definedName name="zs___0" localSheetId="15">#REF!</definedName>
    <definedName name="zs___0" localSheetId="7">#REF!</definedName>
    <definedName name="zs___0">#REF!</definedName>
    <definedName name="zs___13" localSheetId="12">#REF!</definedName>
    <definedName name="zs___13" localSheetId="8">#REF!</definedName>
    <definedName name="zs___13" localSheetId="11">#REF!</definedName>
    <definedName name="zs___13" localSheetId="9">#REF!</definedName>
    <definedName name="zs___13" localSheetId="18">#REF!</definedName>
    <definedName name="zs___13" localSheetId="15">#REF!</definedName>
    <definedName name="zs___13" localSheetId="7">#REF!</definedName>
    <definedName name="zs___13">#REF!</definedName>
    <definedName name="zspu" localSheetId="12">#REF!</definedName>
    <definedName name="zspu" localSheetId="8">#REF!</definedName>
    <definedName name="zspu" localSheetId="11">#REF!</definedName>
    <definedName name="zspu" localSheetId="9">#REF!</definedName>
    <definedName name="zspu" localSheetId="18">#REF!</definedName>
    <definedName name="zspu" localSheetId="15">#REF!</definedName>
    <definedName name="zspu" localSheetId="7">#REF!</definedName>
    <definedName name="zspu">#REF!</definedName>
    <definedName name="zspu___0" localSheetId="12">#REF!</definedName>
    <definedName name="zspu___0" localSheetId="8">#REF!</definedName>
    <definedName name="zspu___0" localSheetId="11">#REF!</definedName>
    <definedName name="zspu___0" localSheetId="9">#REF!</definedName>
    <definedName name="zspu___0" localSheetId="18">#REF!</definedName>
    <definedName name="zspu___0" localSheetId="15">#REF!</definedName>
    <definedName name="zspu___0" localSheetId="7">#REF!</definedName>
    <definedName name="zspu___0">#REF!</definedName>
    <definedName name="zspu___13" localSheetId="12">#REF!</definedName>
    <definedName name="zspu___13" localSheetId="8">#REF!</definedName>
    <definedName name="zspu___13" localSheetId="11">#REF!</definedName>
    <definedName name="zspu___13" localSheetId="9">#REF!</definedName>
    <definedName name="zspu___13" localSheetId="18">#REF!</definedName>
    <definedName name="zspu___13" localSheetId="15">#REF!</definedName>
    <definedName name="zspu___13" localSheetId="7">#REF!</definedName>
    <definedName name="zspu___13">#REF!</definedName>
    <definedName name="ZSS" localSheetId="12">#REF!</definedName>
    <definedName name="ZSS" localSheetId="8">#REF!</definedName>
    <definedName name="ZSS" localSheetId="11">#REF!</definedName>
    <definedName name="ZSS" localSheetId="9">#REF!</definedName>
    <definedName name="ZSS" localSheetId="18">#REF!</definedName>
    <definedName name="ZSS" localSheetId="15">#REF!</definedName>
    <definedName name="ZSS" localSheetId="7">#REF!</definedName>
    <definedName name="ZSS">#REF!</definedName>
    <definedName name="ZSS___0" localSheetId="12">#REF!</definedName>
    <definedName name="ZSS___0" localSheetId="8">#REF!</definedName>
    <definedName name="ZSS___0" localSheetId="11">#REF!</definedName>
    <definedName name="ZSS___0" localSheetId="9">#REF!</definedName>
    <definedName name="ZSS___0" localSheetId="18">#REF!</definedName>
    <definedName name="ZSS___0" localSheetId="15">#REF!</definedName>
    <definedName name="ZSS___0" localSheetId="7">#REF!</definedName>
    <definedName name="ZSS___0">#REF!</definedName>
    <definedName name="ZSS___13" localSheetId="12">#REF!</definedName>
    <definedName name="ZSS___13" localSheetId="8">#REF!</definedName>
    <definedName name="ZSS___13" localSheetId="11">#REF!</definedName>
    <definedName name="ZSS___13" localSheetId="9">#REF!</definedName>
    <definedName name="ZSS___13" localSheetId="18">#REF!</definedName>
    <definedName name="ZSS___13" localSheetId="15">#REF!</definedName>
    <definedName name="ZSS___13" localSheetId="7">#REF!</definedName>
    <definedName name="ZSS___13">#REF!</definedName>
    <definedName name="ztpu" localSheetId="12">#REF!</definedName>
    <definedName name="ztpu" localSheetId="8">#REF!</definedName>
    <definedName name="ztpu" localSheetId="11">#REF!</definedName>
    <definedName name="ztpu" localSheetId="9">#REF!</definedName>
    <definedName name="ztpu" localSheetId="18">#REF!</definedName>
    <definedName name="ztpu" localSheetId="15">#REF!</definedName>
    <definedName name="ztpu" localSheetId="7">#REF!</definedName>
    <definedName name="ztpu">#REF!</definedName>
    <definedName name="ztpu___0" localSheetId="12">#REF!</definedName>
    <definedName name="ztpu___0" localSheetId="8">#REF!</definedName>
    <definedName name="ztpu___0" localSheetId="11">#REF!</definedName>
    <definedName name="ztpu___0" localSheetId="9">#REF!</definedName>
    <definedName name="ztpu___0" localSheetId="18">#REF!</definedName>
    <definedName name="ztpu___0" localSheetId="15">#REF!</definedName>
    <definedName name="ztpu___0" localSheetId="7">#REF!</definedName>
    <definedName name="ztpu___0">#REF!</definedName>
    <definedName name="ztpu___13" localSheetId="12">#REF!</definedName>
    <definedName name="ztpu___13" localSheetId="8">#REF!</definedName>
    <definedName name="ztpu___13" localSheetId="11">#REF!</definedName>
    <definedName name="ztpu___13" localSheetId="9">#REF!</definedName>
    <definedName name="ztpu___13" localSheetId="18">#REF!</definedName>
    <definedName name="ztpu___13" localSheetId="15">#REF!</definedName>
    <definedName name="ztpu___13" localSheetId="7">#REF!</definedName>
    <definedName name="ztpu___13">#REF!</definedName>
    <definedName name="ZY" localSheetId="12">#REF!</definedName>
    <definedName name="ZY" localSheetId="8">#REF!</definedName>
    <definedName name="ZY" localSheetId="11">#REF!</definedName>
    <definedName name="ZY" localSheetId="9">#REF!</definedName>
    <definedName name="ZY" localSheetId="18">#REF!</definedName>
    <definedName name="ZY" localSheetId="15">#REF!</definedName>
    <definedName name="ZY" localSheetId="7">#REF!</definedName>
    <definedName name="ZY">#REF!</definedName>
    <definedName name="ZY___0" localSheetId="12">#REF!</definedName>
    <definedName name="ZY___0" localSheetId="8">#REF!</definedName>
    <definedName name="ZY___0" localSheetId="11">#REF!</definedName>
    <definedName name="ZY___0" localSheetId="9">#REF!</definedName>
    <definedName name="ZY___0" localSheetId="18">#REF!</definedName>
    <definedName name="ZY___0" localSheetId="15">#REF!</definedName>
    <definedName name="ZY___0" localSheetId="7">#REF!</definedName>
    <definedName name="ZY___0">#REF!</definedName>
    <definedName name="ZY___13" localSheetId="12">#REF!</definedName>
    <definedName name="ZY___13" localSheetId="8">#REF!</definedName>
    <definedName name="ZY___13" localSheetId="11">#REF!</definedName>
    <definedName name="ZY___13" localSheetId="9">#REF!</definedName>
    <definedName name="ZY___13" localSheetId="18">#REF!</definedName>
    <definedName name="ZY___13" localSheetId="15">#REF!</definedName>
    <definedName name="ZY___13" localSheetId="7">#REF!</definedName>
    <definedName name="ZY___13">#REF!</definedName>
    <definedName name="zz" localSheetId="12">#REF!</definedName>
    <definedName name="zz" localSheetId="8">#REF!</definedName>
    <definedName name="zz" localSheetId="11">#REF!</definedName>
    <definedName name="zz" localSheetId="9">#REF!</definedName>
    <definedName name="zz" localSheetId="18">#REF!</definedName>
    <definedName name="zz" localSheetId="15">#REF!</definedName>
    <definedName name="zz" localSheetId="7">#REF!</definedName>
    <definedName name="zz">#REF!</definedName>
    <definedName name="ZZZ" localSheetId="12">#REF!</definedName>
    <definedName name="ZZZ" localSheetId="8">#REF!</definedName>
    <definedName name="ZZZ" localSheetId="11">#REF!</definedName>
    <definedName name="ZZZ" localSheetId="9">#REF!</definedName>
    <definedName name="ZZZ" localSheetId="18">#REF!</definedName>
    <definedName name="ZZZ" localSheetId="15">#REF!</definedName>
    <definedName name="ZZZ" localSheetId="7">#REF!</definedName>
    <definedName name="ZZZ">#REF!</definedName>
    <definedName name="ZZZZZZZZZZZZZZ" localSheetId="12" hidden="1">#REF!</definedName>
    <definedName name="ZZZZZZZZZZZZZZ" localSheetId="8" hidden="1">#REF!</definedName>
    <definedName name="ZZZZZZZZZZZZZZ" localSheetId="11" hidden="1">#REF!</definedName>
    <definedName name="ZZZZZZZZZZZZZZ" localSheetId="9" hidden="1">#REF!</definedName>
    <definedName name="ZZZZZZZZZZZZZZ" localSheetId="18" hidden="1">#REF!</definedName>
    <definedName name="ZZZZZZZZZZZZZZ" localSheetId="15" hidden="1">#REF!</definedName>
    <definedName name="ZZZZZZZZZZZZZZ" localSheetId="7" hidden="1">#REF!</definedName>
    <definedName name="ZZZZZZZZZZZZZZ" hidden="1">#REF!</definedName>
    <definedName name="ZZZZZZZZZZZZZZZZ" localSheetId="12">#REF!</definedName>
    <definedName name="ZZZZZZZZZZZZZZZZ" localSheetId="8">#REF!</definedName>
    <definedName name="ZZZZZZZZZZZZZZZZ" localSheetId="11">#REF!</definedName>
    <definedName name="ZZZZZZZZZZZZZZZZ" localSheetId="9">#REF!</definedName>
    <definedName name="ZZZZZZZZZZZZZZZZ" localSheetId="18">#REF!</definedName>
    <definedName name="ZZZZZZZZZZZZZZZZ" localSheetId="15">#REF!</definedName>
    <definedName name="ZZZZZZZZZZZZZZZZ" localSheetId="7">#REF!</definedName>
    <definedName name="ZZZZZZZZZZZZZZZZ">#REF!</definedName>
    <definedName name="ZZZZZZZZZZZZZZZZZ" localSheetId="12">#REF!</definedName>
    <definedName name="ZZZZZZZZZZZZZZZZZ" localSheetId="8">#REF!</definedName>
    <definedName name="ZZZZZZZZZZZZZZZZZ" localSheetId="11">#REF!</definedName>
    <definedName name="ZZZZZZZZZZZZZZZZZ" localSheetId="9">#REF!</definedName>
    <definedName name="ZZZZZZZZZZZZZZZZZ" localSheetId="18">#REF!</definedName>
    <definedName name="ZZZZZZZZZZZZZZZZZ" localSheetId="15">#REF!</definedName>
    <definedName name="ZZZZZZZZZZZZZZZZZ" localSheetId="7">#REF!</definedName>
    <definedName name="ZZZZZZZZZZZZZZZZZ">#REF!</definedName>
    <definedName name="zzzzzzzzzzzzzzzzzzzz" localSheetId="12">#REF!</definedName>
    <definedName name="zzzzzzzzzzzzzzzzzzzz" localSheetId="8">#REF!</definedName>
    <definedName name="zzzzzzzzzzzzzzzzzzzz" localSheetId="11">#REF!</definedName>
    <definedName name="zzzzzzzzzzzzzzzzzzzz" localSheetId="9">#REF!</definedName>
    <definedName name="zzzzzzzzzzzzzzzzzzzz" localSheetId="18">#REF!</definedName>
    <definedName name="zzzzzzzzzzzzzzzzzzzz" localSheetId="15">#REF!</definedName>
    <definedName name="zzzzzzzzzzzzzzzzzzzz" localSheetId="7">#REF!</definedName>
    <definedName name="zzzzzzzzzzzzzzzzzzzz">#REF!</definedName>
    <definedName name="ZZZZZZZZZZZZZZZZZZZZZZZZZZ" localSheetId="12">#REF!</definedName>
    <definedName name="ZZZZZZZZZZZZZZZZZZZZZZZZZZ" localSheetId="8">#REF!</definedName>
    <definedName name="ZZZZZZZZZZZZZZZZZZZZZZZZZZ" localSheetId="11">#REF!</definedName>
    <definedName name="ZZZZZZZZZZZZZZZZZZZZZZZZZZ" localSheetId="9">#REF!</definedName>
    <definedName name="ZZZZZZZZZZZZZZZZZZZZZZZZZZ" localSheetId="18">#REF!</definedName>
    <definedName name="ZZZZZZZZZZZZZZZZZZZZZZZZZZ" localSheetId="15">#REF!</definedName>
    <definedName name="ZZZZZZZZZZZZZZZZZZZZZZZZZZ" localSheetId="7">#REF!</definedName>
    <definedName name="ZZZZZZZZZZZZZZZZZZZZZZZZZZ">#REF!</definedName>
    <definedName name="전체" localSheetId="12">#REF!</definedName>
    <definedName name="전체" localSheetId="8">#REF!</definedName>
    <definedName name="전체" localSheetId="11">#REF!</definedName>
    <definedName name="전체" localSheetId="9">#REF!</definedName>
    <definedName name="전체" localSheetId="18">#REF!</definedName>
    <definedName name="전체" localSheetId="15">#REF!</definedName>
    <definedName name="전체" localSheetId="7">#REF!</definedName>
    <definedName name="전체">#REF!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29" l="1"/>
  <c r="E5" i="29"/>
  <c r="I101" i="8"/>
  <c r="I50" i="35"/>
  <c r="N7" i="35"/>
  <c r="N8" i="35"/>
  <c r="N9" i="35"/>
  <c r="N10" i="35"/>
  <c r="N11" i="35"/>
  <c r="N12" i="35"/>
  <c r="N13" i="35"/>
  <c r="N14" i="35"/>
  <c r="N15" i="35"/>
  <c r="N16" i="35"/>
  <c r="N17" i="35"/>
  <c r="N18" i="35"/>
  <c r="N19" i="35"/>
  <c r="N20" i="35"/>
  <c r="N21" i="35"/>
  <c r="N22" i="35"/>
  <c r="N23" i="35"/>
  <c r="N24" i="35"/>
  <c r="N25" i="35"/>
  <c r="N26" i="35"/>
  <c r="N27" i="35"/>
  <c r="N28" i="35"/>
  <c r="N29" i="35"/>
  <c r="N30" i="35"/>
  <c r="N31" i="35"/>
  <c r="N32" i="35"/>
  <c r="N33" i="35"/>
  <c r="N34" i="35"/>
  <c r="N35" i="35"/>
  <c r="N36" i="35"/>
  <c r="N37" i="35"/>
  <c r="N38" i="35"/>
  <c r="N39" i="35"/>
  <c r="N40" i="35"/>
  <c r="N41" i="35"/>
  <c r="N42" i="35"/>
  <c r="N43" i="35"/>
  <c r="N44" i="35"/>
  <c r="N45" i="35"/>
  <c r="N46" i="35"/>
  <c r="N47" i="35"/>
  <c r="N48" i="35"/>
  <c r="N6" i="35"/>
  <c r="I6" i="35"/>
  <c r="G6" i="35"/>
  <c r="K31" i="17"/>
  <c r="K32" i="17"/>
  <c r="K33" i="17"/>
  <c r="K34" i="17"/>
  <c r="K35" i="17"/>
  <c r="K27" i="17"/>
  <c r="H31" i="17"/>
  <c r="H32" i="17"/>
  <c r="H33" i="17"/>
  <c r="H34" i="17"/>
  <c r="H35" i="17"/>
  <c r="H27" i="17"/>
  <c r="D31" i="17"/>
  <c r="D32" i="17"/>
  <c r="D33" i="17"/>
  <c r="D34" i="17"/>
  <c r="F34" i="17" s="1"/>
  <c r="D35" i="17"/>
  <c r="D27" i="17"/>
  <c r="D29" i="17"/>
  <c r="H29" i="17" s="1"/>
  <c r="D49" i="17"/>
  <c r="E25" i="17"/>
  <c r="E37" i="17"/>
  <c r="E36" i="17"/>
  <c r="E38" i="17" s="1"/>
  <c r="F35" i="17"/>
  <c r="F33" i="17"/>
  <c r="F32" i="17"/>
  <c r="F31" i="17"/>
  <c r="F27" i="17"/>
  <c r="E45" i="17"/>
  <c r="E57" i="17"/>
  <c r="E56" i="17"/>
  <c r="E58" i="17" s="1"/>
  <c r="F54" i="17"/>
  <c r="F53" i="17"/>
  <c r="E72" i="34"/>
  <c r="N52" i="34"/>
  <c r="N41" i="34"/>
  <c r="D3" i="12"/>
  <c r="G302" i="2"/>
  <c r="F9" i="36"/>
  <c r="G287" i="2"/>
  <c r="G274" i="2"/>
  <c r="G273" i="2"/>
  <c r="G232" i="2"/>
  <c r="G185" i="2"/>
  <c r="G186" i="2" s="1"/>
  <c r="G139" i="2"/>
  <c r="G93" i="2"/>
  <c r="H272" i="2"/>
  <c r="I6" i="4"/>
  <c r="L49" i="4"/>
  <c r="L54" i="4" s="1"/>
  <c r="L53" i="4"/>
  <c r="K21" i="4"/>
  <c r="K20" i="4"/>
  <c r="G272" i="2"/>
  <c r="G282" i="2"/>
  <c r="L334" i="2"/>
  <c r="L330" i="2"/>
  <c r="D48" i="17" l="1"/>
  <c r="E39" i="17"/>
  <c r="E40" i="17" s="1"/>
  <c r="E41" i="17"/>
  <c r="F49" i="17"/>
  <c r="E59" i="17"/>
  <c r="E60" i="17" s="1"/>
  <c r="F47" i="17"/>
  <c r="F51" i="17"/>
  <c r="F55" i="17"/>
  <c r="F52" i="17"/>
  <c r="H46" i="2"/>
  <c r="F9" i="2"/>
  <c r="J145" i="8"/>
  <c r="I145" i="8"/>
  <c r="K139" i="8"/>
  <c r="H143" i="8"/>
  <c r="G143" i="8"/>
  <c r="H140" i="8"/>
  <c r="G140" i="8"/>
  <c r="I138" i="8"/>
  <c r="E138" i="8"/>
  <c r="E143" i="8" s="1"/>
  <c r="I143" i="8"/>
  <c r="E61" i="17" l="1"/>
  <c r="M10" i="31"/>
  <c r="G15" i="10"/>
  <c r="I12" i="31"/>
  <c r="I11" i="31"/>
  <c r="G3" i="2"/>
  <c r="I98" i="8"/>
  <c r="AA20" i="6" l="1"/>
  <c r="AA18" i="6"/>
  <c r="AA19" i="6"/>
  <c r="D5" i="27"/>
  <c r="C22" i="27"/>
  <c r="D26" i="27"/>
  <c r="C26" i="27"/>
  <c r="C5" i="27"/>
  <c r="M9" i="39"/>
  <c r="M10" i="39" s="1"/>
  <c r="M8" i="39"/>
  <c r="J8" i="39"/>
  <c r="L71" i="14"/>
  <c r="E5" i="39"/>
  <c r="H5" i="39" s="1"/>
  <c r="E3" i="39"/>
  <c r="H3" i="39" s="1"/>
  <c r="M17" i="4"/>
  <c r="K17" i="4"/>
  <c r="H7" i="39"/>
  <c r="E6" i="39"/>
  <c r="H6" i="39" s="1"/>
  <c r="H20" i="7"/>
  <c r="N285" i="2"/>
  <c r="E16" i="29"/>
  <c r="AA21" i="6" l="1"/>
  <c r="H16" i="29"/>
  <c r="G4" i="28"/>
  <c r="G3" i="28"/>
  <c r="E68" i="17"/>
  <c r="V42" i="6"/>
  <c r="V15" i="6"/>
  <c r="V16" i="6"/>
  <c r="V17" i="6"/>
  <c r="V18" i="6"/>
  <c r="V19" i="6"/>
  <c r="V20" i="6"/>
  <c r="V21" i="6"/>
  <c r="V22" i="6"/>
  <c r="V23" i="6"/>
  <c r="V24" i="6"/>
  <c r="V25" i="6"/>
  <c r="V26" i="6"/>
  <c r="V27" i="6"/>
  <c r="V28" i="6"/>
  <c r="V29" i="6"/>
  <c r="V30" i="6"/>
  <c r="V31" i="6"/>
  <c r="V32" i="6"/>
  <c r="V33" i="6"/>
  <c r="V34" i="6"/>
  <c r="V35" i="6"/>
  <c r="V36" i="6"/>
  <c r="V37" i="6"/>
  <c r="V38" i="6"/>
  <c r="V39" i="6"/>
  <c r="V40" i="6"/>
  <c r="V41" i="6"/>
  <c r="V14" i="6"/>
  <c r="V43" i="6"/>
  <c r="V44" i="6"/>
  <c r="V13" i="6"/>
  <c r="V7" i="6"/>
  <c r="V8" i="6"/>
  <c r="V9" i="6"/>
  <c r="V10" i="6"/>
  <c r="V11" i="6"/>
  <c r="V12" i="6"/>
  <c r="V6" i="6"/>
  <c r="AD45" i="13"/>
  <c r="AD44" i="13"/>
  <c r="AD42" i="13"/>
  <c r="AC42" i="13"/>
  <c r="AA42" i="13"/>
  <c r="U14" i="6"/>
  <c r="M42" i="13"/>
  <c r="Z42" i="13"/>
  <c r="Y42" i="13"/>
  <c r="X42" i="13"/>
  <c r="W42" i="13"/>
  <c r="V42" i="13"/>
  <c r="U42" i="13"/>
  <c r="S42" i="13"/>
  <c r="Q42" i="13"/>
  <c r="O42" i="13"/>
  <c r="V45" i="6" l="1"/>
  <c r="G23" i="28"/>
  <c r="G22" i="28"/>
  <c r="G21" i="28"/>
  <c r="G244" i="10"/>
  <c r="G243" i="10"/>
  <c r="G242" i="10"/>
  <c r="G241" i="10"/>
  <c r="G240" i="10"/>
  <c r="G239" i="10"/>
  <c r="G238" i="10"/>
  <c r="G237" i="10"/>
  <c r="E19" i="11"/>
  <c r="C40" i="13"/>
  <c r="G25" i="25"/>
  <c r="G24" i="25"/>
  <c r="C9" i="27"/>
  <c r="D15" i="27"/>
  <c r="F15" i="27" s="1"/>
  <c r="C24" i="27"/>
  <c r="E42" i="33"/>
  <c r="E40" i="33"/>
  <c r="E28" i="33"/>
  <c r="E26" i="33"/>
  <c r="E147" i="10"/>
  <c r="E136" i="10"/>
  <c r="E115" i="10"/>
  <c r="E103" i="10"/>
  <c r="E102" i="10"/>
  <c r="E100" i="10"/>
  <c r="E73" i="10"/>
  <c r="E71" i="10"/>
  <c r="E70" i="10"/>
  <c r="E57" i="10"/>
  <c r="E43" i="10"/>
  <c r="E29" i="10"/>
  <c r="F19" i="18"/>
  <c r="F9" i="18"/>
  <c r="F10" i="18"/>
  <c r="F11" i="18"/>
  <c r="F12" i="18"/>
  <c r="F13" i="18"/>
  <c r="F14" i="18"/>
  <c r="F15" i="18"/>
  <c r="F16" i="18"/>
  <c r="F17" i="18"/>
  <c r="F18" i="18"/>
  <c r="F8" i="18"/>
  <c r="D18" i="27" l="1"/>
  <c r="O23" i="29"/>
  <c r="O22" i="29"/>
  <c r="O17" i="29"/>
  <c r="O16" i="29"/>
  <c r="N20" i="29"/>
  <c r="K21" i="29"/>
  <c r="M23" i="29"/>
  <c r="M22" i="29"/>
  <c r="M17" i="29"/>
  <c r="M16" i="29"/>
  <c r="L23" i="29"/>
  <c r="L22" i="29"/>
  <c r="L20" i="29"/>
  <c r="L17" i="29"/>
  <c r="L16" i="29"/>
  <c r="K20" i="29"/>
  <c r="K19" i="29"/>
  <c r="K18" i="29"/>
  <c r="K17" i="29"/>
  <c r="G15" i="28"/>
  <c r="G6" i="27"/>
  <c r="I127" i="8"/>
  <c r="D13" i="17" s="1"/>
  <c r="D11" i="38"/>
  <c r="E11" i="38" s="1"/>
  <c r="D9" i="38"/>
  <c r="D10" i="38"/>
  <c r="L44" i="13"/>
  <c r="L45" i="13"/>
  <c r="L43" i="13"/>
  <c r="M40" i="13"/>
  <c r="N40" i="13"/>
  <c r="O40" i="13"/>
  <c r="P40" i="13"/>
  <c r="Q40" i="13"/>
  <c r="R40" i="13"/>
  <c r="S40" i="13"/>
  <c r="T40" i="13"/>
  <c r="U40" i="13"/>
  <c r="V40" i="13"/>
  <c r="W40" i="13"/>
  <c r="X40" i="13"/>
  <c r="Y40" i="13"/>
  <c r="Z40" i="13"/>
  <c r="F65" i="33"/>
  <c r="F19" i="16"/>
  <c r="D156" i="30"/>
  <c r="D157" i="30"/>
  <c r="D158" i="30"/>
  <c r="D154" i="30"/>
  <c r="D143" i="32"/>
  <c r="D142" i="32"/>
  <c r="D140" i="32"/>
  <c r="J7" i="38"/>
  <c r="K7" i="38" s="1"/>
  <c r="L7" i="38" s="1"/>
  <c r="E3" i="38"/>
  <c r="J8" i="38"/>
  <c r="K8" i="38" s="1"/>
  <c r="L8" i="38" s="1"/>
  <c r="K9" i="38"/>
  <c r="L9" i="38" s="1"/>
  <c r="C3" i="36"/>
  <c r="E6" i="38"/>
  <c r="E4" i="38"/>
  <c r="K10" i="38" l="1"/>
  <c r="C9" i="38" s="1"/>
  <c r="E9" i="38" s="1"/>
  <c r="L10" i="38" l="1"/>
  <c r="C10" i="38" s="1"/>
  <c r="E10" i="38" s="1"/>
  <c r="E13" i="38" s="1"/>
  <c r="E5" i="37" l="1"/>
  <c r="E27" i="37"/>
  <c r="E24" i="37"/>
  <c r="I9" i="7" l="1"/>
  <c r="I8" i="7"/>
  <c r="I7" i="7"/>
  <c r="H7" i="7"/>
  <c r="I6" i="7"/>
  <c r="G5" i="7"/>
  <c r="I5" i="7" s="1"/>
  <c r="I4" i="7"/>
  <c r="H127" i="8"/>
  <c r="E20" i="37"/>
  <c r="F20" i="37" s="1"/>
  <c r="F21" i="37"/>
  <c r="D20" i="37"/>
  <c r="E16" i="37"/>
  <c r="F16" i="37" s="1"/>
  <c r="F17" i="37"/>
  <c r="F11" i="37"/>
  <c r="F7" i="37"/>
  <c r="E13" i="37"/>
  <c r="F13" i="37" s="1"/>
  <c r="F5" i="37"/>
  <c r="F10" i="37"/>
  <c r="E9" i="37"/>
  <c r="F9" i="37" s="1"/>
  <c r="D27" i="37"/>
  <c r="D24" i="37"/>
  <c r="F6" i="37"/>
  <c r="F27" i="37" l="1"/>
  <c r="F24" i="37"/>
  <c r="F29" i="37" l="1"/>
  <c r="D12" i="17" s="1"/>
  <c r="F12" i="17" l="1"/>
  <c r="E3" i="36" l="1"/>
  <c r="F11" i="36"/>
  <c r="F10" i="36"/>
  <c r="F8" i="36"/>
  <c r="F7" i="36"/>
  <c r="F6" i="36"/>
  <c r="F5" i="36"/>
  <c r="F4" i="36"/>
  <c r="F3" i="36" l="1"/>
  <c r="F13" i="36" s="1"/>
  <c r="D6" i="17" s="1"/>
  <c r="F6" i="17" l="1"/>
  <c r="I38" i="35"/>
  <c r="G38" i="35"/>
  <c r="E38" i="35"/>
  <c r="C38" i="35"/>
  <c r="J38" i="35"/>
  <c r="K38" i="35"/>
  <c r="F24" i="18"/>
  <c r="F25" i="18"/>
  <c r="F26" i="18"/>
  <c r="F27" i="18"/>
  <c r="F28" i="18"/>
  <c r="F29" i="18"/>
  <c r="F30" i="18"/>
  <c r="F23" i="18"/>
  <c r="G36" i="35"/>
  <c r="H36" i="35"/>
  <c r="F33" i="18"/>
  <c r="G33" i="18" s="1"/>
  <c r="E33" i="18"/>
  <c r="E31" i="18"/>
  <c r="K12" i="35"/>
  <c r="G7" i="35"/>
  <c r="G8" i="35"/>
  <c r="G19" i="35"/>
  <c r="G22" i="35"/>
  <c r="E48" i="35"/>
  <c r="J47" i="35"/>
  <c r="E47" i="35"/>
  <c r="K47" i="35" s="1"/>
  <c r="K46" i="35"/>
  <c r="E45" i="35"/>
  <c r="E44" i="35"/>
  <c r="E43" i="35"/>
  <c r="E42" i="35"/>
  <c r="E41" i="35"/>
  <c r="E40" i="35"/>
  <c r="K39" i="35"/>
  <c r="E37" i="35"/>
  <c r="E36" i="35"/>
  <c r="E34" i="35"/>
  <c r="E33" i="35"/>
  <c r="E32" i="35"/>
  <c r="E29" i="35"/>
  <c r="E28" i="35"/>
  <c r="E27" i="35"/>
  <c r="E26" i="35"/>
  <c r="E24" i="35"/>
  <c r="E23" i="35"/>
  <c r="E22" i="35"/>
  <c r="E21" i="35"/>
  <c r="E20" i="35"/>
  <c r="E19" i="35"/>
  <c r="E18" i="35"/>
  <c r="E17" i="35"/>
  <c r="E16" i="35"/>
  <c r="E15" i="35"/>
  <c r="E14" i="35"/>
  <c r="E13" i="35"/>
  <c r="E11" i="35"/>
  <c r="E10" i="35"/>
  <c r="E8" i="35"/>
  <c r="E7" i="35"/>
  <c r="E6" i="35"/>
  <c r="G3" i="35"/>
  <c r="E106" i="34"/>
  <c r="D81" i="34"/>
  <c r="D84" i="34"/>
  <c r="D106" i="34" s="1"/>
  <c r="D87" i="34"/>
  <c r="D88" i="34"/>
  <c r="D91" i="34"/>
  <c r="D97" i="34"/>
  <c r="D78" i="34"/>
  <c r="B64" i="34"/>
  <c r="B65" i="34"/>
  <c r="B66" i="34"/>
  <c r="B67" i="34"/>
  <c r="B68" i="34"/>
  <c r="B69" i="34"/>
  <c r="B70" i="34"/>
  <c r="B71" i="34"/>
  <c r="B72" i="34"/>
  <c r="B73" i="34"/>
  <c r="B74" i="34"/>
  <c r="B63" i="34"/>
  <c r="N63" i="34"/>
  <c r="F64" i="34"/>
  <c r="F66" i="34" s="1"/>
  <c r="F69" i="34" s="1"/>
  <c r="E74" i="34"/>
  <c r="G74" i="34" s="1"/>
  <c r="E73" i="34"/>
  <c r="G73" i="34" s="1"/>
  <c r="G72" i="34"/>
  <c r="D62" i="34"/>
  <c r="E66" i="34" s="1"/>
  <c r="E69" i="34" s="1"/>
  <c r="C62" i="34"/>
  <c r="G71" i="34"/>
  <c r="G68" i="34"/>
  <c r="G67" i="34"/>
  <c r="G65" i="34"/>
  <c r="G63" i="34"/>
  <c r="J63" i="34" a="1"/>
  <c r="J63" i="34" s="1"/>
  <c r="I63" i="34" a="1"/>
  <c r="I63" i="34" s="1"/>
  <c r="H43" i="34" a="1"/>
  <c r="H43" i="34" s="1"/>
  <c r="H53" i="34" a="1"/>
  <c r="H53" i="34" s="1"/>
  <c r="H63" i="34" a="1"/>
  <c r="H63" i="34" s="1"/>
  <c r="B62" i="34"/>
  <c r="F59" i="34"/>
  <c r="D52" i="34"/>
  <c r="E59" i="34" s="1"/>
  <c r="C52" i="34"/>
  <c r="G61" i="34"/>
  <c r="L61" i="34" s="1"/>
  <c r="P61" i="34" s="1"/>
  <c r="G60" i="34"/>
  <c r="G58" i="34"/>
  <c r="G57" i="34"/>
  <c r="G56" i="34"/>
  <c r="L56" i="34" s="1"/>
  <c r="P56" i="34" s="1"/>
  <c r="G55" i="34"/>
  <c r="L55" i="34" s="1"/>
  <c r="P55" i="34" s="1"/>
  <c r="G54" i="34"/>
  <c r="G53" i="34"/>
  <c r="L58" i="34"/>
  <c r="P58" i="34" s="1"/>
  <c r="L57" i="34"/>
  <c r="P57" i="34" s="1"/>
  <c r="K53" i="34" a="1"/>
  <c r="K53" i="34" s="1"/>
  <c r="J53" i="34" a="1"/>
  <c r="J53" i="34" s="1"/>
  <c r="I53" i="34" a="1"/>
  <c r="I53" i="34" s="1"/>
  <c r="O53" i="34" s="1"/>
  <c r="B53" i="34" a="1"/>
  <c r="B53" i="34" s="1"/>
  <c r="B52" i="34"/>
  <c r="E51" i="34"/>
  <c r="G51" i="34" s="1"/>
  <c r="F47" i="34"/>
  <c r="F49" i="34" s="1"/>
  <c r="E47" i="34"/>
  <c r="E49" i="34"/>
  <c r="E48" i="34"/>
  <c r="G48" i="34" s="1"/>
  <c r="E44" i="34"/>
  <c r="E43" i="34"/>
  <c r="E50" i="34" s="1"/>
  <c r="G50" i="34" s="1"/>
  <c r="G71" i="33"/>
  <c r="D42" i="34"/>
  <c r="C42" i="34"/>
  <c r="G46" i="34"/>
  <c r="G45" i="34"/>
  <c r="O45" i="34" s="1"/>
  <c r="D93" i="34" s="1"/>
  <c r="G44" i="34"/>
  <c r="J43" i="34" a="1"/>
  <c r="J43" i="34" s="1"/>
  <c r="I43" i="34" a="1"/>
  <c r="I43" i="34" s="1"/>
  <c r="B44" i="34"/>
  <c r="B45" i="34"/>
  <c r="B46" i="34"/>
  <c r="B47" i="34"/>
  <c r="B48" i="34"/>
  <c r="B49" i="34"/>
  <c r="B50" i="34"/>
  <c r="B51" i="34"/>
  <c r="B43" i="34"/>
  <c r="G78" i="33"/>
  <c r="E77" i="33"/>
  <c r="G77" i="33" s="1"/>
  <c r="G76" i="33"/>
  <c r="G75" i="33"/>
  <c r="G74" i="33"/>
  <c r="G73" i="33"/>
  <c r="G72" i="33"/>
  <c r="G70" i="33"/>
  <c r="B42" i="34"/>
  <c r="B41" i="34"/>
  <c r="G29" i="34"/>
  <c r="G33" i="34"/>
  <c r="K29" i="34"/>
  <c r="K33" i="34"/>
  <c r="K34" i="34"/>
  <c r="K35" i="34"/>
  <c r="K38" i="34"/>
  <c r="J29" i="34"/>
  <c r="J30" i="34"/>
  <c r="J33" i="34"/>
  <c r="J34" i="34"/>
  <c r="J35" i="34"/>
  <c r="J36" i="34"/>
  <c r="J37" i="34"/>
  <c r="J38" i="34"/>
  <c r="J39" i="34"/>
  <c r="J16" i="34"/>
  <c r="J20" i="34"/>
  <c r="J23" i="34"/>
  <c r="J24" i="34"/>
  <c r="J25" i="34"/>
  <c r="J26" i="34"/>
  <c r="I16" i="34"/>
  <c r="I17" i="34"/>
  <c r="I18" i="34"/>
  <c r="I19" i="34"/>
  <c r="I20" i="34"/>
  <c r="I21" i="34"/>
  <c r="I22" i="34"/>
  <c r="I23" i="34"/>
  <c r="I24" i="34"/>
  <c r="I25" i="34"/>
  <c r="I26" i="34"/>
  <c r="I15" i="34"/>
  <c r="J6" i="34"/>
  <c r="I6" i="34"/>
  <c r="I7" i="34"/>
  <c r="I8" i="34"/>
  <c r="I9" i="34"/>
  <c r="I10" i="34"/>
  <c r="I11" i="34"/>
  <c r="I12" i="34"/>
  <c r="I13" i="34"/>
  <c r="I5" i="34"/>
  <c r="B6" i="34"/>
  <c r="B7" i="34"/>
  <c r="B8" i="34"/>
  <c r="B9" i="34"/>
  <c r="B10" i="34"/>
  <c r="B11" i="34"/>
  <c r="B12" i="34"/>
  <c r="B13" i="34"/>
  <c r="B5" i="34"/>
  <c r="E39" i="34"/>
  <c r="D30" i="34"/>
  <c r="D31" i="34" s="1"/>
  <c r="J28" i="34"/>
  <c r="I29" i="34"/>
  <c r="I30" i="34"/>
  <c r="I31" i="34"/>
  <c r="I32" i="34"/>
  <c r="I33" i="34"/>
  <c r="I34" i="34"/>
  <c r="I35" i="34"/>
  <c r="I36" i="34"/>
  <c r="I37" i="34"/>
  <c r="I38" i="34"/>
  <c r="I39" i="34"/>
  <c r="I28" i="34"/>
  <c r="H29" i="34"/>
  <c r="H30" i="34"/>
  <c r="H31" i="34"/>
  <c r="H32" i="34"/>
  <c r="H33" i="34"/>
  <c r="H34" i="34"/>
  <c r="H35" i="34"/>
  <c r="H36" i="34"/>
  <c r="H37" i="34"/>
  <c r="H38" i="34"/>
  <c r="H39" i="34"/>
  <c r="H28" i="34"/>
  <c r="B29" i="34"/>
  <c r="B30" i="34"/>
  <c r="B31" i="34"/>
  <c r="B32" i="34"/>
  <c r="B33" i="34"/>
  <c r="B34" i="34"/>
  <c r="B35" i="34"/>
  <c r="B36" i="34"/>
  <c r="B37" i="34"/>
  <c r="B38" i="34"/>
  <c r="B39" i="34"/>
  <c r="B28" i="34"/>
  <c r="D27" i="34"/>
  <c r="C27" i="34"/>
  <c r="E28" i="34" s="1"/>
  <c r="B27" i="34"/>
  <c r="G23" i="34"/>
  <c r="G26" i="34"/>
  <c r="K16" i="34"/>
  <c r="K18" i="34"/>
  <c r="K20" i="34"/>
  <c r="K23" i="34"/>
  <c r="K25" i="34"/>
  <c r="B25" i="34"/>
  <c r="B26" i="34"/>
  <c r="B16" i="34"/>
  <c r="B17" i="34"/>
  <c r="B18" i="34"/>
  <c r="B19" i="34"/>
  <c r="B20" i="34"/>
  <c r="B21" i="34"/>
  <c r="B22" i="34"/>
  <c r="B23" i="34"/>
  <c r="B24" i="34"/>
  <c r="B15" i="34"/>
  <c r="E41" i="33"/>
  <c r="G41" i="33" s="1"/>
  <c r="G40" i="33"/>
  <c r="K24" i="34" s="1"/>
  <c r="E17" i="34"/>
  <c r="G17" i="34" s="1"/>
  <c r="G20" i="34"/>
  <c r="G16" i="34"/>
  <c r="H15" i="34" a="1"/>
  <c r="H15" i="34" s="1"/>
  <c r="D14" i="34"/>
  <c r="E18" i="34" s="1"/>
  <c r="C14" i="34"/>
  <c r="E15" i="34" s="1"/>
  <c r="B14" i="34"/>
  <c r="E25" i="18"/>
  <c r="E27" i="18"/>
  <c r="D24" i="18"/>
  <c r="E24" i="18" s="1"/>
  <c r="D25" i="18"/>
  <c r="D26" i="18"/>
  <c r="E26" i="18" s="1"/>
  <c r="D27" i="18"/>
  <c r="D28" i="18"/>
  <c r="E28" i="18" s="1"/>
  <c r="D29" i="18"/>
  <c r="E29" i="18" s="1"/>
  <c r="D30" i="18"/>
  <c r="E30" i="18" s="1"/>
  <c r="D23" i="18"/>
  <c r="E23" i="18" s="1"/>
  <c r="H33" i="8"/>
  <c r="E33" i="8"/>
  <c r="E151" i="15"/>
  <c r="D139" i="15"/>
  <c r="D155" i="15" s="1"/>
  <c r="D136" i="15"/>
  <c r="D137" i="15"/>
  <c r="D121" i="15"/>
  <c r="D122" i="15"/>
  <c r="D124" i="15"/>
  <c r="D125" i="15"/>
  <c r="D126" i="15"/>
  <c r="D128" i="15"/>
  <c r="D129" i="15"/>
  <c r="F129" i="15" l="1"/>
  <c r="F128" i="15"/>
  <c r="F126" i="15"/>
  <c r="D151" i="15"/>
  <c r="F124" i="15"/>
  <c r="D149" i="15"/>
  <c r="D148" i="15"/>
  <c r="F139" i="15"/>
  <c r="I36" i="35"/>
  <c r="J36" i="35" s="1"/>
  <c r="K43" i="34" a="1"/>
  <c r="H38" i="35"/>
  <c r="K36" i="35"/>
  <c r="C36" i="35"/>
  <c r="J12" i="35"/>
  <c r="J46" i="35"/>
  <c r="J39" i="35"/>
  <c r="C47" i="35"/>
  <c r="F106" i="34"/>
  <c r="I8" i="35" s="1"/>
  <c r="H8" i="35" s="1"/>
  <c r="O16" i="34"/>
  <c r="L53" i="34"/>
  <c r="P53" i="34" s="1"/>
  <c r="O51" i="34"/>
  <c r="D95" i="34" s="1"/>
  <c r="L54" i="34"/>
  <c r="P54" i="34" s="1"/>
  <c r="O57" i="34"/>
  <c r="O63" i="34"/>
  <c r="L33" i="34"/>
  <c r="G43" i="34"/>
  <c r="O43" i="34" s="1"/>
  <c r="D92" i="34" s="1"/>
  <c r="G69" i="34"/>
  <c r="O48" i="34"/>
  <c r="O54" i="34"/>
  <c r="O60" i="34"/>
  <c r="E64" i="34"/>
  <c r="O65" i="34"/>
  <c r="D99" i="34" s="1"/>
  <c r="O71" i="34"/>
  <c r="E70" i="34"/>
  <c r="G70" i="34" s="1"/>
  <c r="O55" i="34"/>
  <c r="O61" i="34"/>
  <c r="O66" i="34"/>
  <c r="D100" i="34" s="1"/>
  <c r="O72" i="34"/>
  <c r="D103" i="34" s="1"/>
  <c r="L60" i="34"/>
  <c r="P60" i="34" s="1"/>
  <c r="O46" i="34"/>
  <c r="O56" i="34"/>
  <c r="O67" i="34"/>
  <c r="D101" i="34" s="1"/>
  <c r="O73" i="34"/>
  <c r="D104" i="34" s="1"/>
  <c r="O68" i="34"/>
  <c r="O74" i="34"/>
  <c r="D105" i="34" s="1"/>
  <c r="O50" i="34"/>
  <c r="D83" i="34" s="1"/>
  <c r="O44" i="34"/>
  <c r="O58" i="34"/>
  <c r="G64" i="34"/>
  <c r="G66" i="34"/>
  <c r="G59" i="34"/>
  <c r="G49" i="34"/>
  <c r="G47" i="34"/>
  <c r="L47" i="34" s="1"/>
  <c r="P47" i="34" s="1"/>
  <c r="K43" i="34"/>
  <c r="L46" i="34"/>
  <c r="P46" i="34" s="1"/>
  <c r="L44" i="34"/>
  <c r="P44" i="34" s="1"/>
  <c r="L45" i="34"/>
  <c r="P45" i="34" s="1"/>
  <c r="F93" i="34" s="1"/>
  <c r="I19" i="35" s="1"/>
  <c r="K19" i="35" s="1"/>
  <c r="L48" i="34"/>
  <c r="P48" i="34" s="1"/>
  <c r="L50" i="34"/>
  <c r="P50" i="34" s="1"/>
  <c r="L51" i="34"/>
  <c r="P51" i="34" s="1"/>
  <c r="F95" i="34" s="1"/>
  <c r="L29" i="34"/>
  <c r="E21" i="34"/>
  <c r="O17" i="34"/>
  <c r="O29" i="34"/>
  <c r="O33" i="34"/>
  <c r="O26" i="34"/>
  <c r="O20" i="34"/>
  <c r="E32" i="34"/>
  <c r="G28" i="34"/>
  <c r="E31" i="34"/>
  <c r="P29" i="34"/>
  <c r="L16" i="34"/>
  <c r="P16" i="34" s="1"/>
  <c r="L23" i="34"/>
  <c r="P23" i="34" s="1"/>
  <c r="O23" i="34"/>
  <c r="E30" i="34"/>
  <c r="L20" i="34"/>
  <c r="P20" i="34" s="1"/>
  <c r="G39" i="34"/>
  <c r="O39" i="34" s="1"/>
  <c r="P33" i="34"/>
  <c r="G15" i="34"/>
  <c r="O15" i="34" s="1"/>
  <c r="E19" i="34"/>
  <c r="D153" i="15"/>
  <c r="F125" i="15"/>
  <c r="F122" i="15"/>
  <c r="F121" i="15"/>
  <c r="E150" i="15"/>
  <c r="E27" i="8"/>
  <c r="E104" i="15"/>
  <c r="E8" i="16"/>
  <c r="E61" i="30"/>
  <c r="E68" i="30" s="1"/>
  <c r="E54" i="30"/>
  <c r="E40" i="30"/>
  <c r="E49" i="30"/>
  <c r="E56" i="30" s="1"/>
  <c r="E63" i="30" s="1"/>
  <c r="E70" i="30" s="1"/>
  <c r="E46" i="30"/>
  <c r="E39" i="30"/>
  <c r="E51" i="30" s="1"/>
  <c r="E58" i="30" s="1"/>
  <c r="E65" i="30" s="1"/>
  <c r="E38" i="30"/>
  <c r="F37" i="30"/>
  <c r="S51" i="6"/>
  <c r="S50" i="6"/>
  <c r="S49" i="6"/>
  <c r="S47" i="6"/>
  <c r="U8" i="6"/>
  <c r="I298" i="2"/>
  <c r="K46" i="2"/>
  <c r="E32" i="30"/>
  <c r="G5" i="31"/>
  <c r="D4" i="34"/>
  <c r="C4" i="34"/>
  <c r="D94" i="34" l="1"/>
  <c r="C19" i="35"/>
  <c r="J19" i="35"/>
  <c r="I45" i="35"/>
  <c r="J45" i="35" s="1"/>
  <c r="E95" i="34"/>
  <c r="G45" i="35" s="1"/>
  <c r="C8" i="35"/>
  <c r="L43" i="34"/>
  <c r="P43" i="34" s="1"/>
  <c r="F92" i="34" s="1"/>
  <c r="L49" i="34"/>
  <c r="P49" i="34" s="1"/>
  <c r="O49" i="34"/>
  <c r="L59" i="34"/>
  <c r="P59" i="34" s="1"/>
  <c r="O59" i="34"/>
  <c r="O47" i="34"/>
  <c r="O70" i="34"/>
  <c r="D102" i="34" s="1"/>
  <c r="O64" i="34"/>
  <c r="D98" i="34" s="1"/>
  <c r="O69" i="34"/>
  <c r="E34" i="34"/>
  <c r="G34" i="34" s="1"/>
  <c r="G31" i="34"/>
  <c r="G32" i="34"/>
  <c r="E35" i="34"/>
  <c r="G35" i="34" s="1"/>
  <c r="O28" i="34"/>
  <c r="E22" i="34"/>
  <c r="G22" i="34" s="1"/>
  <c r="G19" i="34"/>
  <c r="G27" i="8"/>
  <c r="B4" i="34"/>
  <c r="B3" i="34"/>
  <c r="H13" i="34"/>
  <c r="G13" i="34"/>
  <c r="L13" i="34" s="1"/>
  <c r="J12" i="34"/>
  <c r="H12" i="34"/>
  <c r="J11" i="34"/>
  <c r="H11" i="34"/>
  <c r="H10" i="34"/>
  <c r="G10" i="34"/>
  <c r="L10" i="34" s="1"/>
  <c r="J9" i="34"/>
  <c r="H9" i="34"/>
  <c r="J8" i="34"/>
  <c r="H8" i="34"/>
  <c r="H7" i="34"/>
  <c r="G7" i="34"/>
  <c r="L7" i="34" s="1"/>
  <c r="H6" i="34"/>
  <c r="J5" i="34"/>
  <c r="H5" i="34"/>
  <c r="E6" i="34"/>
  <c r="E5" i="34"/>
  <c r="H66" i="8"/>
  <c r="G65" i="33"/>
  <c r="G60" i="33"/>
  <c r="G67" i="33"/>
  <c r="G66" i="33"/>
  <c r="G63" i="33"/>
  <c r="C63" i="33"/>
  <c r="G62" i="33"/>
  <c r="G57" i="33"/>
  <c r="G56" i="33"/>
  <c r="G51" i="33"/>
  <c r="G42" i="33"/>
  <c r="K26" i="34" s="1"/>
  <c r="L26" i="34" s="1"/>
  <c r="P26" i="34" s="1"/>
  <c r="F87" i="34" s="1"/>
  <c r="E37" i="33"/>
  <c r="E35" i="33"/>
  <c r="E34" i="33"/>
  <c r="J18" i="34" s="1"/>
  <c r="F33" i="33"/>
  <c r="F31" i="33"/>
  <c r="E31" i="33"/>
  <c r="J15" i="34" s="1"/>
  <c r="G28" i="33"/>
  <c r="K39" i="34" s="1"/>
  <c r="L39" i="34" s="1"/>
  <c r="P39" i="34" s="1"/>
  <c r="F91" i="34" s="1"/>
  <c r="E27" i="33"/>
  <c r="G26" i="33"/>
  <c r="K37" i="34" s="1"/>
  <c r="G25" i="33"/>
  <c r="K36" i="34" s="1"/>
  <c r="C23" i="33"/>
  <c r="E21" i="33"/>
  <c r="E20" i="33"/>
  <c r="G19" i="33"/>
  <c r="K30" i="34" s="1"/>
  <c r="G13" i="33"/>
  <c r="C13" i="33"/>
  <c r="G12" i="33"/>
  <c r="G10" i="33"/>
  <c r="G9" i="33"/>
  <c r="G7" i="33"/>
  <c r="G6" i="33"/>
  <c r="O132" i="20"/>
  <c r="O131" i="20"/>
  <c r="O130" i="20"/>
  <c r="L131" i="20"/>
  <c r="L132" i="20"/>
  <c r="L130" i="20"/>
  <c r="F131" i="20"/>
  <c r="G131" i="20"/>
  <c r="I131" i="20"/>
  <c r="J131" i="20" s="1"/>
  <c r="M131" i="20" s="1"/>
  <c r="F132" i="20"/>
  <c r="G132" i="20"/>
  <c r="I132" i="20"/>
  <c r="J132" i="20" s="1"/>
  <c r="M132" i="20" s="1"/>
  <c r="I130" i="20"/>
  <c r="J130" i="20" s="1"/>
  <c r="M130" i="20" s="1"/>
  <c r="G130" i="20"/>
  <c r="F130" i="20"/>
  <c r="F6" i="34" s="1"/>
  <c r="K129" i="20"/>
  <c r="E47" i="24"/>
  <c r="F47" i="24" s="1"/>
  <c r="I47" i="24" s="1"/>
  <c r="E46" i="24"/>
  <c r="F46" i="24" s="1"/>
  <c r="I46" i="24" s="1"/>
  <c r="H39" i="24"/>
  <c r="B39" i="24"/>
  <c r="D35" i="24"/>
  <c r="H34" i="24"/>
  <c r="B34" i="24"/>
  <c r="E32" i="24"/>
  <c r="F32" i="24" s="1"/>
  <c r="E31" i="24"/>
  <c r="F31" i="24" s="1"/>
  <c r="E30" i="24"/>
  <c r="F30" i="24" s="1"/>
  <c r="H29" i="24"/>
  <c r="B29" i="24"/>
  <c r="E27" i="24"/>
  <c r="F27" i="24" s="1"/>
  <c r="E26" i="24"/>
  <c r="F26" i="24" s="1"/>
  <c r="E25" i="24"/>
  <c r="F25" i="24" s="1"/>
  <c r="P11" i="4"/>
  <c r="P10" i="4"/>
  <c r="P9" i="4"/>
  <c r="P8" i="4"/>
  <c r="L11" i="4" s="1"/>
  <c r="P7" i="4"/>
  <c r="P6" i="4"/>
  <c r="P5" i="4"/>
  <c r="L15" i="4" s="1"/>
  <c r="P4" i="4"/>
  <c r="L16" i="4" s="1"/>
  <c r="P3" i="4"/>
  <c r="P2" i="4"/>
  <c r="L6" i="4" s="1"/>
  <c r="H24" i="24"/>
  <c r="B24" i="24"/>
  <c r="H19" i="24"/>
  <c r="B19" i="24"/>
  <c r="H14" i="24"/>
  <c r="B14" i="24"/>
  <c r="H9" i="24"/>
  <c r="B9" i="24"/>
  <c r="D96" i="34" l="1"/>
  <c r="I42" i="35"/>
  <c r="E87" i="34"/>
  <c r="G42" i="35" s="1"/>
  <c r="H42" i="35" s="1"/>
  <c r="I44" i="35"/>
  <c r="E91" i="34"/>
  <c r="G44" i="35" s="1"/>
  <c r="E38" i="33"/>
  <c r="J21" i="34"/>
  <c r="E36" i="34"/>
  <c r="G36" i="34" s="1"/>
  <c r="O36" i="34" s="1"/>
  <c r="D90" i="34" s="1"/>
  <c r="K45" i="35"/>
  <c r="C45" i="35"/>
  <c r="H45" i="35"/>
  <c r="I18" i="35"/>
  <c r="E92" i="34"/>
  <c r="G18" i="35" s="1"/>
  <c r="K63" i="34" a="1"/>
  <c r="K63" i="34" s="1"/>
  <c r="L63" i="34" s="1"/>
  <c r="P63" i="34" s="1"/>
  <c r="F97" i="34" s="1"/>
  <c r="G35" i="33"/>
  <c r="K19" i="34" s="1"/>
  <c r="L19" i="34" s="1"/>
  <c r="P19" i="34" s="1"/>
  <c r="J19" i="34"/>
  <c r="G21" i="33"/>
  <c r="K32" i="34" s="1"/>
  <c r="L32" i="34" s="1"/>
  <c r="P32" i="34" s="1"/>
  <c r="J32" i="34"/>
  <c r="G20" i="33"/>
  <c r="K31" i="34" s="1"/>
  <c r="L31" i="34" s="1"/>
  <c r="J31" i="34"/>
  <c r="O19" i="34"/>
  <c r="L35" i="34"/>
  <c r="P35" i="34" s="1"/>
  <c r="O35" i="34"/>
  <c r="O32" i="34"/>
  <c r="O22" i="34"/>
  <c r="O31" i="34"/>
  <c r="L34" i="34"/>
  <c r="P34" i="34" s="1"/>
  <c r="O34" i="34"/>
  <c r="E33" i="33"/>
  <c r="J17" i="34" s="1"/>
  <c r="G6" i="34"/>
  <c r="C24" i="33"/>
  <c r="P10" i="34"/>
  <c r="G5" i="34"/>
  <c r="E9" i="34"/>
  <c r="E12" i="34" s="1"/>
  <c r="G12" i="34" s="1"/>
  <c r="P13" i="34"/>
  <c r="P7" i="34"/>
  <c r="E8" i="34"/>
  <c r="G37" i="33"/>
  <c r="K21" i="34" s="1"/>
  <c r="G17" i="33"/>
  <c r="K28" i="34" s="1"/>
  <c r="L28" i="34" s="1"/>
  <c r="P28" i="34" s="1"/>
  <c r="F88" i="34" s="1"/>
  <c r="G23" i="33"/>
  <c r="G24" i="33"/>
  <c r="G27" i="33"/>
  <c r="G59" i="33"/>
  <c r="G31" i="33"/>
  <c r="K15" i="34" s="1"/>
  <c r="L15" i="34" s="1"/>
  <c r="P15" i="34" s="1"/>
  <c r="J167" i="10"/>
  <c r="E24" i="10"/>
  <c r="E23" i="10"/>
  <c r="E227" i="10"/>
  <c r="E226" i="10"/>
  <c r="E212" i="10"/>
  <c r="E211" i="10"/>
  <c r="J178" i="10"/>
  <c r="G263" i="10"/>
  <c r="G245" i="10"/>
  <c r="G267" i="10"/>
  <c r="E244" i="10"/>
  <c r="E243" i="10"/>
  <c r="E242" i="10"/>
  <c r="E241" i="10"/>
  <c r="E240" i="10"/>
  <c r="E239" i="10"/>
  <c r="H44" i="35" l="1"/>
  <c r="C42" i="35"/>
  <c r="J42" i="35"/>
  <c r="K42" i="35"/>
  <c r="K44" i="35"/>
  <c r="C44" i="35"/>
  <c r="J44" i="35"/>
  <c r="I16" i="35"/>
  <c r="E88" i="34"/>
  <c r="G16" i="35" s="1"/>
  <c r="G38" i="33"/>
  <c r="K22" i="34" s="1"/>
  <c r="L22" i="34" s="1"/>
  <c r="P22" i="34" s="1"/>
  <c r="J22" i="34"/>
  <c r="G33" i="33"/>
  <c r="K17" i="34" s="1"/>
  <c r="L17" i="34" s="1"/>
  <c r="P17" i="34" s="1"/>
  <c r="F84" i="34" s="1"/>
  <c r="E84" i="34" s="1"/>
  <c r="G15" i="35" s="1"/>
  <c r="L36" i="34"/>
  <c r="P36" i="34" s="1"/>
  <c r="F90" i="34" s="1"/>
  <c r="E90" i="34" s="1"/>
  <c r="G43" i="35" s="1"/>
  <c r="H18" i="35"/>
  <c r="I20" i="35"/>
  <c r="E97" i="34"/>
  <c r="G20" i="35" s="1"/>
  <c r="J18" i="35"/>
  <c r="K18" i="35"/>
  <c r="C18" i="35"/>
  <c r="L72" i="34"/>
  <c r="P72" i="34" s="1"/>
  <c r="F103" i="34" s="1"/>
  <c r="L68" i="34"/>
  <c r="P68" i="34" s="1"/>
  <c r="F94" i="34" s="1"/>
  <c r="L70" i="34"/>
  <c r="P70" i="34" s="1"/>
  <c r="F102" i="34" s="1"/>
  <c r="L69" i="34"/>
  <c r="P69" i="34" s="1"/>
  <c r="F96" i="34" s="1"/>
  <c r="L74" i="34"/>
  <c r="P74" i="34" s="1"/>
  <c r="F105" i="34" s="1"/>
  <c r="L73" i="34"/>
  <c r="P73" i="34" s="1"/>
  <c r="F104" i="34" s="1"/>
  <c r="L67" i="34"/>
  <c r="P67" i="34" s="1"/>
  <c r="F101" i="34" s="1"/>
  <c r="I7" i="35" s="1"/>
  <c r="C7" i="35" s="1"/>
  <c r="L66" i="34"/>
  <c r="P66" i="34" s="1"/>
  <c r="F100" i="34" s="1"/>
  <c r="L64" i="34"/>
  <c r="P64" i="34" s="1"/>
  <c r="F98" i="34" s="1"/>
  <c r="L71" i="34"/>
  <c r="P71" i="34" s="1"/>
  <c r="L65" i="34"/>
  <c r="P65" i="34" s="1"/>
  <c r="F99" i="34" s="1"/>
  <c r="I22" i="35" s="1"/>
  <c r="P31" i="34"/>
  <c r="O10" i="34"/>
  <c r="O13" i="34"/>
  <c r="O7" i="34"/>
  <c r="O12" i="34"/>
  <c r="O6" i="34"/>
  <c r="D79" i="34" s="1"/>
  <c r="O5" i="34"/>
  <c r="G9" i="34"/>
  <c r="O9" i="34" s="1"/>
  <c r="E11" i="34"/>
  <c r="H4" i="24"/>
  <c r="E362" i="2"/>
  <c r="F361" i="2"/>
  <c r="F363" i="2" s="1"/>
  <c r="G15" i="8" s="1"/>
  <c r="G16" i="31"/>
  <c r="E40" i="32"/>
  <c r="E37" i="32"/>
  <c r="E48" i="32" s="1"/>
  <c r="E52" i="32" s="1"/>
  <c r="E56" i="32" s="1"/>
  <c r="D149" i="32"/>
  <c r="F149" i="32" s="1"/>
  <c r="D148" i="32"/>
  <c r="F148" i="32" s="1"/>
  <c r="D147" i="32"/>
  <c r="F147" i="32" s="1"/>
  <c r="D146" i="32"/>
  <c r="F146" i="32" s="1"/>
  <c r="F145" i="32"/>
  <c r="D144" i="32"/>
  <c r="F144" i="32" s="1"/>
  <c r="F143" i="32"/>
  <c r="F142" i="32"/>
  <c r="F141" i="32"/>
  <c r="F140" i="32"/>
  <c r="F139" i="32"/>
  <c r="F138" i="32"/>
  <c r="F134" i="32"/>
  <c r="F131" i="32"/>
  <c r="F130" i="32"/>
  <c r="F127" i="32"/>
  <c r="F125" i="32"/>
  <c r="F124" i="32"/>
  <c r="F123" i="32"/>
  <c r="F116" i="32"/>
  <c r="F112" i="32"/>
  <c r="C107" i="32"/>
  <c r="F106" i="32"/>
  <c r="F104" i="32"/>
  <c r="F98" i="32"/>
  <c r="F97" i="32"/>
  <c r="F96" i="32"/>
  <c r="F95" i="32"/>
  <c r="F93" i="32"/>
  <c r="F92" i="32"/>
  <c r="A92" i="32"/>
  <c r="F90" i="32"/>
  <c r="F86" i="32"/>
  <c r="A86" i="32"/>
  <c r="A85" i="32"/>
  <c r="F84" i="32"/>
  <c r="A84" i="32"/>
  <c r="F83" i="32"/>
  <c r="F82" i="32"/>
  <c r="F78" i="32"/>
  <c r="F77" i="32"/>
  <c r="F76" i="32"/>
  <c r="F75" i="32"/>
  <c r="F74" i="32"/>
  <c r="F72" i="32"/>
  <c r="F71" i="32"/>
  <c r="F68" i="32"/>
  <c r="F66" i="32"/>
  <c r="F65" i="32"/>
  <c r="F64" i="32"/>
  <c r="F62" i="32"/>
  <c r="F61" i="32"/>
  <c r="F60" i="32"/>
  <c r="F59" i="32"/>
  <c r="F58" i="32"/>
  <c r="F57" i="32"/>
  <c r="F56" i="32"/>
  <c r="F54" i="32"/>
  <c r="F53" i="32"/>
  <c r="F52" i="32"/>
  <c r="F50" i="32"/>
  <c r="E50" i="32"/>
  <c r="E54" i="32" s="1"/>
  <c r="E46" i="32"/>
  <c r="E43" i="32"/>
  <c r="E47" i="32" s="1"/>
  <c r="E51" i="32" s="1"/>
  <c r="E55" i="32" s="1"/>
  <c r="F42" i="32"/>
  <c r="F38" i="32"/>
  <c r="F36" i="32"/>
  <c r="F35" i="32"/>
  <c r="F30" i="32"/>
  <c r="D30" i="32"/>
  <c r="F29" i="32"/>
  <c r="F28" i="32"/>
  <c r="F27" i="32"/>
  <c r="F25" i="32"/>
  <c r="F24" i="32"/>
  <c r="F23" i="32"/>
  <c r="F22" i="32"/>
  <c r="F21" i="32"/>
  <c r="F19" i="32"/>
  <c r="F17" i="32"/>
  <c r="F16" i="32"/>
  <c r="F15" i="32"/>
  <c r="F13" i="32"/>
  <c r="F12" i="32"/>
  <c r="F10" i="32"/>
  <c r="F9" i="32"/>
  <c r="F7" i="32"/>
  <c r="F5" i="32"/>
  <c r="F4" i="32"/>
  <c r="E73" i="30"/>
  <c r="D90" i="4"/>
  <c r="F64" i="30"/>
  <c r="F66" i="30"/>
  <c r="F67" i="30"/>
  <c r="F71" i="30"/>
  <c r="E60" i="30"/>
  <c r="E67" i="30" s="1"/>
  <c r="E57" i="30"/>
  <c r="E64" i="30" s="1"/>
  <c r="E71" i="30" s="1"/>
  <c r="E53" i="30"/>
  <c r="E50" i="30"/>
  <c r="E48" i="30"/>
  <c r="E55" i="30" s="1"/>
  <c r="E62" i="30" s="1"/>
  <c r="E69" i="30" s="1"/>
  <c r="E43" i="30"/>
  <c r="E44" i="30" s="1"/>
  <c r="D163" i="30"/>
  <c r="D162" i="30"/>
  <c r="D161" i="30"/>
  <c r="D160" i="30"/>
  <c r="E140" i="15"/>
  <c r="E156" i="15" s="1"/>
  <c r="H260" i="10"/>
  <c r="G260" i="10"/>
  <c r="E32" i="8"/>
  <c r="H259" i="10"/>
  <c r="G259" i="10"/>
  <c r="E139" i="15" s="1"/>
  <c r="E155" i="15" s="1"/>
  <c r="E95" i="15"/>
  <c r="L95" i="15" s="1"/>
  <c r="D121" i="32" s="1"/>
  <c r="F121" i="32" s="1"/>
  <c r="I15" i="35" l="1"/>
  <c r="J15" i="35" s="1"/>
  <c r="H16" i="35"/>
  <c r="J16" i="35"/>
  <c r="C16" i="35"/>
  <c r="K16" i="35"/>
  <c r="I43" i="35"/>
  <c r="H43" i="35" s="1"/>
  <c r="H15" i="35"/>
  <c r="H20" i="35"/>
  <c r="C22" i="35"/>
  <c r="K22" i="35"/>
  <c r="J22" i="35"/>
  <c r="I21" i="35"/>
  <c r="E98" i="34"/>
  <c r="G21" i="35" s="1"/>
  <c r="E100" i="34"/>
  <c r="C15" i="35"/>
  <c r="K15" i="35"/>
  <c r="I23" i="35"/>
  <c r="E104" i="34"/>
  <c r="G23" i="35" s="1"/>
  <c r="E105" i="34"/>
  <c r="G24" i="35" s="1"/>
  <c r="I24" i="35"/>
  <c r="I37" i="35"/>
  <c r="E103" i="34"/>
  <c r="G37" i="35" s="1"/>
  <c r="E96" i="34"/>
  <c r="G28" i="35" s="1"/>
  <c r="I28" i="35"/>
  <c r="E102" i="34"/>
  <c r="G29" i="35" s="1"/>
  <c r="I29" i="35"/>
  <c r="I48" i="35"/>
  <c r="E94" i="34"/>
  <c r="G48" i="35" s="1"/>
  <c r="C20" i="35"/>
  <c r="K20" i="35"/>
  <c r="J20" i="35"/>
  <c r="H32" i="8"/>
  <c r="F155" i="15"/>
  <c r="E44" i="32"/>
  <c r="F150" i="32"/>
  <c r="D131" i="30"/>
  <c r="F131" i="30" s="1"/>
  <c r="G32" i="8"/>
  <c r="C43" i="35" l="1"/>
  <c r="K43" i="35"/>
  <c r="J43" i="35"/>
  <c r="H28" i="35"/>
  <c r="H29" i="35"/>
  <c r="H24" i="35"/>
  <c r="C6" i="35"/>
  <c r="H6" i="35"/>
  <c r="H48" i="35"/>
  <c r="H23" i="35"/>
  <c r="H21" i="35"/>
  <c r="H37" i="35"/>
  <c r="K28" i="35"/>
  <c r="J28" i="35"/>
  <c r="C28" i="35"/>
  <c r="C29" i="35"/>
  <c r="J29" i="35"/>
  <c r="K29" i="35"/>
  <c r="J24" i="35"/>
  <c r="K24" i="35"/>
  <c r="C24" i="35"/>
  <c r="J23" i="35"/>
  <c r="C23" i="35"/>
  <c r="K23" i="35"/>
  <c r="C37" i="35"/>
  <c r="J37" i="35"/>
  <c r="K37" i="35"/>
  <c r="K21" i="35"/>
  <c r="C21" i="35"/>
  <c r="J21" i="35"/>
  <c r="K48" i="35"/>
  <c r="C48" i="35"/>
  <c r="J48" i="35"/>
  <c r="I32" i="8"/>
  <c r="J32" i="8" s="1"/>
  <c r="K32" i="8" l="1"/>
  <c r="K3" i="16"/>
  <c r="L3" i="16" s="1"/>
  <c r="U32" i="6"/>
  <c r="U31" i="6"/>
  <c r="T22" i="6"/>
  <c r="L82" i="4"/>
  <c r="L81" i="4"/>
  <c r="L83" i="4" s="1"/>
  <c r="L84" i="4" s="1"/>
  <c r="D30" i="30" l="1"/>
  <c r="I20" i="31"/>
  <c r="H20" i="31"/>
  <c r="G280" i="2"/>
  <c r="F280" i="2"/>
  <c r="I16" i="31"/>
  <c r="H15" i="31"/>
  <c r="I15" i="31" s="1"/>
  <c r="I17" i="31" s="1"/>
  <c r="D11" i="32" s="1"/>
  <c r="F11" i="32" s="1"/>
  <c r="I5" i="31"/>
  <c r="K5" i="31" s="1"/>
  <c r="I9" i="31"/>
  <c r="I8" i="31"/>
  <c r="K8" i="31" s="1"/>
  <c r="H7" i="31"/>
  <c r="I7" i="31" s="1"/>
  <c r="K7" i="31" s="1"/>
  <c r="I6" i="31"/>
  <c r="I4" i="31"/>
  <c r="E9" i="8"/>
  <c r="D12" i="30" l="1"/>
  <c r="D6" i="30" s="1"/>
  <c r="D7" i="30" s="1"/>
  <c r="F7" i="30" s="1"/>
  <c r="K6" i="31"/>
  <c r="K9" i="31"/>
  <c r="I10" i="31"/>
  <c r="K4" i="31"/>
  <c r="K10" i="31" l="1"/>
  <c r="F163" i="30"/>
  <c r="F162" i="30"/>
  <c r="F161" i="30"/>
  <c r="F160" i="30"/>
  <c r="F158" i="30"/>
  <c r="F157" i="30"/>
  <c r="F156" i="30"/>
  <c r="F155" i="30"/>
  <c r="F154" i="30"/>
  <c r="F137" i="30"/>
  <c r="F135" i="30"/>
  <c r="F134" i="30"/>
  <c r="F133" i="30"/>
  <c r="F126" i="30"/>
  <c r="F122" i="30"/>
  <c r="C117" i="30"/>
  <c r="F116" i="30"/>
  <c r="F114" i="30"/>
  <c r="F108" i="30"/>
  <c r="F107" i="30"/>
  <c r="F106" i="30"/>
  <c r="F105" i="30"/>
  <c r="F103" i="30"/>
  <c r="F102" i="30"/>
  <c r="A102" i="30"/>
  <c r="F100" i="30"/>
  <c r="F96" i="30"/>
  <c r="F94" i="30"/>
  <c r="A94" i="30"/>
  <c r="A95" i="30" s="1"/>
  <c r="A96" i="30" s="1"/>
  <c r="F93" i="30"/>
  <c r="F92" i="30"/>
  <c r="F88" i="30"/>
  <c r="F87" i="30"/>
  <c r="F86" i="30"/>
  <c r="F85" i="30"/>
  <c r="F84" i="30"/>
  <c r="F82" i="30"/>
  <c r="F81" i="30"/>
  <c r="F78" i="30"/>
  <c r="F76" i="30"/>
  <c r="F75" i="30"/>
  <c r="F74" i="30"/>
  <c r="F60" i="30"/>
  <c r="F46" i="30"/>
  <c r="F40" i="30"/>
  <c r="F36" i="30"/>
  <c r="F35" i="30"/>
  <c r="F30" i="30"/>
  <c r="F29" i="30"/>
  <c r="F28" i="30"/>
  <c r="F25" i="30"/>
  <c r="F24" i="30"/>
  <c r="F23" i="30"/>
  <c r="F22" i="30"/>
  <c r="F20" i="30"/>
  <c r="F17" i="30"/>
  <c r="F16" i="30"/>
  <c r="F14" i="30"/>
  <c r="F12" i="30"/>
  <c r="F11" i="30"/>
  <c r="F10" i="30"/>
  <c r="F8" i="30"/>
  <c r="F5" i="30"/>
  <c r="F4" i="30"/>
  <c r="D6" i="32" l="1"/>
  <c r="F6" i="32" s="1"/>
  <c r="F164" i="30"/>
  <c r="D8" i="32" l="1"/>
  <c r="F8" i="32" s="1"/>
  <c r="D9" i="30"/>
  <c r="E126" i="8"/>
  <c r="I125" i="8"/>
  <c r="H125" i="8" s="1"/>
  <c r="I122" i="8"/>
  <c r="H122" i="8" s="1"/>
  <c r="I123" i="8"/>
  <c r="H123" i="8" s="1"/>
  <c r="I124" i="8"/>
  <c r="H124" i="8" s="1"/>
  <c r="I118" i="8"/>
  <c r="H118" i="8" s="1"/>
  <c r="I112" i="8"/>
  <c r="H112" i="8" s="1"/>
  <c r="I114" i="8"/>
  <c r="H114" i="8" s="1"/>
  <c r="I115" i="8"/>
  <c r="H115" i="8" s="1"/>
  <c r="I116" i="8"/>
  <c r="H116" i="8" s="1"/>
  <c r="I117" i="8"/>
  <c r="H117" i="8" s="1"/>
  <c r="I110" i="8"/>
  <c r="H110" i="8" s="1"/>
  <c r="I103" i="8"/>
  <c r="H103" i="8" s="1"/>
  <c r="I104" i="8"/>
  <c r="H104" i="8" s="1"/>
  <c r="I105" i="8"/>
  <c r="H105" i="8" s="1"/>
  <c r="I106" i="8"/>
  <c r="H106" i="8" s="1"/>
  <c r="I107" i="8"/>
  <c r="H107" i="8" s="1"/>
  <c r="I109" i="8"/>
  <c r="H109" i="8" s="1"/>
  <c r="C112" i="28"/>
  <c r="E32" i="29" s="1"/>
  <c r="I126" i="8" s="1"/>
  <c r="D74" i="28"/>
  <c r="D72" i="28"/>
  <c r="D70" i="28"/>
  <c r="D66" i="28"/>
  <c r="D97" i="28"/>
  <c r="D100" i="28"/>
  <c r="D86" i="28"/>
  <c r="D83" i="28"/>
  <c r="D82" i="28"/>
  <c r="D81" i="28"/>
  <c r="D80" i="28"/>
  <c r="D79" i="28"/>
  <c r="D78" i="28"/>
  <c r="D75" i="28"/>
  <c r="G100" i="28"/>
  <c r="G97" i="28"/>
  <c r="G93" i="28"/>
  <c r="G89" i="28"/>
  <c r="G86" i="28"/>
  <c r="G83" i="28"/>
  <c r="G82" i="28"/>
  <c r="G81" i="28"/>
  <c r="G80" i="28"/>
  <c r="G79" i="28"/>
  <c r="G78" i="28"/>
  <c r="G75" i="28"/>
  <c r="G74" i="28"/>
  <c r="G73" i="28"/>
  <c r="G72" i="28"/>
  <c r="G71" i="28"/>
  <c r="G70" i="28"/>
  <c r="G69" i="28"/>
  <c r="G68" i="28"/>
  <c r="G67" i="28"/>
  <c r="G66" i="28"/>
  <c r="G103" i="28" s="1"/>
  <c r="G104" i="28" s="1"/>
  <c r="F20" i="29"/>
  <c r="F19" i="29"/>
  <c r="E20" i="29"/>
  <c r="E11" i="29"/>
  <c r="E15" i="29"/>
  <c r="C10" i="26"/>
  <c r="C13" i="26"/>
  <c r="C12" i="26"/>
  <c r="C11" i="26"/>
  <c r="C9" i="26"/>
  <c r="C8" i="26"/>
  <c r="C6" i="26"/>
  <c r="E15" i="8"/>
  <c r="F362" i="2"/>
  <c r="M364" i="2"/>
  <c r="M365" i="2"/>
  <c r="M366" i="2"/>
  <c r="M367" i="2"/>
  <c r="M363" i="2"/>
  <c r="G27" i="28"/>
  <c r="E31" i="29"/>
  <c r="E30" i="29"/>
  <c r="E28" i="29"/>
  <c r="E27" i="29"/>
  <c r="I121" i="8" s="1"/>
  <c r="H121" i="8" s="1"/>
  <c r="E26" i="29"/>
  <c r="I120" i="8" s="1"/>
  <c r="H120" i="8" s="1"/>
  <c r="E25" i="29"/>
  <c r="I119" i="8" s="1"/>
  <c r="H119" i="8" s="1"/>
  <c r="E21" i="29"/>
  <c r="E19" i="29"/>
  <c r="E18" i="29"/>
  <c r="E17" i="29"/>
  <c r="E10" i="29"/>
  <c r="E9" i="29"/>
  <c r="E8" i="29"/>
  <c r="E6" i="29"/>
  <c r="H101" i="8" s="1"/>
  <c r="E29" i="29"/>
  <c r="E24" i="29"/>
  <c r="F23" i="29"/>
  <c r="F17" i="29"/>
  <c r="F15" i="29"/>
  <c r="E12" i="29"/>
  <c r="F12" i="29" s="1"/>
  <c r="F8" i="29"/>
  <c r="I3" i="29"/>
  <c r="E14" i="29" s="1"/>
  <c r="E56" i="28"/>
  <c r="E55" i="28"/>
  <c r="E54" i="28"/>
  <c r="E53" i="28"/>
  <c r="C52" i="28"/>
  <c r="E52" i="28" s="1"/>
  <c r="C51" i="28"/>
  <c r="E51" i="28" s="1"/>
  <c r="E50" i="28"/>
  <c r="E49" i="28"/>
  <c r="E48" i="28"/>
  <c r="E47" i="28"/>
  <c r="E46" i="28"/>
  <c r="E57" i="28" s="1"/>
  <c r="E42" i="28"/>
  <c r="E40" i="28"/>
  <c r="E39" i="28"/>
  <c r="C38" i="28"/>
  <c r="E38" i="28" s="1"/>
  <c r="E35" i="28"/>
  <c r="E34" i="28"/>
  <c r="C33" i="28"/>
  <c r="E33" i="28" s="1"/>
  <c r="E32" i="28"/>
  <c r="C31" i="28"/>
  <c r="E31" i="28" s="1"/>
  <c r="C24" i="28"/>
  <c r="G14" i="28"/>
  <c r="K3" i="28"/>
  <c r="M1" i="28"/>
  <c r="C12" i="27"/>
  <c r="C11" i="27"/>
  <c r="C8" i="27"/>
  <c r="G4" i="27"/>
  <c r="F5" i="26"/>
  <c r="AA42" i="25"/>
  <c r="Y42" i="25"/>
  <c r="X42" i="25"/>
  <c r="W42" i="25"/>
  <c r="V42" i="25"/>
  <c r="U42" i="25"/>
  <c r="T42" i="25"/>
  <c r="S42" i="25"/>
  <c r="R42" i="25"/>
  <c r="Q42" i="25"/>
  <c r="P42" i="25"/>
  <c r="O42" i="25"/>
  <c r="N42" i="25"/>
  <c r="M42" i="25"/>
  <c r="L42" i="25"/>
  <c r="D38" i="25"/>
  <c r="F37" i="25"/>
  <c r="F36" i="25"/>
  <c r="F35" i="25"/>
  <c r="F38" i="25" s="1"/>
  <c r="I22" i="25"/>
  <c r="E22" i="29" s="1"/>
  <c r="F22" i="29" s="1"/>
  <c r="I19" i="25"/>
  <c r="I18" i="25"/>
  <c r="I17" i="25"/>
  <c r="I16" i="25"/>
  <c r="I15" i="25"/>
  <c r="I14" i="25"/>
  <c r="I13" i="25"/>
  <c r="I12" i="25"/>
  <c r="I11" i="25"/>
  <c r="I10" i="25"/>
  <c r="I9" i="25"/>
  <c r="I8" i="25"/>
  <c r="I7" i="25"/>
  <c r="I6" i="25"/>
  <c r="I5" i="25"/>
  <c r="I4" i="25"/>
  <c r="I3" i="25"/>
  <c r="B4" i="24"/>
  <c r="E45" i="24"/>
  <c r="F45" i="24" s="1"/>
  <c r="I45" i="24" s="1"/>
  <c r="D43" i="24"/>
  <c r="E42" i="24"/>
  <c r="F42" i="24" s="1"/>
  <c r="E41" i="24"/>
  <c r="F41" i="24" s="1"/>
  <c r="E40" i="24"/>
  <c r="F40" i="24" s="1"/>
  <c r="D38" i="24"/>
  <c r="E37" i="24"/>
  <c r="F37" i="24" s="1"/>
  <c r="E36" i="24"/>
  <c r="F36" i="24" s="1"/>
  <c r="E35" i="24"/>
  <c r="F35" i="24" s="1"/>
  <c r="D33" i="24"/>
  <c r="D28" i="24"/>
  <c r="D23" i="24"/>
  <c r="E22" i="24"/>
  <c r="F22" i="24" s="1"/>
  <c r="E21" i="24"/>
  <c r="F21" i="24" s="1"/>
  <c r="E20" i="24"/>
  <c r="D18" i="24"/>
  <c r="E17" i="24"/>
  <c r="E16" i="24"/>
  <c r="F16" i="24" s="1"/>
  <c r="E15" i="24"/>
  <c r="F15" i="24" s="1"/>
  <c r="D13" i="24"/>
  <c r="E12" i="24"/>
  <c r="F12" i="24" s="1"/>
  <c r="E11" i="24"/>
  <c r="F11" i="24" s="1"/>
  <c r="E10" i="24"/>
  <c r="F10" i="24" s="1"/>
  <c r="D8" i="24"/>
  <c r="E7" i="24"/>
  <c r="F7" i="24" s="1"/>
  <c r="E6" i="24"/>
  <c r="F6" i="24" s="1"/>
  <c r="E5" i="24"/>
  <c r="F5" i="24" s="1"/>
  <c r="E16" i="16"/>
  <c r="F16" i="16" s="1"/>
  <c r="E18" i="16"/>
  <c r="D18" i="16"/>
  <c r="F217" i="10"/>
  <c r="F21" i="10"/>
  <c r="F35" i="10" s="1"/>
  <c r="F49" i="10" s="1"/>
  <c r="F20" i="10"/>
  <c r="F34" i="10" s="1"/>
  <c r="F48" i="10" s="1"/>
  <c r="E21" i="10"/>
  <c r="E35" i="10" s="1"/>
  <c r="E49" i="10" s="1"/>
  <c r="E20" i="10"/>
  <c r="E34" i="10" s="1"/>
  <c r="E48" i="10" s="1"/>
  <c r="C303" i="2"/>
  <c r="C302" i="2"/>
  <c r="K302" i="2"/>
  <c r="J123" i="10"/>
  <c r="K243" i="10"/>
  <c r="I355" i="2"/>
  <c r="G355" i="2" s="1"/>
  <c r="D355" i="2"/>
  <c r="E2038" i="22"/>
  <c r="H19" i="8" s="1"/>
  <c r="G249" i="10"/>
  <c r="E98" i="8"/>
  <c r="E51" i="8"/>
  <c r="E50" i="8"/>
  <c r="E49" i="8"/>
  <c r="G1992" i="22"/>
  <c r="E1971" i="22"/>
  <c r="G1971" i="22" s="1"/>
  <c r="E1970" i="22"/>
  <c r="E1973" i="22" s="1"/>
  <c r="E1968" i="22"/>
  <c r="E1967" i="22"/>
  <c r="G1967" i="22" s="1"/>
  <c r="G1977" i="22"/>
  <c r="G1976" i="22"/>
  <c r="G1975" i="22"/>
  <c r="G1972" i="22"/>
  <c r="G1969" i="22"/>
  <c r="J1967" i="22" a="1"/>
  <c r="J1967" i="22" s="1"/>
  <c r="I1967" i="22" a="1"/>
  <c r="I1967" i="22" s="1"/>
  <c r="H1967" i="22" a="1"/>
  <c r="H1967" i="22" s="1"/>
  <c r="B1967" i="22" a="1"/>
  <c r="B1967" i="22" s="1"/>
  <c r="G1962" i="22"/>
  <c r="I138" i="20"/>
  <c r="J138" i="20" s="1"/>
  <c r="G138" i="20"/>
  <c r="F138" i="20"/>
  <c r="B138" i="20"/>
  <c r="O138" i="20"/>
  <c r="L138" i="20"/>
  <c r="E86" i="8"/>
  <c r="E1943" i="22"/>
  <c r="G1943" i="22" s="1"/>
  <c r="E1942" i="22"/>
  <c r="E1941" i="22"/>
  <c r="G1941" i="22" s="1"/>
  <c r="D1931" i="22"/>
  <c r="E1939" i="22" s="1"/>
  <c r="G1939" i="22" s="1"/>
  <c r="C1931" i="22"/>
  <c r="G1942" i="22"/>
  <c r="G1940" i="22"/>
  <c r="G1937" i="22"/>
  <c r="G1936" i="22"/>
  <c r="G1934" i="22"/>
  <c r="G1932" i="22"/>
  <c r="G211" i="10"/>
  <c r="N1931" i="22"/>
  <c r="J1932" i="22" a="1"/>
  <c r="J1932" i="22" s="1"/>
  <c r="H1932" i="22" a="1"/>
  <c r="H1932" i="22" s="1"/>
  <c r="B1932" i="22" a="1"/>
  <c r="B1932" i="22" s="1"/>
  <c r="B1931" i="22"/>
  <c r="I161" i="14"/>
  <c r="E161" i="14"/>
  <c r="F161" i="14"/>
  <c r="F1928" i="22"/>
  <c r="F1918" i="22"/>
  <c r="G1930" i="22"/>
  <c r="G1929" i="22"/>
  <c r="G1927" i="22"/>
  <c r="G1926" i="22"/>
  <c r="G1925" i="22"/>
  <c r="G1924" i="22"/>
  <c r="G1923" i="22"/>
  <c r="G1922" i="22"/>
  <c r="J1922" i="22" a="1"/>
  <c r="J1922" i="22" s="1"/>
  <c r="B1922" i="22" a="1"/>
  <c r="B1922" i="22" s="1"/>
  <c r="G203" i="10"/>
  <c r="K1922" i="22" s="1" a="1"/>
  <c r="K1922" i="22" s="1"/>
  <c r="D1921" i="22"/>
  <c r="E1928" i="22" s="1"/>
  <c r="C1921" i="22"/>
  <c r="B1921" i="22"/>
  <c r="N1912" i="22"/>
  <c r="N1921" i="22" s="1"/>
  <c r="F1908" i="22"/>
  <c r="G1920" i="22"/>
  <c r="G1919" i="22"/>
  <c r="G1917" i="22"/>
  <c r="G1916" i="22"/>
  <c r="G1915" i="22"/>
  <c r="G1914" i="22"/>
  <c r="G1913" i="22"/>
  <c r="J1912" i="22" a="1"/>
  <c r="J1912" i="22" s="1"/>
  <c r="G192" i="10"/>
  <c r="B1912" i="22" a="1"/>
  <c r="B1912" i="22" s="1"/>
  <c r="D1911" i="22"/>
  <c r="E1918" i="22" s="1"/>
  <c r="C1911" i="22"/>
  <c r="E1912" i="22" s="1"/>
  <c r="G1912" i="22" s="1"/>
  <c r="B1911" i="22"/>
  <c r="G1910" i="22"/>
  <c r="G1909" i="22"/>
  <c r="G1907" i="22"/>
  <c r="G1906" i="22"/>
  <c r="G1905" i="22"/>
  <c r="G1904" i="22"/>
  <c r="G1903" i="22"/>
  <c r="G1902" i="22"/>
  <c r="J1902" i="22" a="1"/>
  <c r="J1902" i="22" s="1"/>
  <c r="I1902" i="22" a="1"/>
  <c r="I1902" i="22" s="1"/>
  <c r="B1902" i="22" a="1"/>
  <c r="B1902" i="22" s="1"/>
  <c r="C1901" i="22"/>
  <c r="B1901" i="22"/>
  <c r="J1892" i="22" a="1"/>
  <c r="J1892" i="22" s="1"/>
  <c r="H1892" i="22" a="1"/>
  <c r="H1892" i="22" s="1"/>
  <c r="B1892" i="22" a="1"/>
  <c r="B1892" i="22" s="1"/>
  <c r="N1891" i="22"/>
  <c r="D1891" i="22"/>
  <c r="E1893" i="22" s="1"/>
  <c r="C1891" i="22"/>
  <c r="E1892" i="22" s="1"/>
  <c r="B1891" i="22"/>
  <c r="G1894" i="22"/>
  <c r="G1896" i="22"/>
  <c r="E1900" i="22"/>
  <c r="G1900" i="22" s="1"/>
  <c r="E1890" i="22"/>
  <c r="G1890" i="22" s="1"/>
  <c r="G1886" i="22"/>
  <c r="G1884" i="22"/>
  <c r="N1881" i="22"/>
  <c r="J1882" i="22" a="1"/>
  <c r="J1882" i="22" s="1"/>
  <c r="H1882" i="22" a="1"/>
  <c r="H1882" i="22" s="1"/>
  <c r="G145" i="10"/>
  <c r="G143" i="10"/>
  <c r="G150" i="10"/>
  <c r="G149" i="10"/>
  <c r="G148" i="10"/>
  <c r="G147" i="10"/>
  <c r="G142" i="10"/>
  <c r="G139" i="10"/>
  <c r="G132" i="10"/>
  <c r="G133" i="10"/>
  <c r="G134" i="10"/>
  <c r="G135" i="10"/>
  <c r="G136" i="10"/>
  <c r="G137" i="10"/>
  <c r="G131" i="10"/>
  <c r="B1882" i="22" a="1"/>
  <c r="B1882" i="22" s="1"/>
  <c r="D1881" i="22"/>
  <c r="E1885" i="22" s="1"/>
  <c r="E1888" i="22" s="1"/>
  <c r="C1881" i="22"/>
  <c r="E1882" i="22" s="1"/>
  <c r="E157" i="14"/>
  <c r="F157" i="14" s="1"/>
  <c r="I157" i="14" s="1"/>
  <c r="B1881" i="22"/>
  <c r="G1878" i="22"/>
  <c r="G1876" i="22"/>
  <c r="G1875" i="22"/>
  <c r="G1873" i="22"/>
  <c r="I1872" i="22" a="1"/>
  <c r="I1872" i="22" s="1"/>
  <c r="H1872" i="22" a="1"/>
  <c r="H1872" i="22" s="1"/>
  <c r="B1872" i="22" a="1"/>
  <c r="B1872" i="22" s="1"/>
  <c r="D1871" i="22"/>
  <c r="E1874" i="22" s="1"/>
  <c r="C1871" i="22"/>
  <c r="E1877" i="22" s="1"/>
  <c r="E1870" i="22"/>
  <c r="E1880" i="22" s="1"/>
  <c r="G1880" i="22" s="1"/>
  <c r="G1866" i="22"/>
  <c r="G1868" i="22"/>
  <c r="G1865" i="22"/>
  <c r="G1863" i="22"/>
  <c r="I1862" i="22" a="1"/>
  <c r="I1862" i="22" s="1"/>
  <c r="H1862" i="22" a="1"/>
  <c r="H1862" i="22" s="1"/>
  <c r="E160" i="14"/>
  <c r="F160" i="14" s="1"/>
  <c r="I160" i="14" s="1"/>
  <c r="E159" i="14"/>
  <c r="F159" i="14" s="1"/>
  <c r="I159" i="14" s="1"/>
  <c r="B1862" i="22" a="1"/>
  <c r="B1862" i="22" s="1"/>
  <c r="D1861" i="22"/>
  <c r="E1864" i="22" s="1"/>
  <c r="C1861" i="22"/>
  <c r="E1867" i="22" s="1"/>
  <c r="B1860" i="22"/>
  <c r="F1831" i="22"/>
  <c r="F1834" i="22" s="1"/>
  <c r="G1836" i="22"/>
  <c r="G1833" i="22"/>
  <c r="G1830" i="22"/>
  <c r="H1828" i="22" a="1"/>
  <c r="H1828" i="22" s="1"/>
  <c r="B1828" i="22" a="1"/>
  <c r="B1828" i="22" s="1"/>
  <c r="D1827" i="22"/>
  <c r="E1831" i="22" s="1"/>
  <c r="C1827" i="22"/>
  <c r="E1828" i="22" s="1"/>
  <c r="B1827" i="22"/>
  <c r="G1826" i="22"/>
  <c r="G1823" i="22"/>
  <c r="G1820" i="22"/>
  <c r="H1818" i="22" a="1"/>
  <c r="H1818" i="22" s="1"/>
  <c r="B1818" i="22" a="1"/>
  <c r="B1818" i="22" s="1"/>
  <c r="D1817" i="22"/>
  <c r="E1821" i="22" s="1"/>
  <c r="E1824" i="22" s="1"/>
  <c r="C1817" i="22"/>
  <c r="E1818" i="22" s="1"/>
  <c r="B1817" i="22"/>
  <c r="D1807" i="22"/>
  <c r="D1805" i="22"/>
  <c r="E1816" i="22"/>
  <c r="G1816" i="22" s="1"/>
  <c r="G1815" i="22"/>
  <c r="G1812" i="22"/>
  <c r="G1809" i="22"/>
  <c r="G1804" i="22"/>
  <c r="D1802" i="22"/>
  <c r="C1802" i="22"/>
  <c r="E1803" i="22" s="1"/>
  <c r="I1803" i="22" a="1"/>
  <c r="I1803" i="22" s="1"/>
  <c r="H1803" i="22" a="1"/>
  <c r="H1803" i="22" s="1"/>
  <c r="B1803" i="22" a="1"/>
  <c r="B1803" i="22" s="1"/>
  <c r="B1802" i="22"/>
  <c r="E1801" i="22"/>
  <c r="G1801" i="22" s="1"/>
  <c r="D1792" i="22"/>
  <c r="D1793" i="22" s="1"/>
  <c r="G1795" i="22"/>
  <c r="G1791" i="22"/>
  <c r="I1790" i="22" a="1"/>
  <c r="I1790" i="22" s="1"/>
  <c r="H1790" i="22" a="1"/>
  <c r="H1790" i="22" s="1"/>
  <c r="B1790" i="22" a="1"/>
  <c r="B1790" i="22" s="1"/>
  <c r="D1789" i="22"/>
  <c r="C1789" i="22"/>
  <c r="E1790" i="22" s="1"/>
  <c r="B1789" i="22"/>
  <c r="D1776" i="22"/>
  <c r="E1778" i="22" s="1"/>
  <c r="C1776" i="22"/>
  <c r="E1777" i="22" s="1"/>
  <c r="G1788" i="22"/>
  <c r="G1785" i="22"/>
  <c r="G1782" i="22"/>
  <c r="G1779" i="22"/>
  <c r="I1777" i="22" a="1"/>
  <c r="I1777" i="22" s="1"/>
  <c r="H1777" i="22" a="1"/>
  <c r="H1777" i="22" s="1"/>
  <c r="B1777" i="22" a="1"/>
  <c r="B1777" i="22" s="1"/>
  <c r="B1776" i="22"/>
  <c r="E1775" i="22"/>
  <c r="G1775" i="22" s="1"/>
  <c r="D1766" i="22"/>
  <c r="D1767" i="22" s="1"/>
  <c r="G1769" i="22"/>
  <c r="G1765" i="22"/>
  <c r="H1764" i="22" a="1"/>
  <c r="H1764" i="22" s="1"/>
  <c r="B1764" i="22" a="1"/>
  <c r="B1764" i="22" s="1"/>
  <c r="D1763" i="22"/>
  <c r="C1763" i="22"/>
  <c r="E1764" i="22" s="1"/>
  <c r="G1764" i="22" s="1"/>
  <c r="B1763" i="22"/>
  <c r="G1762" i="22"/>
  <c r="G1759" i="22"/>
  <c r="G1756" i="22"/>
  <c r="G1753" i="22"/>
  <c r="I1751" i="22" a="1"/>
  <c r="I1751" i="22" s="1"/>
  <c r="H1751" i="22" a="1"/>
  <c r="H1751" i="22" s="1"/>
  <c r="B1751" i="22" a="1"/>
  <c r="B1751" i="22" s="1"/>
  <c r="D1750" i="22"/>
  <c r="E1754" i="22" s="1"/>
  <c r="E1757" i="22" s="1"/>
  <c r="C1750" i="22"/>
  <c r="E1751" i="22" s="1"/>
  <c r="B1750" i="22"/>
  <c r="D1737" i="22"/>
  <c r="E1739" i="22" s="1"/>
  <c r="G1749" i="22"/>
  <c r="G1746" i="22"/>
  <c r="G1743" i="22"/>
  <c r="G1740" i="22"/>
  <c r="C1737" i="22"/>
  <c r="E1738" i="22" s="1"/>
  <c r="H1738" i="22" a="1"/>
  <c r="H1738" i="22" s="1"/>
  <c r="B1738" i="22" a="1"/>
  <c r="B1738" i="22" s="1"/>
  <c r="B1737" i="22"/>
  <c r="F1707" i="22"/>
  <c r="F1710" i="22" s="1"/>
  <c r="D1703" i="22"/>
  <c r="E1707" i="22" s="1"/>
  <c r="E1710" i="22" s="1"/>
  <c r="C1703" i="22"/>
  <c r="E1704" i="22" s="1"/>
  <c r="G1712" i="22"/>
  <c r="G1709" i="22"/>
  <c r="G1706" i="22"/>
  <c r="H1704" i="22" a="1"/>
  <c r="H1704" i="22" s="1"/>
  <c r="B1704" i="22" a="1"/>
  <c r="B1704" i="22" s="1"/>
  <c r="B1703" i="22"/>
  <c r="G1702" i="22"/>
  <c r="G1699" i="22"/>
  <c r="G1696" i="22"/>
  <c r="H1694" i="22" a="1"/>
  <c r="H1694" i="22" s="1"/>
  <c r="B1694" i="22" a="1"/>
  <c r="B1694" i="22" s="1"/>
  <c r="D1693" i="22"/>
  <c r="E1697" i="22" s="1"/>
  <c r="E1700" i="22" s="1"/>
  <c r="C1693" i="22"/>
  <c r="E1694" i="22" s="1"/>
  <c r="G1694" i="22" s="1"/>
  <c r="B1693" i="22"/>
  <c r="D1683" i="22"/>
  <c r="D1681" i="22"/>
  <c r="E1692" i="22"/>
  <c r="G1692" i="22" s="1"/>
  <c r="G1691" i="22"/>
  <c r="G1688" i="22"/>
  <c r="G1685" i="22"/>
  <c r="G1680" i="22"/>
  <c r="I1679" i="22" a="1"/>
  <c r="I1679" i="22" s="1"/>
  <c r="H1679" i="22" a="1"/>
  <c r="H1679" i="22" s="1"/>
  <c r="B1679" i="22" a="1"/>
  <c r="B1679" i="22" s="1"/>
  <c r="D1678" i="22"/>
  <c r="C1678" i="22"/>
  <c r="E1679" i="22" s="1"/>
  <c r="B1678" i="22"/>
  <c r="E1677" i="22"/>
  <c r="G1677" i="22" s="1"/>
  <c r="D1668" i="22"/>
  <c r="G1671" i="22"/>
  <c r="G1667" i="22"/>
  <c r="I1666" i="22" a="1"/>
  <c r="I1666" i="22" s="1"/>
  <c r="H1666" i="22" a="1"/>
  <c r="H1666" i="22" s="1"/>
  <c r="B1666" i="22" a="1"/>
  <c r="B1666" i="22" s="1"/>
  <c r="D1665" i="22"/>
  <c r="C1665" i="22"/>
  <c r="E1666" i="22" s="1"/>
  <c r="B1665" i="22"/>
  <c r="G1664" i="22"/>
  <c r="G1661" i="22"/>
  <c r="G1658" i="22"/>
  <c r="G1655" i="22"/>
  <c r="I1653" i="22" a="1"/>
  <c r="I1653" i="22" s="1"/>
  <c r="H1653" i="22" a="1"/>
  <c r="H1653" i="22" s="1"/>
  <c r="B1653" i="22" a="1"/>
  <c r="B1653" i="22" s="1"/>
  <c r="D1652" i="22"/>
  <c r="E1656" i="22" s="1"/>
  <c r="E1659" i="22" s="1"/>
  <c r="C1652" i="22"/>
  <c r="E1653" i="22" s="1"/>
  <c r="B1652" i="22"/>
  <c r="E1651" i="22"/>
  <c r="G1651" i="22" s="1"/>
  <c r="D1639" i="22"/>
  <c r="D1642" i="22"/>
  <c r="C1639" i="22"/>
  <c r="E1640" i="22" s="1"/>
  <c r="G1640" i="22" s="1"/>
  <c r="G1645" i="22"/>
  <c r="G1641" i="22"/>
  <c r="H1640" i="22" a="1"/>
  <c r="H1640" i="22" s="1"/>
  <c r="B1640" i="22" a="1"/>
  <c r="B1640" i="22" s="1"/>
  <c r="B1639" i="22"/>
  <c r="G1638" i="22"/>
  <c r="G1635" i="22"/>
  <c r="G1632" i="22"/>
  <c r="G1629" i="22"/>
  <c r="I1627" i="22" a="1"/>
  <c r="I1627" i="22" s="1"/>
  <c r="H1627" i="22" a="1"/>
  <c r="H1627" i="22" s="1"/>
  <c r="B1627" i="22" a="1"/>
  <c r="B1627" i="22" s="1"/>
  <c r="D1626" i="22"/>
  <c r="E1630" i="22" s="1"/>
  <c r="E1633" i="22" s="1"/>
  <c r="C1626" i="22"/>
  <c r="E1627" i="22" s="1"/>
  <c r="B1626" i="22"/>
  <c r="G1625" i="22"/>
  <c r="G1622" i="22"/>
  <c r="G1619" i="22"/>
  <c r="G1616" i="22"/>
  <c r="H1614" i="22" a="1"/>
  <c r="H1614" i="22" s="1"/>
  <c r="B1614" i="22" a="1"/>
  <c r="B1614" i="22" s="1"/>
  <c r="D1613" i="22"/>
  <c r="E1617" i="22" s="1"/>
  <c r="E1620" i="22" s="1"/>
  <c r="C1613" i="22"/>
  <c r="E1614" i="22" s="1"/>
  <c r="B1613" i="22"/>
  <c r="F1583" i="22"/>
  <c r="F1586" i="22" s="1"/>
  <c r="G1588" i="22"/>
  <c r="G1585" i="22"/>
  <c r="G1582" i="22"/>
  <c r="H1580" i="22" a="1"/>
  <c r="H1580" i="22" s="1"/>
  <c r="B1580" i="22" a="1"/>
  <c r="B1580" i="22" s="1"/>
  <c r="D1579" i="22"/>
  <c r="C1579" i="22"/>
  <c r="E1580" i="22" s="1"/>
  <c r="B1579" i="22"/>
  <c r="G1578" i="22"/>
  <c r="G1575" i="22"/>
  <c r="G1572" i="22"/>
  <c r="H1570" i="22" a="1"/>
  <c r="H1570" i="22" s="1"/>
  <c r="B1570" i="22" a="1"/>
  <c r="B1570" i="22" s="1"/>
  <c r="D1569" i="22"/>
  <c r="E1573" i="22" s="1"/>
  <c r="C1569" i="22"/>
  <c r="E1570" i="22" s="1"/>
  <c r="G1570" i="22" s="1"/>
  <c r="B1569" i="22"/>
  <c r="D1559" i="22"/>
  <c r="D1557" i="22"/>
  <c r="E1568" i="22"/>
  <c r="G1567" i="22"/>
  <c r="G1564" i="22"/>
  <c r="G1561" i="22"/>
  <c r="G1556" i="22"/>
  <c r="I1555" i="22" a="1"/>
  <c r="I1555" i="22" s="1"/>
  <c r="H1555" i="22" a="1"/>
  <c r="H1555" i="22" s="1"/>
  <c r="B1555" i="22" a="1"/>
  <c r="B1555" i="22" s="1"/>
  <c r="D1554" i="22"/>
  <c r="C1554" i="22"/>
  <c r="E1555" i="22" s="1"/>
  <c r="B1554" i="22"/>
  <c r="E1553" i="22"/>
  <c r="G1553" i="22" s="1"/>
  <c r="D1544" i="22"/>
  <c r="D1545" i="22" s="1"/>
  <c r="D1541" i="22"/>
  <c r="C1541" i="22"/>
  <c r="E1542" i="22" s="1"/>
  <c r="G1547" i="22"/>
  <c r="G1543" i="22"/>
  <c r="I1542" i="22" a="1"/>
  <c r="H1542" i="22" a="1"/>
  <c r="H1542" i="22" s="1"/>
  <c r="B1542" i="22" a="1"/>
  <c r="B1542" i="22" s="1"/>
  <c r="B1541" i="22"/>
  <c r="G1540" i="22"/>
  <c r="G1537" i="22"/>
  <c r="G1534" i="22"/>
  <c r="G1531" i="22"/>
  <c r="I1529" i="22" a="1"/>
  <c r="H1529" i="22" a="1"/>
  <c r="H1529" i="22" s="1"/>
  <c r="B1529" i="22" a="1"/>
  <c r="B1529" i="22" s="1"/>
  <c r="D1528" i="22"/>
  <c r="C1528" i="22"/>
  <c r="E1529" i="22" s="1"/>
  <c r="B1528" i="22"/>
  <c r="E1527" i="22"/>
  <c r="G1527" i="22" s="1"/>
  <c r="D1518" i="22"/>
  <c r="D1519" i="22" s="1"/>
  <c r="G1521" i="22"/>
  <c r="G1517" i="22"/>
  <c r="H1516" i="22" a="1"/>
  <c r="H1516" i="22" s="1"/>
  <c r="B1516" i="22" a="1"/>
  <c r="B1516" i="22" s="1"/>
  <c r="D1515" i="22"/>
  <c r="C1515" i="22"/>
  <c r="E1516" i="22" s="1"/>
  <c r="G1516" i="22" s="1"/>
  <c r="B1515" i="22"/>
  <c r="G1514" i="22"/>
  <c r="G1511" i="22"/>
  <c r="G1508" i="22"/>
  <c r="G1505" i="22"/>
  <c r="I1503" i="22" a="1"/>
  <c r="H1503" i="22" a="1"/>
  <c r="H1503" i="22" s="1"/>
  <c r="B1503" i="22" a="1"/>
  <c r="B1503" i="22" s="1"/>
  <c r="D1502" i="22"/>
  <c r="E1506" i="22" s="1"/>
  <c r="E1509" i="22" s="1"/>
  <c r="C1502" i="22"/>
  <c r="E1503" i="22" s="1"/>
  <c r="B1502" i="22"/>
  <c r="G1495" i="22"/>
  <c r="G1491" i="22"/>
  <c r="E1501" i="22"/>
  <c r="G1501" i="22" s="1"/>
  <c r="D1492" i="22"/>
  <c r="D1493" i="22" s="1"/>
  <c r="H1490" i="22" a="1"/>
  <c r="H1490" i="22" s="1"/>
  <c r="B1490" i="22" a="1"/>
  <c r="B1490" i="22" s="1"/>
  <c r="D1489" i="22"/>
  <c r="C1489" i="22"/>
  <c r="E1490" i="22" s="1"/>
  <c r="B1489" i="22"/>
  <c r="G1488" i="22"/>
  <c r="G1485" i="22"/>
  <c r="G1482" i="22"/>
  <c r="G1479" i="22"/>
  <c r="I1477" i="22" a="1"/>
  <c r="H1477" i="22" a="1"/>
  <c r="H1477" i="22" s="1"/>
  <c r="B1477" i="22" a="1"/>
  <c r="B1477" i="22" s="1"/>
  <c r="D1476" i="22"/>
  <c r="C1476" i="22"/>
  <c r="E1477" i="22" s="1"/>
  <c r="B1476" i="22"/>
  <c r="G1475" i="22"/>
  <c r="G1472" i="22"/>
  <c r="G1469" i="22"/>
  <c r="G1466" i="22"/>
  <c r="H1464" i="22" a="1"/>
  <c r="H1464" i="22" s="1"/>
  <c r="B1464" i="22" a="1"/>
  <c r="B1464" i="22" s="1"/>
  <c r="D1463" i="22"/>
  <c r="E1467" i="22" s="1"/>
  <c r="C1463" i="22"/>
  <c r="E1464" i="22" s="1"/>
  <c r="G1464" i="22" s="1"/>
  <c r="B1463" i="22"/>
  <c r="F1433" i="22"/>
  <c r="D1429" i="22"/>
  <c r="E1433" i="22" s="1"/>
  <c r="E1436" i="22" s="1"/>
  <c r="C1429" i="22"/>
  <c r="E1430" i="22" s="1"/>
  <c r="G1438" i="22"/>
  <c r="G1435" i="22"/>
  <c r="G1432" i="22"/>
  <c r="H1430" i="22" a="1"/>
  <c r="H1430" i="22" s="1"/>
  <c r="B1430" i="22" a="1"/>
  <c r="B1430" i="22" s="1"/>
  <c r="B1429" i="22"/>
  <c r="G1428" i="22"/>
  <c r="G1425" i="22"/>
  <c r="G1422" i="22"/>
  <c r="H1420" i="22" a="1"/>
  <c r="H1420" i="22" s="1"/>
  <c r="B1420" i="22" a="1"/>
  <c r="B1420" i="22" s="1"/>
  <c r="D1419" i="22"/>
  <c r="E1423" i="22" s="1"/>
  <c r="C1419" i="22"/>
  <c r="E1420" i="22" s="1"/>
  <c r="B1419" i="22"/>
  <c r="D1409" i="22"/>
  <c r="D1407" i="22"/>
  <c r="E1418" i="22"/>
  <c r="G1417" i="22"/>
  <c r="G1414" i="22"/>
  <c r="G1411" i="22"/>
  <c r="G1406" i="22"/>
  <c r="I1405" i="22" a="1"/>
  <c r="H1405" i="22" a="1"/>
  <c r="H1405" i="22" s="1"/>
  <c r="B1405" i="22" a="1"/>
  <c r="B1405" i="22" s="1"/>
  <c r="D1404" i="22"/>
  <c r="C1404" i="22"/>
  <c r="E1405" i="22" s="1"/>
  <c r="B1404" i="22"/>
  <c r="E1403" i="22"/>
  <c r="G1403" i="22" s="1"/>
  <c r="D1394" i="22"/>
  <c r="D1395" i="22" s="1"/>
  <c r="G1397" i="22"/>
  <c r="G1393" i="22"/>
  <c r="I1392" i="22" a="1"/>
  <c r="H1392" i="22" a="1"/>
  <c r="H1392" i="22" s="1"/>
  <c r="B1392" i="22" a="1"/>
  <c r="B1392" i="22" s="1"/>
  <c r="D1391" i="22"/>
  <c r="C1391" i="22"/>
  <c r="E1392" i="22" s="1"/>
  <c r="G1392" i="22" s="1"/>
  <c r="B1391" i="22"/>
  <c r="G1390" i="22"/>
  <c r="G1387" i="22"/>
  <c r="G1384" i="22"/>
  <c r="G1381" i="22"/>
  <c r="I1379" i="22" a="1"/>
  <c r="H1379" i="22" a="1"/>
  <c r="H1379" i="22" s="1"/>
  <c r="B1379" i="22" a="1"/>
  <c r="B1379" i="22" s="1"/>
  <c r="D1378" i="22"/>
  <c r="E1380" i="22" s="1"/>
  <c r="C1378" i="22"/>
  <c r="E1379" i="22" s="1"/>
  <c r="G1379" i="22" s="1"/>
  <c r="B1378" i="22"/>
  <c r="E1377" i="22"/>
  <c r="G1377" i="22" s="1"/>
  <c r="D1368" i="22"/>
  <c r="D1369" i="22" s="1"/>
  <c r="G1371" i="22"/>
  <c r="G1367" i="22"/>
  <c r="H1366" i="22" a="1"/>
  <c r="H1366" i="22" s="1"/>
  <c r="B1366" i="22" a="1"/>
  <c r="B1366" i="22" s="1"/>
  <c r="D1365" i="22"/>
  <c r="C1365" i="22"/>
  <c r="E1366" i="22" s="1"/>
  <c r="B1365" i="22"/>
  <c r="G1364" i="22"/>
  <c r="G1361" i="22"/>
  <c r="G1358" i="22"/>
  <c r="G1355" i="22"/>
  <c r="I1353" i="22" a="1"/>
  <c r="H1353" i="22" a="1"/>
  <c r="H1353" i="22" s="1"/>
  <c r="B1353" i="22" a="1"/>
  <c r="B1353" i="22" s="1"/>
  <c r="D1352" i="22"/>
  <c r="E1356" i="22" s="1"/>
  <c r="C1352" i="22"/>
  <c r="E1353" i="22" s="1"/>
  <c r="G1353" i="22" s="1"/>
  <c r="B1352" i="22"/>
  <c r="E1351" i="22"/>
  <c r="G1351" i="22" s="1"/>
  <c r="D1342" i="22"/>
  <c r="D1343" i="22" s="1"/>
  <c r="G1345" i="22"/>
  <c r="G1341" i="22"/>
  <c r="H1340" i="22" a="1"/>
  <c r="H1340" i="22" s="1"/>
  <c r="B1340" i="22" a="1"/>
  <c r="B1340" i="22" s="1"/>
  <c r="D1339" i="22"/>
  <c r="C1339" i="22"/>
  <c r="E1340" i="22" s="1"/>
  <c r="B1339" i="22"/>
  <c r="G1338" i="22"/>
  <c r="G1335" i="22"/>
  <c r="G1332" i="22"/>
  <c r="G1329" i="22"/>
  <c r="I1327" i="22" a="1"/>
  <c r="H1327" i="22" a="1"/>
  <c r="H1327" i="22" s="1"/>
  <c r="B1327" i="22" a="1"/>
  <c r="B1327" i="22" s="1"/>
  <c r="D1326" i="22"/>
  <c r="E1330" i="22" s="1"/>
  <c r="C1326" i="22"/>
  <c r="E1327" i="22" s="1"/>
  <c r="B1326" i="22"/>
  <c r="D1313" i="22"/>
  <c r="E1317" i="22" s="1"/>
  <c r="E1320" i="22" s="1"/>
  <c r="C1313" i="22"/>
  <c r="E1314" i="22" s="1"/>
  <c r="G1325" i="22"/>
  <c r="G1322" i="22"/>
  <c r="G1319" i="22"/>
  <c r="G1316" i="22"/>
  <c r="H1314" i="22" a="1"/>
  <c r="H1314" i="22" s="1"/>
  <c r="B1314" i="22" a="1"/>
  <c r="B1314" i="22" s="1"/>
  <c r="B1313" i="22"/>
  <c r="F1283" i="22"/>
  <c r="F1286" i="22" s="1"/>
  <c r="G1288" i="22"/>
  <c r="G1285" i="22"/>
  <c r="G1282" i="22"/>
  <c r="H1280" i="22" a="1"/>
  <c r="H1280" i="22" s="1"/>
  <c r="B1280" i="22" a="1"/>
  <c r="B1280" i="22" s="1"/>
  <c r="D1279" i="22"/>
  <c r="E1281" i="22" s="1"/>
  <c r="G1281" i="22" s="1"/>
  <c r="C1279" i="22"/>
  <c r="E1280" i="22" s="1"/>
  <c r="B1279" i="22"/>
  <c r="G1278" i="22"/>
  <c r="G1275" i="22"/>
  <c r="G1272" i="22"/>
  <c r="H1270" i="22" a="1"/>
  <c r="H1270" i="22" s="1"/>
  <c r="B1270" i="22" a="1"/>
  <c r="B1270" i="22" s="1"/>
  <c r="D1269" i="22"/>
  <c r="E1273" i="22" s="1"/>
  <c r="E1276" i="22" s="1"/>
  <c r="C1269" i="22"/>
  <c r="E1270" i="22" s="1"/>
  <c r="B1269" i="22"/>
  <c r="D1259" i="22"/>
  <c r="D1258" i="22"/>
  <c r="D1257" i="22"/>
  <c r="E1268" i="22"/>
  <c r="G1268" i="22" s="1"/>
  <c r="G1267" i="22"/>
  <c r="G1264" i="22"/>
  <c r="G1261" i="22"/>
  <c r="G1256" i="22"/>
  <c r="I1255" i="22" a="1"/>
  <c r="H1255" i="22" a="1"/>
  <c r="H1255" i="22" s="1"/>
  <c r="B1255" i="22" a="1"/>
  <c r="B1255" i="22" s="1"/>
  <c r="D1254" i="22"/>
  <c r="C1254" i="22"/>
  <c r="E1255" i="22" s="1"/>
  <c r="G1255" i="22" s="1"/>
  <c r="B1254" i="22"/>
  <c r="E1253" i="22"/>
  <c r="G1253" i="22" s="1"/>
  <c r="D1244" i="22"/>
  <c r="D1245" i="22" s="1"/>
  <c r="G1247" i="22"/>
  <c r="G1243" i="22"/>
  <c r="I1242" i="22" a="1"/>
  <c r="I1242" i="22" s="1"/>
  <c r="H1242" i="22" a="1"/>
  <c r="H1242" i="22" s="1"/>
  <c r="B1242" i="22" a="1"/>
  <c r="B1242" i="22" s="1"/>
  <c r="D1241" i="22"/>
  <c r="C1241" i="22"/>
  <c r="E1242" i="22" s="1"/>
  <c r="B1241" i="22"/>
  <c r="D1228" i="22"/>
  <c r="E1230" i="22" s="1"/>
  <c r="C1228" i="22"/>
  <c r="E1229" i="22" s="1"/>
  <c r="G1240" i="22"/>
  <c r="G1237" i="22"/>
  <c r="G1234" i="22"/>
  <c r="G1231" i="22"/>
  <c r="I1229" i="22" a="1"/>
  <c r="I1229" i="22" s="1"/>
  <c r="H1229" i="22" a="1"/>
  <c r="H1229" i="22" s="1"/>
  <c r="B1229" i="22" a="1"/>
  <c r="B1229" i="22" s="1"/>
  <c r="B1228" i="22"/>
  <c r="E1227" i="22"/>
  <c r="G1227" i="22" s="1"/>
  <c r="D1218" i="22"/>
  <c r="D1219" i="22" s="1"/>
  <c r="G1221" i="22"/>
  <c r="G1217" i="22"/>
  <c r="H1216" i="22" a="1"/>
  <c r="H1216" i="22" s="1"/>
  <c r="B1216" i="22" a="1"/>
  <c r="B1216" i="22" s="1"/>
  <c r="D1215" i="22"/>
  <c r="C1215" i="22"/>
  <c r="E1216" i="22" s="1"/>
  <c r="E1220" i="22" s="1"/>
  <c r="G1220" i="22" s="1"/>
  <c r="B1215" i="22"/>
  <c r="G1214" i="22"/>
  <c r="G1211" i="22"/>
  <c r="G1208" i="22"/>
  <c r="G1205" i="22"/>
  <c r="I1203" i="22" a="1"/>
  <c r="H1203" i="22" a="1"/>
  <c r="H1203" i="22" s="1"/>
  <c r="B1203" i="22" a="1"/>
  <c r="B1203" i="22" s="1"/>
  <c r="D1202" i="22"/>
  <c r="E1204" i="22" s="1"/>
  <c r="C1202" i="22"/>
  <c r="E1203" i="22" s="1"/>
  <c r="G1203" i="22" s="1"/>
  <c r="B1202" i="22"/>
  <c r="G1201" i="22"/>
  <c r="G1198" i="22"/>
  <c r="G1195" i="22"/>
  <c r="G1192" i="22"/>
  <c r="H1190" i="22" a="1"/>
  <c r="H1190" i="22" s="1"/>
  <c r="B1190" i="22" a="1"/>
  <c r="B1190" i="22" s="1"/>
  <c r="D1189" i="22"/>
  <c r="E1191" i="22" s="1"/>
  <c r="C1189" i="22"/>
  <c r="E1190" i="22" s="1"/>
  <c r="G1190" i="22" s="1"/>
  <c r="B1189" i="22"/>
  <c r="F1159" i="22"/>
  <c r="F1162" i="22" s="1"/>
  <c r="G1164" i="22"/>
  <c r="G1161" i="22"/>
  <c r="G1158" i="22"/>
  <c r="H1156" i="22" a="1"/>
  <c r="H1156" i="22" s="1"/>
  <c r="B1156" i="22" a="1"/>
  <c r="B1156" i="22" s="1"/>
  <c r="D1155" i="22"/>
  <c r="E1159" i="22" s="1"/>
  <c r="E1162" i="22" s="1"/>
  <c r="C1155" i="22"/>
  <c r="E1156" i="22" s="1"/>
  <c r="E1163" i="22" s="1"/>
  <c r="G1163" i="22" s="1"/>
  <c r="B1155" i="22"/>
  <c r="G1154" i="22"/>
  <c r="G1151" i="22"/>
  <c r="G1148" i="22"/>
  <c r="H1146" i="22" a="1"/>
  <c r="H1146" i="22" s="1"/>
  <c r="B1146" i="22" a="1"/>
  <c r="B1146" i="22" s="1"/>
  <c r="D1145" i="22"/>
  <c r="E1149" i="22" s="1"/>
  <c r="E1152" i="22" s="1"/>
  <c r="C1145" i="22"/>
  <c r="E1146" i="22" s="1"/>
  <c r="E1150" i="22" s="1"/>
  <c r="B1145" i="22"/>
  <c r="D1135" i="22"/>
  <c r="D1133" i="22"/>
  <c r="E1144" i="22"/>
  <c r="G1144" i="22" s="1"/>
  <c r="G1143" i="22"/>
  <c r="G1140" i="22"/>
  <c r="G1137" i="22"/>
  <c r="G1132" i="22"/>
  <c r="I1131" i="22" a="1"/>
  <c r="H1131" i="22" a="1"/>
  <c r="H1131" i="22" s="1"/>
  <c r="B1131" i="22" a="1"/>
  <c r="B1131" i="22" s="1"/>
  <c r="D1130" i="22"/>
  <c r="C1130" i="22"/>
  <c r="E1131" i="22" s="1"/>
  <c r="E1136" i="22" s="1"/>
  <c r="G1136" i="22" s="1"/>
  <c r="B1130" i="22"/>
  <c r="E1129" i="22"/>
  <c r="G1129" i="22" s="1"/>
  <c r="D1120" i="22"/>
  <c r="D1121" i="22" s="1"/>
  <c r="G1123" i="22"/>
  <c r="G1119" i="22"/>
  <c r="I1118" i="22" a="1"/>
  <c r="I1118" i="22" s="1"/>
  <c r="H1118" i="22" a="1"/>
  <c r="H1118" i="22" s="1"/>
  <c r="B1118" i="22" a="1"/>
  <c r="B1118" i="22" s="1"/>
  <c r="D1117" i="22"/>
  <c r="C1117" i="22"/>
  <c r="E1118" i="22" s="1"/>
  <c r="E1122" i="22" s="1"/>
  <c r="B1117" i="22"/>
  <c r="G1116" i="22"/>
  <c r="G1113" i="22"/>
  <c r="G1110" i="22"/>
  <c r="G1107" i="22"/>
  <c r="I1105" i="22" a="1"/>
  <c r="I1105" i="22" s="1"/>
  <c r="H1105" i="22" a="1"/>
  <c r="H1105" i="22" s="1"/>
  <c r="B1105" i="22" a="1"/>
  <c r="B1105" i="22" s="1"/>
  <c r="D1104" i="22"/>
  <c r="C1104" i="22"/>
  <c r="E1105" i="22" s="1"/>
  <c r="B1104" i="22"/>
  <c r="E1103" i="22"/>
  <c r="G1103" i="22" s="1"/>
  <c r="D1094" i="22"/>
  <c r="D1095" i="22" s="1"/>
  <c r="G1097" i="22"/>
  <c r="G1093" i="22"/>
  <c r="H1092" i="22" a="1"/>
  <c r="H1092" i="22" s="1"/>
  <c r="B1092" i="22" a="1"/>
  <c r="B1092" i="22" s="1"/>
  <c r="D1091" i="22"/>
  <c r="C1091" i="22"/>
  <c r="E1092" i="22" s="1"/>
  <c r="E1096" i="22" s="1"/>
  <c r="B1091" i="22"/>
  <c r="D1078" i="22"/>
  <c r="C1078" i="22"/>
  <c r="E1079" i="22" s="1"/>
  <c r="G1079" i="22" s="1"/>
  <c r="G1090" i="22"/>
  <c r="G1087" i="22"/>
  <c r="G1084" i="22"/>
  <c r="G1081" i="22"/>
  <c r="I1079" i="22" a="1"/>
  <c r="I1079" i="22" s="1"/>
  <c r="H1079" i="22" a="1"/>
  <c r="H1079" i="22" s="1"/>
  <c r="B1079" i="22" a="1"/>
  <c r="B1079" i="22" s="1"/>
  <c r="B1078" i="22"/>
  <c r="G1077" i="22"/>
  <c r="G1074" i="22"/>
  <c r="G1071" i="22"/>
  <c r="G1068" i="22"/>
  <c r="H1066" i="22" a="1"/>
  <c r="H1066" i="22" s="1"/>
  <c r="B1066" i="22" a="1"/>
  <c r="B1066" i="22" s="1"/>
  <c r="D1065" i="22"/>
  <c r="E1069" i="22" s="1"/>
  <c r="C1065" i="22"/>
  <c r="E1066" i="22" s="1"/>
  <c r="B1065" i="22"/>
  <c r="E1043" i="22"/>
  <c r="G1043" i="22" s="1"/>
  <c r="D1034" i="22"/>
  <c r="D1035" i="22" s="1"/>
  <c r="G1037" i="22"/>
  <c r="G1033" i="22"/>
  <c r="I1032" i="22" a="1"/>
  <c r="H1032" i="22" a="1"/>
  <c r="H1032" i="22" s="1"/>
  <c r="B1032" i="22" a="1"/>
  <c r="B1032" i="22" s="1"/>
  <c r="D1031" i="22"/>
  <c r="C1031" i="22"/>
  <c r="E1032" i="22" s="1"/>
  <c r="E1039" i="22" s="1"/>
  <c r="G1039" i="22" s="1"/>
  <c r="B1031" i="22"/>
  <c r="E1030" i="22"/>
  <c r="G1030" i="22" s="1"/>
  <c r="D1021" i="22"/>
  <c r="D1022" i="22" s="1"/>
  <c r="G1024" i="22"/>
  <c r="G1020" i="22"/>
  <c r="H1019" i="22" a="1"/>
  <c r="H1019" i="22" s="1"/>
  <c r="B1019" i="22" a="1"/>
  <c r="B1019" i="22" s="1"/>
  <c r="D1018" i="22"/>
  <c r="C1018" i="22"/>
  <c r="E1019" i="22" s="1"/>
  <c r="B1018" i="22"/>
  <c r="G1017" i="22"/>
  <c r="G1014" i="22"/>
  <c r="G1011" i="22"/>
  <c r="G1008" i="22"/>
  <c r="I1006" i="22" a="1"/>
  <c r="I1006" i="22" s="1"/>
  <c r="H1006" i="22" a="1"/>
  <c r="H1006" i="22" s="1"/>
  <c r="B1006" i="22" a="1"/>
  <c r="B1006" i="22" s="1"/>
  <c r="D1005" i="22"/>
  <c r="E1007" i="22" s="1"/>
  <c r="C1005" i="22"/>
  <c r="E1006" i="22" s="1"/>
  <c r="B1005" i="22"/>
  <c r="G1004" i="22"/>
  <c r="G1001" i="22"/>
  <c r="G998" i="22"/>
  <c r="G995" i="22"/>
  <c r="I993" i="22" a="1"/>
  <c r="H993" i="22" a="1"/>
  <c r="H993" i="22" s="1"/>
  <c r="B993" i="22" a="1"/>
  <c r="B993" i="22" s="1"/>
  <c r="D992" i="22"/>
  <c r="E996" i="22" s="1"/>
  <c r="E999" i="22" s="1"/>
  <c r="C992" i="22"/>
  <c r="E993" i="22" s="1"/>
  <c r="E997" i="22" s="1"/>
  <c r="B992" i="22"/>
  <c r="G991" i="22"/>
  <c r="G988" i="22"/>
  <c r="G985" i="22"/>
  <c r="G982" i="22"/>
  <c r="H980" i="22" a="1"/>
  <c r="H980" i="22" s="1"/>
  <c r="B980" i="22" a="1"/>
  <c r="B980" i="22" s="1"/>
  <c r="D979" i="22"/>
  <c r="E983" i="22" s="1"/>
  <c r="E986" i="22" s="1"/>
  <c r="C979" i="22"/>
  <c r="E980" i="22" s="1"/>
  <c r="B979" i="22"/>
  <c r="F949" i="22"/>
  <c r="F952" i="22" s="1"/>
  <c r="G954" i="22"/>
  <c r="G951" i="22"/>
  <c r="G948" i="22"/>
  <c r="H946" i="22" a="1"/>
  <c r="H946" i="22" s="1"/>
  <c r="B946" i="22" a="1"/>
  <c r="B946" i="22" s="1"/>
  <c r="D945" i="22"/>
  <c r="E947" i="22" s="1"/>
  <c r="G947" i="22" s="1"/>
  <c r="C945" i="22"/>
  <c r="E946" i="22" s="1"/>
  <c r="G946" i="22" s="1"/>
  <c r="B945" i="22"/>
  <c r="G944" i="22"/>
  <c r="G941" i="22"/>
  <c r="G938" i="22"/>
  <c r="H936" i="22" a="1"/>
  <c r="H936" i="22" s="1"/>
  <c r="B936" i="22" a="1"/>
  <c r="B936" i="22" s="1"/>
  <c r="D935" i="22"/>
  <c r="E939" i="22" s="1"/>
  <c r="E942" i="22" s="1"/>
  <c r="C935" i="22"/>
  <c r="E936" i="22" s="1"/>
  <c r="G936" i="22" s="1"/>
  <c r="B935" i="22"/>
  <c r="D163" i="22"/>
  <c r="D376" i="22"/>
  <c r="D500" i="22"/>
  <c r="D650" i="22"/>
  <c r="D775" i="22"/>
  <c r="D925" i="22"/>
  <c r="D923" i="22"/>
  <c r="E934" i="22"/>
  <c r="G933" i="22"/>
  <c r="G930" i="22"/>
  <c r="G927" i="22"/>
  <c r="G922" i="22"/>
  <c r="I921" i="22" a="1"/>
  <c r="H921" i="22" a="1"/>
  <c r="H921" i="22" s="1"/>
  <c r="B921" i="22" a="1"/>
  <c r="B921" i="22" s="1"/>
  <c r="D920" i="22"/>
  <c r="C920" i="22"/>
  <c r="E921" i="22" s="1"/>
  <c r="B920" i="22"/>
  <c r="E919" i="22"/>
  <c r="G919" i="22" s="1"/>
  <c r="D910" i="22"/>
  <c r="D911" i="22" s="1"/>
  <c r="G913" i="22"/>
  <c r="G909" i="22"/>
  <c r="I908" i="22" a="1"/>
  <c r="I908" i="22" s="1"/>
  <c r="H908" i="22" a="1"/>
  <c r="H908" i="22" s="1"/>
  <c r="B908" i="22" a="1"/>
  <c r="B908" i="22" s="1"/>
  <c r="D907" i="22"/>
  <c r="C907" i="22"/>
  <c r="E908" i="22" s="1"/>
  <c r="B907" i="22"/>
  <c r="G906" i="22"/>
  <c r="G903" i="22"/>
  <c r="G900" i="22"/>
  <c r="G897" i="22"/>
  <c r="I895" i="22" a="1"/>
  <c r="I895" i="22" s="1"/>
  <c r="H895" i="22" a="1"/>
  <c r="H895" i="22" s="1"/>
  <c r="B895" i="22" a="1"/>
  <c r="B895" i="22" s="1"/>
  <c r="D894" i="22"/>
  <c r="E898" i="22" s="1"/>
  <c r="C894" i="22"/>
  <c r="E895" i="22" s="1"/>
  <c r="E899" i="22" s="1"/>
  <c r="B894" i="22"/>
  <c r="G887" i="22"/>
  <c r="G883" i="22"/>
  <c r="E893" i="22"/>
  <c r="G893" i="22" s="1"/>
  <c r="D884" i="22"/>
  <c r="D885" i="22" s="1"/>
  <c r="H882" i="22" a="1"/>
  <c r="H882" i="22" s="1"/>
  <c r="B882" i="22" a="1"/>
  <c r="B882" i="22" s="1"/>
  <c r="D881" i="22"/>
  <c r="C881" i="22"/>
  <c r="E882" i="22" s="1"/>
  <c r="E886" i="22" s="1"/>
  <c r="B881" i="22"/>
  <c r="G880" i="22"/>
  <c r="G877" i="22"/>
  <c r="G874" i="22"/>
  <c r="I869" i="22" a="1"/>
  <c r="H869" i="22" a="1"/>
  <c r="H869" i="22" s="1"/>
  <c r="B869" i="22" a="1"/>
  <c r="B869" i="22" s="1"/>
  <c r="D868" i="22"/>
  <c r="E872" i="22" s="1"/>
  <c r="E875" i="22" s="1"/>
  <c r="C868" i="22"/>
  <c r="E869" i="22" s="1"/>
  <c r="B868" i="22"/>
  <c r="E867" i="22"/>
  <c r="G867" i="22" s="1"/>
  <c r="D858" i="22"/>
  <c r="D859" i="22" s="1"/>
  <c r="G861" i="22"/>
  <c r="G857" i="22"/>
  <c r="H856" i="22" a="1"/>
  <c r="H856" i="22" s="1"/>
  <c r="B856" i="22" a="1"/>
  <c r="B856" i="22" s="1"/>
  <c r="D855" i="22"/>
  <c r="C855" i="22"/>
  <c r="E856" i="22" s="1"/>
  <c r="B855" i="22"/>
  <c r="G854" i="22"/>
  <c r="G851" i="22"/>
  <c r="G848" i="22"/>
  <c r="G845" i="22"/>
  <c r="I843" i="22" a="1"/>
  <c r="I843" i="22" s="1"/>
  <c r="H843" i="22" a="1"/>
  <c r="H843" i="22" s="1"/>
  <c r="B843" i="22" a="1"/>
  <c r="B843" i="22" s="1"/>
  <c r="D842" i="22"/>
  <c r="E844" i="22" s="1"/>
  <c r="C842" i="22"/>
  <c r="E843" i="22" s="1"/>
  <c r="E847" i="22" s="1"/>
  <c r="B842" i="22"/>
  <c r="G841" i="22"/>
  <c r="G838" i="22"/>
  <c r="G835" i="22"/>
  <c r="G832" i="22"/>
  <c r="H830" i="22" a="1"/>
  <c r="H830" i="22" s="1"/>
  <c r="B830" i="22" a="1"/>
  <c r="B830" i="22" s="1"/>
  <c r="D829" i="22"/>
  <c r="E833" i="22" s="1"/>
  <c r="E836" i="22" s="1"/>
  <c r="C829" i="22"/>
  <c r="E830" i="22" s="1"/>
  <c r="B829" i="22"/>
  <c r="F799" i="22"/>
  <c r="F802" i="22" s="1"/>
  <c r="G804" i="22"/>
  <c r="G801" i="22"/>
  <c r="G798" i="22"/>
  <c r="H796" i="22" a="1"/>
  <c r="H796" i="22" s="1"/>
  <c r="B796" i="22" a="1"/>
  <c r="B796" i="22" s="1"/>
  <c r="D795" i="22"/>
  <c r="C795" i="22"/>
  <c r="E796" i="22" s="1"/>
  <c r="B795" i="22"/>
  <c r="G794" i="22"/>
  <c r="G791" i="22"/>
  <c r="G788" i="22"/>
  <c r="H786" i="22" a="1"/>
  <c r="H786" i="22" s="1"/>
  <c r="B786" i="22" a="1"/>
  <c r="B786" i="22" s="1"/>
  <c r="D785" i="22"/>
  <c r="E789" i="22" s="1"/>
  <c r="C785" i="22"/>
  <c r="E786" i="22" s="1"/>
  <c r="G786" i="22" s="1"/>
  <c r="B785" i="22"/>
  <c r="D773" i="22"/>
  <c r="E784" i="22"/>
  <c r="G784" i="22" s="1"/>
  <c r="G783" i="22"/>
  <c r="G780" i="22"/>
  <c r="G777" i="22"/>
  <c r="G772" i="22"/>
  <c r="I771" i="22" a="1"/>
  <c r="I771" i="22" s="1"/>
  <c r="H771" i="22" a="1"/>
  <c r="H771" i="22" s="1"/>
  <c r="B771" i="22" a="1"/>
  <c r="B771" i="22" s="1"/>
  <c r="D770" i="22"/>
  <c r="C770" i="22"/>
  <c r="E771" i="22" s="1"/>
  <c r="E776" i="22" s="1"/>
  <c r="B770" i="22"/>
  <c r="E769" i="22"/>
  <c r="G769" i="22" s="1"/>
  <c r="D760" i="22"/>
  <c r="D761" i="22" s="1"/>
  <c r="G763" i="22"/>
  <c r="G759" i="22"/>
  <c r="H758" i="22" a="1"/>
  <c r="H758" i="22" s="1"/>
  <c r="B758" i="22" a="1"/>
  <c r="B758" i="22" s="1"/>
  <c r="D757" i="22"/>
  <c r="C757" i="22"/>
  <c r="E758" i="22" s="1"/>
  <c r="B757" i="22"/>
  <c r="G756" i="22"/>
  <c r="G753" i="22"/>
  <c r="G750" i="22"/>
  <c r="G747" i="22"/>
  <c r="I745" i="22" a="1"/>
  <c r="I745" i="22" s="1"/>
  <c r="H745" i="22" a="1"/>
  <c r="H745" i="22" s="1"/>
  <c r="B745" i="22" a="1"/>
  <c r="B745" i="22" s="1"/>
  <c r="D744" i="22"/>
  <c r="E748" i="22" s="1"/>
  <c r="E751" i="22" s="1"/>
  <c r="C744" i="22"/>
  <c r="E745" i="22" s="1"/>
  <c r="B744" i="22"/>
  <c r="E743" i="22"/>
  <c r="G743" i="22" s="1"/>
  <c r="D734" i="22"/>
  <c r="G737" i="22"/>
  <c r="G733" i="22"/>
  <c r="H732" i="22" a="1"/>
  <c r="H732" i="22" s="1"/>
  <c r="B732" i="22" a="1"/>
  <c r="B732" i="22" s="1"/>
  <c r="D731" i="22"/>
  <c r="C731" i="22"/>
  <c r="E732" i="22" s="1"/>
  <c r="B731" i="22"/>
  <c r="D718" i="22"/>
  <c r="E720" i="22" s="1"/>
  <c r="C718" i="22"/>
  <c r="E719" i="22" s="1"/>
  <c r="G719" i="22" s="1"/>
  <c r="G730" i="22"/>
  <c r="G727" i="22"/>
  <c r="G724" i="22"/>
  <c r="G721" i="22"/>
  <c r="I719" i="22" a="1"/>
  <c r="I719" i="22" s="1"/>
  <c r="H719" i="22" a="1"/>
  <c r="H719" i="22" s="1"/>
  <c r="B719" i="22" a="1"/>
  <c r="B719" i="22" s="1"/>
  <c r="B718" i="22"/>
  <c r="G717" i="22"/>
  <c r="G714" i="22"/>
  <c r="G711" i="22"/>
  <c r="G708" i="22"/>
  <c r="H706" i="22" a="1"/>
  <c r="H706" i="22" s="1"/>
  <c r="B706" i="22" a="1"/>
  <c r="B706" i="22" s="1"/>
  <c r="D705" i="22"/>
  <c r="E709" i="22" s="1"/>
  <c r="E712" i="22" s="1"/>
  <c r="C705" i="22"/>
  <c r="E706" i="22" s="1"/>
  <c r="E710" i="22" s="1"/>
  <c r="G710" i="22" s="1"/>
  <c r="B705" i="22"/>
  <c r="K46" i="21"/>
  <c r="G679" i="22"/>
  <c r="G676" i="22"/>
  <c r="G673" i="22"/>
  <c r="H671" i="22" a="1"/>
  <c r="H671" i="22" s="1"/>
  <c r="B671" i="22" a="1"/>
  <c r="B671" i="22" s="1"/>
  <c r="D670" i="22"/>
  <c r="E674" i="22" s="1"/>
  <c r="C670" i="22"/>
  <c r="E671" i="22" s="1"/>
  <c r="E678" i="22" s="1"/>
  <c r="G678" i="22" s="1"/>
  <c r="B670" i="22"/>
  <c r="F664" i="22"/>
  <c r="F667" i="22" s="1"/>
  <c r="G669" i="22"/>
  <c r="G666" i="22"/>
  <c r="G663" i="22"/>
  <c r="H661" i="22" a="1"/>
  <c r="H661" i="22" s="1"/>
  <c r="B661" i="22" a="1"/>
  <c r="B661" i="22" s="1"/>
  <c r="D660" i="22"/>
  <c r="E664" i="22" s="1"/>
  <c r="C660" i="22"/>
  <c r="E661" i="22" s="1"/>
  <c r="B660" i="22"/>
  <c r="D649" i="22"/>
  <c r="D648" i="22"/>
  <c r="G647" i="22"/>
  <c r="G652" i="22"/>
  <c r="G655" i="22"/>
  <c r="G658" i="22"/>
  <c r="B646" i="22" a="1"/>
  <c r="B646" i="22" s="1"/>
  <c r="E659" i="22"/>
  <c r="I646" i="22" a="1"/>
  <c r="I646" i="22" s="1"/>
  <c r="H646" i="22" a="1"/>
  <c r="H646" i="22" s="1"/>
  <c r="D645" i="22"/>
  <c r="C645" i="22"/>
  <c r="E646" i="22" s="1"/>
  <c r="B645" i="22"/>
  <c r="E644" i="22"/>
  <c r="G644" i="22" s="1"/>
  <c r="D635" i="22"/>
  <c r="G638" i="22"/>
  <c r="G634" i="22"/>
  <c r="I633" i="22" a="1"/>
  <c r="I633" i="22" s="1"/>
  <c r="H633" i="22" a="1"/>
  <c r="H633" i="22" s="1"/>
  <c r="B633" i="22" a="1"/>
  <c r="B633" i="22" s="1"/>
  <c r="D632" i="22"/>
  <c r="C632" i="22"/>
  <c r="E633" i="22" s="1"/>
  <c r="B632" i="22"/>
  <c r="G631" i="22"/>
  <c r="G628" i="22"/>
  <c r="G625" i="22"/>
  <c r="G622" i="22"/>
  <c r="I620" i="22" a="1"/>
  <c r="I620" i="22" s="1"/>
  <c r="H620" i="22" a="1"/>
  <c r="H620" i="22" s="1"/>
  <c r="B620" i="22" a="1"/>
  <c r="B620" i="22" s="1"/>
  <c r="D619" i="22"/>
  <c r="E621" i="22" s="1"/>
  <c r="C619" i="22"/>
  <c r="E620" i="22" s="1"/>
  <c r="B619" i="22"/>
  <c r="E618" i="22"/>
  <c r="G618" i="22" s="1"/>
  <c r="D609" i="22"/>
  <c r="D610" i="22" s="1"/>
  <c r="G612" i="22"/>
  <c r="G608" i="22"/>
  <c r="H607" i="22" a="1"/>
  <c r="H607" i="22" s="1"/>
  <c r="B607" i="22" a="1"/>
  <c r="B607" i="22" s="1"/>
  <c r="D606" i="22"/>
  <c r="C606" i="22"/>
  <c r="E607" i="22" s="1"/>
  <c r="B606" i="22"/>
  <c r="G605" i="22"/>
  <c r="G602" i="22"/>
  <c r="G599" i="22"/>
  <c r="G596" i="22"/>
  <c r="I594" i="22" a="1"/>
  <c r="I594" i="22" s="1"/>
  <c r="H594" i="22" a="1"/>
  <c r="H594" i="22" s="1"/>
  <c r="B594" i="22" a="1"/>
  <c r="B594" i="22" s="1"/>
  <c r="D593" i="22"/>
  <c r="E597" i="22" s="1"/>
  <c r="E600" i="22" s="1"/>
  <c r="C593" i="22"/>
  <c r="E594" i="22" s="1"/>
  <c r="B593" i="22"/>
  <c r="E592" i="22"/>
  <c r="G592" i="22" s="1"/>
  <c r="D583" i="22"/>
  <c r="D584" i="22" s="1"/>
  <c r="G586" i="22"/>
  <c r="G582" i="22"/>
  <c r="H581" i="22" a="1"/>
  <c r="H581" i="22" s="1"/>
  <c r="B581" i="22" a="1"/>
  <c r="B581" i="22" s="1"/>
  <c r="D580" i="22"/>
  <c r="C580" i="22"/>
  <c r="E581" i="22" s="1"/>
  <c r="E585" i="22" s="1"/>
  <c r="G585" i="22" s="1"/>
  <c r="B580" i="22"/>
  <c r="G579" i="22"/>
  <c r="G576" i="22"/>
  <c r="G573" i="22"/>
  <c r="G570" i="22"/>
  <c r="I568" i="22" a="1"/>
  <c r="I568" i="22" s="1"/>
  <c r="H568" i="22" a="1"/>
  <c r="H568" i="22" s="1"/>
  <c r="B568" i="22" a="1"/>
  <c r="B568" i="22" s="1"/>
  <c r="D567" i="22"/>
  <c r="E571" i="22" s="1"/>
  <c r="E574" i="22" s="1"/>
  <c r="C567" i="22"/>
  <c r="E568" i="22" s="1"/>
  <c r="B567" i="22"/>
  <c r="G566" i="22"/>
  <c r="G563" i="22"/>
  <c r="G560" i="22"/>
  <c r="G557" i="22"/>
  <c r="H555" i="22" a="1"/>
  <c r="H555" i="22" s="1"/>
  <c r="B555" i="22" a="1"/>
  <c r="B555" i="22" s="1"/>
  <c r="D554" i="22"/>
  <c r="E558" i="22" s="1"/>
  <c r="C554" i="22"/>
  <c r="E555" i="22" s="1"/>
  <c r="B554" i="22"/>
  <c r="F524" i="22"/>
  <c r="G529" i="22"/>
  <c r="G526" i="22"/>
  <c r="G523" i="22"/>
  <c r="H521" i="22" a="1"/>
  <c r="H521" i="22" s="1"/>
  <c r="B521" i="22" a="1"/>
  <c r="B521" i="22" s="1"/>
  <c r="D520" i="22"/>
  <c r="E524" i="22" s="1"/>
  <c r="E527" i="22" s="1"/>
  <c r="C520" i="22"/>
  <c r="E521" i="22" s="1"/>
  <c r="G521" i="22" s="1"/>
  <c r="B520" i="22"/>
  <c r="G519" i="22"/>
  <c r="G516" i="22"/>
  <c r="G513" i="22"/>
  <c r="H511" i="22" a="1"/>
  <c r="H511" i="22" s="1"/>
  <c r="B511" i="22" a="1"/>
  <c r="B511" i="22" s="1"/>
  <c r="D510" i="22"/>
  <c r="E512" i="22" s="1"/>
  <c r="G512" i="22" s="1"/>
  <c r="C510" i="22"/>
  <c r="E511" i="22" s="1"/>
  <c r="E515" i="22" s="1"/>
  <c r="B510" i="22"/>
  <c r="D498" i="22"/>
  <c r="E509" i="22"/>
  <c r="E499" i="22" s="1"/>
  <c r="G499" i="22" s="1"/>
  <c r="G508" i="22"/>
  <c r="G505" i="22"/>
  <c r="G502" i="22"/>
  <c r="G497" i="22"/>
  <c r="I496" i="22" a="1"/>
  <c r="I496" i="22" s="1"/>
  <c r="H496" i="22" a="1"/>
  <c r="H496" i="22" s="1"/>
  <c r="B496" i="22" a="1"/>
  <c r="B496" i="22" s="1"/>
  <c r="D495" i="22"/>
  <c r="C495" i="22"/>
  <c r="E496" i="22" s="1"/>
  <c r="B495" i="22"/>
  <c r="E494" i="22"/>
  <c r="G494" i="22" s="1"/>
  <c r="D485" i="22"/>
  <c r="D486" i="22" s="1"/>
  <c r="G488" i="22"/>
  <c r="G484" i="22"/>
  <c r="H483" i="22" a="1"/>
  <c r="H483" i="22" s="1"/>
  <c r="B483" i="22" a="1"/>
  <c r="B483" i="22" s="1"/>
  <c r="D482" i="22"/>
  <c r="C482" i="22"/>
  <c r="E483" i="22" s="1"/>
  <c r="B482" i="22"/>
  <c r="G481" i="22"/>
  <c r="G478" i="22"/>
  <c r="G475" i="22"/>
  <c r="G472" i="22"/>
  <c r="I470" i="22" a="1"/>
  <c r="I470" i="22" s="1"/>
  <c r="H470" i="22" a="1"/>
  <c r="H470" i="22" s="1"/>
  <c r="B470" i="22" a="1"/>
  <c r="B470" i="22" s="1"/>
  <c r="D469" i="22"/>
  <c r="E471" i="22" s="1"/>
  <c r="C469" i="22"/>
  <c r="E470" i="22" s="1"/>
  <c r="B469" i="22"/>
  <c r="E468" i="22"/>
  <c r="G468" i="22" s="1"/>
  <c r="D459" i="22"/>
  <c r="D460" i="22" s="1"/>
  <c r="G462" i="22"/>
  <c r="G458" i="22"/>
  <c r="H457" i="22" a="1"/>
  <c r="H457" i="22" s="1"/>
  <c r="B457" i="22" a="1"/>
  <c r="B457" i="22" s="1"/>
  <c r="D456" i="22"/>
  <c r="C456" i="22"/>
  <c r="E457" i="22" s="1"/>
  <c r="B456" i="22"/>
  <c r="G455" i="22"/>
  <c r="G452" i="22"/>
  <c r="G449" i="22"/>
  <c r="G446" i="22"/>
  <c r="I444" i="22" a="1"/>
  <c r="I444" i="22" s="1"/>
  <c r="H444" i="22" a="1"/>
  <c r="H444" i="22" s="1"/>
  <c r="B444" i="22" a="1"/>
  <c r="B444" i="22" s="1"/>
  <c r="D443" i="22"/>
  <c r="E447" i="22" s="1"/>
  <c r="E450" i="22" s="1"/>
  <c r="C443" i="22"/>
  <c r="E444" i="22" s="1"/>
  <c r="B443" i="22"/>
  <c r="G442" i="22"/>
  <c r="G439" i="22"/>
  <c r="G436" i="22"/>
  <c r="G433" i="22"/>
  <c r="H431" i="22" a="1"/>
  <c r="H431" i="22" s="1"/>
  <c r="B431" i="22" a="1"/>
  <c r="B431" i="22" s="1"/>
  <c r="D430" i="22"/>
  <c r="E434" i="22" s="1"/>
  <c r="E437" i="22" s="1"/>
  <c r="C430" i="22"/>
  <c r="E431" i="22" s="1"/>
  <c r="G431" i="22" s="1"/>
  <c r="B430" i="22"/>
  <c r="F400" i="22"/>
  <c r="F403" i="22" s="1"/>
  <c r="G405" i="22"/>
  <c r="G402" i="22"/>
  <c r="G399" i="22"/>
  <c r="H397" i="22" a="1"/>
  <c r="H397" i="22" s="1"/>
  <c r="B397" i="22" a="1"/>
  <c r="B397" i="22" s="1"/>
  <c r="D396" i="22"/>
  <c r="E398" i="22" s="1"/>
  <c r="G398" i="22" s="1"/>
  <c r="C396" i="22"/>
  <c r="E397" i="22" s="1"/>
  <c r="B396" i="22"/>
  <c r="G395" i="22"/>
  <c r="G392" i="22"/>
  <c r="G389" i="22"/>
  <c r="H387" i="22" a="1"/>
  <c r="H387" i="22" s="1"/>
  <c r="B387" i="22" a="1"/>
  <c r="B387" i="22" s="1"/>
  <c r="D386" i="22"/>
  <c r="E388" i="22" s="1"/>
  <c r="G388" i="22" s="1"/>
  <c r="C386" i="22"/>
  <c r="E387" i="22" s="1"/>
  <c r="G387" i="22" s="1"/>
  <c r="B386" i="22"/>
  <c r="D374" i="22"/>
  <c r="E385" i="22"/>
  <c r="G385" i="22" s="1"/>
  <c r="G384" i="22"/>
  <c r="G381" i="22"/>
  <c r="G378" i="22"/>
  <c r="G373" i="22"/>
  <c r="I372" i="22" a="1"/>
  <c r="I372" i="22" s="1"/>
  <c r="H372" i="22" a="1"/>
  <c r="H372" i="22" s="1"/>
  <c r="B372" i="22" a="1"/>
  <c r="B372" i="22" s="1"/>
  <c r="D371" i="22"/>
  <c r="C371" i="22"/>
  <c r="E372" i="22" s="1"/>
  <c r="B371" i="22"/>
  <c r="E370" i="22"/>
  <c r="G370" i="22" s="1"/>
  <c r="D361" i="22"/>
  <c r="D362" i="22" s="1"/>
  <c r="G364" i="22"/>
  <c r="G360" i="22"/>
  <c r="I359" i="22" a="1"/>
  <c r="I359" i="22" s="1"/>
  <c r="H359" i="22" a="1"/>
  <c r="H359" i="22" s="1"/>
  <c r="B359" i="22" a="1"/>
  <c r="B359" i="22" s="1"/>
  <c r="D358" i="22"/>
  <c r="C358" i="22"/>
  <c r="E359" i="22" s="1"/>
  <c r="B358" i="22"/>
  <c r="G357" i="22"/>
  <c r="G354" i="22"/>
  <c r="G351" i="22"/>
  <c r="G348" i="22"/>
  <c r="I346" i="22" a="1"/>
  <c r="H346" i="22" a="1"/>
  <c r="H346" i="22" s="1"/>
  <c r="B346" i="22" a="1"/>
  <c r="B346" i="22" s="1"/>
  <c r="D345" i="22"/>
  <c r="E347" i="22" s="1"/>
  <c r="C345" i="22"/>
  <c r="E346" i="22" s="1"/>
  <c r="E350" i="22" s="1"/>
  <c r="E353" i="22" s="1"/>
  <c r="G353" i="22" s="1"/>
  <c r="B345" i="22"/>
  <c r="E344" i="22"/>
  <c r="G344" i="22" s="1"/>
  <c r="D335" i="22"/>
  <c r="D336" i="22" s="1"/>
  <c r="G338" i="22"/>
  <c r="G334" i="22"/>
  <c r="H333" i="22" a="1"/>
  <c r="H333" i="22" s="1"/>
  <c r="B333" i="22" a="1"/>
  <c r="B333" i="22" s="1"/>
  <c r="D332" i="22"/>
  <c r="C332" i="22"/>
  <c r="E333" i="22" s="1"/>
  <c r="B332" i="22"/>
  <c r="D319" i="22"/>
  <c r="E323" i="22" s="1"/>
  <c r="C319" i="22"/>
  <c r="E320" i="22" s="1"/>
  <c r="E324" i="22" s="1"/>
  <c r="E327" i="22" s="1"/>
  <c r="G327" i="22" s="1"/>
  <c r="G331" i="22"/>
  <c r="G328" i="22"/>
  <c r="G325" i="22"/>
  <c r="G322" i="22"/>
  <c r="I320" i="22" a="1"/>
  <c r="H320" i="22" a="1"/>
  <c r="H320" i="22" s="1"/>
  <c r="B320" i="22" a="1"/>
  <c r="B320" i="22" s="1"/>
  <c r="B319" i="22"/>
  <c r="D306" i="22"/>
  <c r="E310" i="22" s="1"/>
  <c r="E313" i="22" s="1"/>
  <c r="C306" i="22"/>
  <c r="E307" i="22" s="1"/>
  <c r="G318" i="22"/>
  <c r="G315" i="22"/>
  <c r="G312" i="22"/>
  <c r="G309" i="22"/>
  <c r="H307" i="22" a="1"/>
  <c r="H307" i="22" s="1"/>
  <c r="B307" i="22" a="1"/>
  <c r="B307" i="22" s="1"/>
  <c r="B306" i="22"/>
  <c r="E270" i="22"/>
  <c r="G270" i="22" s="1"/>
  <c r="D274" i="22"/>
  <c r="G277" i="22"/>
  <c r="G273" i="22"/>
  <c r="I272" i="22" a="1"/>
  <c r="I272" i="22" s="1"/>
  <c r="H272" i="22" a="1"/>
  <c r="H272" i="22" s="1"/>
  <c r="B272" i="22" a="1"/>
  <c r="B272" i="22" s="1"/>
  <c r="D271" i="22"/>
  <c r="C271" i="22"/>
  <c r="E272" i="22" s="1"/>
  <c r="B271" i="22"/>
  <c r="D261" i="22"/>
  <c r="D262" i="22" s="1"/>
  <c r="G264" i="22"/>
  <c r="G260" i="22"/>
  <c r="H259" i="22" a="1"/>
  <c r="H259" i="22" s="1"/>
  <c r="B259" i="22" a="1"/>
  <c r="B259" i="22" s="1"/>
  <c r="D258" i="22"/>
  <c r="C258" i="22"/>
  <c r="E259" i="22" s="1"/>
  <c r="B258" i="22"/>
  <c r="G257" i="22"/>
  <c r="G254" i="22"/>
  <c r="G251" i="22"/>
  <c r="G248" i="22"/>
  <c r="I246" i="22" a="1"/>
  <c r="I246" i="22" s="1"/>
  <c r="H246" i="22" a="1"/>
  <c r="H246" i="22" s="1"/>
  <c r="B246" i="22" a="1"/>
  <c r="B246" i="22" s="1"/>
  <c r="D245" i="22"/>
  <c r="E249" i="22" s="1"/>
  <c r="E252" i="22" s="1"/>
  <c r="C245" i="22"/>
  <c r="E246" i="22" s="1"/>
  <c r="B245" i="22"/>
  <c r="D232" i="22"/>
  <c r="E234" i="22" s="1"/>
  <c r="C232" i="22"/>
  <c r="E233" i="22" s="1"/>
  <c r="G244" i="22"/>
  <c r="G241" i="22"/>
  <c r="G238" i="22"/>
  <c r="G235" i="22"/>
  <c r="I233" i="22" a="1"/>
  <c r="I233" i="22" s="1"/>
  <c r="H233" i="22" a="1"/>
  <c r="H233" i="22" s="1"/>
  <c r="B233" i="22" a="1"/>
  <c r="B233" i="22" s="1"/>
  <c r="I18" i="22" a="1"/>
  <c r="I18" i="22" s="1"/>
  <c r="H18" i="22" a="1"/>
  <c r="H18" i="22" s="1"/>
  <c r="B18" i="22" a="1"/>
  <c r="B18" i="22" s="1"/>
  <c r="E44" i="10"/>
  <c r="G44" i="10" s="1"/>
  <c r="G43" i="10"/>
  <c r="E40" i="10"/>
  <c r="G40" i="10" s="1"/>
  <c r="E38" i="10"/>
  <c r="G38" i="10" s="1"/>
  <c r="E37" i="10"/>
  <c r="G37" i="10" s="1"/>
  <c r="B232" i="22"/>
  <c r="D219" i="22"/>
  <c r="C219" i="22"/>
  <c r="E220" i="22" s="1"/>
  <c r="E224" i="22" s="1"/>
  <c r="G222" i="22"/>
  <c r="G225" i="22"/>
  <c r="G228" i="22"/>
  <c r="G231" i="22"/>
  <c r="H220" i="22" a="1"/>
  <c r="H220" i="22" s="1"/>
  <c r="B220" i="22" a="1"/>
  <c r="B220" i="22" s="1"/>
  <c r="B219" i="22"/>
  <c r="G186" i="22"/>
  <c r="G189" i="22"/>
  <c r="G192" i="22"/>
  <c r="G176" i="22"/>
  <c r="G179" i="22"/>
  <c r="G182" i="22"/>
  <c r="G160" i="22"/>
  <c r="G165" i="22"/>
  <c r="G168" i="22"/>
  <c r="G171" i="22"/>
  <c r="G147" i="22"/>
  <c r="G151" i="22"/>
  <c r="G135" i="22"/>
  <c r="G138" i="22"/>
  <c r="G141" i="22"/>
  <c r="G144" i="22"/>
  <c r="G121" i="22"/>
  <c r="G125" i="22"/>
  <c r="G109" i="22"/>
  <c r="G112" i="22"/>
  <c r="G115" i="22"/>
  <c r="G118" i="22"/>
  <c r="G96" i="22"/>
  <c r="G99" i="22"/>
  <c r="G102" i="22"/>
  <c r="G105" i="22"/>
  <c r="F187" i="22"/>
  <c r="F190" i="22" s="1"/>
  <c r="H184" i="22" a="1"/>
  <c r="H184" i="22" s="1"/>
  <c r="B184" i="22" a="1"/>
  <c r="B184" i="22" s="1"/>
  <c r="D183" i="22"/>
  <c r="C183" i="22"/>
  <c r="E184" i="22" s="1"/>
  <c r="B183" i="22"/>
  <c r="D173" i="22"/>
  <c r="E177" i="22" s="1"/>
  <c r="C173" i="22"/>
  <c r="E174" i="22" s="1"/>
  <c r="E178" i="22" s="1"/>
  <c r="I21" i="25" l="1"/>
  <c r="E13" i="29" s="1"/>
  <c r="F13" i="29" s="1"/>
  <c r="I113" i="8"/>
  <c r="H113" i="8" s="1"/>
  <c r="N17" i="29"/>
  <c r="C6" i="27"/>
  <c r="H126" i="8"/>
  <c r="F6" i="29"/>
  <c r="F17" i="16"/>
  <c r="F20" i="16" s="1"/>
  <c r="F18" i="29"/>
  <c r="F13" i="24"/>
  <c r="I9" i="24" s="1"/>
  <c r="E18" i="24"/>
  <c r="E8" i="24"/>
  <c r="E23" i="24"/>
  <c r="E38" i="24"/>
  <c r="M368" i="2"/>
  <c r="M369" i="2" s="1"/>
  <c r="M370" i="2" s="1"/>
  <c r="C13" i="27"/>
  <c r="K126" i="8"/>
  <c r="G24" i="28"/>
  <c r="J31" i="28"/>
  <c r="G31" i="28"/>
  <c r="J32" i="28"/>
  <c r="G32" i="28"/>
  <c r="J33" i="28"/>
  <c r="G33" i="28"/>
  <c r="J34" i="28"/>
  <c r="G34" i="28"/>
  <c r="J35" i="28"/>
  <c r="G35" i="28"/>
  <c r="J38" i="28"/>
  <c r="G38" i="28"/>
  <c r="J39" i="28"/>
  <c r="G39" i="28"/>
  <c r="J40" i="28"/>
  <c r="G40" i="28"/>
  <c r="J42" i="28"/>
  <c r="G42" i="28"/>
  <c r="C14" i="26"/>
  <c r="I39" i="24"/>
  <c r="F43" i="24"/>
  <c r="F8" i="24"/>
  <c r="I4" i="24" s="1"/>
  <c r="F33" i="24"/>
  <c r="I29" i="24" s="1"/>
  <c r="F28" i="24"/>
  <c r="I24" i="24" s="1"/>
  <c r="I34" i="24"/>
  <c r="F38" i="24"/>
  <c r="F17" i="24"/>
  <c r="F18" i="24" s="1"/>
  <c r="I14" i="24" s="1"/>
  <c r="F20" i="24"/>
  <c r="F23" i="24" s="1"/>
  <c r="I19" i="24" s="1"/>
  <c r="E13" i="24"/>
  <c r="E28" i="24"/>
  <c r="E33" i="24"/>
  <c r="E43" i="24"/>
  <c r="F18" i="16"/>
  <c r="K98" i="8"/>
  <c r="J98" i="8"/>
  <c r="L1925" i="22"/>
  <c r="G1928" i="22"/>
  <c r="L1928" i="22" s="1"/>
  <c r="P1928" i="22" s="1"/>
  <c r="L1929" i="22"/>
  <c r="P1929" i="22" s="1"/>
  <c r="E1933" i="22"/>
  <c r="L1927" i="22"/>
  <c r="P1927" i="22" s="1"/>
  <c r="E1935" i="22"/>
  <c r="E1938" i="22" s="1"/>
  <c r="L1922" i="22"/>
  <c r="E1682" i="22"/>
  <c r="G1682" i="22" s="1"/>
  <c r="G1728" i="22" s="1"/>
  <c r="L1930" i="22"/>
  <c r="P1930" i="22" s="1"/>
  <c r="E1805" i="22"/>
  <c r="G1805" i="22" s="1"/>
  <c r="O1902" i="22"/>
  <c r="P1922" i="22"/>
  <c r="O1971" i="22"/>
  <c r="E1974" i="22"/>
  <c r="G1974" i="22" s="1"/>
  <c r="G1987" i="22" s="1"/>
  <c r="O1987" i="22" s="1"/>
  <c r="E1793" i="22"/>
  <c r="G1793" i="22" s="1"/>
  <c r="E1883" i="22"/>
  <c r="O1977" i="22"/>
  <c r="O1969" i="22"/>
  <c r="E1806" i="22"/>
  <c r="G1806" i="22" s="1"/>
  <c r="G1852" i="22" s="1"/>
  <c r="E1895" i="22"/>
  <c r="E1898" i="22" s="1"/>
  <c r="P1925" i="22"/>
  <c r="L1926" i="22"/>
  <c r="P1926" i="22" s="1"/>
  <c r="O1976" i="22"/>
  <c r="G1985" i="22"/>
  <c r="O1985" i="22" s="1"/>
  <c r="G1870" i="22"/>
  <c r="G1918" i="22"/>
  <c r="L1923" i="22"/>
  <c r="P1923" i="22" s="1"/>
  <c r="O1975" i="22"/>
  <c r="G1984" i="22"/>
  <c r="O1984" i="22" s="1"/>
  <c r="L1924" i="22"/>
  <c r="P1924" i="22" s="1"/>
  <c r="O1972" i="22"/>
  <c r="G1982" i="22"/>
  <c r="O1982" i="22" s="1"/>
  <c r="E1767" i="22"/>
  <c r="E1770" i="22" s="1"/>
  <c r="G1770" i="22" s="1"/>
  <c r="G1980" i="22"/>
  <c r="G1710" i="22"/>
  <c r="G1990" i="22"/>
  <c r="O1990" i="22" s="1"/>
  <c r="E1705" i="22"/>
  <c r="G1705" i="22" s="1"/>
  <c r="G1989" i="22"/>
  <c r="O1989" i="22" s="1"/>
  <c r="E1681" i="22"/>
  <c r="G1681" i="22" s="1"/>
  <c r="G1988" i="22"/>
  <c r="O1988" i="22" s="1"/>
  <c r="O1967" i="22"/>
  <c r="M138" i="20"/>
  <c r="G1882" i="22"/>
  <c r="E1887" i="22"/>
  <c r="E1872" i="22"/>
  <c r="G1872" i="22" s="1"/>
  <c r="E1792" i="22"/>
  <c r="E1628" i="22"/>
  <c r="E1668" i="22"/>
  <c r="E1819" i="22"/>
  <c r="G1819" i="22" s="1"/>
  <c r="E1768" i="22"/>
  <c r="E1771" i="22" s="1"/>
  <c r="G1771" i="22" s="1"/>
  <c r="E274" i="22"/>
  <c r="O1903" i="22"/>
  <c r="K1882" i="22" a="1"/>
  <c r="K1882" i="22" s="1"/>
  <c r="O1910" i="22"/>
  <c r="K1892" i="22" a="1"/>
  <c r="L1900" i="22" s="1"/>
  <c r="P1900" i="22" s="1"/>
  <c r="O1907" i="22"/>
  <c r="O1909" i="22"/>
  <c r="O1906" i="22"/>
  <c r="O1905" i="22"/>
  <c r="O1904" i="22"/>
  <c r="G1892" i="22"/>
  <c r="E1897" i="22"/>
  <c r="G1897" i="22" s="1"/>
  <c r="G1790" i="22"/>
  <c r="E1794" i="22"/>
  <c r="G1818" i="22"/>
  <c r="E1822" i="22"/>
  <c r="E1618" i="22"/>
  <c r="G1614" i="22"/>
  <c r="E1657" i="22"/>
  <c r="G1653" i="22"/>
  <c r="G1867" i="22"/>
  <c r="E1869" i="22"/>
  <c r="G1869" i="22" s="1"/>
  <c r="G1803" i="22"/>
  <c r="E1808" i="22"/>
  <c r="G1828" i="22"/>
  <c r="E1832" i="22"/>
  <c r="G1877" i="22"/>
  <c r="E1879" i="22"/>
  <c r="G1879" i="22" s="1"/>
  <c r="G1738" i="22"/>
  <c r="E1742" i="22"/>
  <c r="G1777" i="22"/>
  <c r="E1781" i="22"/>
  <c r="G1831" i="22"/>
  <c r="E1834" i="22"/>
  <c r="G1834" i="22" s="1"/>
  <c r="G1751" i="22"/>
  <c r="E1755" i="22"/>
  <c r="G1767" i="22"/>
  <c r="G1679" i="22"/>
  <c r="E1684" i="22"/>
  <c r="G1627" i="22"/>
  <c r="E1631" i="22"/>
  <c r="E1670" i="22"/>
  <c r="G1666" i="22"/>
  <c r="G1704" i="22"/>
  <c r="E1708" i="22"/>
  <c r="G1707" i="22"/>
  <c r="E1780" i="22"/>
  <c r="E1615" i="22"/>
  <c r="E1642" i="22"/>
  <c r="E1695" i="22"/>
  <c r="G1695" i="22" s="1"/>
  <c r="G1720" i="22"/>
  <c r="G1844" i="22"/>
  <c r="E1862" i="22"/>
  <c r="G1862" i="22" s="1"/>
  <c r="E949" i="22"/>
  <c r="G949" i="22" s="1"/>
  <c r="E1644" i="22"/>
  <c r="E1698" i="22"/>
  <c r="G1730" i="22"/>
  <c r="E1766" i="22"/>
  <c r="G1854" i="22"/>
  <c r="E1654" i="22"/>
  <c r="G1729" i="22"/>
  <c r="E1741" i="22"/>
  <c r="E1744" i="22" s="1"/>
  <c r="G1853" i="22"/>
  <c r="E1752" i="22"/>
  <c r="G1727" i="22"/>
  <c r="E1829" i="22"/>
  <c r="G1829" i="22" s="1"/>
  <c r="G1851" i="22"/>
  <c r="G1726" i="22"/>
  <c r="G1850" i="22"/>
  <c r="E1271" i="22"/>
  <c r="G1271" i="22" s="1"/>
  <c r="D1643" i="22"/>
  <c r="E1643" i="22" s="1"/>
  <c r="D1669" i="22"/>
  <c r="E1669" i="22" s="1"/>
  <c r="E1493" i="22"/>
  <c r="E1496" i="22" s="1"/>
  <c r="G1496" i="22" s="1"/>
  <c r="E1245" i="22"/>
  <c r="G1245" i="22" s="1"/>
  <c r="E787" i="22"/>
  <c r="G787" i="22" s="1"/>
  <c r="E1283" i="22"/>
  <c r="E1286" i="22" s="1"/>
  <c r="G1286" i="22" s="1"/>
  <c r="G1156" i="22"/>
  <c r="E1421" i="22"/>
  <c r="G1421" i="22" s="1"/>
  <c r="E1382" i="22"/>
  <c r="E1385" i="22" s="1"/>
  <c r="E1546" i="22"/>
  <c r="G1546" i="22" s="1"/>
  <c r="G1542" i="22"/>
  <c r="E1494" i="22"/>
  <c r="E1497" i="22" s="1"/>
  <c r="G1497" i="22" s="1"/>
  <c r="G1490" i="22"/>
  <c r="E1357" i="22"/>
  <c r="E1360" i="22" s="1"/>
  <c r="G1360" i="22" s="1"/>
  <c r="E1147" i="22"/>
  <c r="G1147" i="22" s="1"/>
  <c r="G1216" i="22"/>
  <c r="E1354" i="22"/>
  <c r="E722" i="22"/>
  <c r="E725" i="22" s="1"/>
  <c r="E1544" i="22"/>
  <c r="E390" i="22"/>
  <c r="E393" i="22" s="1"/>
  <c r="E1121" i="22"/>
  <c r="E1124" i="22" s="1"/>
  <c r="G1124" i="22" s="1"/>
  <c r="G1453" i="22"/>
  <c r="E1468" i="22"/>
  <c r="G1468" i="22" s="1"/>
  <c r="E1284" i="22"/>
  <c r="G1284" i="22" s="1"/>
  <c r="G1280" i="22"/>
  <c r="E1410" i="22"/>
  <c r="G1410" i="22" s="1"/>
  <c r="G1405" i="22"/>
  <c r="E1470" i="22"/>
  <c r="E831" i="22"/>
  <c r="G843" i="22"/>
  <c r="E870" i="22"/>
  <c r="G870" i="22" s="1"/>
  <c r="E1035" i="22"/>
  <c r="G1035" i="22" s="1"/>
  <c r="E1244" i="22"/>
  <c r="E1258" i="22"/>
  <c r="G1258" i="22" s="1"/>
  <c r="E1465" i="22"/>
  <c r="E1492" i="22"/>
  <c r="E1576" i="22"/>
  <c r="E1193" i="22"/>
  <c r="E1196" i="22" s="1"/>
  <c r="E485" i="22"/>
  <c r="E923" i="22"/>
  <c r="G923" i="22" s="1"/>
  <c r="G1455" i="22"/>
  <c r="E1134" i="22"/>
  <c r="G1134" i="22" s="1"/>
  <c r="E1574" i="22"/>
  <c r="E1219" i="22"/>
  <c r="G1219" i="22" s="1"/>
  <c r="E1133" i="22"/>
  <c r="G1133" i="22" s="1"/>
  <c r="E1194" i="22"/>
  <c r="G1194" i="22" s="1"/>
  <c r="E1395" i="22"/>
  <c r="G1395" i="22" s="1"/>
  <c r="E374" i="22"/>
  <c r="G374" i="22" s="1"/>
  <c r="E1504" i="22"/>
  <c r="E1206" i="22"/>
  <c r="E1209" i="22" s="1"/>
  <c r="E1160" i="22"/>
  <c r="G1160" i="22" s="1"/>
  <c r="E761" i="22"/>
  <c r="E764" i="22" s="1"/>
  <c r="G764" i="22" s="1"/>
  <c r="G1092" i="22"/>
  <c r="E375" i="22"/>
  <c r="G375" i="22" s="1"/>
  <c r="G421" i="22" s="1"/>
  <c r="G1596" i="22"/>
  <c r="E514" i="22"/>
  <c r="E517" i="22" s="1"/>
  <c r="G1146" i="22"/>
  <c r="G921" i="22"/>
  <c r="E926" i="22"/>
  <c r="E1519" i="22"/>
  <c r="E1518" i="22"/>
  <c r="E1584" i="22"/>
  <c r="G1580" i="22"/>
  <c r="E1480" i="22"/>
  <c r="E1478" i="22"/>
  <c r="E1223" i="22"/>
  <c r="G1223" i="22" s="1"/>
  <c r="G1314" i="22"/>
  <c r="E1318" i="22"/>
  <c r="G1420" i="22"/>
  <c r="E1424" i="22"/>
  <c r="E1507" i="22"/>
  <c r="G1503" i="22"/>
  <c r="G1340" i="22"/>
  <c r="E1344" i="22"/>
  <c r="E1583" i="22"/>
  <c r="E1586" i="22" s="1"/>
  <c r="G1586" i="22" s="1"/>
  <c r="E1581" i="22"/>
  <c r="G1581" i="22" s="1"/>
  <c r="E981" i="22"/>
  <c r="I1203" i="22"/>
  <c r="E1431" i="22"/>
  <c r="G1431" i="22" s="1"/>
  <c r="G1555" i="22"/>
  <c r="E1560" i="22"/>
  <c r="I1503" i="22"/>
  <c r="G908" i="22"/>
  <c r="E912" i="22"/>
  <c r="G912" i="22" s="1"/>
  <c r="E1315" i="22"/>
  <c r="E1083" i="22"/>
  <c r="G1083" i="22" s="1"/>
  <c r="E1067" i="22"/>
  <c r="E950" i="22"/>
  <c r="E1408" i="22"/>
  <c r="G1408" i="22" s="1"/>
  <c r="E1407" i="22"/>
  <c r="G1407" i="22" s="1"/>
  <c r="G1418" i="22"/>
  <c r="I1327" i="22"/>
  <c r="E1120" i="22"/>
  <c r="E940" i="22"/>
  <c r="E943" i="22" s="1"/>
  <c r="G943" i="22" s="1"/>
  <c r="E1426" i="22"/>
  <c r="G980" i="22"/>
  <c r="E984" i="22"/>
  <c r="G1446" i="22"/>
  <c r="E1359" i="22"/>
  <c r="I1542" i="22"/>
  <c r="E707" i="22"/>
  <c r="E884" i="22"/>
  <c r="G934" i="22"/>
  <c r="G972" i="22" s="1"/>
  <c r="E924" i="22"/>
  <c r="G924" i="22" s="1"/>
  <c r="G1131" i="22"/>
  <c r="E1139" i="22"/>
  <c r="G1139" i="22" s="1"/>
  <c r="E1520" i="22"/>
  <c r="E1022" i="22"/>
  <c r="E1025" i="22" s="1"/>
  <c r="G1025" i="22" s="1"/>
  <c r="E1021" i="22"/>
  <c r="G1477" i="22"/>
  <c r="E1481" i="22"/>
  <c r="E1080" i="22"/>
  <c r="E1082" i="22"/>
  <c r="E1085" i="22" s="1"/>
  <c r="E1533" i="22"/>
  <c r="G1529" i="22"/>
  <c r="E1530" i="22"/>
  <c r="E1532" i="22"/>
  <c r="I1405" i="22"/>
  <c r="E1009" i="22"/>
  <c r="E1012" i="22" s="1"/>
  <c r="G1105" i="22"/>
  <c r="E1109" i="22"/>
  <c r="E1396" i="22"/>
  <c r="E1434" i="22"/>
  <c r="G1430" i="22"/>
  <c r="E799" i="22"/>
  <c r="E802" i="22" s="1"/>
  <c r="G802" i="22" s="1"/>
  <c r="E797" i="22"/>
  <c r="G797" i="22" s="1"/>
  <c r="I1353" i="22"/>
  <c r="G1366" i="22"/>
  <c r="E1370" i="22"/>
  <c r="E349" i="22"/>
  <c r="G509" i="22"/>
  <c r="E498" i="22"/>
  <c r="E500" i="22" s="1"/>
  <c r="E503" i="22" s="1"/>
  <c r="E610" i="22"/>
  <c r="G610" i="22" s="1"/>
  <c r="I1131" i="22"/>
  <c r="I1379" i="22"/>
  <c r="E1545" i="22"/>
  <c r="E1034" i="22"/>
  <c r="I1392" i="22"/>
  <c r="E773" i="22"/>
  <c r="G773" i="22" s="1"/>
  <c r="I1477" i="22"/>
  <c r="I1529" i="22"/>
  <c r="G1602" i="22"/>
  <c r="G1603" i="22"/>
  <c r="G1605" i="22"/>
  <c r="G1568" i="22"/>
  <c r="G1606" i="22" s="1"/>
  <c r="E1558" i="22"/>
  <c r="G1558" i="22" s="1"/>
  <c r="E1557" i="22"/>
  <c r="E649" i="22"/>
  <c r="G649" i="22" s="1"/>
  <c r="E648" i="22"/>
  <c r="G648" i="22" s="1"/>
  <c r="G664" i="22"/>
  <c r="G1118" i="22"/>
  <c r="I1255" i="22"/>
  <c r="E1369" i="22"/>
  <c r="E1368" i="22"/>
  <c r="E1383" i="22"/>
  <c r="E774" i="22"/>
  <c r="G774" i="22" s="1"/>
  <c r="G1433" i="22"/>
  <c r="G1452" i="22"/>
  <c r="E1571" i="22"/>
  <c r="G1571" i="22" s="1"/>
  <c r="E1157" i="22"/>
  <c r="G1157" i="22" s="1"/>
  <c r="E1394" i="22"/>
  <c r="E1257" i="22"/>
  <c r="F1436" i="22"/>
  <c r="G1436" i="22" s="1"/>
  <c r="E792" i="22"/>
  <c r="E1023" i="22"/>
  <c r="G1019" i="22"/>
  <c r="E1073" i="22"/>
  <c r="G1073" i="22" s="1"/>
  <c r="G1066" i="22"/>
  <c r="E1333" i="22"/>
  <c r="E432" i="22"/>
  <c r="E760" i="22"/>
  <c r="I921" i="22"/>
  <c r="E1072" i="22"/>
  <c r="E583" i="22"/>
  <c r="E734" i="22"/>
  <c r="G771" i="22"/>
  <c r="G962" i="22"/>
  <c r="E1036" i="22"/>
  <c r="G1036" i="22" s="1"/>
  <c r="E1106" i="22"/>
  <c r="E1108" i="22"/>
  <c r="G1032" i="22"/>
  <c r="G1179" i="22"/>
  <c r="G1051" i="22"/>
  <c r="G1229" i="22"/>
  <c r="E1233" i="22"/>
  <c r="E400" i="22"/>
  <c r="E403" i="22" s="1"/>
  <c r="G403" i="22" s="1"/>
  <c r="E672" i="22"/>
  <c r="G672" i="22" s="1"/>
  <c r="E846" i="22"/>
  <c r="I869" i="22"/>
  <c r="E1095" i="22"/>
  <c r="G1096" i="22"/>
  <c r="E1099" i="22"/>
  <c r="G1099" i="22" s="1"/>
  <c r="E1207" i="22"/>
  <c r="E1232" i="22"/>
  <c r="E1235" i="22" s="1"/>
  <c r="G1270" i="22"/>
  <c r="E1274" i="22"/>
  <c r="E486" i="22"/>
  <c r="E489" i="22" s="1"/>
  <c r="G489" i="22" s="1"/>
  <c r="E1094" i="22"/>
  <c r="E1343" i="22"/>
  <c r="I993" i="22"/>
  <c r="G997" i="22"/>
  <c r="E1000" i="22"/>
  <c r="G1000" i="22" s="1"/>
  <c r="E1125" i="22"/>
  <c r="G1125" i="22" s="1"/>
  <c r="G1122" i="22"/>
  <c r="G1302" i="22"/>
  <c r="G1303" i="22"/>
  <c r="G1305" i="22"/>
  <c r="G1306" i="22"/>
  <c r="G1296" i="22"/>
  <c r="E336" i="22"/>
  <c r="G350" i="22"/>
  <c r="E859" i="22"/>
  <c r="G859" i="22" s="1"/>
  <c r="G971" i="22"/>
  <c r="E1010" i="22"/>
  <c r="G1006" i="22"/>
  <c r="G1058" i="22"/>
  <c r="E1070" i="22"/>
  <c r="G1070" i="22" s="1"/>
  <c r="G1242" i="22"/>
  <c r="E1246" i="22"/>
  <c r="I1032" i="22"/>
  <c r="G1057" i="22"/>
  <c r="G1150" i="22"/>
  <c r="E1153" i="22"/>
  <c r="G1153" i="22" s="1"/>
  <c r="E308" i="22"/>
  <c r="E609" i="22"/>
  <c r="G706" i="22"/>
  <c r="G969" i="22"/>
  <c r="G993" i="22"/>
  <c r="G1178" i="22"/>
  <c r="G1181" i="22"/>
  <c r="G1182" i="22"/>
  <c r="G1172" i="22"/>
  <c r="E1331" i="22"/>
  <c r="G1327" i="22"/>
  <c r="E911" i="22"/>
  <c r="G1159" i="22"/>
  <c r="G968" i="22"/>
  <c r="E994" i="22"/>
  <c r="G1162" i="22"/>
  <c r="E1218" i="22"/>
  <c r="E1342" i="22"/>
  <c r="E1328" i="22"/>
  <c r="E746" i="22"/>
  <c r="E937" i="22"/>
  <c r="G937" i="22" s="1"/>
  <c r="E885" i="22"/>
  <c r="E888" i="22" s="1"/>
  <c r="G888" i="22" s="1"/>
  <c r="E1260" i="22"/>
  <c r="G496" i="22"/>
  <c r="E501" i="22"/>
  <c r="G745" i="22"/>
  <c r="E749" i="22"/>
  <c r="E901" i="22"/>
  <c r="E902" i="22"/>
  <c r="G902" i="22" s="1"/>
  <c r="G899" i="22"/>
  <c r="G732" i="22"/>
  <c r="E736" i="22"/>
  <c r="G847" i="22"/>
  <c r="E850" i="22"/>
  <c r="G850" i="22" s="1"/>
  <c r="E873" i="22"/>
  <c r="G869" i="22"/>
  <c r="E889" i="22"/>
  <c r="G889" i="22" s="1"/>
  <c r="G886" i="22"/>
  <c r="E779" i="22"/>
  <c r="G779" i="22" s="1"/>
  <c r="G776" i="22"/>
  <c r="E834" i="22"/>
  <c r="G830" i="22"/>
  <c r="E363" i="22"/>
  <c r="G363" i="22" s="1"/>
  <c r="G359" i="22"/>
  <c r="G758" i="22"/>
  <c r="E762" i="22"/>
  <c r="E800" i="22"/>
  <c r="G796" i="22"/>
  <c r="E860" i="22"/>
  <c r="G856" i="22"/>
  <c r="E262" i="22"/>
  <c r="G262" i="22" s="1"/>
  <c r="G422" i="22"/>
  <c r="E561" i="22"/>
  <c r="E713" i="22"/>
  <c r="G713" i="22" s="1"/>
  <c r="E790" i="22"/>
  <c r="G882" i="22"/>
  <c r="G895" i="22"/>
  <c r="E896" i="22"/>
  <c r="E459" i="22"/>
  <c r="G812" i="22"/>
  <c r="E460" i="22"/>
  <c r="G460" i="22" s="1"/>
  <c r="E473" i="22"/>
  <c r="E476" i="22" s="1"/>
  <c r="E525" i="22"/>
  <c r="E588" i="22"/>
  <c r="G588" i="22" s="1"/>
  <c r="G671" i="22"/>
  <c r="E362" i="22"/>
  <c r="G362" i="22" s="1"/>
  <c r="E283" i="22"/>
  <c r="G283" i="22" s="1"/>
  <c r="E335" i="22"/>
  <c r="E662" i="22"/>
  <c r="G662" i="22" s="1"/>
  <c r="G822" i="22"/>
  <c r="E236" i="22"/>
  <c r="E239" i="22" s="1"/>
  <c r="E391" i="22"/>
  <c r="G391" i="22" s="1"/>
  <c r="G821" i="22"/>
  <c r="E858" i="22"/>
  <c r="E910" i="22"/>
  <c r="E556" i="22"/>
  <c r="D735" i="22"/>
  <c r="E735" i="22" s="1"/>
  <c r="G819" i="22"/>
  <c r="E723" i="22"/>
  <c r="G818" i="22"/>
  <c r="E311" i="22"/>
  <c r="G307" i="22"/>
  <c r="G646" i="22"/>
  <c r="E651" i="22"/>
  <c r="G346" i="22"/>
  <c r="E448" i="22"/>
  <c r="G444" i="22"/>
  <c r="G544" i="22"/>
  <c r="G620" i="22"/>
  <c r="E624" i="22"/>
  <c r="I320" i="22"/>
  <c r="E572" i="22"/>
  <c r="G568" i="22"/>
  <c r="E677" i="22"/>
  <c r="E487" i="22"/>
  <c r="G483" i="22"/>
  <c r="G486" i="22"/>
  <c r="G633" i="22"/>
  <c r="E637" i="22"/>
  <c r="I346" i="22"/>
  <c r="G470" i="22"/>
  <c r="E474" i="22"/>
  <c r="G515" i="22"/>
  <c r="E518" i="22"/>
  <c r="G518" i="22" s="1"/>
  <c r="E185" i="22"/>
  <c r="G185" i="22" s="1"/>
  <c r="E187" i="22"/>
  <c r="E190" i="22" s="1"/>
  <c r="G190" i="22" s="1"/>
  <c r="E261" i="22"/>
  <c r="G320" i="22"/>
  <c r="G607" i="22"/>
  <c r="E614" i="22"/>
  <c r="G614" i="22" s="1"/>
  <c r="E611" i="22"/>
  <c r="G611" i="22" s="1"/>
  <c r="E635" i="22"/>
  <c r="D636" i="22"/>
  <c r="E636" i="22" s="1"/>
  <c r="G397" i="22"/>
  <c r="E401" i="22"/>
  <c r="E464" i="22"/>
  <c r="G464" i="22" s="1"/>
  <c r="G457" i="22"/>
  <c r="E461" i="22"/>
  <c r="G461" i="22" s="1"/>
  <c r="G555" i="22"/>
  <c r="E559" i="22"/>
  <c r="G659" i="22"/>
  <c r="G698" i="22" s="1"/>
  <c r="G661" i="22"/>
  <c r="E665" i="22"/>
  <c r="G372" i="22"/>
  <c r="E377" i="22"/>
  <c r="G324" i="22"/>
  <c r="E598" i="22"/>
  <c r="G594" i="22"/>
  <c r="E337" i="22"/>
  <c r="G333" i="22"/>
  <c r="E584" i="22"/>
  <c r="G272" i="22"/>
  <c r="E279" i="22"/>
  <c r="G279" i="22" s="1"/>
  <c r="G297" i="22"/>
  <c r="E321" i="22"/>
  <c r="G423" i="22"/>
  <c r="G545" i="22"/>
  <c r="E595" i="22"/>
  <c r="E623" i="22"/>
  <c r="E675" i="22"/>
  <c r="G675" i="22" s="1"/>
  <c r="G687" i="22"/>
  <c r="E445" i="22"/>
  <c r="G511" i="22"/>
  <c r="G543" i="22"/>
  <c r="E569" i="22"/>
  <c r="G697" i="22"/>
  <c r="G420" i="22"/>
  <c r="E522" i="22"/>
  <c r="G522" i="22" s="1"/>
  <c r="G419" i="22"/>
  <c r="G695" i="22"/>
  <c r="G524" i="22"/>
  <c r="G694" i="22"/>
  <c r="E667" i="22"/>
  <c r="G667" i="22" s="1"/>
  <c r="G693" i="22"/>
  <c r="G537" i="22"/>
  <c r="G581" i="22"/>
  <c r="L695" i="22"/>
  <c r="G413" i="22"/>
  <c r="E435" i="22"/>
  <c r="G291" i="22"/>
  <c r="E361" i="22"/>
  <c r="G546" i="22"/>
  <c r="F527" i="22"/>
  <c r="G527" i="22" s="1"/>
  <c r="E326" i="22"/>
  <c r="G246" i="22"/>
  <c r="E250" i="22"/>
  <c r="G259" i="22"/>
  <c r="E263" i="22"/>
  <c r="D275" i="22"/>
  <c r="E275" i="22" s="1"/>
  <c r="E276" i="22"/>
  <c r="G276" i="22" s="1"/>
  <c r="E227" i="22"/>
  <c r="G227" i="22" s="1"/>
  <c r="G224" i="22"/>
  <c r="G233" i="22"/>
  <c r="E237" i="22"/>
  <c r="E180" i="22"/>
  <c r="E247" i="22"/>
  <c r="E175" i="22"/>
  <c r="G175" i="22" s="1"/>
  <c r="G220" i="22"/>
  <c r="E41" i="10"/>
  <c r="G41" i="10" s="1"/>
  <c r="E181" i="22"/>
  <c r="G181" i="22" s="1"/>
  <c r="G178" i="22"/>
  <c r="E221" i="22"/>
  <c r="E223" i="22"/>
  <c r="E226" i="22" s="1"/>
  <c r="G184" i="22"/>
  <c r="E188" i="22"/>
  <c r="H174" i="22" a="1"/>
  <c r="H174" i="22" s="1"/>
  <c r="G174" i="22"/>
  <c r="B174" i="22" a="1"/>
  <c r="B174" i="22" s="1"/>
  <c r="B173" i="22"/>
  <c r="E172" i="22"/>
  <c r="D161" i="22"/>
  <c r="D158" i="22"/>
  <c r="C158" i="22"/>
  <c r="E159" i="22" s="1"/>
  <c r="I159" i="22" a="1"/>
  <c r="H159" i="22" a="1"/>
  <c r="H159" i="22" s="1"/>
  <c r="B159" i="22" a="1"/>
  <c r="B159" i="22" s="1"/>
  <c r="B158" i="22"/>
  <c r="E157" i="22"/>
  <c r="G157" i="22" s="1"/>
  <c r="D148" i="22"/>
  <c r="D149" i="22" s="1"/>
  <c r="D145" i="22"/>
  <c r="C145" i="22"/>
  <c r="E146" i="22" s="1"/>
  <c r="G146" i="22" s="1"/>
  <c r="I146" i="22" a="1"/>
  <c r="H146" i="22" a="1"/>
  <c r="H146" i="22" s="1"/>
  <c r="B146" i="22" a="1"/>
  <c r="B146" i="22" s="1"/>
  <c r="B145" i="22"/>
  <c r="D132" i="22"/>
  <c r="E134" i="22" s="1"/>
  <c r="C132" i="22"/>
  <c r="E133" i="22" s="1"/>
  <c r="E58" i="10"/>
  <c r="G58" i="10" s="1"/>
  <c r="E54" i="10"/>
  <c r="E55" i="10" s="1"/>
  <c r="G55" i="10" s="1"/>
  <c r="E52" i="10"/>
  <c r="G52" i="10" s="1"/>
  <c r="E51" i="10"/>
  <c r="G51" i="10" s="1"/>
  <c r="I133" i="22" a="1"/>
  <c r="H133" i="22" a="1"/>
  <c r="H133" i="22" s="1"/>
  <c r="B133" i="22" a="1"/>
  <c r="B133" i="22" s="1"/>
  <c r="G57" i="10"/>
  <c r="B132" i="22"/>
  <c r="E131" i="22"/>
  <c r="G131" i="22" s="1"/>
  <c r="D122" i="22"/>
  <c r="D123" i="22" s="1"/>
  <c r="H120" i="22" a="1"/>
  <c r="H120" i="22" s="1"/>
  <c r="B120" i="22" a="1"/>
  <c r="B120" i="22" s="1"/>
  <c r="D119" i="22"/>
  <c r="C119" i="22"/>
  <c r="E120" i="22" s="1"/>
  <c r="E124" i="22" s="1"/>
  <c r="B119" i="22"/>
  <c r="D106" i="22"/>
  <c r="E108" i="22" s="1"/>
  <c r="C106" i="22"/>
  <c r="E107" i="22" s="1"/>
  <c r="I107" i="22" a="1"/>
  <c r="H107" i="22" a="1"/>
  <c r="H107" i="22" s="1"/>
  <c r="B107" i="22" a="1"/>
  <c r="B107" i="22" s="1"/>
  <c r="B106" i="22"/>
  <c r="D93" i="22"/>
  <c r="E97" i="22" s="1"/>
  <c r="C93" i="22"/>
  <c r="E94" i="22" s="1"/>
  <c r="I95" i="22"/>
  <c r="I96" i="22"/>
  <c r="I97" i="22"/>
  <c r="I98" i="22"/>
  <c r="I99" i="22"/>
  <c r="I100" i="22"/>
  <c r="I102" i="22"/>
  <c r="I103" i="22"/>
  <c r="I104" i="22"/>
  <c r="I105" i="22"/>
  <c r="I94" i="22"/>
  <c r="K96" i="22"/>
  <c r="L96" i="22" s="1"/>
  <c r="K99" i="22"/>
  <c r="L99" i="22" s="1"/>
  <c r="K102" i="22"/>
  <c r="L102" i="22" s="1"/>
  <c r="K105" i="22"/>
  <c r="J95" i="22"/>
  <c r="J96" i="22"/>
  <c r="J97" i="22"/>
  <c r="J98" i="22"/>
  <c r="J99" i="22"/>
  <c r="J100" i="22"/>
  <c r="J101" i="22"/>
  <c r="J102" i="22"/>
  <c r="J103" i="22"/>
  <c r="J105" i="22"/>
  <c r="J94" i="22"/>
  <c r="H95" i="22"/>
  <c r="H96" i="22"/>
  <c r="H97" i="22"/>
  <c r="H98" i="22"/>
  <c r="H99" i="22"/>
  <c r="H100" i="22"/>
  <c r="H101" i="22"/>
  <c r="H102" i="22"/>
  <c r="H103" i="22"/>
  <c r="H104" i="22"/>
  <c r="H105" i="22"/>
  <c r="H94" i="22"/>
  <c r="B95" i="22"/>
  <c r="B96" i="22"/>
  <c r="B97" i="22"/>
  <c r="B98" i="22"/>
  <c r="B99" i="22"/>
  <c r="B100" i="22"/>
  <c r="B101" i="22"/>
  <c r="B102" i="22"/>
  <c r="B103" i="22"/>
  <c r="B104" i="22"/>
  <c r="B105" i="22"/>
  <c r="B94" i="22"/>
  <c r="B93" i="22"/>
  <c r="D59" i="22"/>
  <c r="D60" i="22" s="1"/>
  <c r="D56" i="22"/>
  <c r="C56" i="22"/>
  <c r="E57" i="22" s="1"/>
  <c r="G62" i="22"/>
  <c r="G58" i="22"/>
  <c r="K58" i="22"/>
  <c r="K62" i="22"/>
  <c r="J58" i="22"/>
  <c r="J62" i="22"/>
  <c r="I58" i="22"/>
  <c r="I59" i="22"/>
  <c r="I60" i="22"/>
  <c r="I61" i="22"/>
  <c r="I62" i="22"/>
  <c r="I63" i="22"/>
  <c r="I64" i="22"/>
  <c r="I65" i="22"/>
  <c r="I66" i="22"/>
  <c r="I67" i="22"/>
  <c r="I68" i="22"/>
  <c r="I57" i="22"/>
  <c r="H58" i="22"/>
  <c r="H59" i="22"/>
  <c r="H60" i="22"/>
  <c r="H61" i="22"/>
  <c r="H62" i="22"/>
  <c r="H63" i="22"/>
  <c r="H64" i="22"/>
  <c r="H65" i="22"/>
  <c r="H66" i="22"/>
  <c r="H67" i="22"/>
  <c r="H68" i="22"/>
  <c r="H57" i="22"/>
  <c r="B58" i="22"/>
  <c r="B59" i="22"/>
  <c r="B60" i="22"/>
  <c r="B61" i="22"/>
  <c r="B62" i="22"/>
  <c r="B63" i="22"/>
  <c r="B64" i="22"/>
  <c r="B65" i="22"/>
  <c r="B66" i="22"/>
  <c r="B67" i="22"/>
  <c r="B68" i="22"/>
  <c r="B57" i="22"/>
  <c r="B56" i="22"/>
  <c r="E55" i="22"/>
  <c r="E68" i="22" s="1"/>
  <c r="G68" i="22" s="1"/>
  <c r="G49" i="22"/>
  <c r="G45" i="22"/>
  <c r="D46" i="22"/>
  <c r="D47" i="22" s="1"/>
  <c r="D43" i="22"/>
  <c r="C43" i="22"/>
  <c r="E44" i="22" s="1"/>
  <c r="K45" i="22"/>
  <c r="K49" i="22"/>
  <c r="J45" i="22"/>
  <c r="J46" i="22"/>
  <c r="J49" i="22"/>
  <c r="J52" i="22"/>
  <c r="J53" i="22"/>
  <c r="J55" i="22"/>
  <c r="J44" i="22"/>
  <c r="I45" i="22"/>
  <c r="I46" i="22"/>
  <c r="I47" i="22"/>
  <c r="I48" i="22"/>
  <c r="I49" i="22"/>
  <c r="I52" i="22"/>
  <c r="I53" i="22"/>
  <c r="I54" i="22"/>
  <c r="I55" i="22"/>
  <c r="I44" i="22"/>
  <c r="H45" i="22"/>
  <c r="H46" i="22"/>
  <c r="H47" i="22"/>
  <c r="H48" i="22"/>
  <c r="H49" i="22"/>
  <c r="H50" i="22"/>
  <c r="H51" i="22"/>
  <c r="H52" i="22"/>
  <c r="H53" i="22"/>
  <c r="H54" i="22"/>
  <c r="H55" i="22"/>
  <c r="H44" i="22"/>
  <c r="B55" i="22"/>
  <c r="B45" i="22"/>
  <c r="B46" i="22"/>
  <c r="B47" i="22"/>
  <c r="B48" i="22"/>
  <c r="B49" i="22"/>
  <c r="B50" i="22"/>
  <c r="B51" i="22"/>
  <c r="B52" i="22"/>
  <c r="B53" i="22"/>
  <c r="B54" i="22"/>
  <c r="B44" i="22"/>
  <c r="B43" i="22"/>
  <c r="G42" i="22"/>
  <c r="G39" i="22"/>
  <c r="G36" i="22"/>
  <c r="G33" i="22"/>
  <c r="K33" i="22"/>
  <c r="K36" i="22"/>
  <c r="K39" i="22"/>
  <c r="K42" i="22"/>
  <c r="J33" i="22"/>
  <c r="J36" i="22"/>
  <c r="J39" i="22"/>
  <c r="J40" i="22"/>
  <c r="J42" i="22"/>
  <c r="I32" i="22"/>
  <c r="I33" i="22"/>
  <c r="I34" i="22"/>
  <c r="I35" i="22"/>
  <c r="I36" i="22"/>
  <c r="I37" i="22"/>
  <c r="I38" i="22"/>
  <c r="I39" i="22"/>
  <c r="I40" i="22"/>
  <c r="I41" i="22"/>
  <c r="I42" i="22"/>
  <c r="I31" i="22"/>
  <c r="H32" i="22"/>
  <c r="H33" i="22"/>
  <c r="H34" i="22"/>
  <c r="H35" i="22"/>
  <c r="H36" i="22"/>
  <c r="H37" i="22"/>
  <c r="H38" i="22"/>
  <c r="H39" i="22"/>
  <c r="H40" i="22"/>
  <c r="H41" i="22"/>
  <c r="H42" i="22"/>
  <c r="H31" i="22"/>
  <c r="B32" i="22"/>
  <c r="B33" i="22"/>
  <c r="B34" i="22"/>
  <c r="B35" i="22"/>
  <c r="B36" i="22"/>
  <c r="B37" i="22"/>
  <c r="B38" i="22"/>
  <c r="B39" i="22"/>
  <c r="B40" i="22"/>
  <c r="B41" i="22"/>
  <c r="B42" i="22"/>
  <c r="B31" i="22"/>
  <c r="D30" i="22"/>
  <c r="E34" i="22" s="1"/>
  <c r="C30" i="22"/>
  <c r="E31" i="22" s="1"/>
  <c r="B30" i="22"/>
  <c r="G29" i="22"/>
  <c r="G26" i="22"/>
  <c r="G23" i="22"/>
  <c r="G20" i="22"/>
  <c r="D17" i="22"/>
  <c r="E21" i="22" s="1"/>
  <c r="C17" i="22"/>
  <c r="E18" i="22" s="1"/>
  <c r="G18" i="22" s="1"/>
  <c r="B17" i="22"/>
  <c r="K16" i="22"/>
  <c r="J16" i="22"/>
  <c r="H16" i="22"/>
  <c r="I16" i="22"/>
  <c r="G7" i="22"/>
  <c r="L7" i="22" s="1"/>
  <c r="G10" i="22"/>
  <c r="L10" i="22" s="1"/>
  <c r="G13" i="22"/>
  <c r="L13" i="22" s="1"/>
  <c r="J6" i="22"/>
  <c r="J8" i="22"/>
  <c r="J9" i="22"/>
  <c r="J11" i="22"/>
  <c r="J12" i="22"/>
  <c r="J14" i="22"/>
  <c r="J5" i="22"/>
  <c r="I6" i="22"/>
  <c r="I7" i="22"/>
  <c r="I8" i="22"/>
  <c r="I9" i="22"/>
  <c r="I10" i="22"/>
  <c r="I11" i="22"/>
  <c r="I13" i="22"/>
  <c r="I14" i="22"/>
  <c r="I15" i="22"/>
  <c r="I5" i="22"/>
  <c r="H6" i="22"/>
  <c r="H7" i="22"/>
  <c r="H8" i="22"/>
  <c r="H9" i="22"/>
  <c r="H10" i="22"/>
  <c r="H11" i="22"/>
  <c r="H12" i="22"/>
  <c r="H13" i="22"/>
  <c r="H14" i="22"/>
  <c r="H15" i="22"/>
  <c r="H5" i="22"/>
  <c r="D4" i="22"/>
  <c r="E6" i="22" s="1"/>
  <c r="C4" i="22"/>
  <c r="E5" i="22" s="1"/>
  <c r="B6" i="22"/>
  <c r="B7" i="22"/>
  <c r="B8" i="22"/>
  <c r="B9" i="22"/>
  <c r="B10" i="22"/>
  <c r="B11" i="22"/>
  <c r="B12" i="22"/>
  <c r="B13" i="22"/>
  <c r="B14" i="22"/>
  <c r="B15" i="22"/>
  <c r="B16" i="22"/>
  <c r="B5" i="22"/>
  <c r="B4" i="22"/>
  <c r="U5" i="21"/>
  <c r="U6" i="21"/>
  <c r="U7" i="21"/>
  <c r="U8" i="21"/>
  <c r="U9" i="21"/>
  <c r="U10" i="21"/>
  <c r="U11" i="21"/>
  <c r="U12" i="21"/>
  <c r="U13" i="21"/>
  <c r="U14" i="21"/>
  <c r="U15" i="21"/>
  <c r="U16" i="21"/>
  <c r="U17" i="21"/>
  <c r="U18" i="21"/>
  <c r="U19" i="21"/>
  <c r="U20" i="21"/>
  <c r="U21" i="21"/>
  <c r="U22" i="21"/>
  <c r="U23" i="21"/>
  <c r="U24" i="21"/>
  <c r="U25" i="21"/>
  <c r="U26" i="21"/>
  <c r="U27" i="21"/>
  <c r="U28" i="21"/>
  <c r="U29" i="21"/>
  <c r="U30" i="21"/>
  <c r="U31" i="21"/>
  <c r="U32" i="21"/>
  <c r="U33" i="21"/>
  <c r="U34" i="21"/>
  <c r="U35" i="21"/>
  <c r="U36" i="21"/>
  <c r="U37" i="21"/>
  <c r="U38" i="21"/>
  <c r="U39" i="21"/>
  <c r="U40" i="21"/>
  <c r="U41" i="21"/>
  <c r="U42" i="21"/>
  <c r="U43" i="21"/>
  <c r="U44" i="21"/>
  <c r="U45" i="21"/>
  <c r="U46" i="21"/>
  <c r="U47" i="21"/>
  <c r="U48" i="21"/>
  <c r="U49" i="21"/>
  <c r="U50" i="21"/>
  <c r="U51" i="21"/>
  <c r="U52" i="21"/>
  <c r="U53" i="21"/>
  <c r="U54" i="21"/>
  <c r="U55" i="21"/>
  <c r="U56" i="21"/>
  <c r="U57" i="21"/>
  <c r="U58" i="21"/>
  <c r="U59" i="21"/>
  <c r="U60" i="21"/>
  <c r="U61" i="21"/>
  <c r="U62" i="21"/>
  <c r="U63" i="21"/>
  <c r="U64" i="21"/>
  <c r="U65" i="21"/>
  <c r="U66" i="21"/>
  <c r="U67" i="21"/>
  <c r="U68" i="21"/>
  <c r="U69" i="21"/>
  <c r="U70" i="21"/>
  <c r="U71" i="21"/>
  <c r="U72" i="21"/>
  <c r="U73" i="21"/>
  <c r="U74" i="21"/>
  <c r="U75" i="21"/>
  <c r="U76" i="21"/>
  <c r="U77" i="21"/>
  <c r="U78" i="21"/>
  <c r="U79" i="21"/>
  <c r="U80" i="21"/>
  <c r="U81" i="21"/>
  <c r="U82" i="21"/>
  <c r="U83" i="21"/>
  <c r="U84" i="21"/>
  <c r="U85" i="21"/>
  <c r="U86" i="21"/>
  <c r="U87" i="21"/>
  <c r="U88" i="21"/>
  <c r="U89" i="21"/>
  <c r="U90" i="21"/>
  <c r="U91" i="21"/>
  <c r="U92" i="21"/>
  <c r="U93" i="21"/>
  <c r="U94" i="21"/>
  <c r="U95" i="21"/>
  <c r="U96" i="21"/>
  <c r="U97" i="21"/>
  <c r="U98" i="21"/>
  <c r="U99" i="21"/>
  <c r="U100" i="21"/>
  <c r="U101" i="21"/>
  <c r="U102" i="21"/>
  <c r="U103" i="21"/>
  <c r="U104" i="21"/>
  <c r="U105" i="21"/>
  <c r="U106" i="21"/>
  <c r="U107" i="21"/>
  <c r="U108" i="21"/>
  <c r="U109" i="21"/>
  <c r="U110" i="21"/>
  <c r="U111" i="21"/>
  <c r="U112" i="21"/>
  <c r="U113" i="21"/>
  <c r="U114" i="21"/>
  <c r="U115" i="21"/>
  <c r="U116" i="21"/>
  <c r="U117" i="21"/>
  <c r="U118" i="21"/>
  <c r="U119" i="21"/>
  <c r="U120" i="21"/>
  <c r="U121" i="21"/>
  <c r="U122" i="21"/>
  <c r="U123" i="21"/>
  <c r="U124" i="21"/>
  <c r="U125" i="21"/>
  <c r="U126" i="21"/>
  <c r="U127" i="21"/>
  <c r="U128" i="21"/>
  <c r="U129" i="21"/>
  <c r="U130" i="21"/>
  <c r="U131" i="21"/>
  <c r="U132" i="21"/>
  <c r="U133" i="21"/>
  <c r="U134" i="21"/>
  <c r="U135" i="21"/>
  <c r="U136" i="21"/>
  <c r="U137" i="21"/>
  <c r="U138" i="21"/>
  <c r="U139" i="21"/>
  <c r="U140" i="21"/>
  <c r="U141" i="21"/>
  <c r="U142" i="21"/>
  <c r="U143" i="21"/>
  <c r="U144" i="21"/>
  <c r="U145" i="21"/>
  <c r="U146" i="21"/>
  <c r="U147" i="21"/>
  <c r="U148" i="21"/>
  <c r="U149" i="21"/>
  <c r="U150" i="21"/>
  <c r="U151" i="21"/>
  <c r="U152" i="21"/>
  <c r="U153" i="21"/>
  <c r="U154" i="21"/>
  <c r="U155" i="21"/>
  <c r="U156" i="21"/>
  <c r="U157" i="21"/>
  <c r="U158" i="21"/>
  <c r="U159" i="21"/>
  <c r="U160" i="21"/>
  <c r="U161" i="21"/>
  <c r="U162" i="21"/>
  <c r="U4" i="21"/>
  <c r="E161" i="21"/>
  <c r="E157" i="21"/>
  <c r="E147" i="21"/>
  <c r="E137" i="21"/>
  <c r="E124" i="21"/>
  <c r="E111" i="21"/>
  <c r="E101" i="21"/>
  <c r="E91" i="21"/>
  <c r="E84" i="21"/>
  <c r="E71" i="21"/>
  <c r="E60" i="21"/>
  <c r="E47" i="21"/>
  <c r="E36" i="21"/>
  <c r="E26" i="21"/>
  <c r="E19" i="21"/>
  <c r="E9" i="21"/>
  <c r="I89" i="21"/>
  <c r="K146" i="21"/>
  <c r="K136" i="21"/>
  <c r="K123" i="21"/>
  <c r="K110" i="21"/>
  <c r="K100" i="21"/>
  <c r="K83" i="21"/>
  <c r="K70" i="21"/>
  <c r="K58" i="21"/>
  <c r="K35" i="21"/>
  <c r="K18" i="21"/>
  <c r="L156" i="21"/>
  <c r="L155" i="21"/>
  <c r="L146" i="21"/>
  <c r="L145" i="21"/>
  <c r="L136" i="21"/>
  <c r="L135" i="21"/>
  <c r="L123" i="21"/>
  <c r="M123" i="21" s="1"/>
  <c r="N123" i="21" s="1"/>
  <c r="L122" i="21"/>
  <c r="L110" i="21"/>
  <c r="L109" i="21"/>
  <c r="L100" i="21"/>
  <c r="L99" i="21"/>
  <c r="L83" i="21"/>
  <c r="L82" i="21"/>
  <c r="L70" i="21"/>
  <c r="L69" i="21"/>
  <c r="L59" i="21"/>
  <c r="L58" i="21"/>
  <c r="L46" i="21"/>
  <c r="L45" i="21"/>
  <c r="L35" i="21"/>
  <c r="L34" i="21"/>
  <c r="L18" i="21"/>
  <c r="L17" i="21"/>
  <c r="K156" i="21"/>
  <c r="Q159" i="21"/>
  <c r="Q160" i="21"/>
  <c r="Q148" i="21"/>
  <c r="Q138" i="21"/>
  <c r="Q125" i="21"/>
  <c r="R136" i="21" s="1"/>
  <c r="Q112" i="21"/>
  <c r="Q102" i="21"/>
  <c r="Q92" i="21"/>
  <c r="Q85" i="21"/>
  <c r="Q72" i="21"/>
  <c r="Q61" i="21"/>
  <c r="R70" i="21" s="1"/>
  <c r="Q48" i="21"/>
  <c r="Q37" i="21"/>
  <c r="Q27" i="21"/>
  <c r="Q20" i="21"/>
  <c r="Q10" i="21"/>
  <c r="Q3" i="21"/>
  <c r="E9" i="18"/>
  <c r="H149" i="21" s="1"/>
  <c r="E10" i="18"/>
  <c r="H41" i="21" s="1"/>
  <c r="E11" i="18"/>
  <c r="H23" i="21" s="1"/>
  <c r="E12" i="18"/>
  <c r="H115" i="21" s="1"/>
  <c r="E13" i="18"/>
  <c r="E14" i="18"/>
  <c r="E15" i="18"/>
  <c r="H57" i="21" s="1"/>
  <c r="E16" i="18"/>
  <c r="H22" i="21" s="1"/>
  <c r="E17" i="18"/>
  <c r="E18" i="18"/>
  <c r="E19" i="18"/>
  <c r="H151" i="21" s="1"/>
  <c r="R151" i="21" s="1"/>
  <c r="G160" i="21"/>
  <c r="G159" i="21"/>
  <c r="G154" i="21"/>
  <c r="G153" i="21"/>
  <c r="G152" i="21"/>
  <c r="G151" i="21"/>
  <c r="G150" i="21"/>
  <c r="G149" i="21"/>
  <c r="G144" i="21"/>
  <c r="G143" i="21"/>
  <c r="G142" i="21"/>
  <c r="G141" i="21"/>
  <c r="G140" i="21"/>
  <c r="G139" i="21"/>
  <c r="G134" i="21"/>
  <c r="G133" i="21"/>
  <c r="G132" i="21"/>
  <c r="G131" i="21"/>
  <c r="G130" i="21"/>
  <c r="G129" i="21"/>
  <c r="G128" i="21"/>
  <c r="G127" i="21"/>
  <c r="G126" i="21"/>
  <c r="G121" i="21"/>
  <c r="G120" i="21"/>
  <c r="G119" i="21"/>
  <c r="G118" i="21"/>
  <c r="G117" i="21"/>
  <c r="G116" i="21"/>
  <c r="G115" i="21"/>
  <c r="G114" i="21"/>
  <c r="G113" i="21"/>
  <c r="G108" i="21"/>
  <c r="G107" i="21"/>
  <c r="G106" i="21"/>
  <c r="G105" i="21"/>
  <c r="G104" i="21"/>
  <c r="G103" i="21"/>
  <c r="G98" i="21"/>
  <c r="G97" i="21"/>
  <c r="G96" i="21"/>
  <c r="G95" i="21"/>
  <c r="G94" i="21"/>
  <c r="G93" i="21"/>
  <c r="G90" i="21"/>
  <c r="G89" i="21"/>
  <c r="G88" i="21"/>
  <c r="G87" i="21"/>
  <c r="G86" i="21"/>
  <c r="G81" i="21"/>
  <c r="G80" i="21"/>
  <c r="G79" i="21"/>
  <c r="G78" i="21"/>
  <c r="G77" i="21"/>
  <c r="G76" i="21"/>
  <c r="G75" i="21"/>
  <c r="G74" i="21"/>
  <c r="G73" i="21"/>
  <c r="G68" i="21"/>
  <c r="G67" i="21"/>
  <c r="G66" i="21"/>
  <c r="G65" i="21"/>
  <c r="G64" i="21"/>
  <c r="G63" i="21"/>
  <c r="G62" i="21"/>
  <c r="G57" i="21"/>
  <c r="G56" i="21"/>
  <c r="G55" i="21"/>
  <c r="G54" i="21"/>
  <c r="G53" i="21"/>
  <c r="G52" i="21"/>
  <c r="G51" i="21"/>
  <c r="G50" i="21"/>
  <c r="G49" i="21"/>
  <c r="G44" i="21"/>
  <c r="G43" i="21"/>
  <c r="G42" i="21"/>
  <c r="G41" i="21"/>
  <c r="G40" i="21"/>
  <c r="G39" i="21"/>
  <c r="G38" i="21"/>
  <c r="G33" i="21"/>
  <c r="G32" i="21"/>
  <c r="G31" i="21"/>
  <c r="G30" i="21"/>
  <c r="G29" i="21"/>
  <c r="G28" i="21"/>
  <c r="G25" i="21"/>
  <c r="G24" i="21"/>
  <c r="G23" i="21"/>
  <c r="G22" i="21"/>
  <c r="G21" i="21"/>
  <c r="G16" i="21"/>
  <c r="G15" i="21"/>
  <c r="G14" i="21"/>
  <c r="G13" i="21"/>
  <c r="G12" i="21"/>
  <c r="G11" i="21"/>
  <c r="G5" i="21"/>
  <c r="G6" i="21"/>
  <c r="G7" i="21"/>
  <c r="G8" i="21"/>
  <c r="G4" i="21"/>
  <c r="F160" i="21"/>
  <c r="F159" i="21"/>
  <c r="F154" i="21"/>
  <c r="F153" i="21"/>
  <c r="F152" i="21"/>
  <c r="F151" i="21"/>
  <c r="F150" i="21"/>
  <c r="F149" i="21"/>
  <c r="F144" i="21"/>
  <c r="F143" i="21"/>
  <c r="F142" i="21"/>
  <c r="F141" i="21"/>
  <c r="F140" i="21"/>
  <c r="F139" i="21"/>
  <c r="F134" i="21"/>
  <c r="F133" i="21"/>
  <c r="F132" i="21"/>
  <c r="F131" i="21"/>
  <c r="F130" i="21"/>
  <c r="F129" i="21"/>
  <c r="F128" i="21"/>
  <c r="F127" i="21"/>
  <c r="F126" i="21"/>
  <c r="F121" i="21"/>
  <c r="F120" i="21"/>
  <c r="F119" i="21"/>
  <c r="F118" i="21"/>
  <c r="F117" i="21"/>
  <c r="F116" i="21"/>
  <c r="F115" i="21"/>
  <c r="F114" i="21"/>
  <c r="F113" i="21"/>
  <c r="F108" i="21"/>
  <c r="F107" i="21"/>
  <c r="F106" i="21"/>
  <c r="F105" i="21"/>
  <c r="F104" i="21"/>
  <c r="F103" i="21"/>
  <c r="F98" i="21"/>
  <c r="F97" i="21"/>
  <c r="F96" i="21"/>
  <c r="F95" i="21"/>
  <c r="F94" i="21"/>
  <c r="F93" i="21"/>
  <c r="F90" i="21"/>
  <c r="F89" i="21"/>
  <c r="F88" i="21"/>
  <c r="F87" i="21"/>
  <c r="F86" i="21"/>
  <c r="F81" i="21"/>
  <c r="F80" i="21"/>
  <c r="F79" i="21"/>
  <c r="F78" i="21"/>
  <c r="F77" i="21"/>
  <c r="F76" i="21"/>
  <c r="F75" i="21"/>
  <c r="F74" i="21"/>
  <c r="F73" i="21"/>
  <c r="F68" i="21"/>
  <c r="F67" i="21"/>
  <c r="F66" i="21"/>
  <c r="F65" i="21"/>
  <c r="F64" i="21"/>
  <c r="F63" i="21"/>
  <c r="F62" i="21"/>
  <c r="F57" i="21"/>
  <c r="F56" i="21"/>
  <c r="F55" i="21"/>
  <c r="F54" i="21"/>
  <c r="F53" i="21"/>
  <c r="F52" i="21"/>
  <c r="F51" i="21"/>
  <c r="F50" i="21"/>
  <c r="F49" i="21"/>
  <c r="F44" i="21"/>
  <c r="F43" i="21"/>
  <c r="F42" i="21"/>
  <c r="F41" i="21"/>
  <c r="F40" i="21"/>
  <c r="F39" i="21"/>
  <c r="F38" i="21"/>
  <c r="F33" i="21"/>
  <c r="F32" i="21"/>
  <c r="F31" i="21"/>
  <c r="F30" i="21"/>
  <c r="F29" i="21"/>
  <c r="F28" i="21"/>
  <c r="F25" i="21"/>
  <c r="F24" i="21"/>
  <c r="F23" i="21"/>
  <c r="F22" i="21"/>
  <c r="F21" i="21"/>
  <c r="F16" i="21"/>
  <c r="K17" i="21" s="1"/>
  <c r="F15" i="21"/>
  <c r="F14" i="21"/>
  <c r="F13" i="21"/>
  <c r="F12" i="21"/>
  <c r="F11" i="21"/>
  <c r="F5" i="21"/>
  <c r="F6" i="21"/>
  <c r="F7" i="21"/>
  <c r="F8" i="21"/>
  <c r="F4" i="21"/>
  <c r="I66" i="21"/>
  <c r="I87" i="21"/>
  <c r="A158" i="21"/>
  <c r="A159" i="21"/>
  <c r="B158" i="21"/>
  <c r="A5" i="21"/>
  <c r="B5" i="21"/>
  <c r="A6" i="21"/>
  <c r="B6" i="21"/>
  <c r="A7" i="21"/>
  <c r="B7" i="21"/>
  <c r="A8" i="21"/>
  <c r="B8" i="21"/>
  <c r="B9" i="21"/>
  <c r="A10" i="21"/>
  <c r="A11" i="21"/>
  <c r="B11" i="21"/>
  <c r="A12" i="21"/>
  <c r="B12" i="21"/>
  <c r="A13" i="21"/>
  <c r="B13" i="21"/>
  <c r="A14" i="21"/>
  <c r="B14" i="21"/>
  <c r="A15" i="21"/>
  <c r="B15" i="21"/>
  <c r="A16" i="21"/>
  <c r="B16" i="21"/>
  <c r="A17" i="21"/>
  <c r="B17" i="21"/>
  <c r="A18" i="21"/>
  <c r="B18" i="21"/>
  <c r="B19" i="21"/>
  <c r="A20" i="21"/>
  <c r="A21" i="21"/>
  <c r="B21" i="21"/>
  <c r="A22" i="21"/>
  <c r="B22" i="21"/>
  <c r="A23" i="21"/>
  <c r="B23" i="21"/>
  <c r="A24" i="21"/>
  <c r="B24" i="21"/>
  <c r="A25" i="21"/>
  <c r="B25" i="21"/>
  <c r="B26" i="21"/>
  <c r="A27" i="21"/>
  <c r="A28" i="21"/>
  <c r="B28" i="21"/>
  <c r="A29" i="21"/>
  <c r="B29" i="21"/>
  <c r="A30" i="21"/>
  <c r="B30" i="21"/>
  <c r="A31" i="21"/>
  <c r="B31" i="21"/>
  <c r="A32" i="21"/>
  <c r="B32" i="21"/>
  <c r="A33" i="21"/>
  <c r="B33" i="21"/>
  <c r="A34" i="21"/>
  <c r="B34" i="21"/>
  <c r="A35" i="21"/>
  <c r="B35" i="21"/>
  <c r="B36" i="21"/>
  <c r="A37" i="21"/>
  <c r="A38" i="21"/>
  <c r="B38" i="21"/>
  <c r="A39" i="21"/>
  <c r="B39" i="21"/>
  <c r="A40" i="21"/>
  <c r="B40" i="21"/>
  <c r="A41" i="21"/>
  <c r="B41" i="21"/>
  <c r="A43" i="21"/>
  <c r="B43" i="21"/>
  <c r="A44" i="21"/>
  <c r="B44" i="21"/>
  <c r="A45" i="21"/>
  <c r="B45" i="21"/>
  <c r="A46" i="21"/>
  <c r="B46" i="21"/>
  <c r="B47" i="21"/>
  <c r="A48" i="21"/>
  <c r="A49" i="21"/>
  <c r="B49" i="21"/>
  <c r="A50" i="21"/>
  <c r="B50" i="21"/>
  <c r="A51" i="21"/>
  <c r="B51" i="21"/>
  <c r="A52" i="21"/>
  <c r="B52" i="21"/>
  <c r="A54" i="21"/>
  <c r="B54" i="21"/>
  <c r="A55" i="21"/>
  <c r="B55" i="21"/>
  <c r="A56" i="21"/>
  <c r="B56" i="21"/>
  <c r="A57" i="21"/>
  <c r="B57" i="21"/>
  <c r="A58" i="21"/>
  <c r="B58" i="21"/>
  <c r="A59" i="21"/>
  <c r="B59" i="21"/>
  <c r="B60" i="21"/>
  <c r="A61" i="21"/>
  <c r="A62" i="21"/>
  <c r="B62" i="21"/>
  <c r="A63" i="21"/>
  <c r="B63" i="21"/>
  <c r="A64" i="21"/>
  <c r="B64" i="21"/>
  <c r="A65" i="21"/>
  <c r="B65" i="21"/>
  <c r="A67" i="21"/>
  <c r="B67" i="21"/>
  <c r="A68" i="21"/>
  <c r="B68" i="21"/>
  <c r="A69" i="21"/>
  <c r="B69" i="21"/>
  <c r="A70" i="21"/>
  <c r="B70" i="21"/>
  <c r="B71" i="21"/>
  <c r="A72" i="21"/>
  <c r="A73" i="21"/>
  <c r="B73" i="21"/>
  <c r="A74" i="21"/>
  <c r="B74" i="21"/>
  <c r="A75" i="21"/>
  <c r="B75" i="21"/>
  <c r="A76" i="21"/>
  <c r="B76" i="21"/>
  <c r="A78" i="21"/>
  <c r="B78" i="21"/>
  <c r="A79" i="21"/>
  <c r="B79" i="21"/>
  <c r="A80" i="21"/>
  <c r="B80" i="21"/>
  <c r="A81" i="21"/>
  <c r="B81" i="21"/>
  <c r="A82" i="21"/>
  <c r="B82" i="21"/>
  <c r="A83" i="21"/>
  <c r="B83" i="21"/>
  <c r="B84" i="21"/>
  <c r="A85" i="21"/>
  <c r="A86" i="21"/>
  <c r="B86" i="21"/>
  <c r="A87" i="21"/>
  <c r="B87" i="21"/>
  <c r="A88" i="21"/>
  <c r="B88" i="21"/>
  <c r="A89" i="21"/>
  <c r="B89" i="21"/>
  <c r="A90" i="21"/>
  <c r="B90" i="21"/>
  <c r="B91" i="21"/>
  <c r="A92" i="21"/>
  <c r="A93" i="21"/>
  <c r="B93" i="21"/>
  <c r="A94" i="21"/>
  <c r="B94" i="21"/>
  <c r="A95" i="21"/>
  <c r="B95" i="21"/>
  <c r="A96" i="21"/>
  <c r="B96" i="21"/>
  <c r="A97" i="21"/>
  <c r="B97" i="21"/>
  <c r="A98" i="21"/>
  <c r="B98" i="21"/>
  <c r="A99" i="21"/>
  <c r="B99" i="21"/>
  <c r="A100" i="21"/>
  <c r="B100" i="21"/>
  <c r="B101" i="21"/>
  <c r="A102" i="21"/>
  <c r="A103" i="21"/>
  <c r="B103" i="21"/>
  <c r="A104" i="21"/>
  <c r="B104" i="21"/>
  <c r="A105" i="21"/>
  <c r="B105" i="21"/>
  <c r="A106" i="21"/>
  <c r="B106" i="21"/>
  <c r="A107" i="21"/>
  <c r="B107" i="21"/>
  <c r="A108" i="21"/>
  <c r="B108" i="21"/>
  <c r="A109" i="21"/>
  <c r="B109" i="21"/>
  <c r="A110" i="21"/>
  <c r="B110" i="21"/>
  <c r="B111" i="21"/>
  <c r="A112" i="21"/>
  <c r="A113" i="21"/>
  <c r="B113" i="21"/>
  <c r="A114" i="21"/>
  <c r="B114" i="21"/>
  <c r="A116" i="21"/>
  <c r="B116" i="21"/>
  <c r="A117" i="21"/>
  <c r="B117" i="21"/>
  <c r="A118" i="21"/>
  <c r="B118" i="21"/>
  <c r="A119" i="21"/>
  <c r="B119" i="21"/>
  <c r="A120" i="21"/>
  <c r="B120" i="21"/>
  <c r="A121" i="21"/>
  <c r="B121" i="21"/>
  <c r="A122" i="21"/>
  <c r="B122" i="21"/>
  <c r="A123" i="21"/>
  <c r="B123" i="21"/>
  <c r="B124" i="21"/>
  <c r="A125" i="21"/>
  <c r="A126" i="21"/>
  <c r="B126" i="21"/>
  <c r="A127" i="21"/>
  <c r="B127" i="21"/>
  <c r="A129" i="21"/>
  <c r="B129" i="21"/>
  <c r="A130" i="21"/>
  <c r="B130" i="21"/>
  <c r="A131" i="21"/>
  <c r="B131" i="21"/>
  <c r="A132" i="21"/>
  <c r="B132" i="21"/>
  <c r="A133" i="21"/>
  <c r="B133" i="21"/>
  <c r="A134" i="21"/>
  <c r="B134" i="21"/>
  <c r="A135" i="21"/>
  <c r="B135" i="21"/>
  <c r="A136" i="21"/>
  <c r="B136" i="21"/>
  <c r="B137" i="21"/>
  <c r="A138" i="21"/>
  <c r="A139" i="21"/>
  <c r="B139" i="21"/>
  <c r="A140" i="21"/>
  <c r="B140" i="21"/>
  <c r="A141" i="21"/>
  <c r="B141" i="21"/>
  <c r="A142" i="21"/>
  <c r="B142" i="21"/>
  <c r="A143" i="21"/>
  <c r="B143" i="21"/>
  <c r="A144" i="21"/>
  <c r="B144" i="21"/>
  <c r="A145" i="21"/>
  <c r="B145" i="21"/>
  <c r="A146" i="21"/>
  <c r="B146" i="21"/>
  <c r="B147" i="21"/>
  <c r="A148" i="21"/>
  <c r="A149" i="21"/>
  <c r="B149" i="21"/>
  <c r="A150" i="21"/>
  <c r="B150" i="21"/>
  <c r="A151" i="21"/>
  <c r="B151" i="21"/>
  <c r="A152" i="21"/>
  <c r="B152" i="21"/>
  <c r="A153" i="21"/>
  <c r="B153" i="21"/>
  <c r="A154" i="21"/>
  <c r="B154" i="21"/>
  <c r="A155" i="21"/>
  <c r="B155" i="21"/>
  <c r="A156" i="21"/>
  <c r="B156" i="21"/>
  <c r="B157" i="21"/>
  <c r="A4" i="21"/>
  <c r="B4" i="21"/>
  <c r="A3" i="21"/>
  <c r="E73" i="8"/>
  <c r="O6" i="20"/>
  <c r="O7" i="20"/>
  <c r="O8" i="20"/>
  <c r="O9" i="20"/>
  <c r="O10" i="20"/>
  <c r="O11" i="20"/>
  <c r="O12" i="20"/>
  <c r="O13" i="20"/>
  <c r="O14" i="20"/>
  <c r="O15" i="20"/>
  <c r="O16" i="20"/>
  <c r="O17" i="20"/>
  <c r="O18" i="20"/>
  <c r="O19" i="20"/>
  <c r="O20" i="20"/>
  <c r="O21" i="20"/>
  <c r="O22" i="20"/>
  <c r="O23" i="20"/>
  <c r="O24" i="20"/>
  <c r="O25" i="20"/>
  <c r="O26" i="20"/>
  <c r="O27" i="20"/>
  <c r="O28" i="20"/>
  <c r="O29" i="20"/>
  <c r="O30" i="20"/>
  <c r="O31" i="20"/>
  <c r="O32" i="20"/>
  <c r="O33" i="20"/>
  <c r="O34" i="20"/>
  <c r="O35" i="20"/>
  <c r="O36" i="20"/>
  <c r="O37" i="20"/>
  <c r="O38" i="20"/>
  <c r="O39" i="20"/>
  <c r="O40" i="20"/>
  <c r="O41" i="20"/>
  <c r="O42" i="20"/>
  <c r="O43" i="20"/>
  <c r="O44" i="20"/>
  <c r="O45" i="20"/>
  <c r="O46" i="20"/>
  <c r="O47" i="20"/>
  <c r="O48" i="20"/>
  <c r="O49" i="20"/>
  <c r="O50" i="20"/>
  <c r="O51" i="20"/>
  <c r="O52" i="20"/>
  <c r="O53" i="20"/>
  <c r="O54" i="20"/>
  <c r="O55" i="20"/>
  <c r="O56" i="20"/>
  <c r="O57" i="20"/>
  <c r="O58" i="20"/>
  <c r="O59" i="20"/>
  <c r="O60" i="20"/>
  <c r="O61" i="20"/>
  <c r="O62" i="20"/>
  <c r="O63" i="20"/>
  <c r="O64" i="20"/>
  <c r="O65" i="20"/>
  <c r="O66" i="20"/>
  <c r="O67" i="20"/>
  <c r="O68" i="20"/>
  <c r="O69" i="20"/>
  <c r="O70" i="20"/>
  <c r="O71" i="20"/>
  <c r="O72" i="20"/>
  <c r="O73" i="20"/>
  <c r="O74" i="20"/>
  <c r="O75" i="20"/>
  <c r="O76" i="20"/>
  <c r="O77" i="20"/>
  <c r="O78" i="20"/>
  <c r="O79" i="20"/>
  <c r="O80" i="20"/>
  <c r="O81" i="20"/>
  <c r="O82" i="20"/>
  <c r="O83" i="20"/>
  <c r="O84" i="20"/>
  <c r="O85" i="20"/>
  <c r="O86" i="20"/>
  <c r="O87" i="20"/>
  <c r="O88" i="20"/>
  <c r="O89" i="20"/>
  <c r="O90" i="20"/>
  <c r="O91" i="20"/>
  <c r="O92" i="20"/>
  <c r="O93" i="20"/>
  <c r="O94" i="20"/>
  <c r="O95" i="20"/>
  <c r="O96" i="20"/>
  <c r="O97" i="20"/>
  <c r="O98" i="20"/>
  <c r="O99" i="20"/>
  <c r="O100" i="20"/>
  <c r="O101" i="20"/>
  <c r="O102" i="20"/>
  <c r="O103" i="20"/>
  <c r="O104" i="20"/>
  <c r="O105" i="20"/>
  <c r="O106" i="20"/>
  <c r="O107" i="20"/>
  <c r="O108" i="20"/>
  <c r="O109" i="20"/>
  <c r="O110" i="20"/>
  <c r="O111" i="20"/>
  <c r="O112" i="20"/>
  <c r="O113" i="20"/>
  <c r="O114" i="20"/>
  <c r="O115" i="20"/>
  <c r="O116" i="20"/>
  <c r="O117" i="20"/>
  <c r="O118" i="20"/>
  <c r="O119" i="20"/>
  <c r="O120" i="20"/>
  <c r="O121" i="20"/>
  <c r="O122" i="20"/>
  <c r="O123" i="20"/>
  <c r="O124" i="20"/>
  <c r="O125" i="20"/>
  <c r="O126" i="20"/>
  <c r="O127" i="20"/>
  <c r="O128" i="20"/>
  <c r="O134" i="20"/>
  <c r="O135" i="20"/>
  <c r="O136" i="20"/>
  <c r="O137" i="20"/>
  <c r="O139" i="20"/>
  <c r="O140" i="20"/>
  <c r="E140" i="20"/>
  <c r="E128" i="20"/>
  <c r="G1856" i="22" s="1"/>
  <c r="E120" i="20"/>
  <c r="G1732" i="22" s="1"/>
  <c r="E112" i="20"/>
  <c r="G1608" i="22" s="1"/>
  <c r="E102" i="20"/>
  <c r="G1458" i="22" s="1"/>
  <c r="E92" i="20"/>
  <c r="G1308" i="22" s="1"/>
  <c r="E84" i="20"/>
  <c r="G1184" i="22" s="1"/>
  <c r="E76" i="20"/>
  <c r="G1060" i="22" s="1"/>
  <c r="E69" i="20"/>
  <c r="G974" i="22" s="1"/>
  <c r="E59" i="20"/>
  <c r="G824" i="22" s="1"/>
  <c r="E51" i="20"/>
  <c r="G700" i="22" s="1"/>
  <c r="E41" i="20"/>
  <c r="G549" i="22" s="1"/>
  <c r="E33" i="20"/>
  <c r="G425" i="22" s="1"/>
  <c r="E25" i="20"/>
  <c r="G300" i="22" s="1"/>
  <c r="E18" i="20"/>
  <c r="G212" i="22" s="1"/>
  <c r="E10" i="20"/>
  <c r="G86" i="22" s="1"/>
  <c r="G1832" i="22" l="1"/>
  <c r="E1835" i="22"/>
  <c r="G1835" i="22" s="1"/>
  <c r="E952" i="22"/>
  <c r="G952" i="22" s="1"/>
  <c r="E7" i="29"/>
  <c r="F7" i="29" s="1"/>
  <c r="D6" i="27"/>
  <c r="I108" i="8"/>
  <c r="H108" i="8" s="1"/>
  <c r="I102" i="8"/>
  <c r="H102" i="8" s="1"/>
  <c r="R115" i="21"/>
  <c r="G66" i="8"/>
  <c r="I66" i="8" s="1"/>
  <c r="J66" i="8" s="1"/>
  <c r="E53" i="22"/>
  <c r="G53" i="22" s="1"/>
  <c r="E1349" i="22"/>
  <c r="G1349" i="22" s="1"/>
  <c r="E891" i="22"/>
  <c r="G891" i="22" s="1"/>
  <c r="E1375" i="22"/>
  <c r="G1375" i="22" s="1"/>
  <c r="E268" i="22"/>
  <c r="G268" i="22" s="1"/>
  <c r="E40" i="22"/>
  <c r="G40" i="22" s="1"/>
  <c r="E116" i="22"/>
  <c r="G116" i="22" s="1"/>
  <c r="E342" i="22"/>
  <c r="G342" i="22" s="1"/>
  <c r="E577" i="22"/>
  <c r="E578" i="22" s="1"/>
  <c r="G578" i="22" s="1"/>
  <c r="E989" i="22"/>
  <c r="G989" i="22" s="1"/>
  <c r="E1212" i="22"/>
  <c r="G1212" i="22" s="1"/>
  <c r="E1401" i="22"/>
  <c r="E1402" i="22" s="1"/>
  <c r="G1402" i="22" s="1"/>
  <c r="E1636" i="22"/>
  <c r="G1636" i="22" s="1"/>
  <c r="E715" i="22"/>
  <c r="G715" i="22" s="1"/>
  <c r="E1538" i="22"/>
  <c r="E1539" i="22" s="1"/>
  <c r="G1539" i="22" s="1"/>
  <c r="E24" i="34"/>
  <c r="E129" i="22"/>
  <c r="G129" i="22" s="1"/>
  <c r="E355" i="22"/>
  <c r="E356" i="22" s="1"/>
  <c r="G356" i="22" s="1"/>
  <c r="E590" i="22"/>
  <c r="G590" i="22" s="1"/>
  <c r="E767" i="22"/>
  <c r="E768" i="22" s="1"/>
  <c r="G768" i="22" s="1"/>
  <c r="E1114" i="22"/>
  <c r="G1114" i="22" s="1"/>
  <c r="E142" i="22"/>
  <c r="G142" i="22" s="1"/>
  <c r="E368" i="22"/>
  <c r="G368" i="22" s="1"/>
  <c r="E1015" i="22"/>
  <c r="G1015" i="22" s="1"/>
  <c r="E1238" i="22"/>
  <c r="G1238" i="22" s="1"/>
  <c r="E1473" i="22"/>
  <c r="E1474" i="22" s="1"/>
  <c r="G1474" i="22" s="1"/>
  <c r="E1662" i="22"/>
  <c r="G1662" i="22" s="1"/>
  <c r="E14" i="22"/>
  <c r="E15" i="22" s="1"/>
  <c r="G15" i="22" s="1"/>
  <c r="E242" i="22"/>
  <c r="G242" i="22" s="1"/>
  <c r="E466" i="22"/>
  <c r="E467" i="22" s="1"/>
  <c r="G467" i="22" s="1"/>
  <c r="E642" i="22"/>
  <c r="E643" i="22" s="1"/>
  <c r="G643" i="22" s="1"/>
  <c r="E1088" i="22"/>
  <c r="G1088" i="22" s="1"/>
  <c r="E1512" i="22"/>
  <c r="E1513" i="22" s="1"/>
  <c r="G1513" i="22" s="1"/>
  <c r="E1760" i="22"/>
  <c r="G1760" i="22" s="1"/>
  <c r="E1786" i="22"/>
  <c r="E1787" i="22" s="1"/>
  <c r="G1787" i="22" s="1"/>
  <c r="I32" i="21"/>
  <c r="E66" i="22"/>
  <c r="E67" i="22" s="1"/>
  <c r="G67" i="22" s="1"/>
  <c r="E255" i="22"/>
  <c r="G255" i="22" s="1"/>
  <c r="E1101" i="22"/>
  <c r="G1101" i="22" s="1"/>
  <c r="E1525" i="22"/>
  <c r="E1526" i="22" s="1"/>
  <c r="G1526" i="22" s="1"/>
  <c r="E1773" i="22"/>
  <c r="E1774" i="22" s="1"/>
  <c r="G1774" i="22" s="1"/>
  <c r="E1002" i="22"/>
  <c r="G1002" i="22" s="1"/>
  <c r="E1225" i="22"/>
  <c r="E1226" i="22" s="1"/>
  <c r="G1226" i="22" s="1"/>
  <c r="E1649" i="22"/>
  <c r="G1649" i="22" s="1"/>
  <c r="H49" i="21"/>
  <c r="R49" i="21" s="1"/>
  <c r="G1538" i="22"/>
  <c r="E27" i="22"/>
  <c r="G27" i="22" s="1"/>
  <c r="E316" i="22"/>
  <c r="G316" i="22" s="1"/>
  <c r="E741" i="22"/>
  <c r="G741" i="22" s="1"/>
  <c r="E917" i="22"/>
  <c r="G917" i="22" s="1"/>
  <c r="E103" i="22"/>
  <c r="G103" i="22" s="1"/>
  <c r="E603" i="22"/>
  <c r="E604" i="22" s="1"/>
  <c r="G604" i="22" s="1"/>
  <c r="E155" i="22"/>
  <c r="G155" i="22" s="1"/>
  <c r="E839" i="22"/>
  <c r="G839" i="22" s="1"/>
  <c r="E1028" i="22"/>
  <c r="E1029" i="22" s="1"/>
  <c r="G1029" i="22" s="1"/>
  <c r="E1251" i="22"/>
  <c r="E440" i="22"/>
  <c r="G440" i="22" s="1"/>
  <c r="E616" i="22"/>
  <c r="E617" i="22" s="1"/>
  <c r="G617" i="22" s="1"/>
  <c r="E852" i="22"/>
  <c r="G852" i="22" s="1"/>
  <c r="E1041" i="22"/>
  <c r="G1041" i="22" s="1"/>
  <c r="E229" i="22"/>
  <c r="E230" i="22" s="1"/>
  <c r="G230" i="22" s="1"/>
  <c r="E453" i="22"/>
  <c r="E454" i="22" s="1"/>
  <c r="G454" i="22" s="1"/>
  <c r="E629" i="22"/>
  <c r="E630" i="22" s="1"/>
  <c r="G630" i="22" s="1"/>
  <c r="E865" i="22"/>
  <c r="G865" i="22" s="1"/>
  <c r="E1075" i="22"/>
  <c r="G1075" i="22" s="1"/>
  <c r="E1323" i="22"/>
  <c r="G1323" i="22" s="1"/>
  <c r="E1499" i="22"/>
  <c r="E1500" i="22" s="1"/>
  <c r="G1500" i="22" s="1"/>
  <c r="E1747" i="22"/>
  <c r="G1747" i="22" s="1"/>
  <c r="E878" i="22"/>
  <c r="E879" i="22" s="1"/>
  <c r="G879" i="22" s="1"/>
  <c r="E1336" i="22"/>
  <c r="E1337" i="22" s="1"/>
  <c r="G1337" i="22" s="1"/>
  <c r="E479" i="22"/>
  <c r="E480" i="22" s="1"/>
  <c r="G480" i="22" s="1"/>
  <c r="K59" i="21"/>
  <c r="R59" i="21" s="1"/>
  <c r="E656" i="22"/>
  <c r="H79" i="21"/>
  <c r="R79" i="21" s="1"/>
  <c r="E1637" i="22"/>
  <c r="G1637" i="22" s="1"/>
  <c r="E281" i="22"/>
  <c r="E492" i="22"/>
  <c r="E728" i="22"/>
  <c r="E904" i="22"/>
  <c r="E1127" i="22"/>
  <c r="E1362" i="22"/>
  <c r="E1551" i="22"/>
  <c r="E1799" i="22"/>
  <c r="H80" i="21"/>
  <c r="R80" i="21" s="1"/>
  <c r="K45" i="21"/>
  <c r="F514" i="22" s="1"/>
  <c r="F517" i="22" s="1"/>
  <c r="G517" i="22" s="1"/>
  <c r="E506" i="22"/>
  <c r="K99" i="21"/>
  <c r="F1149" i="22" s="1"/>
  <c r="E1141" i="22"/>
  <c r="K135" i="21"/>
  <c r="R135" i="21" s="1"/>
  <c r="E1565" i="22"/>
  <c r="K155" i="21"/>
  <c r="F1821" i="22" s="1"/>
  <c r="E1813" i="22"/>
  <c r="E329" i="22"/>
  <c r="E564" i="22"/>
  <c r="E754" i="22"/>
  <c r="K82" i="21"/>
  <c r="M82" i="21" s="1"/>
  <c r="E931" i="22"/>
  <c r="E1199" i="22"/>
  <c r="E1388" i="22"/>
  <c r="E1623" i="22"/>
  <c r="E169" i="22"/>
  <c r="G169" i="22" s="1"/>
  <c r="E269" i="22"/>
  <c r="G269" i="22" s="1"/>
  <c r="G229" i="22"/>
  <c r="G453" i="22"/>
  <c r="E716" i="22"/>
  <c r="G716" i="22" s="1"/>
  <c r="K122" i="21"/>
  <c r="F1423" i="22" s="1"/>
  <c r="E1415" i="22"/>
  <c r="K69" i="21"/>
  <c r="F789" i="22" s="1"/>
  <c r="E781" i="22"/>
  <c r="K34" i="21"/>
  <c r="F390" i="22" s="1"/>
  <c r="F393" i="22" s="1"/>
  <c r="G393" i="22" s="1"/>
  <c r="E382" i="22"/>
  <c r="E1486" i="22"/>
  <c r="E1239" i="22"/>
  <c r="G1239" i="22" s="1"/>
  <c r="M17" i="21"/>
  <c r="N17" i="21" s="1"/>
  <c r="F177" i="22"/>
  <c r="K109" i="21"/>
  <c r="E1265" i="22"/>
  <c r="K145" i="21"/>
  <c r="M145" i="21" s="1"/>
  <c r="E1689" i="22"/>
  <c r="E1675" i="22"/>
  <c r="G43" i="28"/>
  <c r="G12" i="28" s="1"/>
  <c r="J43" i="28"/>
  <c r="G10" i="28" s="1"/>
  <c r="G36" i="28"/>
  <c r="G7" i="28" s="1"/>
  <c r="J36" i="28"/>
  <c r="G5" i="28" s="1"/>
  <c r="G8" i="28" s="1"/>
  <c r="G1493" i="22"/>
  <c r="E1038" i="22"/>
  <c r="G1038" i="22" s="1"/>
  <c r="E366" i="22"/>
  <c r="G366" i="22" s="1"/>
  <c r="O1974" i="22"/>
  <c r="E1796" i="22"/>
  <c r="G1796" i="22" s="1"/>
  <c r="E1807" i="22"/>
  <c r="E1810" i="22" s="1"/>
  <c r="E1683" i="22"/>
  <c r="E1686" i="22" s="1"/>
  <c r="G187" i="22"/>
  <c r="E1899" i="22"/>
  <c r="G1899" i="22" s="1"/>
  <c r="O1980" i="22"/>
  <c r="E849" i="22"/>
  <c r="L1882" i="22"/>
  <c r="G1887" i="22"/>
  <c r="L1887" i="22" s="1"/>
  <c r="E1889" i="22"/>
  <c r="G1889" i="22" s="1"/>
  <c r="L1889" i="22" s="1"/>
  <c r="G1768" i="22"/>
  <c r="L1894" i="22"/>
  <c r="P1894" i="22" s="1"/>
  <c r="L1896" i="22"/>
  <c r="P1896" i="22" s="1"/>
  <c r="K1892" i="22"/>
  <c r="L1892" i="22" s="1"/>
  <c r="P1892" i="22" s="1"/>
  <c r="L1884" i="22"/>
  <c r="L1886" i="22"/>
  <c r="L1890" i="22"/>
  <c r="L1897" i="22"/>
  <c r="P1897" i="22" s="1"/>
  <c r="L1899" i="22"/>
  <c r="P1899" i="22" s="1"/>
  <c r="E1660" i="22"/>
  <c r="G1660" i="22" s="1"/>
  <c r="G1657" i="22"/>
  <c r="G1715" i="22"/>
  <c r="E1621" i="22"/>
  <c r="G1621" i="22" s="1"/>
  <c r="G1618" i="22"/>
  <c r="G1755" i="22"/>
  <c r="E1758" i="22"/>
  <c r="G1758" i="22" s="1"/>
  <c r="E1825" i="22"/>
  <c r="G1825" i="22" s="1"/>
  <c r="G1822" i="22"/>
  <c r="G1839" i="22"/>
  <c r="G1494" i="22"/>
  <c r="G1631" i="22"/>
  <c r="E1634" i="22"/>
  <c r="G1634" i="22" s="1"/>
  <c r="G1643" i="22"/>
  <c r="E1646" i="22"/>
  <c r="G1646" i="22" s="1"/>
  <c r="G1808" i="22"/>
  <c r="E1811" i="22"/>
  <c r="G1811" i="22" s="1"/>
  <c r="E1413" i="22"/>
  <c r="G1413" i="22" s="1"/>
  <c r="E1687" i="22"/>
  <c r="G1687" i="22" s="1"/>
  <c r="G1684" i="22"/>
  <c r="G1708" i="22"/>
  <c r="E1711" i="22"/>
  <c r="G1711" i="22" s="1"/>
  <c r="E1784" i="22"/>
  <c r="G1784" i="22" s="1"/>
  <c r="G1781" i="22"/>
  <c r="E1797" i="22"/>
  <c r="G1797" i="22" s="1"/>
  <c r="G1794" i="22"/>
  <c r="E1701" i="22"/>
  <c r="G1701" i="22" s="1"/>
  <c r="G1698" i="22"/>
  <c r="G1742" i="22"/>
  <c r="E1745" i="22"/>
  <c r="G1745" i="22" s="1"/>
  <c r="E1647" i="22"/>
  <c r="G1647" i="22" s="1"/>
  <c r="G1644" i="22"/>
  <c r="E1783" i="22"/>
  <c r="E1673" i="22"/>
  <c r="G1673" i="22" s="1"/>
  <c r="G1670" i="22"/>
  <c r="E265" i="22"/>
  <c r="G1669" i="22"/>
  <c r="E1672" i="22"/>
  <c r="G1672" i="22" s="1"/>
  <c r="G885" i="22"/>
  <c r="E1222" i="22"/>
  <c r="G1222" i="22" s="1"/>
  <c r="G1283" i="22"/>
  <c r="E1248" i="22"/>
  <c r="G1248" i="22" s="1"/>
  <c r="G1121" i="22"/>
  <c r="E1471" i="22"/>
  <c r="G1471" i="22" s="1"/>
  <c r="E1549" i="22"/>
  <c r="G1549" i="22" s="1"/>
  <c r="E1287" i="22"/>
  <c r="G1287" i="22" s="1"/>
  <c r="E1135" i="22"/>
  <c r="E1138" i="22" s="1"/>
  <c r="G696" i="22"/>
  <c r="E1086" i="22"/>
  <c r="G1086" i="22" s="1"/>
  <c r="E463" i="22"/>
  <c r="G463" i="22" s="1"/>
  <c r="E1398" i="22"/>
  <c r="G1398" i="22" s="1"/>
  <c r="E376" i="22"/>
  <c r="G1357" i="22"/>
  <c r="E1577" i="22"/>
  <c r="G1577" i="22" s="1"/>
  <c r="G1574" i="22"/>
  <c r="G1022" i="22"/>
  <c r="G547" i="22"/>
  <c r="G1180" i="22"/>
  <c r="E1197" i="22"/>
  <c r="G1197" i="22" s="1"/>
  <c r="E650" i="22"/>
  <c r="E925" i="22"/>
  <c r="E928" i="22" s="1"/>
  <c r="G761" i="22"/>
  <c r="G1304" i="22"/>
  <c r="G970" i="22"/>
  <c r="G1454" i="22"/>
  <c r="G336" i="22"/>
  <c r="E339" i="22"/>
  <c r="G339" i="22" s="1"/>
  <c r="G1167" i="22"/>
  <c r="G1441" i="22"/>
  <c r="E987" i="22"/>
  <c r="G987" i="22" s="1"/>
  <c r="G984" i="22"/>
  <c r="G1370" i="22"/>
  <c r="E1373" i="22"/>
  <c r="G1373" i="22" s="1"/>
  <c r="G532" i="22"/>
  <c r="E394" i="22"/>
  <c r="G394" i="22" s="1"/>
  <c r="E862" i="22"/>
  <c r="G862" i="22" s="1"/>
  <c r="G1557" i="22"/>
  <c r="E1559" i="22"/>
  <c r="G498" i="22"/>
  <c r="G1507" i="22"/>
  <c r="E1510" i="22"/>
  <c r="G1510" i="22" s="1"/>
  <c r="E1483" i="22"/>
  <c r="G682" i="22"/>
  <c r="E929" i="22"/>
  <c r="G929" i="22" s="1"/>
  <c r="G926" i="22"/>
  <c r="G1434" i="22"/>
  <c r="E1437" i="22"/>
  <c r="G1437" i="22" s="1"/>
  <c r="G1481" i="22"/>
  <c r="E1484" i="22"/>
  <c r="G1484" i="22" s="1"/>
  <c r="G1583" i="22"/>
  <c r="E775" i="22"/>
  <c r="E778" i="22" s="1"/>
  <c r="E1548" i="22"/>
  <c r="G1548" i="22" s="1"/>
  <c r="G1545" i="22"/>
  <c r="E1535" i="22"/>
  <c r="G1591" i="22"/>
  <c r="E953" i="22"/>
  <c r="G953" i="22" s="1"/>
  <c r="G950" i="22"/>
  <c r="G1344" i="22"/>
  <c r="E1347" i="22"/>
  <c r="G1347" i="22" s="1"/>
  <c r="E1427" i="22"/>
  <c r="G1427" i="22" s="1"/>
  <c r="G1424" i="22"/>
  <c r="E1522" i="22"/>
  <c r="G1522" i="22" s="1"/>
  <c r="G1519" i="22"/>
  <c r="G807" i="22"/>
  <c r="G1343" i="22"/>
  <c r="E1346" i="22"/>
  <c r="G1346" i="22" s="1"/>
  <c r="G408" i="22"/>
  <c r="G1369" i="22"/>
  <c r="E1372" i="22"/>
  <c r="G1372" i="22" s="1"/>
  <c r="E365" i="22"/>
  <c r="G365" i="22" s="1"/>
  <c r="G400" i="22"/>
  <c r="G940" i="22"/>
  <c r="G1257" i="22"/>
  <c r="E1259" i="22"/>
  <c r="G1396" i="22"/>
  <c r="E1399" i="22"/>
  <c r="G1399" i="22" s="1"/>
  <c r="E1536" i="22"/>
  <c r="G1536" i="22" s="1"/>
  <c r="G1533" i="22"/>
  <c r="G1456" i="22"/>
  <c r="E1523" i="22"/>
  <c r="G1523" i="22" s="1"/>
  <c r="G1520" i="22"/>
  <c r="G1584" i="22"/>
  <c r="E1587" i="22"/>
  <c r="G1587" i="22" s="1"/>
  <c r="G799" i="22"/>
  <c r="E613" i="22"/>
  <c r="G613" i="22" s="1"/>
  <c r="G820" i="22"/>
  <c r="E352" i="22"/>
  <c r="E915" i="22"/>
  <c r="G915" i="22" s="1"/>
  <c r="G1604" i="22"/>
  <c r="G1560" i="22"/>
  <c r="E1563" i="22"/>
  <c r="G1563" i="22" s="1"/>
  <c r="G298" i="22"/>
  <c r="G1383" i="22"/>
  <c r="E1386" i="22"/>
  <c r="G1386" i="22" s="1"/>
  <c r="G172" i="22"/>
  <c r="G210" i="22" s="1"/>
  <c r="E161" i="22"/>
  <c r="E162" i="22"/>
  <c r="G162" i="22" s="1"/>
  <c r="G1109" i="22"/>
  <c r="G1171" i="22" s="1"/>
  <c r="E1112" i="22"/>
  <c r="G1112" i="22" s="1"/>
  <c r="E1409" i="22"/>
  <c r="E1321" i="22"/>
  <c r="G1321" i="22" s="1"/>
  <c r="G1318" i="22"/>
  <c r="E1026" i="22"/>
  <c r="G1026" i="22" s="1"/>
  <c r="G1023" i="22"/>
  <c r="G1246" i="22"/>
  <c r="E1249" i="22"/>
  <c r="G1249" i="22" s="1"/>
  <c r="G1233" i="22"/>
  <c r="E1236" i="22"/>
  <c r="G1236" i="22" s="1"/>
  <c r="G1207" i="22"/>
  <c r="E1210" i="22"/>
  <c r="G1210" i="22" s="1"/>
  <c r="G1331" i="22"/>
  <c r="E1334" i="22"/>
  <c r="G1334" i="22" s="1"/>
  <c r="G1260" i="22"/>
  <c r="E1263" i="22"/>
  <c r="G1263" i="22" s="1"/>
  <c r="G1046" i="22"/>
  <c r="G911" i="22"/>
  <c r="E914" i="22"/>
  <c r="G914" i="22" s="1"/>
  <c r="E1098" i="22"/>
  <c r="G1098" i="22" s="1"/>
  <c r="G1095" i="22"/>
  <c r="G1291" i="22"/>
  <c r="G957" i="22"/>
  <c r="E1111" i="22"/>
  <c r="G1274" i="22"/>
  <c r="E1277" i="22"/>
  <c r="G1277" i="22" s="1"/>
  <c r="E1013" i="22"/>
  <c r="G1013" i="22" s="1"/>
  <c r="G1010" i="22"/>
  <c r="G723" i="22"/>
  <c r="E726" i="22"/>
  <c r="G726" i="22" s="1"/>
  <c r="E765" i="22"/>
  <c r="G765" i="22" s="1"/>
  <c r="G762" i="22"/>
  <c r="G736" i="22"/>
  <c r="E739" i="22"/>
  <c r="G739" i="22" s="1"/>
  <c r="G735" i="22"/>
  <c r="E738" i="22"/>
  <c r="G738" i="22" s="1"/>
  <c r="E863" i="22"/>
  <c r="G863" i="22" s="1"/>
  <c r="G860" i="22"/>
  <c r="G749" i="22"/>
  <c r="E752" i="22"/>
  <c r="G752" i="22" s="1"/>
  <c r="G525" i="22"/>
  <c r="E528" i="22"/>
  <c r="G528" i="22" s="1"/>
  <c r="G790" i="22"/>
  <c r="E793" i="22"/>
  <c r="G793" i="22" s="1"/>
  <c r="E504" i="22"/>
  <c r="G504" i="22" s="1"/>
  <c r="G501" i="22"/>
  <c r="E803" i="22"/>
  <c r="G803" i="22" s="1"/>
  <c r="G800" i="22"/>
  <c r="G834" i="22"/>
  <c r="E837" i="22"/>
  <c r="G837" i="22" s="1"/>
  <c r="G873" i="22"/>
  <c r="E876" i="22"/>
  <c r="G876" i="22" s="1"/>
  <c r="E148" i="22"/>
  <c r="G474" i="22"/>
  <c r="E477" i="22"/>
  <c r="G477" i="22" s="1"/>
  <c r="G637" i="22"/>
  <c r="E640" i="22"/>
  <c r="G640" i="22" s="1"/>
  <c r="E59" i="22"/>
  <c r="G377" i="22"/>
  <c r="E380" i="22"/>
  <c r="G380" i="22" s="1"/>
  <c r="G636" i="22"/>
  <c r="E639" i="22"/>
  <c r="G639" i="22" s="1"/>
  <c r="E451" i="22"/>
  <c r="G451" i="22" s="1"/>
  <c r="G448" i="22"/>
  <c r="G337" i="22"/>
  <c r="E340" i="22"/>
  <c r="G340" i="22" s="1"/>
  <c r="G665" i="22"/>
  <c r="E668" i="22"/>
  <c r="G668" i="22" s="1"/>
  <c r="E601" i="22"/>
  <c r="G601" i="22" s="1"/>
  <c r="G598" i="22"/>
  <c r="E404" i="22"/>
  <c r="G404" i="22" s="1"/>
  <c r="G401" i="22"/>
  <c r="G487" i="22"/>
  <c r="E490" i="22"/>
  <c r="G490" i="22" s="1"/>
  <c r="E627" i="22"/>
  <c r="G627" i="22" s="1"/>
  <c r="G624" i="22"/>
  <c r="G286" i="22"/>
  <c r="G435" i="22"/>
  <c r="E438" i="22"/>
  <c r="G438" i="22" s="1"/>
  <c r="G651" i="22"/>
  <c r="E654" i="22"/>
  <c r="G654" i="22" s="1"/>
  <c r="L62" i="22"/>
  <c r="E46" i="22"/>
  <c r="L58" i="22"/>
  <c r="E626" i="22"/>
  <c r="E314" i="22"/>
  <c r="G314" i="22" s="1"/>
  <c r="G311" i="22"/>
  <c r="G584" i="22"/>
  <c r="E587" i="22"/>
  <c r="G587" i="22" s="1"/>
  <c r="E562" i="22"/>
  <c r="G562" i="22" s="1"/>
  <c r="G559" i="22"/>
  <c r="G572" i="22"/>
  <c r="E575" i="22"/>
  <c r="G575" i="22" s="1"/>
  <c r="E278" i="22"/>
  <c r="G278" i="22" s="1"/>
  <c r="G275" i="22"/>
  <c r="G250" i="22"/>
  <c r="E253" i="22"/>
  <c r="G253" i="22" s="1"/>
  <c r="G263" i="22"/>
  <c r="E266" i="22"/>
  <c r="G266" i="22" s="1"/>
  <c r="E123" i="22"/>
  <c r="G123" i="22" s="1"/>
  <c r="G94" i="22"/>
  <c r="E98" i="22"/>
  <c r="G98" i="22" s="1"/>
  <c r="E95" i="22"/>
  <c r="E136" i="22"/>
  <c r="G237" i="22"/>
  <c r="E240" i="22"/>
  <c r="G240" i="22" s="1"/>
  <c r="G55" i="22"/>
  <c r="E122" i="22"/>
  <c r="E149" i="22"/>
  <c r="G149" i="22" s="1"/>
  <c r="G124" i="22"/>
  <c r="E127" i="22"/>
  <c r="G127" i="22" s="1"/>
  <c r="E164" i="22"/>
  <c r="G159" i="22"/>
  <c r="G133" i="22"/>
  <c r="E137" i="22"/>
  <c r="E111" i="22"/>
  <c r="G107" i="22"/>
  <c r="I159" i="22"/>
  <c r="E150" i="22"/>
  <c r="E110" i="22"/>
  <c r="E19" i="22"/>
  <c r="G120" i="22"/>
  <c r="I107" i="22"/>
  <c r="E100" i="22"/>
  <c r="G188" i="22"/>
  <c r="E191" i="22"/>
  <c r="G191" i="22" s="1"/>
  <c r="I146" i="22"/>
  <c r="G206" i="22"/>
  <c r="G207" i="22"/>
  <c r="G200" i="22"/>
  <c r="G209" i="22"/>
  <c r="I133" i="22"/>
  <c r="G54" i="10"/>
  <c r="L33" i="22"/>
  <c r="L36" i="22"/>
  <c r="L39" i="22"/>
  <c r="L42" i="22"/>
  <c r="E60" i="22"/>
  <c r="E63" i="22" s="1"/>
  <c r="G63" i="22" s="1"/>
  <c r="E47" i="22"/>
  <c r="E50" i="22" s="1"/>
  <c r="G50" i="22" s="1"/>
  <c r="G5" i="22"/>
  <c r="E9" i="22"/>
  <c r="G31" i="22"/>
  <c r="E35" i="22"/>
  <c r="E37" i="22"/>
  <c r="G37" i="22" s="1"/>
  <c r="E61" i="22"/>
  <c r="G57" i="22"/>
  <c r="E48" i="22"/>
  <c r="G44" i="22"/>
  <c r="E24" i="22"/>
  <c r="E22" i="22"/>
  <c r="E54" i="22"/>
  <c r="G54" i="22" s="1"/>
  <c r="E8" i="22"/>
  <c r="E11" i="22" s="1"/>
  <c r="E32" i="22"/>
  <c r="L45" i="22"/>
  <c r="L49" i="22"/>
  <c r="H159" i="21"/>
  <c r="R159" i="21" s="1"/>
  <c r="F176" i="21" s="1"/>
  <c r="G85" i="8" s="1"/>
  <c r="R18" i="21"/>
  <c r="R35" i="21"/>
  <c r="E162" i="21"/>
  <c r="Q162" i="21"/>
  <c r="H160" i="21"/>
  <c r="R57" i="21"/>
  <c r="M146" i="21"/>
  <c r="N146" i="21" s="1"/>
  <c r="M46" i="21"/>
  <c r="N46" i="21" s="1"/>
  <c r="R58" i="21"/>
  <c r="R17" i="21"/>
  <c r="M70" i="21"/>
  <c r="N70" i="21" s="1"/>
  <c r="R83" i="21"/>
  <c r="R46" i="21"/>
  <c r="R100" i="21"/>
  <c r="R22" i="21"/>
  <c r="R123" i="21"/>
  <c r="R41" i="21"/>
  <c r="R146" i="21"/>
  <c r="R149" i="21"/>
  <c r="M110" i="21"/>
  <c r="R23" i="21"/>
  <c r="R156" i="21"/>
  <c r="M83" i="21"/>
  <c r="M58" i="21"/>
  <c r="R110" i="21"/>
  <c r="M156" i="21"/>
  <c r="S123" i="21"/>
  <c r="M136" i="21"/>
  <c r="H50" i="21"/>
  <c r="R50" i="21" s="1"/>
  <c r="H120" i="21"/>
  <c r="R120" i="21" s="1"/>
  <c r="M100" i="21"/>
  <c r="H128" i="21"/>
  <c r="R128" i="21" s="1"/>
  <c r="I53" i="21"/>
  <c r="M18" i="21"/>
  <c r="M35" i="21"/>
  <c r="H7" i="21"/>
  <c r="R7" i="21" s="1"/>
  <c r="H6" i="21"/>
  <c r="R6" i="21" s="1"/>
  <c r="H12" i="21"/>
  <c r="R12" i="21" s="1"/>
  <c r="H54" i="21"/>
  <c r="R54" i="21" s="1"/>
  <c r="H90" i="21"/>
  <c r="R90" i="21" s="1"/>
  <c r="H129" i="21"/>
  <c r="R129" i="21" s="1"/>
  <c r="I107" i="21"/>
  <c r="H24" i="21"/>
  <c r="R24" i="21" s="1"/>
  <c r="H55" i="21"/>
  <c r="R55" i="21" s="1"/>
  <c r="H96" i="21"/>
  <c r="R96" i="21" s="1"/>
  <c r="H132" i="21"/>
  <c r="R132" i="21" s="1"/>
  <c r="I143" i="21"/>
  <c r="H25" i="21"/>
  <c r="R25" i="21" s="1"/>
  <c r="H62" i="21"/>
  <c r="H97" i="21"/>
  <c r="R97" i="21" s="1"/>
  <c r="H133" i="21"/>
  <c r="R133" i="21" s="1"/>
  <c r="H28" i="21"/>
  <c r="H63" i="21"/>
  <c r="R63" i="21" s="1"/>
  <c r="H98" i="21"/>
  <c r="R98" i="21" s="1"/>
  <c r="H134" i="21"/>
  <c r="R134" i="21" s="1"/>
  <c r="H29" i="21"/>
  <c r="R29" i="21" s="1"/>
  <c r="H64" i="21"/>
  <c r="R64" i="21" s="1"/>
  <c r="H104" i="21"/>
  <c r="R104" i="21" s="1"/>
  <c r="H140" i="21"/>
  <c r="R140" i="21" s="1"/>
  <c r="H30" i="21"/>
  <c r="R30" i="21" s="1"/>
  <c r="H65" i="21"/>
  <c r="R65" i="21" s="1"/>
  <c r="H113" i="21"/>
  <c r="H152" i="21"/>
  <c r="R152" i="21" s="1"/>
  <c r="H39" i="21"/>
  <c r="R39" i="21" s="1"/>
  <c r="H66" i="21"/>
  <c r="H116" i="21"/>
  <c r="R116" i="21" s="1"/>
  <c r="H153" i="21"/>
  <c r="H42" i="21"/>
  <c r="R42" i="21" s="1"/>
  <c r="H74" i="21"/>
  <c r="R74" i="21" s="1"/>
  <c r="H117" i="21"/>
  <c r="R117" i="21" s="1"/>
  <c r="H154" i="21"/>
  <c r="R154" i="21" s="1"/>
  <c r="H43" i="21"/>
  <c r="R43" i="21" s="1"/>
  <c r="H75" i="21"/>
  <c r="R75" i="21" s="1"/>
  <c r="H118" i="21"/>
  <c r="R118" i="21" s="1"/>
  <c r="I13" i="21"/>
  <c r="H44" i="21"/>
  <c r="R44" i="21" s="1"/>
  <c r="H78" i="21"/>
  <c r="R78" i="21" s="1"/>
  <c r="H119" i="21"/>
  <c r="R119" i="21" s="1"/>
  <c r="I15" i="21"/>
  <c r="H81" i="21"/>
  <c r="R81" i="21" s="1"/>
  <c r="H103" i="21"/>
  <c r="H139" i="21"/>
  <c r="I54" i="21"/>
  <c r="I90" i="21"/>
  <c r="I128" i="21"/>
  <c r="I75" i="21"/>
  <c r="I129" i="21"/>
  <c r="H13" i="21"/>
  <c r="R13" i="21" s="1"/>
  <c r="H31" i="21"/>
  <c r="R31" i="21" s="1"/>
  <c r="H51" i="21"/>
  <c r="R51" i="21" s="1"/>
  <c r="H67" i="21"/>
  <c r="R67" i="21" s="1"/>
  <c r="H87" i="21"/>
  <c r="H105" i="21"/>
  <c r="R105" i="21" s="1"/>
  <c r="H121" i="21"/>
  <c r="R121" i="21" s="1"/>
  <c r="H141" i="21"/>
  <c r="R141" i="21" s="1"/>
  <c r="I22" i="21"/>
  <c r="J22" i="21" s="1"/>
  <c r="I40" i="21"/>
  <c r="I56" i="21"/>
  <c r="H14" i="21"/>
  <c r="R14" i="21" s="1"/>
  <c r="H32" i="21"/>
  <c r="H52" i="21"/>
  <c r="R52" i="21" s="1"/>
  <c r="H68" i="21"/>
  <c r="R68" i="21" s="1"/>
  <c r="H88" i="21"/>
  <c r="R88" i="21" s="1"/>
  <c r="H106" i="21"/>
  <c r="R106" i="21" s="1"/>
  <c r="H126" i="21"/>
  <c r="H142" i="21"/>
  <c r="R142" i="21" s="1"/>
  <c r="I5" i="21"/>
  <c r="I77" i="21"/>
  <c r="I95" i="21"/>
  <c r="I115" i="21"/>
  <c r="J115" i="21" s="1"/>
  <c r="I131" i="21"/>
  <c r="I151" i="21"/>
  <c r="J151" i="21" s="1"/>
  <c r="H15" i="21"/>
  <c r="R15" i="21" s="1"/>
  <c r="H33" i="21"/>
  <c r="R33" i="21" s="1"/>
  <c r="H53" i="21"/>
  <c r="H73" i="21"/>
  <c r="H89" i="21"/>
  <c r="H107" i="21"/>
  <c r="R107" i="21" s="1"/>
  <c r="H127" i="21"/>
  <c r="R127" i="21" s="1"/>
  <c r="H143" i="21"/>
  <c r="I24" i="21"/>
  <c r="I42" i="21"/>
  <c r="I78" i="21"/>
  <c r="I116" i="21"/>
  <c r="H5" i="21"/>
  <c r="R5" i="21" s="1"/>
  <c r="H16" i="21"/>
  <c r="R16" i="21" s="1"/>
  <c r="H38" i="21"/>
  <c r="H108" i="21"/>
  <c r="R108" i="21" s="1"/>
  <c r="H144" i="21"/>
  <c r="R144" i="21" s="1"/>
  <c r="I7" i="21"/>
  <c r="I25" i="21"/>
  <c r="I43" i="21"/>
  <c r="I97" i="21"/>
  <c r="I133" i="21"/>
  <c r="I153" i="21"/>
  <c r="H93" i="21"/>
  <c r="I8" i="21"/>
  <c r="I64" i="21"/>
  <c r="I80" i="21"/>
  <c r="I118" i="21"/>
  <c r="H40" i="21"/>
  <c r="R40" i="21" s="1"/>
  <c r="H56" i="21"/>
  <c r="R56" i="21" s="1"/>
  <c r="H76" i="21"/>
  <c r="R76" i="21" s="1"/>
  <c r="H94" i="21"/>
  <c r="R94" i="21" s="1"/>
  <c r="H114" i="21"/>
  <c r="R114" i="21" s="1"/>
  <c r="H130" i="21"/>
  <c r="R130" i="21" s="1"/>
  <c r="H150" i="21"/>
  <c r="R150" i="21" s="1"/>
  <c r="H8" i="21"/>
  <c r="R8" i="21" s="1"/>
  <c r="H77" i="21"/>
  <c r="R77" i="21" s="1"/>
  <c r="H95" i="21"/>
  <c r="R95" i="21" s="1"/>
  <c r="H131" i="21"/>
  <c r="R131" i="21" s="1"/>
  <c r="I30" i="21"/>
  <c r="I120" i="21"/>
  <c r="I51" i="21"/>
  <c r="I67" i="21"/>
  <c r="I105" i="21"/>
  <c r="I141" i="21"/>
  <c r="E141" i="20"/>
  <c r="L137" i="20"/>
  <c r="L139" i="20"/>
  <c r="I139" i="20"/>
  <c r="G139" i="20"/>
  <c r="F139" i="20"/>
  <c r="F1968" i="22" s="1"/>
  <c r="G1968" i="22" s="1"/>
  <c r="I137" i="20"/>
  <c r="G137" i="20"/>
  <c r="F137" i="20"/>
  <c r="I136" i="20"/>
  <c r="G136" i="20"/>
  <c r="F136" i="20"/>
  <c r="I135" i="20"/>
  <c r="G135" i="20"/>
  <c r="F135" i="20"/>
  <c r="F1933" i="22" s="1"/>
  <c r="G1933" i="22" s="1"/>
  <c r="I127" i="20"/>
  <c r="J127" i="20" s="1"/>
  <c r="G127" i="20"/>
  <c r="F127" i="20"/>
  <c r="I126" i="20"/>
  <c r="J126" i="20" s="1"/>
  <c r="G126" i="20"/>
  <c r="F126" i="20"/>
  <c r="I125" i="20"/>
  <c r="J125" i="20" s="1"/>
  <c r="G125" i="20"/>
  <c r="F125" i="20"/>
  <c r="I124" i="20"/>
  <c r="J124" i="20" s="1"/>
  <c r="G124" i="20"/>
  <c r="F124" i="20"/>
  <c r="I123" i="20"/>
  <c r="J123" i="20" s="1"/>
  <c r="G123" i="20"/>
  <c r="F123" i="20"/>
  <c r="I122" i="20"/>
  <c r="J122" i="20" s="1"/>
  <c r="G122" i="20"/>
  <c r="F122" i="20"/>
  <c r="I119" i="20"/>
  <c r="J119" i="20" s="1"/>
  <c r="G119" i="20"/>
  <c r="F119" i="20"/>
  <c r="I118" i="20"/>
  <c r="J118" i="20" s="1"/>
  <c r="G118" i="20"/>
  <c r="F118" i="20"/>
  <c r="I117" i="20"/>
  <c r="J117" i="20" s="1"/>
  <c r="G117" i="20"/>
  <c r="F117" i="20"/>
  <c r="I116" i="20"/>
  <c r="J116" i="20" s="1"/>
  <c r="G116" i="20"/>
  <c r="F116" i="20"/>
  <c r="I115" i="20"/>
  <c r="J115" i="20" s="1"/>
  <c r="G115" i="20"/>
  <c r="F115" i="20"/>
  <c r="I114" i="20"/>
  <c r="J114" i="20" s="1"/>
  <c r="G114" i="20"/>
  <c r="F114" i="20"/>
  <c r="I111" i="20"/>
  <c r="J111" i="20" s="1"/>
  <c r="G111" i="20"/>
  <c r="F111" i="20"/>
  <c r="I110" i="20"/>
  <c r="J110" i="20" s="1"/>
  <c r="G110" i="20"/>
  <c r="F110" i="20"/>
  <c r="I109" i="20"/>
  <c r="J109" i="20" s="1"/>
  <c r="G109" i="20"/>
  <c r="F109" i="20"/>
  <c r="I108" i="20"/>
  <c r="J108" i="20" s="1"/>
  <c r="G108" i="20"/>
  <c r="F108" i="20"/>
  <c r="I107" i="20"/>
  <c r="J107" i="20" s="1"/>
  <c r="G107" i="20"/>
  <c r="F107" i="20"/>
  <c r="I106" i="20"/>
  <c r="J106" i="20" s="1"/>
  <c r="G106" i="20"/>
  <c r="F106" i="20"/>
  <c r="I105" i="20"/>
  <c r="J105" i="20" s="1"/>
  <c r="G105" i="20"/>
  <c r="F105" i="20"/>
  <c r="I104" i="20"/>
  <c r="J104" i="20" s="1"/>
  <c r="G104" i="20"/>
  <c r="F104" i="20"/>
  <c r="I101" i="20"/>
  <c r="J101" i="20" s="1"/>
  <c r="G101" i="20"/>
  <c r="F101" i="20"/>
  <c r="I100" i="20"/>
  <c r="J100" i="20" s="1"/>
  <c r="G100" i="20"/>
  <c r="F100" i="20"/>
  <c r="I99" i="20"/>
  <c r="J99" i="20" s="1"/>
  <c r="G99" i="20"/>
  <c r="F99" i="20"/>
  <c r="I98" i="20"/>
  <c r="J98" i="20" s="1"/>
  <c r="G98" i="20"/>
  <c r="F98" i="20"/>
  <c r="I97" i="20"/>
  <c r="J97" i="20" s="1"/>
  <c r="G97" i="20"/>
  <c r="F97" i="20"/>
  <c r="I96" i="20"/>
  <c r="J96" i="20" s="1"/>
  <c r="G96" i="20"/>
  <c r="F96" i="20"/>
  <c r="I95" i="20"/>
  <c r="J95" i="20" s="1"/>
  <c r="G95" i="20"/>
  <c r="F95" i="20"/>
  <c r="I94" i="20"/>
  <c r="J94" i="20" s="1"/>
  <c r="G94" i="20"/>
  <c r="F94" i="20"/>
  <c r="I91" i="20"/>
  <c r="J91" i="20" s="1"/>
  <c r="G91" i="20"/>
  <c r="F91" i="20"/>
  <c r="I90" i="20"/>
  <c r="J90" i="20" s="1"/>
  <c r="G90" i="20"/>
  <c r="F90" i="20"/>
  <c r="I89" i="20"/>
  <c r="J89" i="20" s="1"/>
  <c r="G89" i="20"/>
  <c r="F89" i="20"/>
  <c r="I88" i="20"/>
  <c r="J88" i="20" s="1"/>
  <c r="G88" i="20"/>
  <c r="F88" i="20"/>
  <c r="I87" i="20"/>
  <c r="J87" i="20" s="1"/>
  <c r="G87" i="20"/>
  <c r="F87" i="20"/>
  <c r="I86" i="20"/>
  <c r="J86" i="20" s="1"/>
  <c r="G86" i="20"/>
  <c r="F86" i="20"/>
  <c r="I83" i="20"/>
  <c r="J83" i="20" s="1"/>
  <c r="G83" i="20"/>
  <c r="F83" i="20"/>
  <c r="I82" i="20"/>
  <c r="J82" i="20" s="1"/>
  <c r="G82" i="20"/>
  <c r="F82" i="20"/>
  <c r="I81" i="20"/>
  <c r="J81" i="20" s="1"/>
  <c r="G81" i="20"/>
  <c r="F81" i="20"/>
  <c r="I80" i="20"/>
  <c r="J80" i="20" s="1"/>
  <c r="G80" i="20"/>
  <c r="F80" i="20"/>
  <c r="I79" i="20"/>
  <c r="J79" i="20" s="1"/>
  <c r="G79" i="20"/>
  <c r="F79" i="20"/>
  <c r="I78" i="20"/>
  <c r="J78" i="20" s="1"/>
  <c r="G78" i="20"/>
  <c r="F78" i="20"/>
  <c r="I75" i="20"/>
  <c r="J75" i="20" s="1"/>
  <c r="G75" i="20"/>
  <c r="F75" i="20"/>
  <c r="I74" i="20"/>
  <c r="J74" i="20" s="1"/>
  <c r="G74" i="20"/>
  <c r="F74" i="20"/>
  <c r="I73" i="20"/>
  <c r="J73" i="20" s="1"/>
  <c r="G73" i="20"/>
  <c r="F73" i="20"/>
  <c r="I72" i="20"/>
  <c r="J72" i="20" s="1"/>
  <c r="G72" i="20"/>
  <c r="F72" i="20"/>
  <c r="F994" i="22" s="1"/>
  <c r="G994" i="22" s="1"/>
  <c r="I71" i="20"/>
  <c r="J71" i="20" s="1"/>
  <c r="G71" i="20"/>
  <c r="F71" i="20"/>
  <c r="I68" i="20"/>
  <c r="J68" i="20" s="1"/>
  <c r="G68" i="20"/>
  <c r="F68" i="20"/>
  <c r="I67" i="20"/>
  <c r="J67" i="20" s="1"/>
  <c r="G67" i="20"/>
  <c r="F67" i="20"/>
  <c r="I66" i="20"/>
  <c r="J66" i="20" s="1"/>
  <c r="G66" i="20"/>
  <c r="F66" i="20"/>
  <c r="I65" i="20"/>
  <c r="J65" i="20" s="1"/>
  <c r="G65" i="20"/>
  <c r="F65" i="20"/>
  <c r="I64" i="20"/>
  <c r="J64" i="20" s="1"/>
  <c r="G64" i="20"/>
  <c r="F64" i="20"/>
  <c r="I63" i="20"/>
  <c r="J63" i="20" s="1"/>
  <c r="G63" i="20"/>
  <c r="F63" i="20"/>
  <c r="I62" i="20"/>
  <c r="J62" i="20" s="1"/>
  <c r="G62" i="20"/>
  <c r="F62" i="20"/>
  <c r="I61" i="20"/>
  <c r="J61" i="20" s="1"/>
  <c r="G61" i="20"/>
  <c r="F61" i="20"/>
  <c r="I58" i="20"/>
  <c r="J58" i="20" s="1"/>
  <c r="G58" i="20"/>
  <c r="F58" i="20"/>
  <c r="I57" i="20"/>
  <c r="J57" i="20" s="1"/>
  <c r="G57" i="20"/>
  <c r="F57" i="20"/>
  <c r="I56" i="20"/>
  <c r="J56" i="20" s="1"/>
  <c r="G56" i="20"/>
  <c r="F56" i="20"/>
  <c r="I55" i="20"/>
  <c r="J55" i="20" s="1"/>
  <c r="G55" i="20"/>
  <c r="F55" i="20"/>
  <c r="I54" i="20"/>
  <c r="J54" i="20" s="1"/>
  <c r="G54" i="20"/>
  <c r="F54" i="20"/>
  <c r="I53" i="20"/>
  <c r="J53" i="20" s="1"/>
  <c r="G53" i="20"/>
  <c r="F53" i="20"/>
  <c r="I50" i="20"/>
  <c r="J50" i="20" s="1"/>
  <c r="G50" i="20"/>
  <c r="F50" i="20"/>
  <c r="I49" i="20"/>
  <c r="J49" i="20" s="1"/>
  <c r="G49" i="20"/>
  <c r="F49" i="20"/>
  <c r="I48" i="20"/>
  <c r="J48" i="20" s="1"/>
  <c r="G48" i="20"/>
  <c r="F48" i="20"/>
  <c r="I47" i="20"/>
  <c r="J47" i="20" s="1"/>
  <c r="G47" i="20"/>
  <c r="F47" i="20"/>
  <c r="I46" i="20"/>
  <c r="J46" i="20" s="1"/>
  <c r="G46" i="20"/>
  <c r="F46" i="20"/>
  <c r="I45" i="20"/>
  <c r="J45" i="20" s="1"/>
  <c r="G45" i="20"/>
  <c r="F45" i="20"/>
  <c r="I44" i="20"/>
  <c r="J44" i="20" s="1"/>
  <c r="G44" i="20"/>
  <c r="F44" i="20"/>
  <c r="I43" i="20"/>
  <c r="J43" i="20" s="1"/>
  <c r="G43" i="20"/>
  <c r="F43" i="20"/>
  <c r="F36" i="20"/>
  <c r="G36" i="20"/>
  <c r="I36" i="20"/>
  <c r="J36" i="20" s="1"/>
  <c r="F37" i="20"/>
  <c r="G37" i="20"/>
  <c r="I37" i="20"/>
  <c r="J37" i="20" s="1"/>
  <c r="F38" i="20"/>
  <c r="G38" i="20"/>
  <c r="I38" i="20"/>
  <c r="J38" i="20" s="1"/>
  <c r="F39" i="20"/>
  <c r="G39" i="20"/>
  <c r="I39" i="20"/>
  <c r="J39" i="20" s="1"/>
  <c r="F40" i="20"/>
  <c r="G40" i="20"/>
  <c r="I40" i="20"/>
  <c r="J40" i="20" s="1"/>
  <c r="I35" i="20"/>
  <c r="J35" i="20" s="1"/>
  <c r="G35" i="20"/>
  <c r="F35" i="20"/>
  <c r="F32" i="20"/>
  <c r="G32" i="20"/>
  <c r="I32" i="20"/>
  <c r="J32" i="20" s="1"/>
  <c r="I31" i="20"/>
  <c r="J31" i="20" s="1"/>
  <c r="G31" i="20"/>
  <c r="F31" i="20"/>
  <c r="I30" i="20"/>
  <c r="J30" i="20" s="1"/>
  <c r="G30" i="20"/>
  <c r="F30" i="20"/>
  <c r="I29" i="20"/>
  <c r="J29" i="20" s="1"/>
  <c r="G29" i="20"/>
  <c r="F29" i="20"/>
  <c r="I28" i="20"/>
  <c r="J28" i="20" s="1"/>
  <c r="G28" i="20"/>
  <c r="F28" i="20"/>
  <c r="I27" i="20"/>
  <c r="J27" i="20" s="1"/>
  <c r="G27" i="20"/>
  <c r="F27" i="20"/>
  <c r="I24" i="20"/>
  <c r="J24" i="20" s="1"/>
  <c r="G24" i="20"/>
  <c r="F24" i="20"/>
  <c r="I23" i="20"/>
  <c r="J23" i="20" s="1"/>
  <c r="G23" i="20"/>
  <c r="F23" i="20"/>
  <c r="I22" i="20"/>
  <c r="J22" i="20" s="1"/>
  <c r="G22" i="20"/>
  <c r="F22" i="20"/>
  <c r="I21" i="20"/>
  <c r="J21" i="20" s="1"/>
  <c r="G21" i="20"/>
  <c r="F21" i="20"/>
  <c r="F234" i="22" s="1"/>
  <c r="G234" i="22" s="1"/>
  <c r="I20" i="20"/>
  <c r="J20" i="20" s="1"/>
  <c r="G20" i="20"/>
  <c r="F20" i="20"/>
  <c r="I17" i="20"/>
  <c r="J17" i="20" s="1"/>
  <c r="G17" i="20"/>
  <c r="F17" i="20"/>
  <c r="I16" i="20"/>
  <c r="J16" i="20" s="1"/>
  <c r="G16" i="20"/>
  <c r="F16" i="20"/>
  <c r="I15" i="20"/>
  <c r="J15" i="20" s="1"/>
  <c r="G15" i="20"/>
  <c r="F15" i="20"/>
  <c r="F134" i="22" s="1"/>
  <c r="G134" i="22" s="1"/>
  <c r="I14" i="20"/>
  <c r="J14" i="20" s="1"/>
  <c r="G14" i="20"/>
  <c r="F14" i="20"/>
  <c r="I13" i="20"/>
  <c r="J13" i="20" s="1"/>
  <c r="G13" i="20"/>
  <c r="F13" i="20"/>
  <c r="I12" i="20"/>
  <c r="J12" i="20" s="1"/>
  <c r="G12" i="20"/>
  <c r="F12" i="20"/>
  <c r="G6" i="20"/>
  <c r="I6" i="20"/>
  <c r="J6" i="20" s="1"/>
  <c r="G7" i="20"/>
  <c r="I7" i="20"/>
  <c r="J7" i="20" s="1"/>
  <c r="M7" i="20" s="1"/>
  <c r="G8" i="20"/>
  <c r="I8" i="20"/>
  <c r="J8" i="20" s="1"/>
  <c r="G9" i="20"/>
  <c r="I9" i="20"/>
  <c r="J9" i="20" s="1"/>
  <c r="I5" i="20"/>
  <c r="J5" i="20" s="1"/>
  <c r="G5" i="20"/>
  <c r="F6" i="20"/>
  <c r="F19" i="22" s="1"/>
  <c r="F7" i="20"/>
  <c r="F8" i="20"/>
  <c r="F9" i="20"/>
  <c r="F5" i="20"/>
  <c r="K136" i="20"/>
  <c r="L136" i="20" s="1"/>
  <c r="K135" i="20"/>
  <c r="L135" i="20" s="1"/>
  <c r="K121" i="20"/>
  <c r="L124" i="20" s="1"/>
  <c r="K113" i="20"/>
  <c r="L115" i="20" s="1"/>
  <c r="K103" i="20"/>
  <c r="L106" i="20" s="1"/>
  <c r="K93" i="20"/>
  <c r="L100" i="20" s="1"/>
  <c r="K85" i="20"/>
  <c r="L87" i="20" s="1"/>
  <c r="K77" i="20"/>
  <c r="L82" i="20" s="1"/>
  <c r="K70" i="20"/>
  <c r="L72" i="20" s="1"/>
  <c r="K60" i="20"/>
  <c r="L66" i="20" s="1"/>
  <c r="K52" i="20"/>
  <c r="L54" i="20" s="1"/>
  <c r="K42" i="20"/>
  <c r="L46" i="20" s="1"/>
  <c r="K34" i="20"/>
  <c r="L36" i="20" s="1"/>
  <c r="K26" i="20"/>
  <c r="L28" i="20" s="1"/>
  <c r="K19" i="20"/>
  <c r="L20" i="20" s="1"/>
  <c r="K11" i="20"/>
  <c r="K4" i="20"/>
  <c r="L6" i="20" s="1"/>
  <c r="B137" i="20"/>
  <c r="B134" i="20"/>
  <c r="B128" i="20"/>
  <c r="B105" i="20"/>
  <c r="B106" i="20"/>
  <c r="B107" i="20"/>
  <c r="B108" i="20"/>
  <c r="B109" i="20"/>
  <c r="B110" i="20"/>
  <c r="B111" i="20"/>
  <c r="B112" i="20"/>
  <c r="B114" i="20"/>
  <c r="B115" i="20"/>
  <c r="B116" i="20"/>
  <c r="B117" i="20"/>
  <c r="B118" i="20"/>
  <c r="B119" i="20"/>
  <c r="B120" i="20"/>
  <c r="B122" i="20"/>
  <c r="B123" i="20"/>
  <c r="B124" i="20"/>
  <c r="B125" i="20"/>
  <c r="B126" i="20"/>
  <c r="B127" i="20"/>
  <c r="B59" i="20"/>
  <c r="B61" i="20"/>
  <c r="B62" i="20"/>
  <c r="B63" i="20"/>
  <c r="B64" i="20"/>
  <c r="B65" i="20"/>
  <c r="B66" i="20"/>
  <c r="B67" i="20"/>
  <c r="B68" i="20"/>
  <c r="B69" i="20"/>
  <c r="B71" i="20"/>
  <c r="B72" i="20"/>
  <c r="B73" i="20"/>
  <c r="B74" i="20"/>
  <c r="B75" i="20"/>
  <c r="B76" i="20"/>
  <c r="B78" i="20"/>
  <c r="B79" i="20"/>
  <c r="B80" i="20"/>
  <c r="B81" i="20"/>
  <c r="B82" i="20"/>
  <c r="B83" i="20"/>
  <c r="B84" i="20"/>
  <c r="B86" i="20"/>
  <c r="B87" i="20"/>
  <c r="B88" i="20"/>
  <c r="B89" i="20"/>
  <c r="B90" i="20"/>
  <c r="B91" i="20"/>
  <c r="B92" i="20"/>
  <c r="B94" i="20"/>
  <c r="B95" i="20"/>
  <c r="B96" i="20"/>
  <c r="B97" i="20"/>
  <c r="B98" i="20"/>
  <c r="B99" i="20"/>
  <c r="B100" i="20"/>
  <c r="B101" i="20"/>
  <c r="B102" i="20"/>
  <c r="B104" i="20"/>
  <c r="B12" i="20"/>
  <c r="B13" i="20"/>
  <c r="B14" i="20"/>
  <c r="B15" i="20"/>
  <c r="B16" i="20"/>
  <c r="B17" i="20"/>
  <c r="B18" i="20"/>
  <c r="B20" i="20"/>
  <c r="B21" i="20"/>
  <c r="B22" i="20"/>
  <c r="B23" i="20"/>
  <c r="B24" i="20"/>
  <c r="B25" i="20"/>
  <c r="B27" i="20"/>
  <c r="B28" i="20"/>
  <c r="B29" i="20"/>
  <c r="B30" i="20"/>
  <c r="B31" i="20"/>
  <c r="B32" i="20"/>
  <c r="B33" i="20"/>
  <c r="B35" i="20"/>
  <c r="B36" i="20"/>
  <c r="B37" i="20"/>
  <c r="B38" i="20"/>
  <c r="B39" i="20"/>
  <c r="B40" i="20"/>
  <c r="B41" i="20"/>
  <c r="B43" i="20"/>
  <c r="B44" i="20"/>
  <c r="B45" i="20"/>
  <c r="B46" i="20"/>
  <c r="B47" i="20"/>
  <c r="B48" i="20"/>
  <c r="B49" i="20"/>
  <c r="B50" i="20"/>
  <c r="B51" i="20"/>
  <c r="B53" i="20"/>
  <c r="B54" i="20"/>
  <c r="B55" i="20"/>
  <c r="B56" i="20"/>
  <c r="B57" i="20"/>
  <c r="B58" i="20"/>
  <c r="B5" i="20"/>
  <c r="B6" i="20"/>
  <c r="B7" i="20"/>
  <c r="B8" i="20"/>
  <c r="B9" i="20"/>
  <c r="B10" i="20"/>
  <c r="O5" i="20"/>
  <c r="N16" i="29" l="1"/>
  <c r="N22" i="29" s="1"/>
  <c r="N23" i="29" s="1"/>
  <c r="E1350" i="22"/>
  <c r="G1350" i="22" s="1"/>
  <c r="G1473" i="22"/>
  <c r="E104" i="22"/>
  <c r="G104" i="22" s="1"/>
  <c r="E1663" i="22"/>
  <c r="G1663" i="22" s="1"/>
  <c r="G14" i="22"/>
  <c r="E866" i="22"/>
  <c r="G866" i="22" s="1"/>
  <c r="E256" i="22"/>
  <c r="G256" i="22" s="1"/>
  <c r="G1773" i="22"/>
  <c r="E892" i="22"/>
  <c r="G892" i="22" s="1"/>
  <c r="E243" i="22"/>
  <c r="G243" i="22" s="1"/>
  <c r="E1102" i="22"/>
  <c r="G1102" i="22" s="1"/>
  <c r="E1003" i="22"/>
  <c r="G1003" i="22" s="1"/>
  <c r="E1376" i="22"/>
  <c r="G1376" i="22" s="1"/>
  <c r="G355" i="22"/>
  <c r="F16" i="29"/>
  <c r="M14" i="20"/>
  <c r="G1525" i="22"/>
  <c r="E130" i="22"/>
  <c r="G130" i="22" s="1"/>
  <c r="M155" i="21"/>
  <c r="N155" i="21" s="1"/>
  <c r="R155" i="21"/>
  <c r="G466" i="22"/>
  <c r="E591" i="22"/>
  <c r="G591" i="22" s="1"/>
  <c r="G1225" i="22"/>
  <c r="M122" i="21"/>
  <c r="S122" i="21" s="1"/>
  <c r="E41" i="22"/>
  <c r="G41" i="22" s="1"/>
  <c r="G1786" i="22"/>
  <c r="E1115" i="22"/>
  <c r="G1115" i="22" s="1"/>
  <c r="R122" i="21"/>
  <c r="R34" i="21"/>
  <c r="M45" i="21"/>
  <c r="N45" i="21" s="1"/>
  <c r="E1213" i="22"/>
  <c r="G1213" i="22" s="1"/>
  <c r="G767" i="22"/>
  <c r="G1499" i="22"/>
  <c r="E369" i="22"/>
  <c r="G369" i="22" s="1"/>
  <c r="E343" i="22"/>
  <c r="G343" i="22" s="1"/>
  <c r="R153" i="21"/>
  <c r="G642" i="22"/>
  <c r="G1512" i="22"/>
  <c r="E990" i="22"/>
  <c r="G990" i="22" s="1"/>
  <c r="E143" i="22"/>
  <c r="G143" i="22" s="1"/>
  <c r="E1016" i="22"/>
  <c r="G1016" i="22" s="1"/>
  <c r="R45" i="21"/>
  <c r="E117" i="22"/>
  <c r="G117" i="22" s="1"/>
  <c r="G577" i="22"/>
  <c r="G24" i="34"/>
  <c r="E25" i="34"/>
  <c r="E37" i="34"/>
  <c r="G37" i="34" s="1"/>
  <c r="J80" i="21"/>
  <c r="N80" i="21" s="1"/>
  <c r="G1401" i="22"/>
  <c r="G66" i="22"/>
  <c r="E742" i="22"/>
  <c r="G742" i="22" s="1"/>
  <c r="E918" i="22"/>
  <c r="G918" i="22" s="1"/>
  <c r="M16" i="20"/>
  <c r="M5" i="20"/>
  <c r="M15" i="20"/>
  <c r="M57" i="20"/>
  <c r="M54" i="20"/>
  <c r="M53" i="20"/>
  <c r="M73" i="20"/>
  <c r="M79" i="20"/>
  <c r="M83" i="20"/>
  <c r="M89" i="20"/>
  <c r="M95" i="20"/>
  <c r="M99" i="20"/>
  <c r="M105" i="20"/>
  <c r="M109" i="20"/>
  <c r="M115" i="20"/>
  <c r="M119" i="20"/>
  <c r="M8" i="20"/>
  <c r="E154" i="22"/>
  <c r="G154" i="22" s="1"/>
  <c r="M38" i="20"/>
  <c r="E1027" i="22"/>
  <c r="G1027" i="22" s="1"/>
  <c r="E1100" i="22"/>
  <c r="G1100" i="22" s="1"/>
  <c r="E1250" i="22"/>
  <c r="G1250" i="22" s="1"/>
  <c r="E1348" i="22"/>
  <c r="G1348" i="22" s="1"/>
  <c r="E1400" i="22"/>
  <c r="G1400" i="22" s="1"/>
  <c r="E1498" i="22"/>
  <c r="G1498" i="22" s="1"/>
  <c r="E1550" i="22"/>
  <c r="G1550" i="22" s="1"/>
  <c r="E1648" i="22"/>
  <c r="G1648" i="22" s="1"/>
  <c r="E1798" i="22"/>
  <c r="G1798" i="22" s="1"/>
  <c r="M39" i="20"/>
  <c r="M58" i="20"/>
  <c r="M96" i="20"/>
  <c r="M100" i="20"/>
  <c r="M106" i="20"/>
  <c r="M110" i="20"/>
  <c r="M55" i="20"/>
  <c r="M40" i="20"/>
  <c r="M36" i="20"/>
  <c r="E1761" i="22"/>
  <c r="G1761" i="22" s="1"/>
  <c r="G204" i="22"/>
  <c r="E1650" i="22"/>
  <c r="G1650" i="22" s="1"/>
  <c r="S17" i="21"/>
  <c r="E1089" i="22"/>
  <c r="G1089" i="22" s="1"/>
  <c r="E317" i="22"/>
  <c r="G317" i="22" s="1"/>
  <c r="G616" i="22"/>
  <c r="G1336" i="22"/>
  <c r="E853" i="22"/>
  <c r="G853" i="22" s="1"/>
  <c r="E1748" i="22"/>
  <c r="G1748" i="22" s="1"/>
  <c r="E441" i="22"/>
  <c r="G441" i="22" s="1"/>
  <c r="E367" i="22"/>
  <c r="G367" i="22" s="1"/>
  <c r="E615" i="22"/>
  <c r="G615" i="22" s="1"/>
  <c r="E766" i="22"/>
  <c r="G766" i="22" s="1"/>
  <c r="E864" i="22"/>
  <c r="G864" i="22" s="1"/>
  <c r="E916" i="22"/>
  <c r="G916" i="22" s="1"/>
  <c r="J97" i="21"/>
  <c r="N97" i="21" s="1"/>
  <c r="M34" i="21"/>
  <c r="N34" i="21" s="1"/>
  <c r="E28" i="22"/>
  <c r="G28" i="22" s="1"/>
  <c r="G514" i="22"/>
  <c r="E1076" i="22"/>
  <c r="G1076" i="22" s="1"/>
  <c r="G878" i="22"/>
  <c r="G629" i="22"/>
  <c r="G603" i="22"/>
  <c r="H161" i="21"/>
  <c r="G1963" i="22" s="1"/>
  <c r="J133" i="21"/>
  <c r="S133" i="21" s="1"/>
  <c r="E156" i="22"/>
  <c r="G156" i="22" s="1"/>
  <c r="E1324" i="22"/>
  <c r="G1324" i="22" s="1"/>
  <c r="G1028" i="22"/>
  <c r="G1055" i="22" s="1"/>
  <c r="S46" i="21"/>
  <c r="F247" i="22"/>
  <c r="G247" i="22" s="1"/>
  <c r="F569" i="22"/>
  <c r="G569" i="22" s="1"/>
  <c r="F621" i="22"/>
  <c r="G621" i="22" s="1"/>
  <c r="F720" i="22"/>
  <c r="G720" i="22" s="1"/>
  <c r="R160" i="21"/>
  <c r="F177" i="21" s="1"/>
  <c r="G86" i="8" s="1"/>
  <c r="F321" i="22"/>
  <c r="G321" i="22" s="1"/>
  <c r="E840" i="22"/>
  <c r="G840" i="22" s="1"/>
  <c r="E170" i="22"/>
  <c r="G170" i="22" s="1"/>
  <c r="J64" i="21"/>
  <c r="S64" i="21" s="1"/>
  <c r="F556" i="22"/>
  <c r="G556" i="22" s="1"/>
  <c r="F707" i="22"/>
  <c r="G707" i="22" s="1"/>
  <c r="F1007" i="22"/>
  <c r="G1007" i="22" s="1"/>
  <c r="F1230" i="22"/>
  <c r="G1230" i="22" s="1"/>
  <c r="F1380" i="22"/>
  <c r="G1380" i="22" s="1"/>
  <c r="F1478" i="22"/>
  <c r="G1478" i="22" s="1"/>
  <c r="F1530" i="22"/>
  <c r="G1530" i="22" s="1"/>
  <c r="F1628" i="22"/>
  <c r="G1628" i="22" s="1"/>
  <c r="F1778" i="22"/>
  <c r="G1778" i="22" s="1"/>
  <c r="G1251" i="22"/>
  <c r="E1252" i="22"/>
  <c r="G1252" i="22" s="1"/>
  <c r="G390" i="22"/>
  <c r="E1042" i="22"/>
  <c r="G1042" i="22" s="1"/>
  <c r="F308" i="22"/>
  <c r="G308" i="22" s="1"/>
  <c r="G479" i="22"/>
  <c r="R145" i="21"/>
  <c r="F1697" i="22"/>
  <c r="E782" i="22"/>
  <c r="G782" i="22" s="1"/>
  <c r="G781" i="22"/>
  <c r="G564" i="22"/>
  <c r="E565" i="22"/>
  <c r="G565" i="22" s="1"/>
  <c r="G1141" i="22"/>
  <c r="E1142" i="22"/>
  <c r="G1142" i="22" s="1"/>
  <c r="E1128" i="22"/>
  <c r="G1128" i="22" s="1"/>
  <c r="G1127" i="22"/>
  <c r="M109" i="21"/>
  <c r="F1273" i="22"/>
  <c r="G506" i="22"/>
  <c r="E507" i="22"/>
  <c r="G507" i="22" s="1"/>
  <c r="G728" i="22"/>
  <c r="E729" i="22"/>
  <c r="G729" i="22" s="1"/>
  <c r="G656" i="22"/>
  <c r="E657" i="22"/>
  <c r="G657" i="22" s="1"/>
  <c r="E905" i="22"/>
  <c r="G905" i="22" s="1"/>
  <c r="G904" i="22"/>
  <c r="E52" i="22"/>
  <c r="G52" i="22" s="1"/>
  <c r="E491" i="22"/>
  <c r="G491" i="22" s="1"/>
  <c r="F180" i="22"/>
  <c r="G180" i="22" s="1"/>
  <c r="G177" i="22"/>
  <c r="G492" i="22"/>
  <c r="E493" i="22"/>
  <c r="G493" i="22" s="1"/>
  <c r="M59" i="21"/>
  <c r="F674" i="22"/>
  <c r="F792" i="22"/>
  <c r="G792" i="22" s="1"/>
  <c r="G789" i="22"/>
  <c r="G281" i="22"/>
  <c r="G295" i="22" s="1"/>
  <c r="E282" i="22"/>
  <c r="G282" i="22" s="1"/>
  <c r="G1265" i="22"/>
  <c r="E1266" i="22"/>
  <c r="G1266" i="22" s="1"/>
  <c r="J120" i="21"/>
  <c r="N120" i="21" s="1"/>
  <c r="E1416" i="22"/>
  <c r="G1416" i="22" s="1"/>
  <c r="G1415" i="22"/>
  <c r="M69" i="21"/>
  <c r="N69" i="21" s="1"/>
  <c r="F1426" i="22"/>
  <c r="G1426" i="22" s="1"/>
  <c r="G1423" i="22"/>
  <c r="G1623" i="22"/>
  <c r="E1624" i="22"/>
  <c r="G1624" i="22" s="1"/>
  <c r="F1152" i="22"/>
  <c r="G1152" i="22" s="1"/>
  <c r="G1149" i="22"/>
  <c r="E267" i="22"/>
  <c r="G267" i="22" s="1"/>
  <c r="E341" i="22"/>
  <c r="G341" i="22" s="1"/>
  <c r="E589" i="22"/>
  <c r="G589" i="22" s="1"/>
  <c r="E641" i="22"/>
  <c r="G641" i="22" s="1"/>
  <c r="E740" i="22"/>
  <c r="G740" i="22" s="1"/>
  <c r="E890" i="22"/>
  <c r="G890" i="22" s="1"/>
  <c r="E1040" i="22"/>
  <c r="G1040" i="22" s="1"/>
  <c r="G1981" i="22"/>
  <c r="O1981" i="22" s="1"/>
  <c r="O1968" i="22"/>
  <c r="M99" i="21"/>
  <c r="N99" i="21" s="1"/>
  <c r="G1388" i="22"/>
  <c r="E1389" i="22"/>
  <c r="G1389" i="22" s="1"/>
  <c r="G1199" i="22"/>
  <c r="E1200" i="22"/>
  <c r="G1200" i="22" s="1"/>
  <c r="G1813" i="22"/>
  <c r="E1814" i="22"/>
  <c r="G1814" i="22" s="1"/>
  <c r="G1486" i="22"/>
  <c r="E1487" i="22"/>
  <c r="G1487" i="22" s="1"/>
  <c r="G931" i="22"/>
  <c r="E932" i="22"/>
  <c r="G932" i="22" s="1"/>
  <c r="F1824" i="22"/>
  <c r="G1824" i="22" s="1"/>
  <c r="G1821" i="22"/>
  <c r="E1800" i="22"/>
  <c r="G1800" i="22" s="1"/>
  <c r="G1799" i="22"/>
  <c r="G329" i="22"/>
  <c r="E330" i="22"/>
  <c r="G330" i="22" s="1"/>
  <c r="E465" i="22"/>
  <c r="G465" i="22" s="1"/>
  <c r="R99" i="21"/>
  <c r="E128" i="22"/>
  <c r="G128" i="22" s="1"/>
  <c r="E280" i="22"/>
  <c r="G280" i="22" s="1"/>
  <c r="R109" i="21"/>
  <c r="R69" i="21"/>
  <c r="G1675" i="22"/>
  <c r="E1676" i="22"/>
  <c r="G1676" i="22" s="1"/>
  <c r="E383" i="22"/>
  <c r="G383" i="22" s="1"/>
  <c r="G382" i="22"/>
  <c r="R82" i="21"/>
  <c r="F939" i="22"/>
  <c r="G1565" i="22"/>
  <c r="E1566" i="22"/>
  <c r="G1566" i="22" s="1"/>
  <c r="G1551" i="22"/>
  <c r="E1552" i="22"/>
  <c r="G1552" i="22" s="1"/>
  <c r="G1689" i="22"/>
  <c r="E1690" i="22"/>
  <c r="G1690" i="22" s="1"/>
  <c r="E755" i="22"/>
  <c r="G755" i="22" s="1"/>
  <c r="G754" i="22"/>
  <c r="M135" i="21"/>
  <c r="F1573" i="22"/>
  <c r="E1363" i="22"/>
  <c r="G1363" i="22" s="1"/>
  <c r="G1362" i="22"/>
  <c r="I48" i="24"/>
  <c r="I111" i="8"/>
  <c r="H111" i="8" s="1"/>
  <c r="M15" i="28"/>
  <c r="M17" i="28" s="1"/>
  <c r="F1082" i="22"/>
  <c r="F1080" i="22"/>
  <c r="G1080" i="22" s="1"/>
  <c r="F1328" i="22"/>
  <c r="G1328" i="22" s="1"/>
  <c r="E65" i="22"/>
  <c r="G65" i="22" s="1"/>
  <c r="M6" i="20"/>
  <c r="M43" i="20"/>
  <c r="F1739" i="22"/>
  <c r="G1739" i="22" s="1"/>
  <c r="F1893" i="22"/>
  <c r="G1893" i="22" s="1"/>
  <c r="L1893" i="22" s="1"/>
  <c r="P1893" i="22" s="1"/>
  <c r="F1883" i="22"/>
  <c r="G1883" i="22" s="1"/>
  <c r="M31" i="20"/>
  <c r="F95" i="22"/>
  <c r="G95" i="22" s="1"/>
  <c r="F1191" i="22"/>
  <c r="G1191" i="22" s="1"/>
  <c r="M80" i="20"/>
  <c r="M116" i="20"/>
  <c r="M126" i="20"/>
  <c r="M22" i="20"/>
  <c r="F471" i="22"/>
  <c r="G471" i="22" s="1"/>
  <c r="M48" i="20"/>
  <c r="M68" i="20"/>
  <c r="M90" i="20"/>
  <c r="F108" i="22"/>
  <c r="G108" i="22" s="1"/>
  <c r="F432" i="22"/>
  <c r="G432" i="22" s="1"/>
  <c r="M37" i="20"/>
  <c r="F831" i="22"/>
  <c r="G831" i="22" s="1"/>
  <c r="F981" i="22"/>
  <c r="G981" i="22" s="1"/>
  <c r="F1106" i="22"/>
  <c r="G1106" i="22" s="1"/>
  <c r="F1204" i="22"/>
  <c r="G1204" i="22" s="1"/>
  <c r="F1354" i="22"/>
  <c r="G1354" i="22" s="1"/>
  <c r="F1504" i="22"/>
  <c r="G1504" i="22" s="1"/>
  <c r="F1654" i="22"/>
  <c r="G1654" i="22" s="1"/>
  <c r="F1752" i="22"/>
  <c r="G1752" i="22" s="1"/>
  <c r="G19" i="22"/>
  <c r="M21" i="20"/>
  <c r="M27" i="20"/>
  <c r="M47" i="20"/>
  <c r="M63" i="20"/>
  <c r="M67" i="20"/>
  <c r="M125" i="20"/>
  <c r="F32" i="22"/>
  <c r="G32" i="22" s="1"/>
  <c r="M32" i="20"/>
  <c r="M28" i="20"/>
  <c r="M44" i="20"/>
  <c r="M64" i="20"/>
  <c r="M86" i="20"/>
  <c r="M9" i="20"/>
  <c r="M74" i="20"/>
  <c r="L12" i="20"/>
  <c r="M34" i="20"/>
  <c r="M42" i="20"/>
  <c r="M26" i="20"/>
  <c r="M13" i="20"/>
  <c r="M17" i="20"/>
  <c r="M23" i="20"/>
  <c r="M29" i="20"/>
  <c r="M35" i="20"/>
  <c r="M45" i="20"/>
  <c r="M49" i="20"/>
  <c r="M61" i="20"/>
  <c r="M65" i="20"/>
  <c r="M71" i="20"/>
  <c r="M75" i="20"/>
  <c r="M81" i="20"/>
  <c r="M87" i="20"/>
  <c r="M91" i="20"/>
  <c r="M97" i="20"/>
  <c r="M101" i="20"/>
  <c r="M107" i="20"/>
  <c r="M111" i="20"/>
  <c r="M117" i="20"/>
  <c r="M123" i="20"/>
  <c r="M127" i="20"/>
  <c r="F347" i="22"/>
  <c r="G347" i="22" s="1"/>
  <c r="F595" i="22"/>
  <c r="G595" i="22" s="1"/>
  <c r="F746" i="22"/>
  <c r="G746" i="22" s="1"/>
  <c r="F844" i="22"/>
  <c r="G844" i="22" s="1"/>
  <c r="F896" i="22"/>
  <c r="G896" i="22" s="1"/>
  <c r="F1067" i="22"/>
  <c r="G1067" i="22" s="1"/>
  <c r="E1126" i="22"/>
  <c r="G1126" i="22" s="1"/>
  <c r="E1224" i="22"/>
  <c r="G1224" i="22" s="1"/>
  <c r="F1315" i="22"/>
  <c r="G1315" i="22" s="1"/>
  <c r="E1374" i="22"/>
  <c r="G1374" i="22" s="1"/>
  <c r="F1465" i="22"/>
  <c r="G1465" i="22" s="1"/>
  <c r="E1524" i="22"/>
  <c r="G1524" i="22" s="1"/>
  <c r="F1615" i="22"/>
  <c r="G1615" i="22" s="1"/>
  <c r="E1674" i="22"/>
  <c r="G1674" i="22" s="1"/>
  <c r="E1772" i="22"/>
  <c r="G1772" i="22" s="1"/>
  <c r="F221" i="22"/>
  <c r="G221" i="22" s="1"/>
  <c r="M20" i="20"/>
  <c r="M24" i="20"/>
  <c r="M30" i="20"/>
  <c r="F445" i="22"/>
  <c r="G445" i="22" s="1"/>
  <c r="M46" i="20"/>
  <c r="M50" i="20"/>
  <c r="M56" i="20"/>
  <c r="M62" i="20"/>
  <c r="M66" i="20"/>
  <c r="M72" i="20"/>
  <c r="M78" i="20"/>
  <c r="M82" i="20"/>
  <c r="M88" i="20"/>
  <c r="M94" i="20"/>
  <c r="M98" i="20"/>
  <c r="M104" i="20"/>
  <c r="M108" i="20"/>
  <c r="M114" i="20"/>
  <c r="M118" i="20"/>
  <c r="M124" i="20"/>
  <c r="G1174" i="22"/>
  <c r="G1846" i="22"/>
  <c r="G1843" i="22"/>
  <c r="G1719" i="22"/>
  <c r="G1722" i="22"/>
  <c r="E379" i="22"/>
  <c r="G1053" i="22"/>
  <c r="G1598" i="22"/>
  <c r="E163" i="22"/>
  <c r="G161" i="22"/>
  <c r="G1595" i="22"/>
  <c r="G1448" i="22"/>
  <c r="E1412" i="22"/>
  <c r="E1562" i="22"/>
  <c r="E1262" i="22"/>
  <c r="G964" i="22"/>
  <c r="G1445" i="22"/>
  <c r="G961" i="22"/>
  <c r="G1295" i="22"/>
  <c r="G1298" i="22"/>
  <c r="G1050" i="22"/>
  <c r="G814" i="22"/>
  <c r="G811" i="22"/>
  <c r="E101" i="22"/>
  <c r="G101" i="22" s="1"/>
  <c r="G412" i="22"/>
  <c r="G415" i="22"/>
  <c r="G539" i="22"/>
  <c r="E126" i="22"/>
  <c r="G126" i="22" s="1"/>
  <c r="G536" i="22"/>
  <c r="G686" i="22"/>
  <c r="G290" i="22"/>
  <c r="G689" i="22"/>
  <c r="E653" i="22"/>
  <c r="G195" i="22"/>
  <c r="G293" i="22"/>
  <c r="E152" i="22"/>
  <c r="G152" i="22" s="1"/>
  <c r="E139" i="22"/>
  <c r="G208" i="22"/>
  <c r="G150" i="22"/>
  <c r="E153" i="22"/>
  <c r="G153" i="22" s="1"/>
  <c r="E113" i="22"/>
  <c r="G137" i="22"/>
  <c r="E140" i="22"/>
  <c r="G140" i="22" s="1"/>
  <c r="G164" i="22"/>
  <c r="E167" i="22"/>
  <c r="G167" i="22" s="1"/>
  <c r="G60" i="22"/>
  <c r="G111" i="22"/>
  <c r="E114" i="22"/>
  <c r="G114" i="22" s="1"/>
  <c r="G47" i="22"/>
  <c r="G35" i="22"/>
  <c r="E38" i="22"/>
  <c r="G38" i="22" s="1"/>
  <c r="E12" i="22"/>
  <c r="G12" i="22" s="1"/>
  <c r="G9" i="22"/>
  <c r="E25" i="22"/>
  <c r="G25" i="22" s="1"/>
  <c r="G22" i="22"/>
  <c r="G48" i="22"/>
  <c r="E51" i="22"/>
  <c r="G51" i="22" s="1"/>
  <c r="E64" i="22"/>
  <c r="G64" i="22" s="1"/>
  <c r="G61" i="22"/>
  <c r="F172" i="21"/>
  <c r="G81" i="8" s="1"/>
  <c r="F168" i="21"/>
  <c r="G77" i="8" s="1"/>
  <c r="S146" i="21"/>
  <c r="J24" i="21"/>
  <c r="N24" i="21" s="1"/>
  <c r="F170" i="21"/>
  <c r="G79" i="8" s="1"/>
  <c r="R73" i="21"/>
  <c r="H84" i="21"/>
  <c r="G975" i="22" s="1"/>
  <c r="R38" i="21"/>
  <c r="H47" i="21"/>
  <c r="G550" i="22" s="1"/>
  <c r="R28" i="21"/>
  <c r="H36" i="21"/>
  <c r="G426" i="22" s="1"/>
  <c r="R126" i="21"/>
  <c r="H137" i="21"/>
  <c r="G1609" i="22" s="1"/>
  <c r="R93" i="21"/>
  <c r="H101" i="21"/>
  <c r="G1185" i="22" s="1"/>
  <c r="H60" i="21"/>
  <c r="G701" i="22" s="1"/>
  <c r="R113" i="21"/>
  <c r="H124" i="21"/>
  <c r="G1459" i="22" s="1"/>
  <c r="R103" i="21"/>
  <c r="H111" i="21"/>
  <c r="G1309" i="22" s="1"/>
  <c r="S70" i="21"/>
  <c r="J7" i="21"/>
  <c r="S7" i="21" s="1"/>
  <c r="R139" i="21"/>
  <c r="H147" i="21"/>
  <c r="G1733" i="22" s="1"/>
  <c r="R62" i="21"/>
  <c r="H71" i="21"/>
  <c r="G825" i="22" s="1"/>
  <c r="H157" i="21"/>
  <c r="G1857" i="22" s="1"/>
  <c r="N18" i="21"/>
  <c r="S18" i="21"/>
  <c r="J53" i="21"/>
  <c r="R53" i="21"/>
  <c r="J116" i="21"/>
  <c r="N151" i="21"/>
  <c r="S151" i="21"/>
  <c r="J32" i="21"/>
  <c r="R32" i="21"/>
  <c r="J66" i="21"/>
  <c r="R66" i="21"/>
  <c r="N100" i="21"/>
  <c r="S100" i="21"/>
  <c r="N110" i="21"/>
  <c r="S110" i="21"/>
  <c r="N145" i="21"/>
  <c r="S145" i="21"/>
  <c r="J42" i="21"/>
  <c r="N115" i="21"/>
  <c r="S115" i="21"/>
  <c r="J128" i="21"/>
  <c r="J143" i="21"/>
  <c r="R143" i="21"/>
  <c r="N22" i="21"/>
  <c r="S22" i="21"/>
  <c r="N136" i="21"/>
  <c r="S136" i="21"/>
  <c r="N156" i="21"/>
  <c r="S156" i="21"/>
  <c r="N82" i="21"/>
  <c r="S82" i="21"/>
  <c r="J89" i="21"/>
  <c r="R89" i="21"/>
  <c r="N58" i="21"/>
  <c r="S58" i="21"/>
  <c r="J87" i="21"/>
  <c r="R87" i="21"/>
  <c r="F167" i="21" s="1"/>
  <c r="G76" i="8" s="1"/>
  <c r="N35" i="21"/>
  <c r="S35" i="21"/>
  <c r="N83" i="21"/>
  <c r="S83" i="21"/>
  <c r="J118" i="21"/>
  <c r="J95" i="21"/>
  <c r="J153" i="21"/>
  <c r="J129" i="21"/>
  <c r="J54" i="21"/>
  <c r="J5" i="21"/>
  <c r="J43" i="21"/>
  <c r="J90" i="21"/>
  <c r="J77" i="21"/>
  <c r="J15" i="21"/>
  <c r="J30" i="21"/>
  <c r="J25" i="21"/>
  <c r="J75" i="21"/>
  <c r="J107" i="21"/>
  <c r="J13" i="21"/>
  <c r="J78" i="21"/>
  <c r="J56" i="21"/>
  <c r="J40" i="21"/>
  <c r="J131" i="21"/>
  <c r="J141" i="21"/>
  <c r="J105" i="21"/>
  <c r="J67" i="21"/>
  <c r="J51" i="21"/>
  <c r="J8" i="21"/>
  <c r="J128" i="20"/>
  <c r="L1856" i="22" s="1"/>
  <c r="M122" i="20"/>
  <c r="J92" i="20"/>
  <c r="L1308" i="22" s="1"/>
  <c r="J10" i="20"/>
  <c r="L86" i="22" s="1"/>
  <c r="L9" i="20"/>
  <c r="L140" i="20"/>
  <c r="L105" i="20"/>
  <c r="J25" i="20"/>
  <c r="L300" i="22" s="1"/>
  <c r="J84" i="20"/>
  <c r="L1184" i="22" s="1"/>
  <c r="J102" i="20"/>
  <c r="L1458" i="22" s="1"/>
  <c r="J112" i="20"/>
  <c r="L1608" i="22" s="1"/>
  <c r="J120" i="20"/>
  <c r="L1732" i="22" s="1"/>
  <c r="L35" i="20"/>
  <c r="L114" i="20"/>
  <c r="L40" i="20"/>
  <c r="L119" i="20"/>
  <c r="L39" i="20"/>
  <c r="L123" i="20"/>
  <c r="J33" i="20"/>
  <c r="L425" i="22" s="1"/>
  <c r="J51" i="20"/>
  <c r="L700" i="22" s="1"/>
  <c r="J59" i="20"/>
  <c r="L824" i="22" s="1"/>
  <c r="L65" i="20"/>
  <c r="L64" i="20"/>
  <c r="L81" i="20"/>
  <c r="M12" i="20"/>
  <c r="J18" i="20"/>
  <c r="L212" i="22" s="1"/>
  <c r="L80" i="20"/>
  <c r="L15" i="20"/>
  <c r="L79" i="20"/>
  <c r="L14" i="20"/>
  <c r="L99" i="20"/>
  <c r="L13" i="20"/>
  <c r="J41" i="20"/>
  <c r="L549" i="22" s="1"/>
  <c r="J69" i="20"/>
  <c r="L974" i="22" s="1"/>
  <c r="J76" i="20"/>
  <c r="L1060" i="22" s="1"/>
  <c r="L98" i="20"/>
  <c r="L5" i="20"/>
  <c r="L97" i="20"/>
  <c r="L53" i="20"/>
  <c r="L8" i="20"/>
  <c r="L38" i="20"/>
  <c r="L58" i="20"/>
  <c r="L62" i="20"/>
  <c r="L86" i="20"/>
  <c r="L96" i="20"/>
  <c r="L118" i="20"/>
  <c r="L45" i="20"/>
  <c r="L63" i="20"/>
  <c r="L7" i="20"/>
  <c r="L37" i="20"/>
  <c r="L57" i="20"/>
  <c r="L71" i="20"/>
  <c r="L91" i="20"/>
  <c r="L95" i="20"/>
  <c r="L117" i="20"/>
  <c r="L56" i="20"/>
  <c r="L75" i="20"/>
  <c r="L90" i="20"/>
  <c r="L104" i="20"/>
  <c r="L116" i="20"/>
  <c r="L24" i="20"/>
  <c r="L27" i="20"/>
  <c r="L43" i="20"/>
  <c r="L55" i="20"/>
  <c r="L74" i="20"/>
  <c r="L89" i="20"/>
  <c r="L111" i="20"/>
  <c r="L23" i="20"/>
  <c r="L32" i="20"/>
  <c r="L50" i="20"/>
  <c r="L73" i="20"/>
  <c r="L88" i="20"/>
  <c r="L110" i="20"/>
  <c r="L122" i="20"/>
  <c r="L22" i="20"/>
  <c r="M19" i="20"/>
  <c r="L31" i="20"/>
  <c r="L49" i="20"/>
  <c r="L61" i="20"/>
  <c r="L109" i="20"/>
  <c r="L127" i="20"/>
  <c r="L21" i="20"/>
  <c r="L30" i="20"/>
  <c r="L48" i="20"/>
  <c r="L68" i="20"/>
  <c r="L78" i="20"/>
  <c r="L94" i="20"/>
  <c r="L108" i="20"/>
  <c r="L126" i="20"/>
  <c r="L44" i="20"/>
  <c r="L29" i="20"/>
  <c r="L47" i="20"/>
  <c r="L67" i="20"/>
  <c r="L83" i="20"/>
  <c r="L101" i="20"/>
  <c r="L107" i="20"/>
  <c r="L125" i="20"/>
  <c r="L17" i="20"/>
  <c r="L16" i="20"/>
  <c r="M137" i="20"/>
  <c r="J137" i="20"/>
  <c r="M139" i="20"/>
  <c r="J139" i="20"/>
  <c r="L1992" i="22" s="1"/>
  <c r="L1994" i="22" s="1"/>
  <c r="M135" i="20"/>
  <c r="J135" i="20"/>
  <c r="M136" i="20"/>
  <c r="J136" i="20"/>
  <c r="G1299" i="22" l="1"/>
  <c r="G203" i="22"/>
  <c r="K16" i="29"/>
  <c r="K22" i="29" s="1"/>
  <c r="K23" i="29" s="1"/>
  <c r="E33" i="29"/>
  <c r="J14" i="29"/>
  <c r="L14" i="29" s="1"/>
  <c r="G287" i="22"/>
  <c r="G1723" i="22"/>
  <c r="G1054" i="22"/>
  <c r="G296" i="22"/>
  <c r="S155" i="21"/>
  <c r="N122" i="21"/>
  <c r="N64" i="21"/>
  <c r="S120" i="21"/>
  <c r="S80" i="21"/>
  <c r="G205" i="22"/>
  <c r="N133" i="21"/>
  <c r="S45" i="21"/>
  <c r="G1301" i="22"/>
  <c r="G1176" i="22"/>
  <c r="S69" i="21"/>
  <c r="G1056" i="22"/>
  <c r="O24" i="34"/>
  <c r="L24" i="34"/>
  <c r="L37" i="34"/>
  <c r="P37" i="34" s="1"/>
  <c r="O37" i="34"/>
  <c r="G1177" i="22"/>
  <c r="G25" i="34"/>
  <c r="E38" i="34"/>
  <c r="G38" i="34" s="1"/>
  <c r="G541" i="22"/>
  <c r="G418" i="22"/>
  <c r="G1047" i="22"/>
  <c r="G294" i="22"/>
  <c r="G1175" i="22"/>
  <c r="G1449" i="22"/>
  <c r="G815" i="22"/>
  <c r="G1847" i="22"/>
  <c r="G1599" i="22"/>
  <c r="G965" i="22"/>
  <c r="G542" i="22"/>
  <c r="G416" i="22"/>
  <c r="G540" i="22"/>
  <c r="S97" i="21"/>
  <c r="G690" i="22"/>
  <c r="G1451" i="22"/>
  <c r="G683" i="22"/>
  <c r="S34" i="21"/>
  <c r="F171" i="21"/>
  <c r="G80" i="8" s="1"/>
  <c r="G691" i="22"/>
  <c r="G808" i="22"/>
  <c r="G1450" i="22"/>
  <c r="S24" i="21"/>
  <c r="G409" i="22"/>
  <c r="G692" i="22"/>
  <c r="G817" i="22"/>
  <c r="S99" i="21"/>
  <c r="M25" i="20"/>
  <c r="G1592" i="22"/>
  <c r="G1848" i="22"/>
  <c r="G966" i="22"/>
  <c r="F175" i="21"/>
  <c r="G84" i="8" s="1"/>
  <c r="G1849" i="22"/>
  <c r="G967" i="22"/>
  <c r="N135" i="21"/>
  <c r="S135" i="21"/>
  <c r="M33" i="20"/>
  <c r="G1724" i="22"/>
  <c r="G1725" i="22"/>
  <c r="H149" i="20"/>
  <c r="I73" i="8" s="1"/>
  <c r="K73" i="8" s="1"/>
  <c r="L1962" i="22"/>
  <c r="F677" i="22"/>
  <c r="G677" i="22" s="1"/>
  <c r="G674" i="22"/>
  <c r="G1601" i="22"/>
  <c r="N59" i="21"/>
  <c r="S59" i="21"/>
  <c r="G1600" i="22"/>
  <c r="G816" i="22"/>
  <c r="G1716" i="22"/>
  <c r="F1700" i="22"/>
  <c r="G1700" i="22" s="1"/>
  <c r="G1697" i="22"/>
  <c r="H146" i="20"/>
  <c r="I70" i="8" s="1"/>
  <c r="L32" i="35" s="1"/>
  <c r="F942" i="22"/>
  <c r="G942" i="22" s="1"/>
  <c r="G939" i="22"/>
  <c r="F174" i="21"/>
  <c r="G83" i="8" s="1"/>
  <c r="M51" i="20"/>
  <c r="M41" i="20"/>
  <c r="G417" i="22"/>
  <c r="G1300" i="22"/>
  <c r="F1276" i="22"/>
  <c r="G1276" i="22" s="1"/>
  <c r="G1273" i="22"/>
  <c r="F1576" i="22"/>
  <c r="G1576" i="22" s="1"/>
  <c r="G1573" i="22"/>
  <c r="N109" i="21"/>
  <c r="S109" i="21"/>
  <c r="I100" i="8"/>
  <c r="H100" i="8" s="1"/>
  <c r="G1168" i="22"/>
  <c r="G1442" i="22"/>
  <c r="G1292" i="22"/>
  <c r="G196" i="22"/>
  <c r="G533" i="22"/>
  <c r="L1883" i="22"/>
  <c r="G1840" i="22"/>
  <c r="F147" i="20"/>
  <c r="F1085" i="22"/>
  <c r="G1085" i="22" s="1"/>
  <c r="G1082" i="22"/>
  <c r="F149" i="20"/>
  <c r="G73" i="8" s="1"/>
  <c r="G958" i="22"/>
  <c r="E166" i="22"/>
  <c r="G202" i="22"/>
  <c r="G199" i="22"/>
  <c r="F169" i="21"/>
  <c r="G78" i="8" s="1"/>
  <c r="N7" i="21"/>
  <c r="H172" i="21"/>
  <c r="F173" i="21"/>
  <c r="G82" i="8" s="1"/>
  <c r="N105" i="21"/>
  <c r="S105" i="21"/>
  <c r="N90" i="21"/>
  <c r="S90" i="21"/>
  <c r="N116" i="21"/>
  <c r="S116" i="21"/>
  <c r="N87" i="21"/>
  <c r="S87" i="21"/>
  <c r="N5" i="21"/>
  <c r="S5" i="21"/>
  <c r="N53" i="21"/>
  <c r="S53" i="21"/>
  <c r="N141" i="21"/>
  <c r="S141" i="21"/>
  <c r="N131" i="21"/>
  <c r="S131" i="21"/>
  <c r="N43" i="21"/>
  <c r="S43" i="21"/>
  <c r="N40" i="21"/>
  <c r="S40" i="21"/>
  <c r="N56" i="21"/>
  <c r="S56" i="21"/>
  <c r="N54" i="21"/>
  <c r="S54" i="21"/>
  <c r="N129" i="21"/>
  <c r="S129" i="21"/>
  <c r="N78" i="21"/>
  <c r="S78" i="21"/>
  <c r="N13" i="21"/>
  <c r="S13" i="21"/>
  <c r="N153" i="21"/>
  <c r="S153" i="21"/>
  <c r="N89" i="21"/>
  <c r="S89" i="21"/>
  <c r="N42" i="21"/>
  <c r="S42" i="21"/>
  <c r="N107" i="21"/>
  <c r="S107" i="21"/>
  <c r="N95" i="21"/>
  <c r="S95" i="21"/>
  <c r="N75" i="21"/>
  <c r="S75" i="21"/>
  <c r="N118" i="21"/>
  <c r="S118" i="21"/>
  <c r="N66" i="21"/>
  <c r="S66" i="21"/>
  <c r="N8" i="21"/>
  <c r="S8" i="21"/>
  <c r="N25" i="21"/>
  <c r="S25" i="21"/>
  <c r="N51" i="21"/>
  <c r="S51" i="21"/>
  <c r="N143" i="21"/>
  <c r="S143" i="21"/>
  <c r="N32" i="21"/>
  <c r="S32" i="21"/>
  <c r="N77" i="21"/>
  <c r="S77" i="21"/>
  <c r="N30" i="21"/>
  <c r="S30" i="21"/>
  <c r="N67" i="21"/>
  <c r="S67" i="21"/>
  <c r="N15" i="21"/>
  <c r="S15" i="21"/>
  <c r="N128" i="21"/>
  <c r="S128" i="21"/>
  <c r="L25" i="20"/>
  <c r="L18" i="20"/>
  <c r="L59" i="20"/>
  <c r="M84" i="20"/>
  <c r="L76" i="20"/>
  <c r="L10" i="20"/>
  <c r="M140" i="20"/>
  <c r="M128" i="20"/>
  <c r="L128" i="20"/>
  <c r="L120" i="20"/>
  <c r="L51" i="20"/>
  <c r="M120" i="20"/>
  <c r="M18" i="20"/>
  <c r="L41" i="20"/>
  <c r="L33" i="20"/>
  <c r="L112" i="20"/>
  <c r="M76" i="20"/>
  <c r="M112" i="20"/>
  <c r="J140" i="20"/>
  <c r="J141" i="20" s="1"/>
  <c r="L102" i="20"/>
  <c r="L69" i="20"/>
  <c r="M10" i="20"/>
  <c r="L84" i="20"/>
  <c r="M92" i="20"/>
  <c r="M102" i="20"/>
  <c r="M69" i="20"/>
  <c r="M59" i="20"/>
  <c r="L92" i="20"/>
  <c r="F148" i="20"/>
  <c r="F146" i="20"/>
  <c r="H148" i="20"/>
  <c r="I72" i="8" s="1"/>
  <c r="H147" i="20"/>
  <c r="I71" i="8" s="1"/>
  <c r="G71" i="8" l="1"/>
  <c r="J147" i="20"/>
  <c r="J148" i="20"/>
  <c r="G72" i="8"/>
  <c r="J146" i="20"/>
  <c r="G70" i="8"/>
  <c r="P24" i="34"/>
  <c r="F85" i="34" s="1"/>
  <c r="D85" i="34"/>
  <c r="O38" i="34"/>
  <c r="L38" i="34"/>
  <c r="P38" i="34" s="1"/>
  <c r="L25" i="34"/>
  <c r="P25" i="34" s="1"/>
  <c r="O25" i="34"/>
  <c r="J73" i="8"/>
  <c r="H167" i="21"/>
  <c r="G167" i="21" s="1"/>
  <c r="H76" i="8" s="1"/>
  <c r="H171" i="21"/>
  <c r="G171" i="21" s="1"/>
  <c r="H80" i="8" s="1"/>
  <c r="H175" i="21"/>
  <c r="G175" i="21" s="1"/>
  <c r="H84" i="8" s="1"/>
  <c r="H169" i="21"/>
  <c r="G169" i="21" s="1"/>
  <c r="H78" i="8" s="1"/>
  <c r="G149" i="20"/>
  <c r="H73" i="8" s="1"/>
  <c r="G172" i="21"/>
  <c r="H81" i="8" s="1"/>
  <c r="I81" i="8"/>
  <c r="G146" i="20"/>
  <c r="F150" i="20"/>
  <c r="L141" i="20"/>
  <c r="M141" i="20"/>
  <c r="H150" i="20"/>
  <c r="G147" i="20"/>
  <c r="G148" i="20"/>
  <c r="D86" i="34" l="1"/>
  <c r="F86" i="34"/>
  <c r="I41" i="35" s="1"/>
  <c r="H70" i="8"/>
  <c r="H32" i="35"/>
  <c r="I32" i="35" s="1"/>
  <c r="H72" i="8"/>
  <c r="H34" i="35"/>
  <c r="I34" i="35" s="1"/>
  <c r="H71" i="8"/>
  <c r="H33" i="35"/>
  <c r="I33" i="35" s="1"/>
  <c r="I40" i="35"/>
  <c r="E85" i="34"/>
  <c r="G40" i="35" s="1"/>
  <c r="I84" i="8"/>
  <c r="I76" i="8"/>
  <c r="I78" i="8"/>
  <c r="I80" i="8"/>
  <c r="E8" i="18"/>
  <c r="E7" i="18"/>
  <c r="E6" i="18"/>
  <c r="H132" i="20" s="1"/>
  <c r="F30" i="34" s="1"/>
  <c r="G30" i="34" s="1"/>
  <c r="E5" i="18"/>
  <c r="H131" i="20" s="1"/>
  <c r="F18" i="34" s="1"/>
  <c r="E4" i="18"/>
  <c r="E4" i="17"/>
  <c r="E15" i="17"/>
  <c r="H22" i="8"/>
  <c r="F9" i="16"/>
  <c r="E10" i="16"/>
  <c r="D10" i="16"/>
  <c r="F8" i="16"/>
  <c r="G254" i="10"/>
  <c r="G253" i="10"/>
  <c r="J227" i="10"/>
  <c r="G257" i="10"/>
  <c r="E124" i="15" s="1"/>
  <c r="G256" i="10"/>
  <c r="E126" i="15" s="1"/>
  <c r="G255" i="10"/>
  <c r="G252" i="10"/>
  <c r="G250" i="10"/>
  <c r="J224" i="10"/>
  <c r="F110" i="15"/>
  <c r="I110" i="15" s="1"/>
  <c r="E110" i="15"/>
  <c r="H110" i="15" s="1"/>
  <c r="J109" i="15"/>
  <c r="M109" i="15" s="1"/>
  <c r="H109" i="15"/>
  <c r="F109" i="15"/>
  <c r="I109" i="15" s="1"/>
  <c r="E107" i="15"/>
  <c r="H107" i="15" s="1"/>
  <c r="L107" i="15" s="1"/>
  <c r="F104" i="15"/>
  <c r="I104" i="15" s="1"/>
  <c r="H104" i="15"/>
  <c r="E102" i="15"/>
  <c r="H102" i="15" s="1"/>
  <c r="L102" i="15" s="1"/>
  <c r="F101" i="15"/>
  <c r="E101" i="15"/>
  <c r="J101" i="15" s="1"/>
  <c r="L99" i="15"/>
  <c r="E97" i="15"/>
  <c r="E98" i="15" s="1"/>
  <c r="E96" i="15"/>
  <c r="L96" i="15" s="1"/>
  <c r="D123" i="15" s="1"/>
  <c r="L94" i="15"/>
  <c r="F93" i="15"/>
  <c r="E93" i="15"/>
  <c r="L93" i="15" s="1"/>
  <c r="F91" i="15"/>
  <c r="I91" i="15" s="1"/>
  <c r="F90" i="15"/>
  <c r="I90" i="15" s="1"/>
  <c r="F88" i="15"/>
  <c r="I88" i="15" s="1"/>
  <c r="F87" i="15"/>
  <c r="I87" i="15" s="1"/>
  <c r="E91" i="15"/>
  <c r="H91" i="15" s="1"/>
  <c r="E90" i="15"/>
  <c r="H90" i="15" s="1"/>
  <c r="E88" i="15"/>
  <c r="H88" i="15" s="1"/>
  <c r="E87" i="15"/>
  <c r="J87" i="15" s="1"/>
  <c r="B90" i="15"/>
  <c r="B91" i="15"/>
  <c r="B89" i="15"/>
  <c r="B88" i="15"/>
  <c r="B87" i="15"/>
  <c r="F85" i="15"/>
  <c r="I85" i="15" s="1"/>
  <c r="F84" i="15"/>
  <c r="I84" i="15" s="1"/>
  <c r="F82" i="15"/>
  <c r="I82" i="15" s="1"/>
  <c r="F81" i="15"/>
  <c r="I81" i="15" s="1"/>
  <c r="E85" i="15"/>
  <c r="H85" i="15" s="1"/>
  <c r="E84" i="15"/>
  <c r="H84" i="15" s="1"/>
  <c r="E82" i="15"/>
  <c r="H82" i="15" s="1"/>
  <c r="E81" i="15"/>
  <c r="J81" i="15" s="1"/>
  <c r="B83" i="15"/>
  <c r="B84" i="15"/>
  <c r="B85" i="15"/>
  <c r="B82" i="15"/>
  <c r="B81" i="15"/>
  <c r="F79" i="15"/>
  <c r="I79" i="15" s="1"/>
  <c r="F78" i="15"/>
  <c r="I78" i="15" s="1"/>
  <c r="F76" i="15"/>
  <c r="I76" i="15" s="1"/>
  <c r="F75" i="15"/>
  <c r="I75" i="15" s="1"/>
  <c r="F74" i="15"/>
  <c r="I74" i="15" s="1"/>
  <c r="E78" i="15"/>
  <c r="J78" i="15" s="1"/>
  <c r="E79" i="15"/>
  <c r="H79" i="15" s="1"/>
  <c r="E76" i="15"/>
  <c r="J76" i="15" s="1"/>
  <c r="E75" i="15"/>
  <c r="E74" i="15"/>
  <c r="J74" i="15" s="1"/>
  <c r="B77" i="15"/>
  <c r="B78" i="15"/>
  <c r="B79" i="15"/>
  <c r="B76" i="15"/>
  <c r="B75" i="15"/>
  <c r="B74" i="15"/>
  <c r="F72" i="15"/>
  <c r="I72" i="15" s="1"/>
  <c r="F71" i="15"/>
  <c r="I71" i="15" s="1"/>
  <c r="F69" i="15"/>
  <c r="I69" i="15" s="1"/>
  <c r="F68" i="15"/>
  <c r="I68" i="15" s="1"/>
  <c r="F67" i="15"/>
  <c r="I67" i="15" s="1"/>
  <c r="E72" i="15"/>
  <c r="J72" i="15" s="1"/>
  <c r="E71" i="15"/>
  <c r="H71" i="15" s="1"/>
  <c r="E69" i="15"/>
  <c r="H69" i="15" s="1"/>
  <c r="E68" i="15"/>
  <c r="H68" i="15" s="1"/>
  <c r="E67" i="15"/>
  <c r="J67" i="15" s="1"/>
  <c r="B72" i="15"/>
  <c r="B71" i="15"/>
  <c r="B70" i="15"/>
  <c r="B69" i="15"/>
  <c r="B68" i="15"/>
  <c r="B67" i="15"/>
  <c r="F65" i="15"/>
  <c r="I65" i="15" s="1"/>
  <c r="F64" i="15"/>
  <c r="I64" i="15" s="1"/>
  <c r="F62" i="15"/>
  <c r="I62" i="15" s="1"/>
  <c r="F61" i="15"/>
  <c r="I61" i="15" s="1"/>
  <c r="E65" i="15"/>
  <c r="H65" i="15" s="1"/>
  <c r="E64" i="15"/>
  <c r="J64" i="15" s="1"/>
  <c r="E62" i="15"/>
  <c r="J62" i="15" s="1"/>
  <c r="E61" i="15"/>
  <c r="J61" i="15" s="1"/>
  <c r="B64" i="15"/>
  <c r="B65" i="15"/>
  <c r="B63" i="15"/>
  <c r="B62" i="15"/>
  <c r="B61" i="15"/>
  <c r="F59" i="15"/>
  <c r="I59" i="15" s="1"/>
  <c r="F58" i="15"/>
  <c r="I58" i="15" s="1"/>
  <c r="F56" i="15"/>
  <c r="I56" i="15" s="1"/>
  <c r="F55" i="15"/>
  <c r="I55" i="15" s="1"/>
  <c r="E59" i="15"/>
  <c r="E58" i="15"/>
  <c r="E56" i="15"/>
  <c r="H56" i="15" s="1"/>
  <c r="E55" i="15"/>
  <c r="J55" i="15" s="1"/>
  <c r="B59" i="15"/>
  <c r="B58" i="15"/>
  <c r="B57" i="15"/>
  <c r="B56" i="15"/>
  <c r="B55" i="15"/>
  <c r="F53" i="15"/>
  <c r="I53" i="15" s="1"/>
  <c r="F52" i="15"/>
  <c r="I52" i="15" s="1"/>
  <c r="E53" i="15"/>
  <c r="J53" i="15" s="1"/>
  <c r="E52" i="15"/>
  <c r="J52" i="15" s="1"/>
  <c r="B53" i="15"/>
  <c r="B52" i="15"/>
  <c r="F50" i="15"/>
  <c r="I50" i="15" s="1"/>
  <c r="F49" i="15"/>
  <c r="I49" i="15" s="1"/>
  <c r="F47" i="15"/>
  <c r="I47" i="15" s="1"/>
  <c r="F46" i="15"/>
  <c r="I46" i="15" s="1"/>
  <c r="F45" i="15"/>
  <c r="I45" i="15" s="1"/>
  <c r="E50" i="15"/>
  <c r="J50" i="15" s="1"/>
  <c r="E49" i="15"/>
  <c r="H49" i="15" s="1"/>
  <c r="E47" i="15"/>
  <c r="E46" i="15"/>
  <c r="H46" i="15" s="1"/>
  <c r="E45" i="15"/>
  <c r="H45" i="15" s="1"/>
  <c r="B49" i="15"/>
  <c r="B50" i="15"/>
  <c r="B48" i="15"/>
  <c r="B47" i="15"/>
  <c r="B46" i="15"/>
  <c r="B45" i="15"/>
  <c r="F43" i="15"/>
  <c r="I43" i="15" s="1"/>
  <c r="F42" i="15"/>
  <c r="I42" i="15" s="1"/>
  <c r="F40" i="15"/>
  <c r="I40" i="15" s="1"/>
  <c r="F39" i="15"/>
  <c r="I39" i="15" s="1"/>
  <c r="E43" i="15"/>
  <c r="E42" i="15"/>
  <c r="E40" i="15"/>
  <c r="H40" i="15" s="1"/>
  <c r="E39" i="15"/>
  <c r="J39" i="15" s="1"/>
  <c r="B42" i="15"/>
  <c r="B43" i="15"/>
  <c r="B41" i="15"/>
  <c r="B40" i="15"/>
  <c r="B39" i="15"/>
  <c r="F37" i="15"/>
  <c r="I37" i="15" s="1"/>
  <c r="F36" i="15"/>
  <c r="I36" i="15" s="1"/>
  <c r="F34" i="15"/>
  <c r="I34" i="15" s="1"/>
  <c r="F33" i="15"/>
  <c r="I33" i="15" s="1"/>
  <c r="F32" i="15"/>
  <c r="I32" i="15" s="1"/>
  <c r="E37" i="15"/>
  <c r="J37" i="15" s="1"/>
  <c r="E36" i="15"/>
  <c r="J36" i="15" s="1"/>
  <c r="E34" i="15"/>
  <c r="H34" i="15" s="1"/>
  <c r="E33" i="15"/>
  <c r="H33" i="15" s="1"/>
  <c r="E32" i="15"/>
  <c r="J32" i="15" s="1"/>
  <c r="B37" i="15"/>
  <c r="B36" i="15"/>
  <c r="B35" i="15"/>
  <c r="B34" i="15"/>
  <c r="B33" i="15"/>
  <c r="B32" i="15"/>
  <c r="F30" i="15"/>
  <c r="I30" i="15" s="1"/>
  <c r="F29" i="15"/>
  <c r="I29" i="15" s="1"/>
  <c r="F27" i="15"/>
  <c r="I27" i="15" s="1"/>
  <c r="F26" i="15"/>
  <c r="I26" i="15" s="1"/>
  <c r="E30" i="15"/>
  <c r="J30" i="15" s="1"/>
  <c r="E29" i="15"/>
  <c r="J29" i="15" s="1"/>
  <c r="E27" i="15"/>
  <c r="J27" i="15" s="1"/>
  <c r="E26" i="15"/>
  <c r="J26" i="15" s="1"/>
  <c r="B29" i="15"/>
  <c r="B30" i="15"/>
  <c r="B28" i="15"/>
  <c r="B27" i="15"/>
  <c r="B26" i="15"/>
  <c r="F24" i="15"/>
  <c r="I24" i="15" s="1"/>
  <c r="F23" i="15"/>
  <c r="I23" i="15" s="1"/>
  <c r="F21" i="15"/>
  <c r="I21" i="15" s="1"/>
  <c r="F20" i="15"/>
  <c r="I20" i="15" s="1"/>
  <c r="E24" i="15"/>
  <c r="E23" i="15"/>
  <c r="E28" i="15" s="1"/>
  <c r="J28" i="15" s="1"/>
  <c r="F22" i="15"/>
  <c r="F28" i="15" s="1"/>
  <c r="I28" i="15" s="1"/>
  <c r="E22" i="15"/>
  <c r="H22" i="15" s="1"/>
  <c r="E21" i="15"/>
  <c r="H21" i="15" s="1"/>
  <c r="E20" i="15"/>
  <c r="J20" i="15" s="1"/>
  <c r="B24" i="15"/>
  <c r="B23" i="15"/>
  <c r="B22" i="15"/>
  <c r="B21" i="15"/>
  <c r="B20" i="15"/>
  <c r="F18" i="15"/>
  <c r="I18" i="15" s="1"/>
  <c r="F17" i="15"/>
  <c r="I17" i="15" s="1"/>
  <c r="E18" i="15"/>
  <c r="J18" i="15" s="1"/>
  <c r="E17" i="15"/>
  <c r="J17" i="15" s="1"/>
  <c r="B18" i="15"/>
  <c r="B17" i="15"/>
  <c r="F15" i="15"/>
  <c r="I15" i="15" s="1"/>
  <c r="F14" i="15"/>
  <c r="I14" i="15" s="1"/>
  <c r="F12" i="15"/>
  <c r="I12" i="15" s="1"/>
  <c r="F11" i="15"/>
  <c r="I11" i="15" s="1"/>
  <c r="E15" i="15"/>
  <c r="J15" i="15" s="1"/>
  <c r="E14" i="15"/>
  <c r="H14" i="15" s="1"/>
  <c r="F13" i="15"/>
  <c r="I13" i="15" s="1"/>
  <c r="E13" i="15"/>
  <c r="H13" i="15" s="1"/>
  <c r="E12" i="15"/>
  <c r="H12" i="15" s="1"/>
  <c r="E11" i="15"/>
  <c r="H11" i="15" s="1"/>
  <c r="B15" i="15"/>
  <c r="B14" i="15"/>
  <c r="B13" i="15"/>
  <c r="B12" i="15"/>
  <c r="B11" i="15"/>
  <c r="F9" i="15"/>
  <c r="I9" i="15" s="1"/>
  <c r="F8" i="15"/>
  <c r="I8" i="15" s="1"/>
  <c r="E9" i="15"/>
  <c r="H9" i="15" s="1"/>
  <c r="E8" i="15"/>
  <c r="J8" i="15" s="1"/>
  <c r="B9" i="15"/>
  <c r="B8" i="15"/>
  <c r="G158" i="14"/>
  <c r="E5" i="15"/>
  <c r="J5" i="15" s="1"/>
  <c r="M5" i="15" s="1"/>
  <c r="D131" i="15" s="1"/>
  <c r="A6" i="15"/>
  <c r="E158" i="14"/>
  <c r="F158" i="14" s="1"/>
  <c r="I158" i="14" s="1"/>
  <c r="E156" i="14"/>
  <c r="F156" i="14"/>
  <c r="I156" i="14" s="1"/>
  <c r="E155" i="14"/>
  <c r="F155" i="14" s="1"/>
  <c r="E154" i="14"/>
  <c r="F154" i="14" s="1"/>
  <c r="H155" i="14"/>
  <c r="N1871" i="22" s="1"/>
  <c r="B155" i="14"/>
  <c r="H154" i="14"/>
  <c r="N1861" i="22" s="1"/>
  <c r="B154" i="14"/>
  <c r="C27" i="17" l="1"/>
  <c r="C34" i="17"/>
  <c r="C33" i="17"/>
  <c r="C32" i="17"/>
  <c r="C31" i="17"/>
  <c r="D14" i="17"/>
  <c r="C52" i="17"/>
  <c r="C53" i="17"/>
  <c r="C49" i="17"/>
  <c r="C47" i="17"/>
  <c r="C54" i="17"/>
  <c r="C51" i="17"/>
  <c r="E65" i="17"/>
  <c r="E64" i="17"/>
  <c r="E66" i="17"/>
  <c r="C12" i="17"/>
  <c r="E86" i="34"/>
  <c r="G41" i="35" s="1"/>
  <c r="D150" i="15"/>
  <c r="F123" i="15"/>
  <c r="L30" i="34"/>
  <c r="O30" i="34"/>
  <c r="D89" i="34" s="1"/>
  <c r="F21" i="34"/>
  <c r="G21" i="34" s="1"/>
  <c r="G18" i="34"/>
  <c r="C33" i="35"/>
  <c r="K33" i="35"/>
  <c r="J33" i="35"/>
  <c r="J34" i="35"/>
  <c r="K34" i="35"/>
  <c r="C34" i="35"/>
  <c r="J32" i="35"/>
  <c r="K32" i="35"/>
  <c r="C32" i="35"/>
  <c r="F10" i="16"/>
  <c r="H41" i="35"/>
  <c r="H40" i="35"/>
  <c r="C40" i="35"/>
  <c r="K40" i="35"/>
  <c r="J40" i="35"/>
  <c r="K41" i="35"/>
  <c r="J41" i="35"/>
  <c r="C41" i="35"/>
  <c r="H138" i="20"/>
  <c r="H130" i="20"/>
  <c r="F8" i="34" s="1"/>
  <c r="C6" i="17"/>
  <c r="F105" i="15"/>
  <c r="F11" i="16"/>
  <c r="I154" i="14"/>
  <c r="P1887" i="22"/>
  <c r="P1889" i="22"/>
  <c r="P1890" i="22"/>
  <c r="P1883" i="22"/>
  <c r="F2023" i="22" s="1"/>
  <c r="P1882" i="22"/>
  <c r="P1886" i="22"/>
  <c r="P1884" i="22"/>
  <c r="F5" i="15"/>
  <c r="I5" i="15" s="1"/>
  <c r="D1901" i="22"/>
  <c r="E1908" i="22" s="1"/>
  <c r="G1908" i="22" s="1"/>
  <c r="O1908" i="22" s="1"/>
  <c r="B1861" i="22"/>
  <c r="B135" i="20"/>
  <c r="O1866" i="22"/>
  <c r="O1868" i="22"/>
  <c r="O1870" i="22"/>
  <c r="O1863" i="22"/>
  <c r="O1865" i="22"/>
  <c r="O1862" i="22"/>
  <c r="O1867" i="22"/>
  <c r="O1869" i="22"/>
  <c r="B1871" i="22"/>
  <c r="B136" i="20"/>
  <c r="I155" i="14"/>
  <c r="O1872" i="22"/>
  <c r="I160" i="21"/>
  <c r="I159" i="21"/>
  <c r="I86" i="21"/>
  <c r="I11" i="21"/>
  <c r="I4" i="21"/>
  <c r="I21" i="21"/>
  <c r="I139" i="21"/>
  <c r="J139" i="21" s="1"/>
  <c r="I103" i="21"/>
  <c r="J103" i="21" s="1"/>
  <c r="I28" i="21"/>
  <c r="J28" i="21" s="1"/>
  <c r="I149" i="21"/>
  <c r="J149" i="21" s="1"/>
  <c r="I93" i="21"/>
  <c r="J93" i="21" s="1"/>
  <c r="H4" i="21"/>
  <c r="H21" i="21"/>
  <c r="H86" i="21"/>
  <c r="H11" i="21"/>
  <c r="I126" i="21"/>
  <c r="J126" i="21" s="1"/>
  <c r="I49" i="21"/>
  <c r="J49" i="21" s="1"/>
  <c r="I73" i="21"/>
  <c r="J73" i="21" s="1"/>
  <c r="I62" i="21"/>
  <c r="J62" i="21" s="1"/>
  <c r="I41" i="21"/>
  <c r="J41" i="21" s="1"/>
  <c r="I113" i="21"/>
  <c r="J113" i="21" s="1"/>
  <c r="I38" i="21"/>
  <c r="J38" i="21" s="1"/>
  <c r="I142" i="21"/>
  <c r="J142" i="21" s="1"/>
  <c r="I106" i="21"/>
  <c r="J106" i="21" s="1"/>
  <c r="I88" i="21"/>
  <c r="J88" i="21" s="1"/>
  <c r="I52" i="21"/>
  <c r="J52" i="21" s="1"/>
  <c r="I14" i="21"/>
  <c r="J14" i="21" s="1"/>
  <c r="I31" i="21"/>
  <c r="J31" i="21" s="1"/>
  <c r="I140" i="21"/>
  <c r="J140" i="21" s="1"/>
  <c r="I104" i="21"/>
  <c r="J104" i="21" s="1"/>
  <c r="I50" i="21"/>
  <c r="J50" i="21" s="1"/>
  <c r="I12" i="21"/>
  <c r="J12" i="21" s="1"/>
  <c r="I119" i="21"/>
  <c r="J119" i="21" s="1"/>
  <c r="I65" i="21"/>
  <c r="J65" i="21" s="1"/>
  <c r="I29" i="21"/>
  <c r="J29" i="21" s="1"/>
  <c r="I117" i="21"/>
  <c r="J117" i="21" s="1"/>
  <c r="I79" i="21"/>
  <c r="J79" i="21" s="1"/>
  <c r="I63" i="21"/>
  <c r="J63" i="21" s="1"/>
  <c r="I152" i="21"/>
  <c r="J152" i="21" s="1"/>
  <c r="I132" i="21"/>
  <c r="J132" i="21" s="1"/>
  <c r="I96" i="21"/>
  <c r="J96" i="21" s="1"/>
  <c r="I6" i="21"/>
  <c r="J6" i="21" s="1"/>
  <c r="I127" i="21"/>
  <c r="J127" i="21" s="1"/>
  <c r="I23" i="21"/>
  <c r="J23" i="21" s="1"/>
  <c r="I150" i="21"/>
  <c r="J150" i="21" s="1"/>
  <c r="I130" i="21"/>
  <c r="J130" i="21" s="1"/>
  <c r="I114" i="21"/>
  <c r="J114" i="21" s="1"/>
  <c r="I94" i="21"/>
  <c r="J94" i="21" s="1"/>
  <c r="I76" i="21"/>
  <c r="J76" i="21" s="1"/>
  <c r="I55" i="21"/>
  <c r="J55" i="21" s="1"/>
  <c r="I39" i="21"/>
  <c r="J39" i="21" s="1"/>
  <c r="I74" i="21"/>
  <c r="J74" i="21" s="1"/>
  <c r="I68" i="21"/>
  <c r="J68" i="21" s="1"/>
  <c r="I121" i="21"/>
  <c r="J121" i="21" s="1"/>
  <c r="I81" i="21"/>
  <c r="J81" i="21" s="1"/>
  <c r="I154" i="21"/>
  <c r="J154" i="21" s="1"/>
  <c r="I134" i="21"/>
  <c r="J134" i="21" s="1"/>
  <c r="I98" i="21"/>
  <c r="J98" i="21" s="1"/>
  <c r="I44" i="21"/>
  <c r="J44" i="21" s="1"/>
  <c r="I57" i="21"/>
  <c r="J57" i="21" s="1"/>
  <c r="I33" i="21"/>
  <c r="J33" i="21" s="1"/>
  <c r="I144" i="21"/>
  <c r="J144" i="21" s="1"/>
  <c r="I108" i="21"/>
  <c r="J108" i="21" s="1"/>
  <c r="I16" i="21"/>
  <c r="J16" i="21" s="1"/>
  <c r="H135" i="20"/>
  <c r="H20" i="20"/>
  <c r="H5" i="20"/>
  <c r="H137" i="20"/>
  <c r="H114" i="20"/>
  <c r="H78" i="20"/>
  <c r="H43" i="20"/>
  <c r="H71" i="20"/>
  <c r="H53" i="20"/>
  <c r="H35" i="20"/>
  <c r="H12" i="20"/>
  <c r="H94" i="20"/>
  <c r="H27" i="20"/>
  <c r="H136" i="20"/>
  <c r="H122" i="20"/>
  <c r="H104" i="20"/>
  <c r="H86" i="20"/>
  <c r="H139" i="20"/>
  <c r="F1970" i="22" s="1"/>
  <c r="H61" i="20"/>
  <c r="H117" i="20"/>
  <c r="F1656" i="22" s="1"/>
  <c r="H54" i="20"/>
  <c r="H56" i="20"/>
  <c r="F748" i="22" s="1"/>
  <c r="H38" i="20"/>
  <c r="F473" i="22" s="1"/>
  <c r="H123" i="20"/>
  <c r="H105" i="20"/>
  <c r="H87" i="20"/>
  <c r="H36" i="20"/>
  <c r="H22" i="20"/>
  <c r="F249" i="22" s="1"/>
  <c r="H81" i="20"/>
  <c r="H125" i="20"/>
  <c r="F1780" i="22" s="1"/>
  <c r="H107" i="20"/>
  <c r="H89" i="20"/>
  <c r="F1232" i="22" s="1"/>
  <c r="H62" i="20"/>
  <c r="H44" i="20"/>
  <c r="H13" i="20"/>
  <c r="F110" i="22" s="1"/>
  <c r="H7" i="20"/>
  <c r="H66" i="20"/>
  <c r="H48" i="20"/>
  <c r="H99" i="20"/>
  <c r="H109" i="20"/>
  <c r="H73" i="20"/>
  <c r="H64" i="20"/>
  <c r="F872" i="22" s="1"/>
  <c r="H46" i="20"/>
  <c r="H28" i="20"/>
  <c r="H15" i="20"/>
  <c r="F136" i="22" s="1"/>
  <c r="H30" i="20"/>
  <c r="F349" i="22" s="1"/>
  <c r="H95" i="20"/>
  <c r="H115" i="20"/>
  <c r="H97" i="20"/>
  <c r="F1356" i="22" s="1"/>
  <c r="H79" i="20"/>
  <c r="H23" i="20"/>
  <c r="F261" i="22" s="1"/>
  <c r="H9" i="20"/>
  <c r="F59" i="22" s="1"/>
  <c r="G59" i="22" s="1"/>
  <c r="H108" i="20"/>
  <c r="F1518" i="22" s="1"/>
  <c r="G1518" i="22" s="1"/>
  <c r="H126" i="20"/>
  <c r="F1792" i="22" s="1"/>
  <c r="G1792" i="22" s="1"/>
  <c r="H110" i="20"/>
  <c r="F1544" i="22" s="1"/>
  <c r="G1544" i="22" s="1"/>
  <c r="H74" i="20"/>
  <c r="F1021" i="22" s="1"/>
  <c r="G1021" i="22" s="1"/>
  <c r="H65" i="20"/>
  <c r="F884" i="22" s="1"/>
  <c r="G884" i="22" s="1"/>
  <c r="H47" i="20"/>
  <c r="H29" i="20"/>
  <c r="F335" i="22" s="1"/>
  <c r="G335" i="22" s="1"/>
  <c r="H16" i="20"/>
  <c r="F148" i="22" s="1"/>
  <c r="G148" i="22" s="1"/>
  <c r="H96" i="20"/>
  <c r="H75" i="20"/>
  <c r="F1034" i="22" s="1"/>
  <c r="G1034" i="22" s="1"/>
  <c r="H37" i="20"/>
  <c r="F459" i="22" s="1"/>
  <c r="G459" i="22" s="1"/>
  <c r="H67" i="20"/>
  <c r="F910" i="22" s="1"/>
  <c r="G910" i="22" s="1"/>
  <c r="H49" i="20"/>
  <c r="H31" i="20"/>
  <c r="F361" i="22" s="1"/>
  <c r="G361" i="22" s="1"/>
  <c r="H57" i="20"/>
  <c r="F760" i="22" s="1"/>
  <c r="G760" i="22" s="1"/>
  <c r="H63" i="20"/>
  <c r="F858" i="22" s="1"/>
  <c r="G858" i="22" s="1"/>
  <c r="H14" i="20"/>
  <c r="F122" i="22" s="1"/>
  <c r="G122" i="22" s="1"/>
  <c r="H116" i="20"/>
  <c r="F1642" i="22" s="1"/>
  <c r="G1642" i="22" s="1"/>
  <c r="H98" i="20"/>
  <c r="H80" i="20"/>
  <c r="F1094" i="22" s="1"/>
  <c r="G1094" i="22" s="1"/>
  <c r="H24" i="20"/>
  <c r="F274" i="22" s="1"/>
  <c r="G274" i="22" s="1"/>
  <c r="H45" i="20"/>
  <c r="F583" i="22" s="1"/>
  <c r="G583" i="22" s="1"/>
  <c r="H118" i="20"/>
  <c r="F1668" i="22" s="1"/>
  <c r="G1668" i="22" s="1"/>
  <c r="H100" i="20"/>
  <c r="F1394" i="22" s="1"/>
  <c r="G1394" i="22" s="1"/>
  <c r="H82" i="20"/>
  <c r="H55" i="20"/>
  <c r="F734" i="22" s="1"/>
  <c r="G734" i="22" s="1"/>
  <c r="H39" i="20"/>
  <c r="F485" i="22" s="1"/>
  <c r="G485" i="22" s="1"/>
  <c r="H90" i="20"/>
  <c r="F1244" i="22" s="1"/>
  <c r="G1244" i="22" s="1"/>
  <c r="H8" i="20"/>
  <c r="F46" i="22" s="1"/>
  <c r="G46" i="22" s="1"/>
  <c r="H124" i="20"/>
  <c r="F1766" i="22" s="1"/>
  <c r="G1766" i="22" s="1"/>
  <c r="H106" i="20"/>
  <c r="F1492" i="22" s="1"/>
  <c r="G1492" i="22" s="1"/>
  <c r="H88" i="20"/>
  <c r="F1218" i="22" s="1"/>
  <c r="G1218" i="22" s="1"/>
  <c r="H68" i="20"/>
  <c r="F925" i="22" s="1"/>
  <c r="H50" i="20"/>
  <c r="F650" i="22" s="1"/>
  <c r="H32" i="20"/>
  <c r="F376" i="22" s="1"/>
  <c r="H72" i="20"/>
  <c r="F996" i="22" s="1"/>
  <c r="H119" i="20"/>
  <c r="F1683" i="22" s="1"/>
  <c r="H101" i="20"/>
  <c r="F1409" i="22" s="1"/>
  <c r="H83" i="20"/>
  <c r="F1135" i="22" s="1"/>
  <c r="H6" i="20"/>
  <c r="F21" i="22" s="1"/>
  <c r="H17" i="20"/>
  <c r="F163" i="22" s="1"/>
  <c r="H21" i="20"/>
  <c r="F236" i="22" s="1"/>
  <c r="H58" i="20"/>
  <c r="F775" i="22" s="1"/>
  <c r="H127" i="20"/>
  <c r="F1807" i="22" s="1"/>
  <c r="H91" i="20"/>
  <c r="F1259" i="22" s="1"/>
  <c r="H111" i="20"/>
  <c r="F1559" i="22" s="1"/>
  <c r="H40" i="20"/>
  <c r="F500" i="22" s="1"/>
  <c r="E16" i="17"/>
  <c r="E17" i="17"/>
  <c r="F3" i="16"/>
  <c r="E125" i="15"/>
  <c r="L109" i="15"/>
  <c r="G30" i="8"/>
  <c r="D119" i="32"/>
  <c r="F119" i="32" s="1"/>
  <c r="L104" i="15"/>
  <c r="D127" i="15" s="1"/>
  <c r="L110" i="15"/>
  <c r="D130" i="15" s="1"/>
  <c r="J110" i="15"/>
  <c r="M110" i="15" s="1"/>
  <c r="D138" i="15" s="1"/>
  <c r="J22" i="15"/>
  <c r="J85" i="15"/>
  <c r="J23" i="15"/>
  <c r="J34" i="15"/>
  <c r="H23" i="15"/>
  <c r="J71" i="15"/>
  <c r="J65" i="15"/>
  <c r="H87" i="15"/>
  <c r="J91" i="15"/>
  <c r="H20" i="15"/>
  <c r="H29" i="15"/>
  <c r="I22" i="15"/>
  <c r="J56" i="15"/>
  <c r="H39" i="15"/>
  <c r="J88" i="15"/>
  <c r="H26" i="15"/>
  <c r="H72" i="15"/>
  <c r="H74" i="15"/>
  <c r="H81" i="15"/>
  <c r="J82" i="15"/>
  <c r="H101" i="15"/>
  <c r="L101" i="15" s="1"/>
  <c r="D143" i="30" s="1"/>
  <c r="H17" i="15"/>
  <c r="J90" i="15"/>
  <c r="J84" i="15"/>
  <c r="H18" i="15"/>
  <c r="H64" i="15"/>
  <c r="H61" i="15"/>
  <c r="H55" i="15"/>
  <c r="J69" i="15"/>
  <c r="J14" i="15"/>
  <c r="H52" i="15"/>
  <c r="H8" i="15"/>
  <c r="J11" i="15"/>
  <c r="J46" i="15"/>
  <c r="J12" i="15"/>
  <c r="H76" i="15"/>
  <c r="H53" i="15"/>
  <c r="J9" i="15"/>
  <c r="H37" i="15"/>
  <c r="J40" i="15"/>
  <c r="J45" i="15"/>
  <c r="H30" i="15"/>
  <c r="J13" i="15"/>
  <c r="H36" i="15"/>
  <c r="F35" i="15"/>
  <c r="J79" i="15"/>
  <c r="J42" i="15"/>
  <c r="H42" i="15"/>
  <c r="J43" i="15"/>
  <c r="H43" i="15"/>
  <c r="J58" i="15"/>
  <c r="H58" i="15"/>
  <c r="J59" i="15"/>
  <c r="H59" i="15"/>
  <c r="J47" i="15"/>
  <c r="H47" i="15"/>
  <c r="J49" i="15"/>
  <c r="H15" i="15"/>
  <c r="J24" i="15"/>
  <c r="H24" i="15"/>
  <c r="H75" i="15"/>
  <c r="J75" i="15"/>
  <c r="E35" i="15"/>
  <c r="H78" i="15"/>
  <c r="J33" i="15"/>
  <c r="H32" i="15"/>
  <c r="H50" i="15"/>
  <c r="H67" i="15"/>
  <c r="H62" i="15"/>
  <c r="H28" i="15"/>
  <c r="J21" i="15"/>
  <c r="J68" i="15"/>
  <c r="H27" i="15"/>
  <c r="H5" i="15"/>
  <c r="E67" i="17" l="1"/>
  <c r="E69" i="17" s="1"/>
  <c r="F14" i="17"/>
  <c r="F130" i="15"/>
  <c r="G1593" i="22"/>
  <c r="F150" i="15"/>
  <c r="G28" i="8"/>
  <c r="D152" i="15"/>
  <c r="F127" i="15"/>
  <c r="L18" i="34"/>
  <c r="O18" i="34"/>
  <c r="L21" i="34"/>
  <c r="P21" i="34" s="1"/>
  <c r="O21" i="34"/>
  <c r="P30" i="34"/>
  <c r="F89" i="34" s="1"/>
  <c r="M27" i="34"/>
  <c r="F11" i="34"/>
  <c r="G11" i="34" s="1"/>
  <c r="G8" i="34"/>
  <c r="I105" i="15"/>
  <c r="F1480" i="22"/>
  <c r="F1483" i="22" s="1"/>
  <c r="G1483" i="22" s="1"/>
  <c r="F898" i="22"/>
  <c r="G898" i="22" s="1"/>
  <c r="G1048" i="22"/>
  <c r="G534" i="22"/>
  <c r="F1382" i="22"/>
  <c r="F1385" i="22" s="1"/>
  <c r="G1385" i="22" s="1"/>
  <c r="F1630" i="22"/>
  <c r="F1633" i="22" s="1"/>
  <c r="G1633" i="22" s="1"/>
  <c r="F597" i="22"/>
  <c r="G597" i="22" s="1"/>
  <c r="F1973" i="22"/>
  <c r="G1973" i="22" s="1"/>
  <c r="G1970" i="22"/>
  <c r="F1009" i="22"/>
  <c r="G1009" i="22" s="1"/>
  <c r="D146" i="30"/>
  <c r="F146" i="30" s="1"/>
  <c r="D132" i="32"/>
  <c r="F132" i="32" s="1"/>
  <c r="D124" i="30"/>
  <c r="F124" i="30" s="1"/>
  <c r="D114" i="32"/>
  <c r="F114" i="32" s="1"/>
  <c r="D135" i="32"/>
  <c r="F135" i="32" s="1"/>
  <c r="L5" i="15"/>
  <c r="D129" i="30"/>
  <c r="F129" i="30" s="1"/>
  <c r="G3" i="16"/>
  <c r="G67" i="8"/>
  <c r="G22" i="8"/>
  <c r="G959" i="22"/>
  <c r="G1293" i="22"/>
  <c r="G410" i="22"/>
  <c r="G1841" i="22"/>
  <c r="G1946" i="22"/>
  <c r="G1950" i="22"/>
  <c r="G1951" i="22"/>
  <c r="G1953" i="22"/>
  <c r="G1954" i="22"/>
  <c r="G1955" i="22"/>
  <c r="G1960" i="22"/>
  <c r="G1957" i="22"/>
  <c r="G1958" i="22"/>
  <c r="G1959" i="22"/>
  <c r="G1947" i="22"/>
  <c r="F447" i="22"/>
  <c r="F1741" i="22"/>
  <c r="F6" i="22"/>
  <c r="G6" i="22" s="1"/>
  <c r="F8" i="22"/>
  <c r="F379" i="22"/>
  <c r="G379" i="22" s="1"/>
  <c r="G376" i="22"/>
  <c r="F265" i="22"/>
  <c r="G265" i="22" s="1"/>
  <c r="G261" i="22"/>
  <c r="G288" i="22" s="1"/>
  <c r="F1562" i="22"/>
  <c r="G1562" i="22" s="1"/>
  <c r="G1559" i="22"/>
  <c r="F653" i="22"/>
  <c r="G653" i="22" s="1"/>
  <c r="G650" i="22"/>
  <c r="F623" i="22"/>
  <c r="F1206" i="22"/>
  <c r="F223" i="22"/>
  <c r="F34" i="22"/>
  <c r="G34" i="22" s="1"/>
  <c r="F1754" i="22"/>
  <c r="F1317" i="22"/>
  <c r="F1330" i="22"/>
  <c r="F113" i="22"/>
  <c r="G113" i="22" s="1"/>
  <c r="G110" i="22"/>
  <c r="F476" i="22"/>
  <c r="G476" i="22" s="1"/>
  <c r="G473" i="22"/>
  <c r="F97" i="22"/>
  <c r="F239" i="22"/>
  <c r="G239" i="22" s="1"/>
  <c r="G236" i="22"/>
  <c r="G1717" i="22"/>
  <c r="F635" i="22"/>
  <c r="G635" i="22" s="1"/>
  <c r="F609" i="22"/>
  <c r="G609" i="22" s="1"/>
  <c r="F352" i="22"/>
  <c r="G352" i="22" s="1"/>
  <c r="G349" i="22"/>
  <c r="F571" i="22"/>
  <c r="G748" i="22"/>
  <c r="F751" i="22"/>
  <c r="G751" i="22" s="1"/>
  <c r="F434" i="22"/>
  <c r="F1359" i="22"/>
  <c r="G1359" i="22" s="1"/>
  <c r="G1356" i="22"/>
  <c r="F1810" i="22"/>
  <c r="G1810" i="22" s="1"/>
  <c r="G1807" i="22"/>
  <c r="F778" i="22"/>
  <c r="G778" i="22" s="1"/>
  <c r="G775" i="22"/>
  <c r="F166" i="22"/>
  <c r="G166" i="22" s="1"/>
  <c r="G163" i="22"/>
  <c r="G197" i="22"/>
  <c r="F139" i="22"/>
  <c r="G139" i="22" s="1"/>
  <c r="G136" i="22"/>
  <c r="F846" i="22"/>
  <c r="F722" i="22"/>
  <c r="F709" i="22"/>
  <c r="F323" i="22"/>
  <c r="F1235" i="22"/>
  <c r="G1235" i="22" s="1"/>
  <c r="G1232" i="22"/>
  <c r="F1659" i="22"/>
  <c r="G1659" i="22" s="1"/>
  <c r="G1656" i="22"/>
  <c r="F983" i="22"/>
  <c r="F503" i="22"/>
  <c r="G503" i="22" s="1"/>
  <c r="G500" i="22"/>
  <c r="F1138" i="22"/>
  <c r="G1138" i="22" s="1"/>
  <c r="G1135" i="22"/>
  <c r="F1506" i="22"/>
  <c r="F833" i="22"/>
  <c r="F558" i="22"/>
  <c r="F1412" i="22"/>
  <c r="G1412" i="22" s="1"/>
  <c r="G1409" i="22"/>
  <c r="G809" i="22"/>
  <c r="F875" i="22"/>
  <c r="G875" i="22" s="1"/>
  <c r="G872" i="22"/>
  <c r="F1783" i="22"/>
  <c r="G1783" i="22" s="1"/>
  <c r="G1780" i="22"/>
  <c r="F1069" i="22"/>
  <c r="F24" i="22"/>
  <c r="G24" i="22" s="1"/>
  <c r="G21" i="22"/>
  <c r="F1686" i="22"/>
  <c r="G1686" i="22" s="1"/>
  <c r="G1683" i="22"/>
  <c r="F1108" i="22"/>
  <c r="F1120" i="22"/>
  <c r="G1120" i="22" s="1"/>
  <c r="G1169" i="22" s="1"/>
  <c r="F1193" i="22"/>
  <c r="F1617" i="22"/>
  <c r="F1262" i="22"/>
  <c r="G1262" i="22" s="1"/>
  <c r="G1259" i="22"/>
  <c r="F928" i="22"/>
  <c r="G928" i="22" s="1"/>
  <c r="G925" i="22"/>
  <c r="F1368" i="22"/>
  <c r="G1368" i="22" s="1"/>
  <c r="F1342" i="22"/>
  <c r="G1342" i="22" s="1"/>
  <c r="F310" i="22"/>
  <c r="F1935" i="22"/>
  <c r="F1864" i="22"/>
  <c r="F999" i="22"/>
  <c r="G999" i="22" s="1"/>
  <c r="G996" i="22"/>
  <c r="F1532" i="22"/>
  <c r="F252" i="22"/>
  <c r="G252" i="22" s="1"/>
  <c r="G249" i="22"/>
  <c r="F1467" i="22"/>
  <c r="F1895" i="22"/>
  <c r="F1885" i="22"/>
  <c r="R11" i="21"/>
  <c r="H19" i="21"/>
  <c r="G213" i="22" s="1"/>
  <c r="R86" i="21"/>
  <c r="H91" i="21"/>
  <c r="G1061" i="22" s="1"/>
  <c r="R21" i="21"/>
  <c r="H26" i="21"/>
  <c r="G301" i="22" s="1"/>
  <c r="R4" i="21"/>
  <c r="H9" i="21"/>
  <c r="G87" i="22" s="1"/>
  <c r="N38" i="21"/>
  <c r="S38" i="21"/>
  <c r="N134" i="21"/>
  <c r="S134" i="21"/>
  <c r="N150" i="21"/>
  <c r="S150" i="21"/>
  <c r="N119" i="21"/>
  <c r="S119" i="21"/>
  <c r="N113" i="21"/>
  <c r="S113" i="21"/>
  <c r="N28" i="21"/>
  <c r="S28" i="21"/>
  <c r="N154" i="21"/>
  <c r="S154" i="21"/>
  <c r="N23" i="21"/>
  <c r="S23" i="21"/>
  <c r="N12" i="21"/>
  <c r="S12" i="21"/>
  <c r="N41" i="21"/>
  <c r="S41" i="21"/>
  <c r="N103" i="21"/>
  <c r="S103" i="21"/>
  <c r="N65" i="21"/>
  <c r="S65" i="21"/>
  <c r="N81" i="21"/>
  <c r="S81" i="21"/>
  <c r="N127" i="21"/>
  <c r="S127" i="21"/>
  <c r="N50" i="21"/>
  <c r="S50" i="21"/>
  <c r="N62" i="21"/>
  <c r="S62" i="21"/>
  <c r="N139" i="21"/>
  <c r="S139" i="21"/>
  <c r="N121" i="21"/>
  <c r="S121" i="21"/>
  <c r="N6" i="21"/>
  <c r="S6" i="21"/>
  <c r="N104" i="21"/>
  <c r="S104" i="21"/>
  <c r="N73" i="21"/>
  <c r="S73" i="21"/>
  <c r="N68" i="21"/>
  <c r="S68" i="21"/>
  <c r="N96" i="21"/>
  <c r="S96" i="21"/>
  <c r="N140" i="21"/>
  <c r="S140" i="21"/>
  <c r="N49" i="21"/>
  <c r="S49" i="21"/>
  <c r="N16" i="21"/>
  <c r="S16" i="21"/>
  <c r="N74" i="21"/>
  <c r="S74" i="21"/>
  <c r="N132" i="21"/>
  <c r="S132" i="21"/>
  <c r="N31" i="21"/>
  <c r="S31" i="21"/>
  <c r="N126" i="21"/>
  <c r="S126" i="21"/>
  <c r="N108" i="21"/>
  <c r="S108" i="21"/>
  <c r="N39" i="21"/>
  <c r="S39" i="21"/>
  <c r="N152" i="21"/>
  <c r="S152" i="21"/>
  <c r="N14" i="21"/>
  <c r="S14" i="21"/>
  <c r="N144" i="21"/>
  <c r="S144" i="21"/>
  <c r="N55" i="21"/>
  <c r="S55" i="21"/>
  <c r="N63" i="21"/>
  <c r="S63" i="21"/>
  <c r="N52" i="21"/>
  <c r="S52" i="21"/>
  <c r="N98" i="21"/>
  <c r="S98" i="21"/>
  <c r="N149" i="21"/>
  <c r="S149" i="21"/>
  <c r="N33" i="21"/>
  <c r="S33" i="21"/>
  <c r="N76" i="21"/>
  <c r="S76" i="21"/>
  <c r="N79" i="21"/>
  <c r="S79" i="21"/>
  <c r="N88" i="21"/>
  <c r="S88" i="21"/>
  <c r="J159" i="21"/>
  <c r="N159" i="21" s="1"/>
  <c r="N57" i="21"/>
  <c r="S57" i="21"/>
  <c r="N94" i="21"/>
  <c r="S94" i="21"/>
  <c r="N117" i="21"/>
  <c r="S117" i="21"/>
  <c r="N106" i="21"/>
  <c r="S106" i="21"/>
  <c r="N130" i="21"/>
  <c r="S130" i="21"/>
  <c r="N44" i="21"/>
  <c r="S44" i="21"/>
  <c r="N114" i="21"/>
  <c r="S114" i="21"/>
  <c r="N29" i="21"/>
  <c r="S29" i="21"/>
  <c r="N142" i="21"/>
  <c r="S142" i="21"/>
  <c r="N93" i="21"/>
  <c r="S93" i="21"/>
  <c r="J160" i="21"/>
  <c r="N160" i="21" s="1"/>
  <c r="S160" i="21" s="1"/>
  <c r="H177" i="21" s="1"/>
  <c r="J21" i="21"/>
  <c r="J4" i="21"/>
  <c r="J86" i="21"/>
  <c r="J11" i="21"/>
  <c r="E18" i="17"/>
  <c r="E19" i="17" s="1"/>
  <c r="G25" i="8"/>
  <c r="G26" i="8"/>
  <c r="F41" i="15"/>
  <c r="I35" i="15"/>
  <c r="E41" i="15"/>
  <c r="H35" i="15"/>
  <c r="J35" i="15"/>
  <c r="G29" i="8" l="1"/>
  <c r="F901" i="22"/>
  <c r="G901" i="22" s="1"/>
  <c r="I17" i="35"/>
  <c r="E89" i="34"/>
  <c r="G17" i="35" s="1"/>
  <c r="G1480" i="22"/>
  <c r="P18" i="34"/>
  <c r="M14" i="34"/>
  <c r="D85" i="32"/>
  <c r="F85" i="32" s="1"/>
  <c r="F87" i="32" s="1"/>
  <c r="G14" i="8"/>
  <c r="D95" i="30"/>
  <c r="F95" i="30" s="1"/>
  <c r="F97" i="30" s="1"/>
  <c r="F600" i="22"/>
  <c r="G600" i="22" s="1"/>
  <c r="G1630" i="22"/>
  <c r="G1382" i="22"/>
  <c r="O8" i="34"/>
  <c r="D80" i="34" s="1"/>
  <c r="O11" i="34"/>
  <c r="D82" i="34" s="1"/>
  <c r="L105" i="15"/>
  <c r="D140" i="15" s="1"/>
  <c r="D149" i="30"/>
  <c r="F149" i="30" s="1"/>
  <c r="D117" i="30"/>
  <c r="F117" i="30" s="1"/>
  <c r="D107" i="32"/>
  <c r="F107" i="32" s="1"/>
  <c r="F1012" i="22"/>
  <c r="G1012" i="22" s="1"/>
  <c r="H170" i="21"/>
  <c r="G170" i="21" s="1"/>
  <c r="H79" i="8" s="1"/>
  <c r="H174" i="21"/>
  <c r="G174" i="21" s="1"/>
  <c r="H83" i="8" s="1"/>
  <c r="H173" i="21"/>
  <c r="G173" i="21" s="1"/>
  <c r="H82" i="8" s="1"/>
  <c r="N157" i="21"/>
  <c r="L1857" i="22" s="1"/>
  <c r="L1858" i="22" s="1"/>
  <c r="O1970" i="22"/>
  <c r="G1983" i="22"/>
  <c r="G1978" i="22"/>
  <c r="O1973" i="22"/>
  <c r="G1986" i="22"/>
  <c r="O1986" i="22" s="1"/>
  <c r="G177" i="21"/>
  <c r="H86" i="8" s="1"/>
  <c r="I86" i="8"/>
  <c r="H168" i="21"/>
  <c r="I77" i="8" s="1"/>
  <c r="D116" i="15"/>
  <c r="G684" i="22"/>
  <c r="G1443" i="22"/>
  <c r="F725" i="22"/>
  <c r="G725" i="22" s="1"/>
  <c r="G722" i="22"/>
  <c r="F1320" i="22"/>
  <c r="G1320" i="22" s="1"/>
  <c r="G1317" i="22"/>
  <c r="F1938" i="22"/>
  <c r="G1938" i="22" s="1"/>
  <c r="G1935" i="22"/>
  <c r="F849" i="22"/>
  <c r="G849" i="22" s="1"/>
  <c r="G846" i="22"/>
  <c r="F437" i="22"/>
  <c r="G437" i="22" s="1"/>
  <c r="G434" i="22"/>
  <c r="F100" i="22"/>
  <c r="G100" i="22" s="1"/>
  <c r="G201" i="22" s="1"/>
  <c r="G97" i="22"/>
  <c r="F1757" i="22"/>
  <c r="G1757" i="22" s="1"/>
  <c r="G1754" i="22"/>
  <c r="F574" i="22"/>
  <c r="G574" i="22" s="1"/>
  <c r="G571" i="22"/>
  <c r="F11" i="22"/>
  <c r="G11" i="22" s="1"/>
  <c r="G8" i="22"/>
  <c r="F1888" i="22"/>
  <c r="G1888" i="22" s="1"/>
  <c r="G1885" i="22"/>
  <c r="F561" i="22"/>
  <c r="G561" i="22" s="1"/>
  <c r="G558" i="22"/>
  <c r="F226" i="22"/>
  <c r="G226" i="22" s="1"/>
  <c r="G292" i="22" s="1"/>
  <c r="G223" i="22"/>
  <c r="F1470" i="22"/>
  <c r="G1470" i="22" s="1"/>
  <c r="G1467" i="22"/>
  <c r="F1509" i="22"/>
  <c r="G1509" i="22" s="1"/>
  <c r="G1506" i="22"/>
  <c r="F1333" i="22"/>
  <c r="G1333" i="22" s="1"/>
  <c r="G1330" i="22"/>
  <c r="F1209" i="22"/>
  <c r="G1209" i="22" s="1"/>
  <c r="G1206" i="22"/>
  <c r="F1874" i="22"/>
  <c r="G1874" i="22" s="1"/>
  <c r="G1864" i="22"/>
  <c r="F1111" i="22"/>
  <c r="G1111" i="22" s="1"/>
  <c r="G1108" i="22"/>
  <c r="F986" i="22"/>
  <c r="G986" i="22" s="1"/>
  <c r="G983" i="22"/>
  <c r="G833" i="22"/>
  <c r="F836" i="22"/>
  <c r="G836" i="22" s="1"/>
  <c r="F1072" i="22"/>
  <c r="G1072" i="22" s="1"/>
  <c r="G1069" i="22"/>
  <c r="F326" i="22"/>
  <c r="G326" i="22" s="1"/>
  <c r="G323" i="22"/>
  <c r="F626" i="22"/>
  <c r="G626" i="22" s="1"/>
  <c r="G623" i="22"/>
  <c r="F1744" i="22"/>
  <c r="G1744" i="22" s="1"/>
  <c r="G1741" i="22"/>
  <c r="F1898" i="22"/>
  <c r="G1898" i="22" s="1"/>
  <c r="L1898" i="22" s="1"/>
  <c r="P1898" i="22" s="1"/>
  <c r="G1895" i="22"/>
  <c r="L1895" i="22" s="1"/>
  <c r="F450" i="22"/>
  <c r="G450" i="22" s="1"/>
  <c r="G447" i="22"/>
  <c r="G310" i="22"/>
  <c r="F313" i="22"/>
  <c r="G313" i="22" s="1"/>
  <c r="F1196" i="22"/>
  <c r="G1196" i="22" s="1"/>
  <c r="G1193" i="22"/>
  <c r="F1535" i="22"/>
  <c r="G1535" i="22" s="1"/>
  <c r="G1532" i="22"/>
  <c r="F1620" i="22"/>
  <c r="G1620" i="22" s="1"/>
  <c r="G1721" i="22" s="1"/>
  <c r="G1617" i="22"/>
  <c r="F712" i="22"/>
  <c r="G712" i="22" s="1"/>
  <c r="G813" i="22" s="1"/>
  <c r="G709" i="22"/>
  <c r="G810" i="22" s="1"/>
  <c r="H162" i="21"/>
  <c r="R162" i="21"/>
  <c r="F166" i="21"/>
  <c r="N147" i="21"/>
  <c r="L1733" i="22" s="1"/>
  <c r="L1734" i="22" s="1"/>
  <c r="S159" i="21"/>
  <c r="H176" i="21" s="1"/>
  <c r="N161" i="21"/>
  <c r="L1963" i="22" s="1"/>
  <c r="L1964" i="22" s="1"/>
  <c r="N101" i="21"/>
  <c r="L1185" i="22" s="1"/>
  <c r="L1186" i="22" s="1"/>
  <c r="N60" i="21"/>
  <c r="L701" i="22" s="1"/>
  <c r="L702" i="22" s="1"/>
  <c r="N47" i="21"/>
  <c r="L550" i="22" s="1"/>
  <c r="L551" i="22" s="1"/>
  <c r="N137" i="21"/>
  <c r="L1609" i="22" s="1"/>
  <c r="L1610" i="22" s="1"/>
  <c r="N36" i="21"/>
  <c r="L426" i="22" s="1"/>
  <c r="L427" i="22" s="1"/>
  <c r="N124" i="21"/>
  <c r="L1459" i="22" s="1"/>
  <c r="L1460" i="22" s="1"/>
  <c r="N71" i="21"/>
  <c r="L825" i="22" s="1"/>
  <c r="L826" i="22" s="1"/>
  <c r="N111" i="21"/>
  <c r="L1309" i="22" s="1"/>
  <c r="L1310" i="22" s="1"/>
  <c r="N84" i="21"/>
  <c r="L975" i="22" s="1"/>
  <c r="L976" i="22" s="1"/>
  <c r="N11" i="21"/>
  <c r="N19" i="21" s="1"/>
  <c r="L213" i="22" s="1"/>
  <c r="L214" i="22" s="1"/>
  <c r="S11" i="21"/>
  <c r="N86" i="21"/>
  <c r="N91" i="21" s="1"/>
  <c r="L1061" i="22" s="1"/>
  <c r="L1062" i="22" s="1"/>
  <c r="S86" i="21"/>
  <c r="N4" i="21"/>
  <c r="S4" i="21"/>
  <c r="N21" i="21"/>
  <c r="N26" i="21" s="1"/>
  <c r="L301" i="22" s="1"/>
  <c r="L302" i="22" s="1"/>
  <c r="S21" i="21"/>
  <c r="E20" i="17"/>
  <c r="F48" i="15"/>
  <c r="I41" i="15"/>
  <c r="J41" i="15"/>
  <c r="E48" i="15"/>
  <c r="H41" i="15"/>
  <c r="D156" i="15" l="1"/>
  <c r="F140" i="15"/>
  <c r="G1444" i="22"/>
  <c r="G1447" i="22"/>
  <c r="K17" i="35"/>
  <c r="C17" i="35"/>
  <c r="H17" i="35"/>
  <c r="J17" i="35"/>
  <c r="G1845" i="22"/>
  <c r="G1052" i="22"/>
  <c r="I82" i="8"/>
  <c r="I83" i="8"/>
  <c r="I79" i="8"/>
  <c r="G168" i="21"/>
  <c r="H77" i="8" s="1"/>
  <c r="G963" i="22"/>
  <c r="J86" i="8"/>
  <c r="K86" i="8"/>
  <c r="O1983" i="22"/>
  <c r="O1991" i="22" s="1"/>
  <c r="G1991" i="22"/>
  <c r="O1978" i="22"/>
  <c r="G688" i="22"/>
  <c r="G69" i="22"/>
  <c r="G1173" i="22"/>
  <c r="G960" i="22"/>
  <c r="G538" i="22"/>
  <c r="G414" i="22"/>
  <c r="G823" i="22"/>
  <c r="G1597" i="22"/>
  <c r="G1956" i="22"/>
  <c r="G1837" i="22"/>
  <c r="G1842" i="22"/>
  <c r="G1594" i="22"/>
  <c r="G1589" i="22"/>
  <c r="G1297" i="22"/>
  <c r="G289" i="22"/>
  <c r="G299" i="22" s="1"/>
  <c r="G284" i="22"/>
  <c r="P1895" i="22"/>
  <c r="M1891" i="22"/>
  <c r="G1439" i="22"/>
  <c r="G955" i="22"/>
  <c r="G1044" i="22"/>
  <c r="G1049" i="22"/>
  <c r="G1294" i="22"/>
  <c r="G1289" i="22"/>
  <c r="G1944" i="22"/>
  <c r="G1948" i="22"/>
  <c r="O1864" i="22"/>
  <c r="G805" i="22"/>
  <c r="G680" i="22"/>
  <c r="G685" i="22"/>
  <c r="G411" i="22"/>
  <c r="G406" i="22"/>
  <c r="G193" i="22"/>
  <c r="G198" i="22"/>
  <c r="G211" i="22" s="1"/>
  <c r="G1170" i="22"/>
  <c r="G1165" i="22"/>
  <c r="G1949" i="22"/>
  <c r="L1885" i="22"/>
  <c r="G1718" i="22"/>
  <c r="G1731" i="22" s="1"/>
  <c r="G1713" i="22"/>
  <c r="G1952" i="22"/>
  <c r="L1888" i="22"/>
  <c r="G530" i="22"/>
  <c r="G535" i="22"/>
  <c r="G176" i="21"/>
  <c r="H85" i="8" s="1"/>
  <c r="I85" i="8"/>
  <c r="F178" i="21"/>
  <c r="F179" i="21" s="1"/>
  <c r="G75" i="8"/>
  <c r="S162" i="21"/>
  <c r="H166" i="21"/>
  <c r="I75" i="8" s="1"/>
  <c r="N9" i="21"/>
  <c r="F57" i="15"/>
  <c r="I48" i="15"/>
  <c r="E57" i="15"/>
  <c r="J48" i="15"/>
  <c r="H48" i="15"/>
  <c r="G1457" i="22" l="1"/>
  <c r="G33" i="8"/>
  <c r="I33" i="8" s="1"/>
  <c r="F156" i="15"/>
  <c r="L36" i="35"/>
  <c r="G1855" i="22"/>
  <c r="G1059" i="22"/>
  <c r="G548" i="22"/>
  <c r="G973" i="22"/>
  <c r="G699" i="22"/>
  <c r="G1183" i="22"/>
  <c r="N162" i="21"/>
  <c r="L87" i="22"/>
  <c r="L88" i="22" s="1"/>
  <c r="G424" i="22"/>
  <c r="G1607" i="22"/>
  <c r="G1307" i="22"/>
  <c r="G1961" i="22"/>
  <c r="M1881" i="22"/>
  <c r="P1885" i="22"/>
  <c r="P1888" i="22"/>
  <c r="H178" i="21"/>
  <c r="H179" i="21" s="1"/>
  <c r="G166" i="21"/>
  <c r="H75" i="8" s="1"/>
  <c r="I57" i="15"/>
  <c r="F63" i="15"/>
  <c r="J57" i="15"/>
  <c r="E63" i="15"/>
  <c r="H57" i="15"/>
  <c r="K33" i="8" l="1"/>
  <c r="J33" i="8"/>
  <c r="I63" i="15"/>
  <c r="F70" i="15"/>
  <c r="H63" i="15"/>
  <c r="E70" i="15"/>
  <c r="J63" i="15"/>
  <c r="I70" i="15" l="1"/>
  <c r="F77" i="15"/>
  <c r="E77" i="15"/>
  <c r="E83" i="15" s="1"/>
  <c r="J70" i="15"/>
  <c r="H70" i="15"/>
  <c r="J83" i="15" l="1"/>
  <c r="E89" i="15"/>
  <c r="H83" i="15"/>
  <c r="I77" i="15"/>
  <c r="F83" i="15"/>
  <c r="H77" i="15"/>
  <c r="J77" i="15"/>
  <c r="F89" i="15" l="1"/>
  <c r="I89" i="15" s="1"/>
  <c r="I83" i="15"/>
  <c r="J89" i="15"/>
  <c r="H89" i="15"/>
  <c r="H143" i="14" l="1"/>
  <c r="N1736" i="22" s="1"/>
  <c r="B143" i="14"/>
  <c r="D152" i="14"/>
  <c r="E151" i="14"/>
  <c r="F151" i="14" s="1"/>
  <c r="E150" i="14"/>
  <c r="F150" i="14" s="1"/>
  <c r="E149" i="14"/>
  <c r="F149" i="14" s="1"/>
  <c r="E148" i="14"/>
  <c r="F148" i="14" s="1"/>
  <c r="E147" i="14"/>
  <c r="F147" i="14" s="1"/>
  <c r="E146" i="14"/>
  <c r="F146" i="14" s="1"/>
  <c r="E145" i="14"/>
  <c r="F145" i="14" s="1"/>
  <c r="E144" i="14"/>
  <c r="H133" i="14"/>
  <c r="N1612" i="22" s="1"/>
  <c r="B133" i="14"/>
  <c r="D142" i="14"/>
  <c r="E141" i="14"/>
  <c r="F141" i="14" s="1"/>
  <c r="E140" i="14"/>
  <c r="F140" i="14" s="1"/>
  <c r="E139" i="14"/>
  <c r="F139" i="14" s="1"/>
  <c r="E138" i="14"/>
  <c r="F138" i="14" s="1"/>
  <c r="E137" i="14"/>
  <c r="F137" i="14" s="1"/>
  <c r="E136" i="14"/>
  <c r="F136" i="14" s="1"/>
  <c r="E135" i="14"/>
  <c r="F135" i="14" s="1"/>
  <c r="E134" i="14"/>
  <c r="H121" i="14"/>
  <c r="N1462" i="22" s="1"/>
  <c r="B121" i="14"/>
  <c r="D132" i="14"/>
  <c r="E131" i="14"/>
  <c r="F131" i="14" s="1"/>
  <c r="E130" i="14"/>
  <c r="F130" i="14" s="1"/>
  <c r="E129" i="14"/>
  <c r="F129" i="14" s="1"/>
  <c r="E128" i="14"/>
  <c r="F128" i="14" s="1"/>
  <c r="E127" i="14"/>
  <c r="F127" i="14" s="1"/>
  <c r="E126" i="14"/>
  <c r="F126" i="14" s="1"/>
  <c r="E125" i="14"/>
  <c r="F125" i="14" s="1"/>
  <c r="E124" i="14"/>
  <c r="F124" i="14" s="1"/>
  <c r="E123" i="14"/>
  <c r="F123" i="14" s="1"/>
  <c r="E122" i="14"/>
  <c r="D120" i="14"/>
  <c r="E112" i="14"/>
  <c r="F112" i="14" s="1"/>
  <c r="E114" i="14"/>
  <c r="F114" i="14" s="1"/>
  <c r="E113" i="14"/>
  <c r="F113" i="14" s="1"/>
  <c r="H109" i="14"/>
  <c r="N1312" i="22" s="1"/>
  <c r="B109" i="14"/>
  <c r="E119" i="14"/>
  <c r="F119" i="14" s="1"/>
  <c r="E118" i="14"/>
  <c r="F118" i="14" s="1"/>
  <c r="E117" i="14"/>
  <c r="F117" i="14" s="1"/>
  <c r="E116" i="14"/>
  <c r="F116" i="14" s="1"/>
  <c r="E115" i="14"/>
  <c r="F115" i="14" s="1"/>
  <c r="E111" i="14"/>
  <c r="F111" i="14" s="1"/>
  <c r="E110" i="14"/>
  <c r="F110" i="14" s="1"/>
  <c r="D108" i="14"/>
  <c r="H99" i="14"/>
  <c r="N1188" i="22" s="1"/>
  <c r="B99" i="14"/>
  <c r="E107" i="14"/>
  <c r="F107" i="14" s="1"/>
  <c r="E106" i="14"/>
  <c r="F106" i="14" s="1"/>
  <c r="E105" i="14"/>
  <c r="F105" i="14" s="1"/>
  <c r="E104" i="14"/>
  <c r="F104" i="14" s="1"/>
  <c r="E103" i="14"/>
  <c r="F103" i="14" s="1"/>
  <c r="E102" i="14"/>
  <c r="F102" i="14" s="1"/>
  <c r="E101" i="14"/>
  <c r="F101" i="14" s="1"/>
  <c r="E100" i="14"/>
  <c r="F100" i="14" s="1"/>
  <c r="D98" i="14"/>
  <c r="E97" i="14"/>
  <c r="F97" i="14" s="1"/>
  <c r="E96" i="14"/>
  <c r="F96" i="14" s="1"/>
  <c r="E95" i="14"/>
  <c r="F95" i="14" s="1"/>
  <c r="E94" i="14"/>
  <c r="F94" i="14" s="1"/>
  <c r="E93" i="14"/>
  <c r="F93" i="14" s="1"/>
  <c r="D37" i="14"/>
  <c r="E36" i="14"/>
  <c r="D20" i="14"/>
  <c r="E19" i="14"/>
  <c r="F19" i="14" s="1"/>
  <c r="E18" i="14"/>
  <c r="E35" i="14"/>
  <c r="F35" i="14" s="1"/>
  <c r="H89" i="14"/>
  <c r="N1064" i="22" s="1"/>
  <c r="B89" i="14"/>
  <c r="E92" i="14"/>
  <c r="F92" i="14" s="1"/>
  <c r="E91" i="14"/>
  <c r="F91" i="14" s="1"/>
  <c r="E90" i="14"/>
  <c r="F90" i="14" s="1"/>
  <c r="D88" i="14"/>
  <c r="E87" i="14"/>
  <c r="F87" i="14" s="1"/>
  <c r="E86" i="14"/>
  <c r="F86" i="14" s="1"/>
  <c r="E85" i="14"/>
  <c r="F85" i="14" s="1"/>
  <c r="E84" i="14"/>
  <c r="F84" i="14" s="1"/>
  <c r="E83" i="14"/>
  <c r="F83" i="14" s="1"/>
  <c r="H82" i="14"/>
  <c r="N978" i="22" s="1"/>
  <c r="B82" i="14"/>
  <c r="E80" i="14"/>
  <c r="F80" i="14" s="1"/>
  <c r="E79" i="14"/>
  <c r="F79" i="14" s="1"/>
  <c r="E78" i="14"/>
  <c r="F78" i="14" s="1"/>
  <c r="E77" i="14"/>
  <c r="F77" i="14" s="1"/>
  <c r="P991" i="22" l="1"/>
  <c r="O1002" i="22"/>
  <c r="O995" i="22"/>
  <c r="O1008" i="22"/>
  <c r="O1043" i="22"/>
  <c r="O1014" i="22"/>
  <c r="O1004" i="22"/>
  <c r="O1001" i="22"/>
  <c r="O1039" i="22"/>
  <c r="O1017" i="22"/>
  <c r="O1015" i="22"/>
  <c r="O1011" i="22"/>
  <c r="O1037" i="22"/>
  <c r="O998" i="22"/>
  <c r="O1033" i="22"/>
  <c r="O1041" i="22"/>
  <c r="O1040" i="22"/>
  <c r="O1055" i="22"/>
  <c r="O1051" i="22"/>
  <c r="O1006" i="22"/>
  <c r="O1058" i="22"/>
  <c r="O1016" i="22"/>
  <c r="O1003" i="22"/>
  <c r="O997" i="22"/>
  <c r="O1057" i="22"/>
  <c r="O1054" i="22"/>
  <c r="O1007" i="22"/>
  <c r="O1034" i="22"/>
  <c r="O996" i="22"/>
  <c r="O1000" i="22"/>
  <c r="O1035" i="22"/>
  <c r="O1032" i="22"/>
  <c r="O993" i="22"/>
  <c r="O999" i="22"/>
  <c r="O1036" i="22"/>
  <c r="O994" i="22"/>
  <c r="O1038" i="22"/>
  <c r="O1042" i="22"/>
  <c r="O1010" i="22"/>
  <c r="O1048" i="22"/>
  <c r="O1047" i="22"/>
  <c r="O1013" i="22"/>
  <c r="O1046" i="22"/>
  <c r="O1056" i="22"/>
  <c r="O1012" i="22"/>
  <c r="O1009" i="22"/>
  <c r="O1052" i="22"/>
  <c r="O1050" i="22"/>
  <c r="O1053" i="22"/>
  <c r="O1049" i="22"/>
  <c r="O1488" i="22"/>
  <c r="O1564" i="22"/>
  <c r="P1475" i="22"/>
  <c r="O1565" i="22"/>
  <c r="O1561" i="22"/>
  <c r="O1550" i="22"/>
  <c r="O1547" i="22"/>
  <c r="O1553" i="22"/>
  <c r="O1543" i="22"/>
  <c r="O1551" i="22"/>
  <c r="O1566" i="22"/>
  <c r="O1531" i="22"/>
  <c r="O1538" i="22"/>
  <c r="O1534" i="22"/>
  <c r="O1479" i="22"/>
  <c r="O1514" i="22"/>
  <c r="O1537" i="22"/>
  <c r="O1508" i="22"/>
  <c r="O1482" i="22"/>
  <c r="O1486" i="22"/>
  <c r="O1513" i="22"/>
  <c r="O1511" i="22"/>
  <c r="O1485" i="22"/>
  <c r="O1540" i="22"/>
  <c r="O1512" i="22"/>
  <c r="O1567" i="22"/>
  <c r="O1505" i="22"/>
  <c r="O1556" i="22"/>
  <c r="O1606" i="22"/>
  <c r="O1603" i="22"/>
  <c r="O1599" i="22"/>
  <c r="O1544" i="22"/>
  <c r="O1605" i="22"/>
  <c r="O1602" i="22"/>
  <c r="O1596" i="22"/>
  <c r="O1552" i="22"/>
  <c r="O1542" i="22"/>
  <c r="O1530" i="22"/>
  <c r="O1539" i="22"/>
  <c r="O1506" i="22"/>
  <c r="O1555" i="22"/>
  <c r="O1546" i="22"/>
  <c r="O1529" i="22"/>
  <c r="O1503" i="22"/>
  <c r="O1558" i="22"/>
  <c r="O1477" i="22"/>
  <c r="O1504" i="22"/>
  <c r="O1487" i="22"/>
  <c r="O1568" i="22"/>
  <c r="O1509" i="22"/>
  <c r="O1478" i="22"/>
  <c r="O1533" i="22"/>
  <c r="O1535" i="22"/>
  <c r="O1593" i="22"/>
  <c r="O1604" i="22"/>
  <c r="O1557" i="22"/>
  <c r="O1536" i="22"/>
  <c r="O1483" i="22"/>
  <c r="O1481" i="22"/>
  <c r="O1480" i="22"/>
  <c r="O1549" i="22"/>
  <c r="O1532" i="22"/>
  <c r="O1601" i="22"/>
  <c r="O1600" i="22"/>
  <c r="O1510" i="22"/>
  <c r="O1591" i="22"/>
  <c r="O1484" i="22"/>
  <c r="O1592" i="22"/>
  <c r="O1507" i="22"/>
  <c r="O1563" i="22"/>
  <c r="O1560" i="22"/>
  <c r="O1548" i="22"/>
  <c r="O1545" i="22"/>
  <c r="O1562" i="22"/>
  <c r="O1594" i="22"/>
  <c r="O1559" i="22"/>
  <c r="O1595" i="22"/>
  <c r="O1598" i="22"/>
  <c r="O1597" i="22"/>
  <c r="P1077" i="22"/>
  <c r="O1084" i="22"/>
  <c r="O1143" i="22"/>
  <c r="O1116" i="22"/>
  <c r="O1137" i="22"/>
  <c r="O1107" i="22"/>
  <c r="O1132" i="22"/>
  <c r="O1081" i="22"/>
  <c r="O1136" i="22"/>
  <c r="O1110" i="22"/>
  <c r="O1087" i="22"/>
  <c r="O1123" i="22"/>
  <c r="O1126" i="22"/>
  <c r="O1088" i="22"/>
  <c r="O1119" i="22"/>
  <c r="O1113" i="22"/>
  <c r="O1079" i="22"/>
  <c r="O1140" i="22"/>
  <c r="O1141" i="22"/>
  <c r="O1129" i="22"/>
  <c r="O1144" i="22"/>
  <c r="O1179" i="22"/>
  <c r="O1133" i="22"/>
  <c r="O1181" i="22"/>
  <c r="O1178" i="22"/>
  <c r="O1124" i="22"/>
  <c r="O1172" i="22"/>
  <c r="O1120" i="22"/>
  <c r="O1128" i="22"/>
  <c r="O1175" i="22"/>
  <c r="O1182" i="22"/>
  <c r="O1089" i="22"/>
  <c r="O1080" i="22"/>
  <c r="O1114" i="22"/>
  <c r="O1122" i="22"/>
  <c r="O1134" i="22"/>
  <c r="O1105" i="22"/>
  <c r="O1125" i="22"/>
  <c r="O1106" i="22"/>
  <c r="O1083" i="22"/>
  <c r="O1118" i="22"/>
  <c r="O1127" i="22"/>
  <c r="O1115" i="22"/>
  <c r="O1131" i="22"/>
  <c r="O1139" i="22"/>
  <c r="O1142" i="22"/>
  <c r="O1082" i="22"/>
  <c r="O1135" i="22"/>
  <c r="O1085" i="22"/>
  <c r="O1168" i="22"/>
  <c r="O1169" i="22"/>
  <c r="O1108" i="22"/>
  <c r="O1180" i="22"/>
  <c r="O1109" i="22"/>
  <c r="O1171" i="22"/>
  <c r="O1121" i="22"/>
  <c r="O1174" i="22"/>
  <c r="O1138" i="22"/>
  <c r="O1112" i="22"/>
  <c r="O1177" i="22"/>
  <c r="O1111" i="22"/>
  <c r="O1086" i="22"/>
  <c r="O1176" i="22"/>
  <c r="O1167" i="22"/>
  <c r="O1170" i="22"/>
  <c r="O1173" i="22"/>
  <c r="B1064" i="22"/>
  <c r="B92" i="21"/>
  <c r="B978" i="22"/>
  <c r="B85" i="21"/>
  <c r="O1688" i="22"/>
  <c r="P1625" i="22"/>
  <c r="O1685" i="22"/>
  <c r="O1667" i="22"/>
  <c r="O1682" i="22"/>
  <c r="O1655" i="22"/>
  <c r="O1658" i="22"/>
  <c r="O1680" i="22"/>
  <c r="O1638" i="22"/>
  <c r="O1635" i="22"/>
  <c r="O1664" i="22"/>
  <c r="O1661" i="22"/>
  <c r="O1632" i="22"/>
  <c r="O1671" i="22"/>
  <c r="O1689" i="22"/>
  <c r="O1629" i="22"/>
  <c r="O1725" i="22"/>
  <c r="O1686" i="22"/>
  <c r="O1668" i="22"/>
  <c r="O1690" i="22"/>
  <c r="O1691" i="22"/>
  <c r="O1663" i="22"/>
  <c r="O1677" i="22"/>
  <c r="O1724" i="22"/>
  <c r="O1681" i="22"/>
  <c r="O1662" i="22"/>
  <c r="O1676" i="22"/>
  <c r="O1659" i="22"/>
  <c r="O1692" i="22"/>
  <c r="O1675" i="22"/>
  <c r="O1628" i="22"/>
  <c r="O1674" i="22"/>
  <c r="O1627" i="22"/>
  <c r="O1637" i="22"/>
  <c r="O1633" i="22"/>
  <c r="O1653" i="22"/>
  <c r="O1636" i="22"/>
  <c r="O1679" i="22"/>
  <c r="O1730" i="22"/>
  <c r="O1728" i="22"/>
  <c r="O1654" i="22"/>
  <c r="O1656" i="22"/>
  <c r="O1720" i="22"/>
  <c r="O1666" i="22"/>
  <c r="O1729" i="22"/>
  <c r="O1726" i="22"/>
  <c r="O1683" i="22"/>
  <c r="O1723" i="22"/>
  <c r="O1727" i="22"/>
  <c r="O1630" i="22"/>
  <c r="O1673" i="22"/>
  <c r="O1715" i="22"/>
  <c r="O1687" i="22"/>
  <c r="O1660" i="22"/>
  <c r="O1670" i="22"/>
  <c r="O1684" i="22"/>
  <c r="O1631" i="22"/>
  <c r="O1672" i="22"/>
  <c r="O1716" i="22"/>
  <c r="O1717" i="22"/>
  <c r="O1657" i="22"/>
  <c r="O1718" i="22"/>
  <c r="O1721" i="22"/>
  <c r="O1634" i="22"/>
  <c r="O1669" i="22"/>
  <c r="O1722" i="22"/>
  <c r="O1719" i="22"/>
  <c r="B1312" i="22"/>
  <c r="B112" i="21"/>
  <c r="B1462" i="22"/>
  <c r="B125" i="21"/>
  <c r="P1419" i="22"/>
  <c r="O1458" i="22"/>
  <c r="O1400" i="22"/>
  <c r="P1391" i="22"/>
  <c r="P1352" i="22"/>
  <c r="O1355" i="22"/>
  <c r="O1335" i="22"/>
  <c r="O1417" i="22"/>
  <c r="O1393" i="22"/>
  <c r="P1458" i="22"/>
  <c r="O1378" i="22"/>
  <c r="O1390" i="22"/>
  <c r="P1404" i="22"/>
  <c r="O1329" i="22"/>
  <c r="O1406" i="22"/>
  <c r="O1411" i="22"/>
  <c r="O1384" i="22"/>
  <c r="O1391" i="22"/>
  <c r="P1429" i="22"/>
  <c r="O1419" i="22"/>
  <c r="O1387" i="22"/>
  <c r="O1385" i="22"/>
  <c r="P1325" i="22"/>
  <c r="O1403" i="22"/>
  <c r="O1402" i="22"/>
  <c r="O1388" i="22"/>
  <c r="P1365" i="22"/>
  <c r="O1429" i="22"/>
  <c r="O1363" i="22"/>
  <c r="O1339" i="22"/>
  <c r="O1365" i="22"/>
  <c r="P1378" i="22"/>
  <c r="O1404" i="22"/>
  <c r="O1416" i="22"/>
  <c r="O1380" i="22"/>
  <c r="O1414" i="22"/>
  <c r="O1381" i="22"/>
  <c r="O1397" i="22"/>
  <c r="O1332" i="22"/>
  <c r="O1338" i="22"/>
  <c r="O1354" i="22"/>
  <c r="O1352" i="22"/>
  <c r="O1364" i="22"/>
  <c r="P1339" i="22"/>
  <c r="O1361" i="22"/>
  <c r="O1358" i="22"/>
  <c r="O1449" i="22"/>
  <c r="O1379" i="22"/>
  <c r="O1360" i="22"/>
  <c r="O1446" i="22"/>
  <c r="O1453" i="22"/>
  <c r="O1455" i="22"/>
  <c r="O1353" i="22"/>
  <c r="O1452" i="22"/>
  <c r="O1392" i="22"/>
  <c r="O1333" i="22"/>
  <c r="O1408" i="22"/>
  <c r="O1362" i="22"/>
  <c r="O1413" i="22"/>
  <c r="O1395" i="22"/>
  <c r="O1327" i="22"/>
  <c r="O1389" i="22"/>
  <c r="O1394" i="22"/>
  <c r="O1418" i="22"/>
  <c r="O1336" i="22"/>
  <c r="O1356" i="22"/>
  <c r="O1401" i="22"/>
  <c r="O1415" i="22"/>
  <c r="O1405" i="22"/>
  <c r="O1359" i="22"/>
  <c r="O1407" i="22"/>
  <c r="O1328" i="22"/>
  <c r="O1410" i="22"/>
  <c r="O1330" i="22"/>
  <c r="O1337" i="22"/>
  <c r="O1398" i="22"/>
  <c r="O1331" i="22"/>
  <c r="O1396" i="22"/>
  <c r="O1441" i="22"/>
  <c r="O1442" i="22"/>
  <c r="O1382" i="22"/>
  <c r="O1456" i="22"/>
  <c r="O1451" i="22"/>
  <c r="O1386" i="22"/>
  <c r="O1443" i="22"/>
  <c r="O1334" i="22"/>
  <c r="O1454" i="22"/>
  <c r="O1450" i="22"/>
  <c r="O1357" i="22"/>
  <c r="O1383" i="22"/>
  <c r="O1399" i="22"/>
  <c r="O1445" i="22"/>
  <c r="O1448" i="22"/>
  <c r="O1444" i="22"/>
  <c r="O1409" i="22"/>
  <c r="O1412" i="22"/>
  <c r="O1447" i="22"/>
  <c r="O1457" i="22"/>
  <c r="B1188" i="22"/>
  <c r="B102" i="21"/>
  <c r="O1205" i="22"/>
  <c r="O1261" i="22"/>
  <c r="O1234" i="22"/>
  <c r="O1231" i="22"/>
  <c r="O1268" i="22"/>
  <c r="O1237" i="22"/>
  <c r="O1256" i="22"/>
  <c r="O1214" i="22"/>
  <c r="P1201" i="22"/>
  <c r="O1211" i="22"/>
  <c r="O1264" i="22"/>
  <c r="O1212" i="22"/>
  <c r="O1240" i="22"/>
  <c r="O1252" i="22"/>
  <c r="O1267" i="22"/>
  <c r="O1251" i="22"/>
  <c r="O1250" i="22"/>
  <c r="O1238" i="22"/>
  <c r="O1208" i="22"/>
  <c r="O1243" i="22"/>
  <c r="O1266" i="22"/>
  <c r="O1265" i="22"/>
  <c r="O1213" i="22"/>
  <c r="O1253" i="22"/>
  <c r="O1247" i="22"/>
  <c r="O1258" i="22"/>
  <c r="O1300" i="22"/>
  <c r="O1305" i="22"/>
  <c r="O1299" i="22"/>
  <c r="O1229" i="22"/>
  <c r="O1239" i="22"/>
  <c r="O1203" i="22"/>
  <c r="O1306" i="22"/>
  <c r="O1303" i="22"/>
  <c r="O1244" i="22"/>
  <c r="O1255" i="22"/>
  <c r="O1206" i="22"/>
  <c r="O1230" i="22"/>
  <c r="O1245" i="22"/>
  <c r="O1296" i="22"/>
  <c r="O1204" i="22"/>
  <c r="O1235" i="22"/>
  <c r="O1302" i="22"/>
  <c r="O1242" i="22"/>
  <c r="O1209" i="22"/>
  <c r="O1292" i="22"/>
  <c r="O1263" i="22"/>
  <c r="O1207" i="22"/>
  <c r="O1236" i="22"/>
  <c r="O1210" i="22"/>
  <c r="O1304" i="22"/>
  <c r="O1301" i="22"/>
  <c r="O1246" i="22"/>
  <c r="O1249" i="22"/>
  <c r="O1248" i="22"/>
  <c r="O1257" i="22"/>
  <c r="O1232" i="22"/>
  <c r="O1291" i="22"/>
  <c r="O1293" i="22"/>
  <c r="O1233" i="22"/>
  <c r="O1260" i="22"/>
  <c r="O1295" i="22"/>
  <c r="O1259" i="22"/>
  <c r="O1262" i="22"/>
  <c r="O1298" i="22"/>
  <c r="O1294" i="22"/>
  <c r="O1297" i="22"/>
  <c r="B86" i="15"/>
  <c r="B1736" i="22"/>
  <c r="B148" i="21"/>
  <c r="B121" i="20"/>
  <c r="B80" i="15"/>
  <c r="B1612" i="22"/>
  <c r="B138" i="21"/>
  <c r="B113" i="20"/>
  <c r="O1880" i="22"/>
  <c r="O1795" i="22"/>
  <c r="O1878" i="22"/>
  <c r="O1809" i="22"/>
  <c r="O1787" i="22"/>
  <c r="O1762" i="22"/>
  <c r="O1876" i="22"/>
  <c r="O1804" i="22"/>
  <c r="O1760" i="22"/>
  <c r="O1875" i="22"/>
  <c r="O1785" i="22"/>
  <c r="O1759" i="22"/>
  <c r="P1749" i="22"/>
  <c r="O1791" i="22"/>
  <c r="O1756" i="22"/>
  <c r="O1782" i="22"/>
  <c r="O1753" i="22"/>
  <c r="O1779" i="22"/>
  <c r="O1799" i="22"/>
  <c r="O1798" i="22"/>
  <c r="O1805" i="22"/>
  <c r="O1807" i="22"/>
  <c r="O1796" i="22"/>
  <c r="O1777" i="22"/>
  <c r="O1815" i="22"/>
  <c r="O1806" i="22"/>
  <c r="O1792" i="22"/>
  <c r="O1849" i="22"/>
  <c r="O1790" i="22"/>
  <c r="O1761" i="22"/>
  <c r="O1786" i="22"/>
  <c r="O1813" i="22"/>
  <c r="O1816" i="22"/>
  <c r="O1873" i="22"/>
  <c r="O1814" i="22"/>
  <c r="O1812" i="22"/>
  <c r="O1757" i="22"/>
  <c r="O1848" i="22"/>
  <c r="O1800" i="22"/>
  <c r="O1810" i="22"/>
  <c r="O1874" i="22"/>
  <c r="D2024" i="22" s="1"/>
  <c r="G54" i="8" s="1"/>
  <c r="O1754" i="22"/>
  <c r="O1801" i="22"/>
  <c r="O1851" i="22"/>
  <c r="O1853" i="22"/>
  <c r="O1879" i="22"/>
  <c r="O1751" i="22"/>
  <c r="O1854" i="22"/>
  <c r="O1877" i="22"/>
  <c r="O1752" i="22"/>
  <c r="O1847" i="22"/>
  <c r="O1803" i="22"/>
  <c r="O1793" i="22"/>
  <c r="O1778" i="22"/>
  <c r="O1840" i="22"/>
  <c r="O1844" i="22"/>
  <c r="O1841" i="22"/>
  <c r="O1852" i="22"/>
  <c r="O1850" i="22"/>
  <c r="O1781" i="22"/>
  <c r="O1784" i="22"/>
  <c r="O1808" i="22"/>
  <c r="O1839" i="22"/>
  <c r="O1783" i="22"/>
  <c r="O1755" i="22"/>
  <c r="O1845" i="22"/>
  <c r="O1797" i="22"/>
  <c r="O1794" i="22"/>
  <c r="O1811" i="22"/>
  <c r="O1780" i="22"/>
  <c r="O1758" i="22"/>
  <c r="O1842" i="22"/>
  <c r="O1843" i="22"/>
  <c r="O1846" i="22"/>
  <c r="K53" i="15"/>
  <c r="K52" i="15"/>
  <c r="B93" i="20"/>
  <c r="B66" i="15"/>
  <c r="K85" i="15"/>
  <c r="K82" i="15"/>
  <c r="K84" i="15"/>
  <c r="K81" i="15"/>
  <c r="K83" i="15"/>
  <c r="K71" i="15"/>
  <c r="K70" i="15"/>
  <c r="K68" i="15"/>
  <c r="K72" i="15"/>
  <c r="K69" i="15"/>
  <c r="K67" i="15"/>
  <c r="B70" i="20"/>
  <c r="B51" i="15"/>
  <c r="B85" i="20"/>
  <c r="B60" i="15"/>
  <c r="B103" i="20"/>
  <c r="B73" i="15"/>
  <c r="K76" i="15"/>
  <c r="K78" i="15"/>
  <c r="K74" i="15"/>
  <c r="K75" i="15"/>
  <c r="K77" i="15"/>
  <c r="K79" i="15"/>
  <c r="K62" i="15"/>
  <c r="K61" i="15"/>
  <c r="K63" i="15"/>
  <c r="K64" i="15"/>
  <c r="K65" i="15"/>
  <c r="K59" i="15"/>
  <c r="K55" i="15"/>
  <c r="K58" i="15"/>
  <c r="K57" i="15"/>
  <c r="K56" i="15"/>
  <c r="B77" i="20"/>
  <c r="B54" i="15"/>
  <c r="K90" i="15"/>
  <c r="K89" i="15"/>
  <c r="K91" i="15"/>
  <c r="K87" i="15"/>
  <c r="K88" i="15"/>
  <c r="E152" i="14"/>
  <c r="F144" i="14"/>
  <c r="F152" i="14" s="1"/>
  <c r="F120" i="14"/>
  <c r="E142" i="14"/>
  <c r="E120" i="14"/>
  <c r="F134" i="14"/>
  <c r="F142" i="14" s="1"/>
  <c r="E132" i="14"/>
  <c r="F122" i="14"/>
  <c r="F132" i="14" s="1"/>
  <c r="F108" i="14"/>
  <c r="E108" i="14"/>
  <c r="E98" i="14"/>
  <c r="F98" i="14"/>
  <c r="I109" i="14"/>
  <c r="I99" i="14"/>
  <c r="I89" i="14"/>
  <c r="F36" i="14"/>
  <c r="F18" i="14"/>
  <c r="E88" i="14"/>
  <c r="I82" i="14"/>
  <c r="F88" i="14"/>
  <c r="D81" i="14"/>
  <c r="F57" i="14"/>
  <c r="E68" i="14"/>
  <c r="F68" i="14" s="1"/>
  <c r="H70" i="14"/>
  <c r="N828" i="22" s="1"/>
  <c r="E76" i="14"/>
  <c r="F76" i="14" s="1"/>
  <c r="E75" i="14"/>
  <c r="F75" i="14" s="1"/>
  <c r="E74" i="14"/>
  <c r="F74" i="14" s="1"/>
  <c r="E73" i="14"/>
  <c r="F73" i="14" s="1"/>
  <c r="E72" i="14"/>
  <c r="F72" i="14" s="1"/>
  <c r="E71" i="14"/>
  <c r="F71" i="14" s="1"/>
  <c r="B70" i="14"/>
  <c r="E50" i="14"/>
  <c r="F50" i="14" s="1"/>
  <c r="E51" i="14"/>
  <c r="F51" i="14" s="1"/>
  <c r="E52" i="14"/>
  <c r="F52" i="14" s="1"/>
  <c r="E53" i="14"/>
  <c r="F53" i="14" s="1"/>
  <c r="E54" i="14"/>
  <c r="F54" i="14" s="1"/>
  <c r="E55" i="14"/>
  <c r="F55" i="14" s="1"/>
  <c r="E56" i="14"/>
  <c r="F56" i="14" s="1"/>
  <c r="E58" i="14"/>
  <c r="F58" i="14" s="1"/>
  <c r="D69" i="14"/>
  <c r="E45" i="14"/>
  <c r="F45" i="14" s="1"/>
  <c r="H60" i="14"/>
  <c r="N704" i="22" s="1"/>
  <c r="B60" i="14"/>
  <c r="H48" i="14"/>
  <c r="N554" i="22" s="1"/>
  <c r="B48" i="14"/>
  <c r="H38" i="14"/>
  <c r="N429" i="22" s="1"/>
  <c r="B38" i="14"/>
  <c r="E17" i="14"/>
  <c r="F17" i="14" s="1"/>
  <c r="O472" i="22" l="1"/>
  <c r="O502" i="22"/>
  <c r="O505" i="22"/>
  <c r="O452" i="22"/>
  <c r="O478" i="22"/>
  <c r="O481" i="22"/>
  <c r="O455" i="22"/>
  <c r="O497" i="22"/>
  <c r="O446" i="22"/>
  <c r="P442" i="22"/>
  <c r="O499" i="22"/>
  <c r="O480" i="22"/>
  <c r="O449" i="22"/>
  <c r="O506" i="22"/>
  <c r="O508" i="22"/>
  <c r="O454" i="22"/>
  <c r="O475" i="22"/>
  <c r="O479" i="22"/>
  <c r="O543" i="22"/>
  <c r="O496" i="22"/>
  <c r="O507" i="22"/>
  <c r="O470" i="22"/>
  <c r="O544" i="22"/>
  <c r="O546" i="22"/>
  <c r="O540" i="22"/>
  <c r="O509" i="22"/>
  <c r="O545" i="22"/>
  <c r="O447" i="22"/>
  <c r="O450" i="22"/>
  <c r="O453" i="22"/>
  <c r="O445" i="22"/>
  <c r="O444" i="22"/>
  <c r="O537" i="22"/>
  <c r="O471" i="22"/>
  <c r="O503" i="22"/>
  <c r="O476" i="22"/>
  <c r="O473" i="22"/>
  <c r="O474" i="22"/>
  <c r="O542" i="22"/>
  <c r="O477" i="22"/>
  <c r="O541" i="22"/>
  <c r="O547" i="22"/>
  <c r="O534" i="22"/>
  <c r="O533" i="22"/>
  <c r="O500" i="22"/>
  <c r="O451" i="22"/>
  <c r="O535" i="22"/>
  <c r="O498" i="22"/>
  <c r="O504" i="22"/>
  <c r="O532" i="22"/>
  <c r="O501" i="22"/>
  <c r="O448" i="22"/>
  <c r="O536" i="22"/>
  <c r="O539" i="22"/>
  <c r="O538" i="22"/>
  <c r="B704" i="22"/>
  <c r="B61" i="21"/>
  <c r="B828" i="22"/>
  <c r="B72" i="21"/>
  <c r="O1607" i="22"/>
  <c r="P566" i="22"/>
  <c r="O605" i="22"/>
  <c r="O638" i="22"/>
  <c r="O630" i="22"/>
  <c r="O642" i="22"/>
  <c r="O622" i="22"/>
  <c r="O631" i="22"/>
  <c r="O634" i="22"/>
  <c r="O647" i="22"/>
  <c r="O643" i="22"/>
  <c r="O644" i="22"/>
  <c r="O596" i="22"/>
  <c r="O570" i="22"/>
  <c r="O604" i="22"/>
  <c r="O602" i="22"/>
  <c r="O625" i="22"/>
  <c r="O628" i="22"/>
  <c r="O573" i="22"/>
  <c r="O655" i="22"/>
  <c r="O658" i="22"/>
  <c r="O599" i="22"/>
  <c r="O641" i="22"/>
  <c r="O578" i="22"/>
  <c r="O579" i="22"/>
  <c r="O652" i="22"/>
  <c r="O576" i="22"/>
  <c r="O697" i="22"/>
  <c r="O635" i="22"/>
  <c r="O657" i="22"/>
  <c r="O694" i="22"/>
  <c r="O649" i="22"/>
  <c r="O693" i="22"/>
  <c r="O574" i="22"/>
  <c r="P695" i="22"/>
  <c r="O629" i="22"/>
  <c r="O597" i="22"/>
  <c r="O695" i="22"/>
  <c r="O690" i="22"/>
  <c r="O577" i="22"/>
  <c r="O656" i="22"/>
  <c r="O603" i="22"/>
  <c r="O648" i="22"/>
  <c r="O569" i="22"/>
  <c r="O633" i="22"/>
  <c r="O595" i="22"/>
  <c r="O621" i="22"/>
  <c r="O594" i="22"/>
  <c r="O568" i="22"/>
  <c r="O687" i="22"/>
  <c r="O571" i="22"/>
  <c r="O646" i="22"/>
  <c r="O698" i="22"/>
  <c r="O600" i="22"/>
  <c r="O620" i="22"/>
  <c r="O659" i="22"/>
  <c r="O692" i="22"/>
  <c r="O691" i="22"/>
  <c r="O640" i="22"/>
  <c r="O682" i="22"/>
  <c r="O684" i="22"/>
  <c r="O624" i="22"/>
  <c r="O598" i="22"/>
  <c r="O696" i="22"/>
  <c r="O626" i="22"/>
  <c r="O639" i="22"/>
  <c r="O636" i="22"/>
  <c r="O654" i="22"/>
  <c r="O627" i="22"/>
  <c r="O623" i="22"/>
  <c r="O572" i="22"/>
  <c r="O683" i="22"/>
  <c r="O651" i="22"/>
  <c r="O601" i="22"/>
  <c r="O637" i="22"/>
  <c r="O575" i="22"/>
  <c r="O650" i="22"/>
  <c r="O689" i="22"/>
  <c r="O653" i="22"/>
  <c r="O686" i="22"/>
  <c r="O688" i="22"/>
  <c r="O685" i="22"/>
  <c r="P717" i="22"/>
  <c r="O730" i="22"/>
  <c r="O750" i="22"/>
  <c r="O724" i="22"/>
  <c r="O728" i="22"/>
  <c r="O772" i="22"/>
  <c r="O783" i="22"/>
  <c r="O727" i="22"/>
  <c r="O747" i="22"/>
  <c r="O780" i="22"/>
  <c r="O753" i="22"/>
  <c r="O719" i="22"/>
  <c r="O784" i="22"/>
  <c r="O720" i="22"/>
  <c r="O756" i="22"/>
  <c r="O782" i="22"/>
  <c r="O777" i="22"/>
  <c r="O721" i="22"/>
  <c r="O822" i="22"/>
  <c r="O771" i="22"/>
  <c r="O821" i="22"/>
  <c r="O818" i="22"/>
  <c r="O779" i="22"/>
  <c r="O812" i="22"/>
  <c r="O815" i="22"/>
  <c r="O755" i="22"/>
  <c r="O819" i="22"/>
  <c r="O729" i="22"/>
  <c r="O774" i="22"/>
  <c r="O746" i="22"/>
  <c r="O754" i="22"/>
  <c r="O773" i="22"/>
  <c r="O781" i="22"/>
  <c r="O725" i="22"/>
  <c r="O776" i="22"/>
  <c r="O745" i="22"/>
  <c r="O748" i="22"/>
  <c r="O751" i="22"/>
  <c r="O722" i="22"/>
  <c r="O752" i="22"/>
  <c r="O817" i="22"/>
  <c r="O807" i="22"/>
  <c r="O778" i="22"/>
  <c r="O808" i="22"/>
  <c r="O816" i="22"/>
  <c r="O723" i="22"/>
  <c r="O809" i="22"/>
  <c r="O749" i="22"/>
  <c r="O820" i="22"/>
  <c r="O726" i="22"/>
  <c r="O813" i="22"/>
  <c r="O775" i="22"/>
  <c r="O814" i="22"/>
  <c r="O811" i="22"/>
  <c r="O810" i="22"/>
  <c r="O1855" i="22"/>
  <c r="B553" i="22"/>
  <c r="B48" i="21"/>
  <c r="O1059" i="22"/>
  <c r="O1307" i="22"/>
  <c r="O1183" i="22"/>
  <c r="O933" i="22"/>
  <c r="O871" i="22"/>
  <c r="O922" i="22"/>
  <c r="O930" i="22"/>
  <c r="O848" i="22"/>
  <c r="O852" i="22"/>
  <c r="O927" i="22"/>
  <c r="O845" i="22"/>
  <c r="O916" i="22"/>
  <c r="O897" i="22"/>
  <c r="O895" i="22"/>
  <c r="O846" i="22"/>
  <c r="O874" i="22"/>
  <c r="O879" i="22"/>
  <c r="O851" i="22"/>
  <c r="O844" i="22"/>
  <c r="O909" i="22"/>
  <c r="O917" i="22"/>
  <c r="O903" i="22"/>
  <c r="O854" i="22"/>
  <c r="O919" i="22"/>
  <c r="O918" i="22"/>
  <c r="O900" i="22"/>
  <c r="O877" i="22"/>
  <c r="O913" i="22"/>
  <c r="O931" i="22"/>
  <c r="O906" i="22"/>
  <c r="O905" i="22"/>
  <c r="O880" i="22"/>
  <c r="O878" i="22"/>
  <c r="O965" i="22"/>
  <c r="O932" i="22"/>
  <c r="O962" i="22"/>
  <c r="O971" i="22"/>
  <c r="O849" i="22"/>
  <c r="O968" i="22"/>
  <c r="O972" i="22"/>
  <c r="O969" i="22"/>
  <c r="O921" i="22"/>
  <c r="O850" i="22"/>
  <c r="O934" i="22"/>
  <c r="O847" i="22"/>
  <c r="O896" i="22"/>
  <c r="O904" i="22"/>
  <c r="O898" i="22"/>
  <c r="O910" i="22"/>
  <c r="O853" i="22"/>
  <c r="O901" i="22"/>
  <c r="O923" i="22"/>
  <c r="O902" i="22"/>
  <c r="O912" i="22"/>
  <c r="O899" i="22"/>
  <c r="O872" i="22"/>
  <c r="O924" i="22"/>
  <c r="O869" i="22"/>
  <c r="O870" i="22"/>
  <c r="O843" i="22"/>
  <c r="O908" i="22"/>
  <c r="O875" i="22"/>
  <c r="O970" i="22"/>
  <c r="O967" i="22"/>
  <c r="O915" i="22"/>
  <c r="O873" i="22"/>
  <c r="O929" i="22"/>
  <c r="O914" i="22"/>
  <c r="O911" i="22"/>
  <c r="O966" i="22"/>
  <c r="O928" i="22"/>
  <c r="O926" i="22"/>
  <c r="O959" i="22"/>
  <c r="O876" i="22"/>
  <c r="O957" i="22"/>
  <c r="O958" i="22"/>
  <c r="O925" i="22"/>
  <c r="O964" i="22"/>
  <c r="O963" i="22"/>
  <c r="O961" i="22"/>
  <c r="O960" i="22"/>
  <c r="O1731" i="22"/>
  <c r="B429" i="22"/>
  <c r="B37" i="21"/>
  <c r="M57" i="15"/>
  <c r="L57" i="15"/>
  <c r="L58" i="15"/>
  <c r="M58" i="15"/>
  <c r="L71" i="15"/>
  <c r="M71" i="15"/>
  <c r="M59" i="15"/>
  <c r="L59" i="15"/>
  <c r="L65" i="15"/>
  <c r="M65" i="15"/>
  <c r="B34" i="20"/>
  <c r="B25" i="15"/>
  <c r="M64" i="15"/>
  <c r="L64" i="15"/>
  <c r="K27" i="15"/>
  <c r="K26" i="15"/>
  <c r="K29" i="15"/>
  <c r="K30" i="15"/>
  <c r="K28" i="15"/>
  <c r="B42" i="20"/>
  <c r="B31" i="15"/>
  <c r="M61" i="15"/>
  <c r="L61" i="15"/>
  <c r="L90" i="15"/>
  <c r="M90" i="15"/>
  <c r="M62" i="15"/>
  <c r="L62" i="15"/>
  <c r="M74" i="15"/>
  <c r="L74" i="15"/>
  <c r="M55" i="15"/>
  <c r="L55" i="15"/>
  <c r="M83" i="15"/>
  <c r="L83" i="15"/>
  <c r="L88" i="15"/>
  <c r="M88" i="15"/>
  <c r="L82" i="15"/>
  <c r="M82" i="15"/>
  <c r="M89" i="15"/>
  <c r="L89" i="15"/>
  <c r="L79" i="15"/>
  <c r="M79" i="15"/>
  <c r="M67" i="15"/>
  <c r="L67" i="15"/>
  <c r="M70" i="15"/>
  <c r="L70" i="15"/>
  <c r="K50" i="15"/>
  <c r="K46" i="15"/>
  <c r="K47" i="15"/>
  <c r="K48" i="15"/>
  <c r="K49" i="15"/>
  <c r="K45" i="15"/>
  <c r="M81" i="15"/>
  <c r="L81" i="15"/>
  <c r="L91" i="15"/>
  <c r="M91" i="15"/>
  <c r="K32" i="15"/>
  <c r="K35" i="15"/>
  <c r="K37" i="15"/>
  <c r="K33" i="15"/>
  <c r="K34" i="15"/>
  <c r="K36" i="15"/>
  <c r="B60" i="20"/>
  <c r="B44" i="15"/>
  <c r="M77" i="15"/>
  <c r="L77" i="15"/>
  <c r="L69" i="15"/>
  <c r="M69" i="15"/>
  <c r="M52" i="15"/>
  <c r="L52" i="15"/>
  <c r="L68" i="15"/>
  <c r="M68" i="15"/>
  <c r="M78" i="15"/>
  <c r="L78" i="15"/>
  <c r="M76" i="15"/>
  <c r="L76" i="15"/>
  <c r="M87" i="15"/>
  <c r="L87" i="15"/>
  <c r="L84" i="15"/>
  <c r="M84" i="15"/>
  <c r="M63" i="15"/>
  <c r="L63" i="15"/>
  <c r="L85" i="15"/>
  <c r="M85" i="15"/>
  <c r="B52" i="20"/>
  <c r="B38" i="15"/>
  <c r="K40" i="15"/>
  <c r="K41" i="15"/>
  <c r="K42" i="15"/>
  <c r="K43" i="15"/>
  <c r="K39" i="15"/>
  <c r="L56" i="15"/>
  <c r="M56" i="15"/>
  <c r="M75" i="15"/>
  <c r="L75" i="15"/>
  <c r="M72" i="15"/>
  <c r="L72" i="15"/>
  <c r="M53" i="15"/>
  <c r="L53" i="15"/>
  <c r="I143" i="14"/>
  <c r="I121" i="14"/>
  <c r="I133" i="14"/>
  <c r="E81" i="14"/>
  <c r="I70" i="14"/>
  <c r="F81" i="14"/>
  <c r="H28" i="14"/>
  <c r="N305" i="22" s="1"/>
  <c r="B28" i="14"/>
  <c r="H21" i="14"/>
  <c r="N218" i="22" s="1"/>
  <c r="B21" i="14"/>
  <c r="E29" i="14"/>
  <c r="E30" i="14"/>
  <c r="F30" i="14" s="1"/>
  <c r="E31" i="14"/>
  <c r="F31" i="14" s="1"/>
  <c r="E32" i="14"/>
  <c r="F32" i="14" s="1"/>
  <c r="E33" i="14"/>
  <c r="F33" i="14" s="1"/>
  <c r="E34" i="14"/>
  <c r="F34" i="14" s="1"/>
  <c r="E39" i="14"/>
  <c r="F39" i="14" s="1"/>
  <c r="E40" i="14"/>
  <c r="F40" i="14" s="1"/>
  <c r="E41" i="14"/>
  <c r="F41" i="14" s="1"/>
  <c r="E42" i="14"/>
  <c r="F42" i="14" s="1"/>
  <c r="E43" i="14"/>
  <c r="F43" i="14" s="1"/>
  <c r="E44" i="14"/>
  <c r="F44" i="14" s="1"/>
  <c r="E46" i="14"/>
  <c r="F46" i="14" s="1"/>
  <c r="E49" i="14"/>
  <c r="F49" i="14" s="1"/>
  <c r="E61" i="14"/>
  <c r="E62" i="14"/>
  <c r="F62" i="14" s="1"/>
  <c r="E63" i="14"/>
  <c r="F63" i="14" s="1"/>
  <c r="E64" i="14"/>
  <c r="F64" i="14" s="1"/>
  <c r="E65" i="14"/>
  <c r="F65" i="14" s="1"/>
  <c r="E66" i="14"/>
  <c r="F66" i="14" s="1"/>
  <c r="E67" i="14"/>
  <c r="F67" i="14" s="1"/>
  <c r="E16" i="14"/>
  <c r="F16" i="14" s="1"/>
  <c r="E15" i="14"/>
  <c r="F15" i="14" s="1"/>
  <c r="E14" i="14"/>
  <c r="F14" i="14" s="1"/>
  <c r="E13" i="14"/>
  <c r="F13" i="14" s="1"/>
  <c r="E12" i="14"/>
  <c r="H11" i="14"/>
  <c r="N92" i="22" s="1"/>
  <c r="B11" i="14"/>
  <c r="AA40" i="13"/>
  <c r="AB40" i="13"/>
  <c r="AC40" i="13"/>
  <c r="H4" i="14"/>
  <c r="N3" i="22" s="1"/>
  <c r="B4" i="14"/>
  <c r="D59" i="14"/>
  <c r="D47" i="14"/>
  <c r="D27" i="14"/>
  <c r="E26" i="14"/>
  <c r="F26" i="14" s="1"/>
  <c r="E25" i="14"/>
  <c r="F25" i="14" s="1"/>
  <c r="E24" i="14"/>
  <c r="F24" i="14" s="1"/>
  <c r="E23" i="14"/>
  <c r="F23" i="14" s="1"/>
  <c r="E22" i="14"/>
  <c r="F22" i="14" s="1"/>
  <c r="D10" i="14"/>
  <c r="E9" i="14"/>
  <c r="F9" i="14" s="1"/>
  <c r="E8" i="14"/>
  <c r="F8" i="14" s="1"/>
  <c r="E7" i="14"/>
  <c r="F7" i="14" s="1"/>
  <c r="E6" i="14"/>
  <c r="F6" i="14" s="1"/>
  <c r="E5" i="14"/>
  <c r="F5" i="14" s="1"/>
  <c r="O973" i="22" l="1"/>
  <c r="O699" i="22"/>
  <c r="B218" i="22"/>
  <c r="B20" i="21"/>
  <c r="O548" i="22"/>
  <c r="B3" i="21"/>
  <c r="B3" i="22"/>
  <c r="P231" i="22"/>
  <c r="O248" i="22"/>
  <c r="O281" i="22"/>
  <c r="O274" i="22"/>
  <c r="O244" i="22"/>
  <c r="O273" i="22"/>
  <c r="O277" i="22"/>
  <c r="O238" i="22"/>
  <c r="O254" i="22"/>
  <c r="O257" i="22"/>
  <c r="O235" i="22"/>
  <c r="O251" i="22"/>
  <c r="O280" i="22"/>
  <c r="O255" i="22"/>
  <c r="O242" i="22"/>
  <c r="O241" i="22"/>
  <c r="O243" i="22"/>
  <c r="O291" i="22"/>
  <c r="O256" i="22"/>
  <c r="O295" i="22"/>
  <c r="O279" i="22"/>
  <c r="O234" i="22"/>
  <c r="O297" i="22"/>
  <c r="O249" i="22"/>
  <c r="O294" i="22"/>
  <c r="O252" i="22"/>
  <c r="O233" i="22"/>
  <c r="O282" i="22"/>
  <c r="O246" i="22"/>
  <c r="O239" i="22"/>
  <c r="O276" i="22"/>
  <c r="O247" i="22"/>
  <c r="O283" i="22"/>
  <c r="O272" i="22"/>
  <c r="O298" i="22"/>
  <c r="O253" i="22"/>
  <c r="O236" i="22"/>
  <c r="O250" i="22"/>
  <c r="O240" i="22"/>
  <c r="O278" i="22"/>
  <c r="O288" i="22"/>
  <c r="O237" i="22"/>
  <c r="O275" i="22"/>
  <c r="O286" i="22"/>
  <c r="O296" i="22"/>
  <c r="O287" i="22"/>
  <c r="O293" i="22"/>
  <c r="O289" i="22"/>
  <c r="O290" i="22"/>
  <c r="O292" i="22"/>
  <c r="P56" i="22"/>
  <c r="O39" i="22"/>
  <c r="O45" i="22"/>
  <c r="P13" i="22"/>
  <c r="O17" i="22"/>
  <c r="O40" i="22"/>
  <c r="O43" i="22"/>
  <c r="P17" i="22"/>
  <c r="O30" i="22"/>
  <c r="O49" i="22"/>
  <c r="O29" i="22"/>
  <c r="O10" i="22"/>
  <c r="O27" i="22"/>
  <c r="O42" i="22"/>
  <c r="O26" i="22"/>
  <c r="O18" i="22"/>
  <c r="O65" i="22"/>
  <c r="P30" i="22"/>
  <c r="O62" i="22"/>
  <c r="O7" i="22"/>
  <c r="O67" i="22"/>
  <c r="O33" i="22"/>
  <c r="O16" i="22"/>
  <c r="P10" i="22"/>
  <c r="O23" i="22"/>
  <c r="P7" i="22"/>
  <c r="O20" i="22"/>
  <c r="O53" i="22"/>
  <c r="O13" i="22"/>
  <c r="O56" i="22"/>
  <c r="O58" i="22"/>
  <c r="O36" i="22"/>
  <c r="P43" i="22"/>
  <c r="O68" i="22"/>
  <c r="O52" i="22"/>
  <c r="O46" i="22"/>
  <c r="P62" i="22"/>
  <c r="O24" i="22"/>
  <c r="P49" i="22"/>
  <c r="O11" i="22"/>
  <c r="O37" i="22"/>
  <c r="O31" i="22"/>
  <c r="P42" i="22"/>
  <c r="P36" i="22"/>
  <c r="P33" i="22"/>
  <c r="O15" i="22"/>
  <c r="O66" i="22"/>
  <c r="O6" i="22"/>
  <c r="O28" i="22"/>
  <c r="O34" i="22"/>
  <c r="O21" i="22"/>
  <c r="P58" i="22"/>
  <c r="O41" i="22"/>
  <c r="O54" i="22"/>
  <c r="P45" i="22"/>
  <c r="O44" i="22"/>
  <c r="O5" i="22"/>
  <c r="O55" i="22"/>
  <c r="P39" i="22"/>
  <c r="O57" i="22"/>
  <c r="O59" i="22"/>
  <c r="O63" i="22"/>
  <c r="O32" i="22"/>
  <c r="O14" i="22"/>
  <c r="O19" i="22"/>
  <c r="O38" i="22"/>
  <c r="O35" i="22"/>
  <c r="O25" i="22"/>
  <c r="O64" i="22"/>
  <c r="O9" i="22"/>
  <c r="O47" i="22"/>
  <c r="O60" i="22"/>
  <c r="O48" i="22"/>
  <c r="O8" i="22"/>
  <c r="O61" i="22"/>
  <c r="O22" i="22"/>
  <c r="B305" i="22"/>
  <c r="B27" i="21"/>
  <c r="O823" i="22"/>
  <c r="P318" i="22"/>
  <c r="O372" i="22"/>
  <c r="P306" i="22"/>
  <c r="O364" i="22"/>
  <c r="O328" i="22"/>
  <c r="O384" i="22"/>
  <c r="O368" i="22"/>
  <c r="O370" i="22"/>
  <c r="O331" i="22"/>
  <c r="O373" i="22"/>
  <c r="O325" i="22"/>
  <c r="O322" i="22"/>
  <c r="O356" i="22"/>
  <c r="O367" i="22"/>
  <c r="O354" i="22"/>
  <c r="O360" i="22"/>
  <c r="O327" i="22"/>
  <c r="O357" i="22"/>
  <c r="O381" i="22"/>
  <c r="O383" i="22"/>
  <c r="O353" i="22"/>
  <c r="O329" i="22"/>
  <c r="O385" i="22"/>
  <c r="O351" i="22"/>
  <c r="O369" i="22"/>
  <c r="O306" i="22"/>
  <c r="O378" i="22"/>
  <c r="O348" i="22"/>
  <c r="O349" i="22"/>
  <c r="O422" i="22"/>
  <c r="O347" i="22"/>
  <c r="O366" i="22"/>
  <c r="O421" i="22"/>
  <c r="O413" i="22"/>
  <c r="O416" i="22"/>
  <c r="O419" i="22"/>
  <c r="O423" i="22"/>
  <c r="O420" i="22"/>
  <c r="O374" i="22"/>
  <c r="O362" i="22"/>
  <c r="O350" i="22"/>
  <c r="O361" i="22"/>
  <c r="O324" i="22"/>
  <c r="O355" i="22"/>
  <c r="O330" i="22"/>
  <c r="O375" i="22"/>
  <c r="O382" i="22"/>
  <c r="O323" i="22"/>
  <c r="O346" i="22"/>
  <c r="O320" i="22"/>
  <c r="O359" i="22"/>
  <c r="O363" i="22"/>
  <c r="O321" i="22"/>
  <c r="O326" i="22"/>
  <c r="O409" i="22"/>
  <c r="O365" i="22"/>
  <c r="O352" i="22"/>
  <c r="O380" i="22"/>
  <c r="O410" i="22"/>
  <c r="O376" i="22"/>
  <c r="O417" i="22"/>
  <c r="O408" i="22"/>
  <c r="O418" i="22"/>
  <c r="O377" i="22"/>
  <c r="O411" i="22"/>
  <c r="O414" i="22"/>
  <c r="O412" i="22"/>
  <c r="O379" i="22"/>
  <c r="O415" i="22"/>
  <c r="O424" i="22"/>
  <c r="B10" i="21"/>
  <c r="B92" i="22"/>
  <c r="P183" i="22"/>
  <c r="O151" i="22"/>
  <c r="P173" i="22"/>
  <c r="O154" i="22"/>
  <c r="O135" i="22"/>
  <c r="O168" i="22"/>
  <c r="O132" i="22"/>
  <c r="O119" i="22"/>
  <c r="O155" i="22"/>
  <c r="O138" i="22"/>
  <c r="P96" i="22"/>
  <c r="O171" i="22"/>
  <c r="D2013" i="22" s="1"/>
  <c r="G93" i="8" s="1"/>
  <c r="P106" i="22"/>
  <c r="O106" i="22"/>
  <c r="O142" i="22"/>
  <c r="O102" i="22"/>
  <c r="O160" i="22"/>
  <c r="O158" i="22"/>
  <c r="O173" i="22"/>
  <c r="O141" i="22"/>
  <c r="O169" i="22"/>
  <c r="P132" i="22"/>
  <c r="O105" i="22"/>
  <c r="O172" i="22"/>
  <c r="D2014" i="22" s="1"/>
  <c r="G94" i="8" s="1"/>
  <c r="O183" i="22"/>
  <c r="O112" i="22"/>
  <c r="P102" i="22"/>
  <c r="O165" i="22"/>
  <c r="O109" i="22"/>
  <c r="P158" i="22"/>
  <c r="O145" i="22"/>
  <c r="O103" i="22"/>
  <c r="P99" i="22"/>
  <c r="O115" i="22"/>
  <c r="P119" i="22"/>
  <c r="O99" i="22"/>
  <c r="O96" i="22"/>
  <c r="O116" i="22"/>
  <c r="P145" i="22"/>
  <c r="O147" i="22"/>
  <c r="P105" i="22"/>
  <c r="O144" i="22"/>
  <c r="O157" i="22"/>
  <c r="O118" i="22"/>
  <c r="O149" i="22"/>
  <c r="O162" i="22"/>
  <c r="D2012" i="22" s="1"/>
  <c r="G45" i="8" s="1"/>
  <c r="O210" i="22"/>
  <c r="O108" i="22"/>
  <c r="O206" i="22"/>
  <c r="O209" i="22"/>
  <c r="O170" i="22"/>
  <c r="O117" i="22"/>
  <c r="O107" i="22"/>
  <c r="O159" i="22"/>
  <c r="O156" i="22"/>
  <c r="O200" i="22"/>
  <c r="O134" i="22"/>
  <c r="O146" i="22"/>
  <c r="O207" i="22"/>
  <c r="O94" i="22"/>
  <c r="O203" i="22"/>
  <c r="O98" i="22"/>
  <c r="O143" i="22"/>
  <c r="O148" i="22"/>
  <c r="O104" i="22"/>
  <c r="O95" i="22"/>
  <c r="O97" i="22"/>
  <c r="O133" i="22"/>
  <c r="O204" i="22"/>
  <c r="O136" i="22"/>
  <c r="O100" i="22"/>
  <c r="O152" i="22"/>
  <c r="O195" i="22"/>
  <c r="O167" i="22"/>
  <c r="O153" i="22"/>
  <c r="O137" i="22"/>
  <c r="O196" i="22"/>
  <c r="O111" i="22"/>
  <c r="O164" i="22"/>
  <c r="O140" i="22"/>
  <c r="O150" i="22"/>
  <c r="O161" i="22"/>
  <c r="O114" i="22"/>
  <c r="O110" i="22"/>
  <c r="O113" i="22"/>
  <c r="O208" i="22"/>
  <c r="O139" i="22"/>
  <c r="O205" i="22"/>
  <c r="O199" i="22"/>
  <c r="O198" i="22"/>
  <c r="O163" i="22"/>
  <c r="O201" i="22"/>
  <c r="O202" i="22"/>
  <c r="O197" i="22"/>
  <c r="O166" i="22"/>
  <c r="K8" i="15"/>
  <c r="K9" i="15"/>
  <c r="M50" i="15"/>
  <c r="L50" i="15"/>
  <c r="L43" i="15"/>
  <c r="M43" i="15"/>
  <c r="M29" i="15"/>
  <c r="L29" i="15"/>
  <c r="L47" i="15"/>
  <c r="M47" i="15"/>
  <c r="B26" i="20"/>
  <c r="B19" i="15"/>
  <c r="M39" i="15"/>
  <c r="L39" i="15"/>
  <c r="B11" i="20"/>
  <c r="B10" i="15"/>
  <c r="L42" i="15"/>
  <c r="M42" i="15"/>
  <c r="M26" i="15"/>
  <c r="L26" i="15"/>
  <c r="L46" i="15"/>
  <c r="M46" i="15"/>
  <c r="K21" i="15"/>
  <c r="K22" i="15"/>
  <c r="K23" i="15"/>
  <c r="K24" i="15"/>
  <c r="K20" i="15"/>
  <c r="M35" i="15"/>
  <c r="L35" i="15"/>
  <c r="M30" i="15"/>
  <c r="L30" i="15"/>
  <c r="M41" i="15"/>
  <c r="L41" i="15"/>
  <c r="L45" i="15"/>
  <c r="M45" i="15"/>
  <c r="M27" i="15"/>
  <c r="L27" i="15"/>
  <c r="K18" i="15"/>
  <c r="K17" i="15"/>
  <c r="L33" i="15"/>
  <c r="M33" i="15"/>
  <c r="K12" i="15"/>
  <c r="K13" i="15"/>
  <c r="K14" i="15"/>
  <c r="K11" i="15"/>
  <c r="K15" i="15"/>
  <c r="L40" i="15"/>
  <c r="M40" i="15"/>
  <c r="L49" i="15"/>
  <c r="M49" i="15"/>
  <c r="B19" i="20"/>
  <c r="B16" i="15"/>
  <c r="L34" i="15"/>
  <c r="M34" i="15"/>
  <c r="B4" i="20"/>
  <c r="B7" i="15"/>
  <c r="M37" i="15"/>
  <c r="L37" i="15"/>
  <c r="M32" i="15"/>
  <c r="L32" i="15"/>
  <c r="M28" i="15"/>
  <c r="L28" i="15"/>
  <c r="M36" i="15"/>
  <c r="L36" i="15"/>
  <c r="M48" i="15"/>
  <c r="L48" i="15"/>
  <c r="E37" i="14"/>
  <c r="F12" i="14"/>
  <c r="F20" i="14" s="1"/>
  <c r="I11" i="14" s="1"/>
  <c r="E20" i="14"/>
  <c r="F29" i="14"/>
  <c r="F37" i="14" s="1"/>
  <c r="I28" i="14" s="1"/>
  <c r="E69" i="14"/>
  <c r="F61" i="14"/>
  <c r="F47" i="14"/>
  <c r="E59" i="14"/>
  <c r="E47" i="14"/>
  <c r="F59" i="14"/>
  <c r="I48" i="14" s="1"/>
  <c r="F10" i="14"/>
  <c r="I4" i="14" s="1"/>
  <c r="F27" i="14"/>
  <c r="I21" i="14" s="1"/>
  <c r="E27" i="14"/>
  <c r="E10" i="14"/>
  <c r="D2011" i="22" l="1"/>
  <c r="G44" i="8" s="1"/>
  <c r="G77" i="22"/>
  <c r="O77" i="22" s="1"/>
  <c r="G83" i="22"/>
  <c r="O83" i="22" s="1"/>
  <c r="G80" i="22"/>
  <c r="O80" i="22" s="1"/>
  <c r="G84" i="22"/>
  <c r="O84" i="22" s="1"/>
  <c r="G73" i="22"/>
  <c r="O73" i="22" s="1"/>
  <c r="G78" i="22"/>
  <c r="O78" i="22" s="1"/>
  <c r="G72" i="22"/>
  <c r="G81" i="22"/>
  <c r="O81" i="22" s="1"/>
  <c r="G82" i="22"/>
  <c r="O82" i="22" s="1"/>
  <c r="G74" i="22"/>
  <c r="O74" i="22" s="1"/>
  <c r="G76" i="22"/>
  <c r="O76" i="22" s="1"/>
  <c r="G79" i="22"/>
  <c r="O79" i="22" s="1"/>
  <c r="G75" i="22"/>
  <c r="O75" i="22" s="1"/>
  <c r="O299" i="22"/>
  <c r="O211" i="22"/>
  <c r="L21" i="15"/>
  <c r="M21" i="15"/>
  <c r="M15" i="15"/>
  <c r="L15" i="15"/>
  <c r="D120" i="15" s="1"/>
  <c r="L14" i="15"/>
  <c r="D119" i="15" s="1"/>
  <c r="M14" i="15"/>
  <c r="D134" i="15" s="1"/>
  <c r="L13" i="15"/>
  <c r="D118" i="15" s="1"/>
  <c r="M13" i="15"/>
  <c r="D133" i="15" s="1"/>
  <c r="L11" i="15"/>
  <c r="D117" i="15" s="1"/>
  <c r="M11" i="15"/>
  <c r="D132" i="15" s="1"/>
  <c r="M17" i="15"/>
  <c r="L17" i="15"/>
  <c r="M20" i="15"/>
  <c r="L20" i="15"/>
  <c r="M18" i="15"/>
  <c r="L18" i="15"/>
  <c r="L24" i="15"/>
  <c r="M24" i="15"/>
  <c r="L9" i="15"/>
  <c r="M9" i="15"/>
  <c r="M22" i="15"/>
  <c r="L22" i="15"/>
  <c r="L12" i="15"/>
  <c r="M12" i="15"/>
  <c r="L23" i="15"/>
  <c r="M23" i="15"/>
  <c r="M8" i="15"/>
  <c r="L8" i="15"/>
  <c r="F69" i="14"/>
  <c r="I60" i="14"/>
  <c r="I38" i="14"/>
  <c r="F120" i="15" l="1"/>
  <c r="F119" i="15"/>
  <c r="F118" i="15"/>
  <c r="F117" i="15"/>
  <c r="D147" i="15"/>
  <c r="D135" i="15"/>
  <c r="D154" i="15" s="1"/>
  <c r="L111" i="15"/>
  <c r="O72" i="22"/>
  <c r="O85" i="22" s="1"/>
  <c r="G85" i="22"/>
  <c r="M111" i="15"/>
  <c r="I163" i="14"/>
  <c r="J40" i="13"/>
  <c r="K40" i="13"/>
  <c r="L40" i="13"/>
  <c r="L41" i="13" s="1"/>
  <c r="G24" i="8" l="1"/>
  <c r="D136" i="30"/>
  <c r="F136" i="30" s="1"/>
  <c r="D141" i="15"/>
  <c r="D126" i="32"/>
  <c r="F126" i="32" s="1"/>
  <c r="D138" i="30"/>
  <c r="F138" i="30" s="1"/>
  <c r="D128" i="32"/>
  <c r="F128" i="32" s="1"/>
  <c r="L113" i="15"/>
  <c r="I40" i="13"/>
  <c r="H40" i="13"/>
  <c r="G40" i="13"/>
  <c r="F40" i="13"/>
  <c r="E40" i="13"/>
  <c r="D40" i="13"/>
  <c r="A4" i="13"/>
  <c r="A5" i="13" s="1"/>
  <c r="A6" i="13" s="1"/>
  <c r="A7" i="13" s="1"/>
  <c r="A8" i="13" s="1"/>
  <c r="A9" i="13" s="1"/>
  <c r="A10" i="13" s="1"/>
  <c r="A11" i="13" s="1"/>
  <c r="A12" i="13" s="1"/>
  <c r="A13" i="13" s="1"/>
  <c r="A14" i="13" s="1"/>
  <c r="A15" i="13" s="1"/>
  <c r="A16" i="13" s="1"/>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H38" i="8"/>
  <c r="F150" i="30" l="1"/>
  <c r="F136" i="32"/>
  <c r="D157" i="15"/>
  <c r="G31" i="8"/>
  <c r="D143" i="15"/>
  <c r="D41" i="13"/>
  <c r="E38" i="8"/>
  <c r="D6" i="12"/>
  <c r="D5" i="12"/>
  <c r="E4" i="12"/>
  <c r="E5" i="12"/>
  <c r="E6" i="12"/>
  <c r="E3" i="12"/>
  <c r="E7" i="12" s="1"/>
  <c r="C16" i="11"/>
  <c r="C17" i="11" s="1"/>
  <c r="D11" i="11"/>
  <c r="D10" i="11"/>
  <c r="D8" i="11"/>
  <c r="F4" i="11"/>
  <c r="M3" i="11"/>
  <c r="L7" i="11" s="1"/>
  <c r="E11" i="11"/>
  <c r="F11" i="11" s="1"/>
  <c r="T43" i="11"/>
  <c r="T42" i="11"/>
  <c r="V42" i="11"/>
  <c r="X42" i="11"/>
  <c r="Y42" i="11"/>
  <c r="Z42" i="11"/>
  <c r="AA42" i="11"/>
  <c r="AB42" i="11"/>
  <c r="W43" i="11"/>
  <c r="X43" i="11"/>
  <c r="Y43" i="11"/>
  <c r="Z43" i="11"/>
  <c r="AA43" i="11"/>
  <c r="AB43" i="11"/>
  <c r="AB41" i="11"/>
  <c r="AA41" i="11"/>
  <c r="Y41" i="11"/>
  <c r="X41" i="11"/>
  <c r="W41" i="11"/>
  <c r="V41" i="11"/>
  <c r="U43" i="11"/>
  <c r="U42" i="11"/>
  <c r="U41" i="11"/>
  <c r="AB40" i="11"/>
  <c r="AA40" i="11"/>
  <c r="Z40" i="11"/>
  <c r="Y40" i="11"/>
  <c r="X40" i="11"/>
  <c r="W40" i="11"/>
  <c r="V40" i="11"/>
  <c r="K3" i="11"/>
  <c r="K7" i="11" s="1"/>
  <c r="K18" i="11" s="1"/>
  <c r="G271" i="10"/>
  <c r="K30" i="11"/>
  <c r="J29" i="11"/>
  <c r="J33" i="11" s="1"/>
  <c r="M33" i="11" s="1"/>
  <c r="J13" i="11"/>
  <c r="J7" i="11"/>
  <c r="D63" i="32" l="1"/>
  <c r="F63" i="32" s="1"/>
  <c r="D73" i="30"/>
  <c r="F73" i="30" s="1"/>
  <c r="G38" i="8"/>
  <c r="I38" i="8" s="1"/>
  <c r="J38" i="8" s="1"/>
  <c r="K38" i="8"/>
  <c r="L41" i="11"/>
  <c r="Z41" i="11" s="1"/>
  <c r="Z44" i="11" s="1"/>
  <c r="Z45" i="11" s="1"/>
  <c r="L42" i="11"/>
  <c r="W42" i="11" s="1"/>
  <c r="W44" i="11" s="1"/>
  <c r="W45" i="11" s="1"/>
  <c r="L43" i="11"/>
  <c r="V43" i="11" s="1"/>
  <c r="V44" i="11" s="1"/>
  <c r="V45" i="11" s="1"/>
  <c r="G6" i="8"/>
  <c r="AA44" i="11"/>
  <c r="AA45" i="11" s="1"/>
  <c r="AB44" i="11"/>
  <c r="AB45" i="11" s="1"/>
  <c r="X44" i="11"/>
  <c r="X45" i="11" s="1"/>
  <c r="Y44" i="11"/>
  <c r="Y45" i="11" s="1"/>
  <c r="M7" i="11"/>
  <c r="M8" i="11" s="1"/>
  <c r="D6" i="11" s="1"/>
  <c r="L13" i="11"/>
  <c r="L23" i="11"/>
  <c r="M23" i="11" s="1"/>
  <c r="M24" i="11" s="1"/>
  <c r="M29" i="11"/>
  <c r="D7" i="11" s="1"/>
  <c r="J30" i="11"/>
  <c r="M30" i="11" s="1"/>
  <c r="V46" i="11" l="1"/>
  <c r="D9" i="11" s="1"/>
  <c r="L18" i="11"/>
  <c r="M18" i="11" s="1"/>
  <c r="M19" i="11" s="1"/>
  <c r="D5" i="11" s="1"/>
  <c r="F5" i="11" s="1"/>
  <c r="M13" i="11"/>
  <c r="M14" i="11" s="1"/>
  <c r="F10" i="11" l="1"/>
  <c r="J223" i="10" l="1"/>
  <c r="G248" i="10"/>
  <c r="J222" i="10" s="1"/>
  <c r="E9" i="11"/>
  <c r="F9" i="11" s="1"/>
  <c r="E8" i="11"/>
  <c r="F8" i="11" s="1"/>
  <c r="E69" i="4"/>
  <c r="E73" i="4"/>
  <c r="E70" i="4"/>
  <c r="H15" i="8"/>
  <c r="I15" i="8" s="1"/>
  <c r="H13" i="8"/>
  <c r="H12" i="8"/>
  <c r="L60" i="4"/>
  <c r="I22" i="8"/>
  <c r="I23" i="8"/>
  <c r="I34" i="8"/>
  <c r="I39" i="8"/>
  <c r="I88" i="8"/>
  <c r="G279" i="10"/>
  <c r="H8" i="8" s="1"/>
  <c r="G278" i="10"/>
  <c r="I9" i="8" s="1"/>
  <c r="G277" i="10"/>
  <c r="H7" i="8" s="1"/>
  <c r="G276" i="10"/>
  <c r="G274" i="10"/>
  <c r="G273" i="10"/>
  <c r="G272" i="10"/>
  <c r="G266" i="10"/>
  <c r="H67" i="8" s="1"/>
  <c r="I67" i="8" s="1"/>
  <c r="J67" i="8" s="1"/>
  <c r="G265" i="10"/>
  <c r="G264" i="10"/>
  <c r="H14" i="8" s="1"/>
  <c r="I14" i="8" s="1"/>
  <c r="G262" i="10"/>
  <c r="G261" i="10"/>
  <c r="H258" i="10"/>
  <c r="G258" i="10"/>
  <c r="E127" i="15" s="1"/>
  <c r="H257" i="10"/>
  <c r="H256" i="10"/>
  <c r="H255" i="10"/>
  <c r="H254" i="10"/>
  <c r="H253" i="10"/>
  <c r="H252" i="10"/>
  <c r="H251" i="10"/>
  <c r="G251" i="10"/>
  <c r="H250" i="10"/>
  <c r="G233" i="10"/>
  <c r="G232" i="10"/>
  <c r="G230" i="10"/>
  <c r="G229" i="10"/>
  <c r="G228" i="10"/>
  <c r="G227" i="10"/>
  <c r="G226" i="10"/>
  <c r="F224" i="10"/>
  <c r="G224" i="10" s="1"/>
  <c r="F223" i="10"/>
  <c r="G223" i="10" s="1"/>
  <c r="G219" i="10"/>
  <c r="G218" i="10"/>
  <c r="G217" i="10"/>
  <c r="G215" i="10"/>
  <c r="C215" i="10"/>
  <c r="I1932" i="22" s="1" a="1"/>
  <c r="G214" i="10"/>
  <c r="G209" i="10"/>
  <c r="G208" i="10"/>
  <c r="H194" i="10"/>
  <c r="D194" i="10"/>
  <c r="D205" i="10" s="1"/>
  <c r="C194" i="10"/>
  <c r="C205" i="10" s="1"/>
  <c r="C192" i="10"/>
  <c r="C203" i="10" s="1"/>
  <c r="C191" i="10"/>
  <c r="C190" i="10"/>
  <c r="C201" i="10" s="1"/>
  <c r="C188" i="10"/>
  <c r="C187" i="10"/>
  <c r="C198" i="10" s="1"/>
  <c r="G183" i="10"/>
  <c r="G182" i="10"/>
  <c r="G181" i="10"/>
  <c r="G180" i="10"/>
  <c r="G179" i="10"/>
  <c r="G178" i="10"/>
  <c r="G177" i="10"/>
  <c r="G176" i="10"/>
  <c r="G175" i="10"/>
  <c r="H172" i="10"/>
  <c r="D172" i="10"/>
  <c r="G171" i="10"/>
  <c r="F171" i="10"/>
  <c r="E171" i="10"/>
  <c r="C171" i="10"/>
  <c r="F170" i="10"/>
  <c r="E170" i="10"/>
  <c r="C170" i="10"/>
  <c r="G169" i="10"/>
  <c r="F169" i="10"/>
  <c r="E169" i="10"/>
  <c r="C169" i="10"/>
  <c r="G168" i="10"/>
  <c r="F168" i="10"/>
  <c r="E168" i="10"/>
  <c r="C168" i="10"/>
  <c r="G167" i="10"/>
  <c r="F167" i="10"/>
  <c r="G166" i="10"/>
  <c r="F166" i="10"/>
  <c r="E166" i="10"/>
  <c r="C166" i="10"/>
  <c r="G165" i="10"/>
  <c r="F165" i="10"/>
  <c r="E165" i="10"/>
  <c r="C165" i="10"/>
  <c r="G164" i="10"/>
  <c r="F164" i="10"/>
  <c r="G186" i="10" s="1"/>
  <c r="K1912" i="22" s="1" a="1"/>
  <c r="E164" i="10"/>
  <c r="C164" i="10"/>
  <c r="H160" i="10"/>
  <c r="D160" i="10"/>
  <c r="H159" i="10"/>
  <c r="G159" i="10"/>
  <c r="K1902" i="22" s="1" a="1"/>
  <c r="D159" i="10"/>
  <c r="H158" i="10"/>
  <c r="D158" i="10"/>
  <c r="H157" i="10"/>
  <c r="D157" i="10"/>
  <c r="H156" i="10"/>
  <c r="D156" i="10"/>
  <c r="H155" i="10"/>
  <c r="H166" i="10" s="1"/>
  <c r="D155" i="10"/>
  <c r="D166" i="10" s="1"/>
  <c r="H154" i="10"/>
  <c r="D154" i="10"/>
  <c r="H153" i="10"/>
  <c r="D153" i="10"/>
  <c r="C142" i="10"/>
  <c r="E127" i="10"/>
  <c r="G127" i="10" s="1"/>
  <c r="G126" i="10"/>
  <c r="E124" i="10"/>
  <c r="G124" i="10" s="1"/>
  <c r="G123" i="10"/>
  <c r="F121" i="10"/>
  <c r="C121" i="10"/>
  <c r="C143" i="10" s="1"/>
  <c r="F120" i="10"/>
  <c r="C120" i="10"/>
  <c r="E116" i="10"/>
  <c r="G116" i="10" s="1"/>
  <c r="G115" i="10"/>
  <c r="E112" i="10"/>
  <c r="E113" i="10" s="1"/>
  <c r="G113" i="10" s="1"/>
  <c r="E110" i="10"/>
  <c r="G110" i="10" s="1"/>
  <c r="E109" i="10"/>
  <c r="G109" i="10" s="1"/>
  <c r="G107" i="10"/>
  <c r="G106" i="10"/>
  <c r="G103" i="10"/>
  <c r="G102" i="10"/>
  <c r="E101" i="10"/>
  <c r="G101" i="10" s="1"/>
  <c r="G100" i="10"/>
  <c r="E97" i="10"/>
  <c r="E95" i="10"/>
  <c r="G95" i="10" s="1"/>
  <c r="E94" i="10"/>
  <c r="F92" i="10"/>
  <c r="F93" i="10" s="1"/>
  <c r="G93" i="10" s="1"/>
  <c r="F90" i="10"/>
  <c r="E90" i="10"/>
  <c r="F87" i="10"/>
  <c r="E87" i="10"/>
  <c r="E85" i="10"/>
  <c r="E84" i="10"/>
  <c r="E80" i="10"/>
  <c r="E79" i="10"/>
  <c r="F78" i="10"/>
  <c r="E78" i="10"/>
  <c r="J59" i="22" s="1"/>
  <c r="E76" i="10"/>
  <c r="G73" i="10"/>
  <c r="K55" i="22" s="1"/>
  <c r="L55" i="22" s="1"/>
  <c r="E72" i="10"/>
  <c r="G71" i="10"/>
  <c r="K53" i="22" s="1"/>
  <c r="L53" i="22" s="1"/>
  <c r="P53" i="22" s="1"/>
  <c r="G70" i="10"/>
  <c r="K52" i="22" s="1"/>
  <c r="L52" i="22" s="1"/>
  <c r="C68" i="10"/>
  <c r="E66" i="10"/>
  <c r="E65" i="10"/>
  <c r="G64" i="10"/>
  <c r="K46" i="22" s="1"/>
  <c r="L46" i="22" s="1"/>
  <c r="F62" i="10"/>
  <c r="G62" i="10" s="1"/>
  <c r="E30" i="10"/>
  <c r="G29" i="10"/>
  <c r="E26" i="10"/>
  <c r="E16" i="10"/>
  <c r="G13" i="10"/>
  <c r="K12" i="34" s="1"/>
  <c r="L12" i="34" s="1"/>
  <c r="P12" i="34" s="1"/>
  <c r="F83" i="34" s="1"/>
  <c r="C13" i="10"/>
  <c r="G12" i="10"/>
  <c r="K11" i="34" s="1"/>
  <c r="L11" i="34" s="1"/>
  <c r="P11" i="34" s="1"/>
  <c r="F82" i="34" s="1"/>
  <c r="G10" i="10"/>
  <c r="K9" i="34" s="1"/>
  <c r="L9" i="34" s="1"/>
  <c r="P9" i="34" s="1"/>
  <c r="F81" i="34" s="1"/>
  <c r="G9" i="10"/>
  <c r="K8" i="34" s="1"/>
  <c r="L8" i="34" s="1"/>
  <c r="G7" i="10"/>
  <c r="K6" i="34" s="1"/>
  <c r="L6" i="34" s="1"/>
  <c r="P6" i="34" s="1"/>
  <c r="F79" i="34" s="1"/>
  <c r="G6" i="10"/>
  <c r="K5" i="34" s="1"/>
  <c r="L5" i="34" s="1"/>
  <c r="P5" i="34" s="1"/>
  <c r="F78" i="34" s="1"/>
  <c r="E83" i="34" l="1"/>
  <c r="G27" i="35" s="1"/>
  <c r="I27" i="35"/>
  <c r="E82" i="34"/>
  <c r="G26" i="35" s="1"/>
  <c r="I26" i="35"/>
  <c r="I14" i="35"/>
  <c r="E79" i="34"/>
  <c r="G14" i="35" s="1"/>
  <c r="E78" i="34"/>
  <c r="G13" i="35" s="1"/>
  <c r="I13" i="35"/>
  <c r="I11" i="35"/>
  <c r="E81" i="34"/>
  <c r="G11" i="35" s="1"/>
  <c r="P8" i="34"/>
  <c r="F80" i="34" s="1"/>
  <c r="M4" i="34"/>
  <c r="J9" i="8"/>
  <c r="K9" i="8"/>
  <c r="I1932" i="22"/>
  <c r="O1932" i="22" s="1"/>
  <c r="D2032" i="22" s="1"/>
  <c r="G55" i="8" s="1"/>
  <c r="O1942" i="22"/>
  <c r="D2036" i="22" s="1"/>
  <c r="G58" i="8" s="1"/>
  <c r="O1934" i="22"/>
  <c r="D2034" i="22" s="1"/>
  <c r="G57" i="8" s="1"/>
  <c r="O1943" i="22"/>
  <c r="D2037" i="22" s="1"/>
  <c r="G59" i="8" s="1"/>
  <c r="O1941" i="22"/>
  <c r="D2035" i="22" s="1"/>
  <c r="G87" i="8" s="1"/>
  <c r="O1940" i="22"/>
  <c r="O1936" i="22"/>
  <c r="D2026" i="22" s="1"/>
  <c r="O1939" i="22"/>
  <c r="D2029" i="22" s="1"/>
  <c r="G64" i="8" s="1"/>
  <c r="O1937" i="22"/>
  <c r="O1933" i="22"/>
  <c r="D2033" i="22" s="1"/>
  <c r="G56" i="8" s="1"/>
  <c r="O1938" i="22"/>
  <c r="O1935" i="22"/>
  <c r="D2025" i="22" s="1"/>
  <c r="G17" i="8" s="1"/>
  <c r="J15" i="8"/>
  <c r="K15" i="8"/>
  <c r="K1967" i="22" a="1"/>
  <c r="K1967" i="22" s="1"/>
  <c r="L1967" i="22" s="1"/>
  <c r="K1932" i="22" a="1"/>
  <c r="K1932" i="22" s="1"/>
  <c r="L1932" i="22" s="1"/>
  <c r="P1932" i="22" s="1"/>
  <c r="F2032" i="22" s="1"/>
  <c r="H1912" i="22" a="1"/>
  <c r="H1912" i="22" s="1"/>
  <c r="H205" i="10"/>
  <c r="H1922" i="22" s="1" a="1"/>
  <c r="H1922" i="22" s="1"/>
  <c r="C189" i="10"/>
  <c r="C199" i="10"/>
  <c r="C193" i="10"/>
  <c r="C202" i="10"/>
  <c r="C204" i="10" s="1"/>
  <c r="H10" i="8"/>
  <c r="J220" i="22" a="1"/>
  <c r="J220" i="22" s="1"/>
  <c r="J830" i="22" a="1"/>
  <c r="J830" i="22" s="1"/>
  <c r="J706" i="22" a="1"/>
  <c r="J706" i="22" s="1"/>
  <c r="J1464" i="22" a="1"/>
  <c r="J1464" i="22" s="1"/>
  <c r="J1738" i="22" a="1"/>
  <c r="J1738" i="22" s="1"/>
  <c r="J980" i="22" a="1"/>
  <c r="J980" i="22" s="1"/>
  <c r="J431" i="22" a="1"/>
  <c r="J431" i="22" s="1"/>
  <c r="J307" i="22" a="1"/>
  <c r="J307" i="22" s="1"/>
  <c r="J1314" i="22" a="1"/>
  <c r="J1314" i="22" s="1"/>
  <c r="J1190" i="22" a="1"/>
  <c r="J1190" i="22" s="1"/>
  <c r="J1066" i="22" a="1"/>
  <c r="J1066" i="22" s="1"/>
  <c r="J555" i="22" a="1"/>
  <c r="J555" i="22" s="1"/>
  <c r="J1614" i="22" a="1"/>
  <c r="J1614" i="22" s="1"/>
  <c r="I1892" i="22" a="1"/>
  <c r="I1882" i="22" a="1"/>
  <c r="I220" i="22" a="1"/>
  <c r="O231" i="22" s="1"/>
  <c r="I1614" i="22" a="1"/>
  <c r="I830" i="22" a="1"/>
  <c r="I706" i="22" a="1"/>
  <c r="I1464" i="22" a="1"/>
  <c r="I1738" i="22" a="1"/>
  <c r="I980" i="22" a="1"/>
  <c r="I431" i="22" a="1"/>
  <c r="I555" i="22" a="1"/>
  <c r="I307" i="22" a="1"/>
  <c r="I1314" i="22" a="1"/>
  <c r="I1190" i="22" a="1"/>
  <c r="I1066" i="22" a="1"/>
  <c r="K1902" i="22"/>
  <c r="L1902" i="22" s="1"/>
  <c r="P1902" i="22" s="1"/>
  <c r="L1903" i="22"/>
  <c r="P1903" i="22" s="1"/>
  <c r="L1910" i="22"/>
  <c r="P1910" i="22" s="1"/>
  <c r="L1907" i="22"/>
  <c r="L1906" i="22"/>
  <c r="P1906" i="22" s="1"/>
  <c r="L1905" i="22"/>
  <c r="P1905" i="22" s="1"/>
  <c r="L1904" i="22"/>
  <c r="P1904" i="22" s="1"/>
  <c r="L1909" i="22"/>
  <c r="P1909" i="22" s="1"/>
  <c r="L1908" i="22"/>
  <c r="P1908" i="22" s="1"/>
  <c r="H1902" i="22" a="1"/>
  <c r="H1902" i="22" s="1"/>
  <c r="E98" i="10"/>
  <c r="G98" i="10" s="1"/>
  <c r="G97" i="10"/>
  <c r="I1280" i="22" a="1"/>
  <c r="I1270" i="22" a="1"/>
  <c r="I397" i="22" a="1"/>
  <c r="I387" i="22" a="1"/>
  <c r="I511" i="22" a="1"/>
  <c r="I1156" i="22" a="1"/>
  <c r="I1146" i="22" a="1"/>
  <c r="I521" i="22" a="1"/>
  <c r="I786" i="22" a="1"/>
  <c r="I1818" i="22" a="1"/>
  <c r="I796" i="22" a="1"/>
  <c r="I1704" i="22" a="1"/>
  <c r="I1420" i="22" a="1"/>
  <c r="I1694" i="22" a="1"/>
  <c r="I1430" i="22" a="1"/>
  <c r="I671" i="22" a="1"/>
  <c r="I661" i="22" a="1"/>
  <c r="I946" i="22" a="1"/>
  <c r="I936" i="22" a="1"/>
  <c r="I1828" i="22" a="1"/>
  <c r="I1580" i="22" a="1"/>
  <c r="I1570" i="22" a="1"/>
  <c r="K1912" i="22"/>
  <c r="L1912" i="22" s="1"/>
  <c r="P1912" i="22" s="1"/>
  <c r="F2031" i="22" s="1"/>
  <c r="L1916" i="22"/>
  <c r="P1916" i="22" s="1"/>
  <c r="L1915" i="22"/>
  <c r="P1915" i="22" s="1"/>
  <c r="L1914" i="22"/>
  <c r="P1914" i="22" s="1"/>
  <c r="L1918" i="22"/>
  <c r="P1918" i="22" s="1"/>
  <c r="L1919" i="22"/>
  <c r="P1919" i="22" s="1"/>
  <c r="L1920" i="22"/>
  <c r="P1920" i="22" s="1"/>
  <c r="L1913" i="22"/>
  <c r="P1913" i="22" s="1"/>
  <c r="L1917" i="22"/>
  <c r="P1917" i="22" s="1"/>
  <c r="G49" i="10"/>
  <c r="G35" i="10"/>
  <c r="O222" i="22"/>
  <c r="O228" i="22"/>
  <c r="O227" i="22"/>
  <c r="O229" i="22"/>
  <c r="O226" i="22"/>
  <c r="O221" i="22"/>
  <c r="O230" i="22"/>
  <c r="I184" i="22" a="1"/>
  <c r="I174" i="22" a="1"/>
  <c r="E92" i="10"/>
  <c r="G92" i="10" s="1"/>
  <c r="J57" i="22"/>
  <c r="E67" i="4"/>
  <c r="E65" i="4"/>
  <c r="E74" i="4"/>
  <c r="E75" i="4"/>
  <c r="E77" i="4"/>
  <c r="G23" i="10"/>
  <c r="J34" i="22"/>
  <c r="E138" i="15"/>
  <c r="F138" i="15" s="1"/>
  <c r="E137" i="15"/>
  <c r="F137" i="15" s="1"/>
  <c r="E136" i="15"/>
  <c r="F136" i="15" s="1"/>
  <c r="E135" i="15"/>
  <c r="F135" i="15" s="1"/>
  <c r="E134" i="15"/>
  <c r="F134" i="15" s="1"/>
  <c r="E133" i="15"/>
  <c r="F133" i="15" s="1"/>
  <c r="E132" i="15"/>
  <c r="F132" i="15" s="1"/>
  <c r="E131" i="15"/>
  <c r="F131" i="15" s="1"/>
  <c r="K6" i="22"/>
  <c r="L6" i="22" s="1"/>
  <c r="K95" i="22"/>
  <c r="L95" i="22" s="1"/>
  <c r="E27" i="10"/>
  <c r="J993" i="22" s="1" a="1"/>
  <c r="J993" i="22" s="1"/>
  <c r="J37" i="22"/>
  <c r="K94" i="22"/>
  <c r="L94" i="22" s="1"/>
  <c r="K5" i="22"/>
  <c r="L5" i="22" s="1"/>
  <c r="P5" i="22" s="1"/>
  <c r="P55" i="22"/>
  <c r="G30" i="10"/>
  <c r="J41" i="22"/>
  <c r="K40" i="22"/>
  <c r="L40" i="22" s="1"/>
  <c r="P40" i="22" s="1"/>
  <c r="K11" i="22"/>
  <c r="L11" i="22" s="1"/>
  <c r="K100" i="22"/>
  <c r="L100" i="22" s="1"/>
  <c r="G78" i="10"/>
  <c r="K59" i="22" s="1"/>
  <c r="L59" i="22" s="1"/>
  <c r="P59" i="22" s="1"/>
  <c r="E76" i="4"/>
  <c r="G24" i="10"/>
  <c r="J35" i="22"/>
  <c r="C69" i="10"/>
  <c r="I51" i="22" s="1"/>
  <c r="O51" i="22" s="1"/>
  <c r="I12" i="22"/>
  <c r="O12" i="22" s="1"/>
  <c r="I101" i="22"/>
  <c r="O101" i="22" s="1"/>
  <c r="G79" i="10"/>
  <c r="K60" i="22" s="1"/>
  <c r="L60" i="22" s="1"/>
  <c r="P60" i="22" s="1"/>
  <c r="J60" i="22"/>
  <c r="G80" i="10"/>
  <c r="K61" i="22" s="1"/>
  <c r="L61" i="22" s="1"/>
  <c r="P61" i="22" s="1"/>
  <c r="J61" i="22"/>
  <c r="E78" i="4"/>
  <c r="K9" i="22"/>
  <c r="L9" i="22" s="1"/>
  <c r="K98" i="22"/>
  <c r="L98" i="22" s="1"/>
  <c r="G21" i="10"/>
  <c r="J32" i="22"/>
  <c r="G72" i="10"/>
  <c r="K54" i="22" s="1"/>
  <c r="L54" i="22" s="1"/>
  <c r="P54" i="22" s="1"/>
  <c r="J54" i="22"/>
  <c r="P46" i="22"/>
  <c r="G65" i="10"/>
  <c r="K47" i="22" s="1"/>
  <c r="L47" i="22" s="1"/>
  <c r="P47" i="22" s="1"/>
  <c r="J47" i="22"/>
  <c r="G66" i="10"/>
  <c r="K48" i="22" s="1"/>
  <c r="L48" i="22" s="1"/>
  <c r="P48" i="22" s="1"/>
  <c r="J48" i="22"/>
  <c r="G84" i="10"/>
  <c r="K65" i="22" s="1"/>
  <c r="L65" i="22" s="1"/>
  <c r="P65" i="22" s="1"/>
  <c r="J65" i="22"/>
  <c r="G16" i="10"/>
  <c r="K220" i="22" s="1" a="1"/>
  <c r="J15" i="22"/>
  <c r="J104" i="22"/>
  <c r="G85" i="10"/>
  <c r="K66" i="22" s="1"/>
  <c r="L66" i="22" s="1"/>
  <c r="P66" i="22" s="1"/>
  <c r="J66" i="22"/>
  <c r="K8" i="22"/>
  <c r="L8" i="22" s="1"/>
  <c r="K97" i="22"/>
  <c r="L97" i="22" s="1"/>
  <c r="K44" i="22"/>
  <c r="L44" i="22" s="1"/>
  <c r="K12" i="22"/>
  <c r="L12" i="22" s="1"/>
  <c r="K101" i="22"/>
  <c r="L101" i="22" s="1"/>
  <c r="K14" i="22"/>
  <c r="L14" i="22" s="1"/>
  <c r="K103" i="22"/>
  <c r="L103" i="22" s="1"/>
  <c r="I50" i="22"/>
  <c r="O50" i="22" s="1"/>
  <c r="E120" i="10"/>
  <c r="J31" i="22"/>
  <c r="P52" i="22"/>
  <c r="G87" i="10"/>
  <c r="K68" i="22" s="1"/>
  <c r="L68" i="22" s="1"/>
  <c r="P68" i="22" s="1"/>
  <c r="J68" i="22"/>
  <c r="D9" i="17"/>
  <c r="D30" i="17" s="1"/>
  <c r="D11" i="17"/>
  <c r="D10" i="17"/>
  <c r="E122" i="15"/>
  <c r="E121" i="15"/>
  <c r="E128" i="15"/>
  <c r="E123" i="15"/>
  <c r="E129" i="15"/>
  <c r="E118" i="15"/>
  <c r="E130" i="15"/>
  <c r="E117" i="15"/>
  <c r="E120" i="15"/>
  <c r="E119" i="15"/>
  <c r="E116" i="15"/>
  <c r="E152" i="15"/>
  <c r="F152" i="15" s="1"/>
  <c r="E86" i="10"/>
  <c r="E6" i="11"/>
  <c r="F6" i="11" s="1"/>
  <c r="E7" i="11"/>
  <c r="F7" i="11" s="1"/>
  <c r="E79" i="4"/>
  <c r="E121" i="10"/>
  <c r="G121" i="10" s="1"/>
  <c r="E66" i="4"/>
  <c r="E68" i="4"/>
  <c r="J7" i="7"/>
  <c r="K7" i="7" s="1"/>
  <c r="K5" i="7"/>
  <c r="J6" i="7"/>
  <c r="E71" i="4"/>
  <c r="E72" i="4"/>
  <c r="G20" i="10"/>
  <c r="F76" i="10"/>
  <c r="G76" i="10" s="1"/>
  <c r="G90" i="10"/>
  <c r="E138" i="10"/>
  <c r="G26" i="10"/>
  <c r="E68" i="10"/>
  <c r="J50" i="22" s="1"/>
  <c r="G112" i="10"/>
  <c r="H30" i="17" l="1"/>
  <c r="K30" i="17" s="1"/>
  <c r="F30" i="17"/>
  <c r="C30" i="17"/>
  <c r="F11" i="17"/>
  <c r="F10" i="17"/>
  <c r="F9" i="17"/>
  <c r="H14" i="35"/>
  <c r="H27" i="35"/>
  <c r="K27" i="35"/>
  <c r="J27" i="35"/>
  <c r="C27" i="35"/>
  <c r="C26" i="35"/>
  <c r="K26" i="35"/>
  <c r="J26" i="35"/>
  <c r="H26" i="35"/>
  <c r="K14" i="35"/>
  <c r="C14" i="35"/>
  <c r="J14" i="35"/>
  <c r="H13" i="35"/>
  <c r="K13" i="35"/>
  <c r="C13" i="35"/>
  <c r="J13" i="35"/>
  <c r="C11" i="35"/>
  <c r="H11" i="35"/>
  <c r="I10" i="35"/>
  <c r="E80" i="34"/>
  <c r="G10" i="35" s="1"/>
  <c r="D104" i="30"/>
  <c r="F104" i="30" s="1"/>
  <c r="D94" i="32"/>
  <c r="F94" i="32" s="1"/>
  <c r="O223" i="22"/>
  <c r="O225" i="22"/>
  <c r="E2032" i="22"/>
  <c r="H55" i="8" s="1"/>
  <c r="I55" i="8" s="1"/>
  <c r="I220" i="22"/>
  <c r="O220" i="22" s="1"/>
  <c r="L1973" i="22"/>
  <c r="P1973" i="22" s="1"/>
  <c r="L1974" i="22"/>
  <c r="L1987" i="22" s="1"/>
  <c r="P1987" i="22" s="1"/>
  <c r="L1968" i="22"/>
  <c r="L1981" i="22" s="1"/>
  <c r="P1981" i="22" s="1"/>
  <c r="L1971" i="22"/>
  <c r="L1984" i="22" s="1"/>
  <c r="P1984" i="22" s="1"/>
  <c r="O224" i="22"/>
  <c r="I1912" i="22" a="1"/>
  <c r="O1920" i="22" s="1"/>
  <c r="G18" i="8"/>
  <c r="E2026" i="22"/>
  <c r="H18" i="8" s="1"/>
  <c r="L1970" i="22"/>
  <c r="E2034" i="22"/>
  <c r="H57" i="8" s="1"/>
  <c r="I57" i="8" s="1"/>
  <c r="C200" i="10"/>
  <c r="C197" i="10"/>
  <c r="L1977" i="22"/>
  <c r="L1990" i="22" s="1"/>
  <c r="P1990" i="22" s="1"/>
  <c r="L1969" i="22"/>
  <c r="P1969" i="22" s="1"/>
  <c r="L1972" i="22"/>
  <c r="P1972" i="22" s="1"/>
  <c r="L1975" i="22"/>
  <c r="P1975" i="22" s="1"/>
  <c r="L1976" i="22"/>
  <c r="P1976" i="22" s="1"/>
  <c r="P1974" i="22"/>
  <c r="P1977" i="22"/>
  <c r="L1983" i="22"/>
  <c r="P1983" i="22" s="1"/>
  <c r="L1980" i="22"/>
  <c r="P1967" i="22"/>
  <c r="C11" i="17"/>
  <c r="C10" i="17"/>
  <c r="P1907" i="22"/>
  <c r="L1943" i="22"/>
  <c r="L1933" i="22"/>
  <c r="L1941" i="22"/>
  <c r="L1939" i="22"/>
  <c r="P1939" i="22" s="1"/>
  <c r="F2029" i="22" s="1"/>
  <c r="E2029" i="22" s="1"/>
  <c r="H64" i="8" s="1"/>
  <c r="I64" i="8" s="1"/>
  <c r="L1942" i="22"/>
  <c r="L1940" i="22"/>
  <c r="L1938" i="22"/>
  <c r="L1937" i="22"/>
  <c r="P1937" i="22" s="1"/>
  <c r="L1935" i="22"/>
  <c r="L1934" i="22"/>
  <c r="P1934" i="22" s="1"/>
  <c r="F2034" i="22" s="1"/>
  <c r="L1936" i="22"/>
  <c r="P1936" i="22" s="1"/>
  <c r="F2026" i="22" s="1"/>
  <c r="I1912" i="22"/>
  <c r="O1912" i="22" s="1"/>
  <c r="D2031" i="22" s="1"/>
  <c r="O1917" i="22"/>
  <c r="O1918" i="22"/>
  <c r="O1916" i="22"/>
  <c r="O1915" i="22"/>
  <c r="O1913" i="22"/>
  <c r="J496" i="22" a="1"/>
  <c r="J496" i="22" s="1"/>
  <c r="J159" i="22" a="1"/>
  <c r="J159" i="22" s="1"/>
  <c r="K555" i="22" a="1"/>
  <c r="L561" i="22" s="1"/>
  <c r="I259" i="22" a="1"/>
  <c r="O260" i="22" s="1"/>
  <c r="I1704" i="22"/>
  <c r="O1704" i="22" s="1"/>
  <c r="O1706" i="22"/>
  <c r="O1705" i="22"/>
  <c r="O1709" i="22"/>
  <c r="O1710" i="22"/>
  <c r="O1712" i="22"/>
  <c r="O1707" i="22"/>
  <c r="O1711" i="22"/>
  <c r="O1708" i="22"/>
  <c r="I796" i="22"/>
  <c r="O796" i="22" s="1"/>
  <c r="O798" i="22"/>
  <c r="O801" i="22"/>
  <c r="O802" i="22"/>
  <c r="O803" i="22"/>
  <c r="O804" i="22"/>
  <c r="O800" i="22"/>
  <c r="O797" i="22"/>
  <c r="O799" i="22"/>
  <c r="K431" i="22" a="1"/>
  <c r="I1314" i="22"/>
  <c r="O1314" i="22" s="1"/>
  <c r="O1316" i="22"/>
  <c r="O1317" i="22"/>
  <c r="O1321" i="22"/>
  <c r="O1320" i="22"/>
  <c r="O1318" i="22"/>
  <c r="O1319" i="22"/>
  <c r="O1315" i="22"/>
  <c r="O1324" i="22"/>
  <c r="O1322" i="22"/>
  <c r="O1323" i="22"/>
  <c r="O1325" i="22"/>
  <c r="I1892" i="22"/>
  <c r="O1892" i="22" s="1"/>
  <c r="O1897" i="22"/>
  <c r="O1898" i="22"/>
  <c r="O1893" i="22"/>
  <c r="O1899" i="22"/>
  <c r="O1894" i="22"/>
  <c r="O1900" i="22"/>
  <c r="O1895" i="22"/>
  <c r="O1896" i="22"/>
  <c r="J1803" i="22" a="1"/>
  <c r="J1803" i="22" s="1"/>
  <c r="I882" i="22" a="1"/>
  <c r="J511" i="22" a="1"/>
  <c r="J511" i="22" s="1"/>
  <c r="J1156" i="22" a="1"/>
  <c r="J1156" i="22" s="1"/>
  <c r="J1146" i="22" a="1"/>
  <c r="J1146" i="22" s="1"/>
  <c r="J521" i="22" a="1"/>
  <c r="J521" i="22" s="1"/>
  <c r="J1818" i="22" a="1"/>
  <c r="J1818" i="22" s="1"/>
  <c r="J1704" i="22" a="1"/>
  <c r="J1704" i="22" s="1"/>
  <c r="J1420" i="22" a="1"/>
  <c r="J1420" i="22" s="1"/>
  <c r="J1694" i="22" a="1"/>
  <c r="J1694" i="22" s="1"/>
  <c r="J1430" i="22" a="1"/>
  <c r="J1430" i="22" s="1"/>
  <c r="J796" i="22" a="1"/>
  <c r="J796" i="22" s="1"/>
  <c r="J786" i="22" a="1"/>
  <c r="J786" i="22" s="1"/>
  <c r="J671" i="22" a="1"/>
  <c r="J671" i="22" s="1"/>
  <c r="J661" i="22" a="1"/>
  <c r="J661" i="22" s="1"/>
  <c r="J946" i="22" a="1"/>
  <c r="J946" i="22" s="1"/>
  <c r="J936" i="22" a="1"/>
  <c r="J936" i="22" s="1"/>
  <c r="J1828" i="22" a="1"/>
  <c r="J1828" i="22" s="1"/>
  <c r="J1580" i="22" a="1"/>
  <c r="J1580" i="22" s="1"/>
  <c r="J1570" i="22" a="1"/>
  <c r="J1570" i="22" s="1"/>
  <c r="J397" i="22" a="1"/>
  <c r="J397" i="22" s="1"/>
  <c r="J387" i="22" a="1"/>
  <c r="J387" i="22" s="1"/>
  <c r="J1280" i="22" a="1"/>
  <c r="J1280" i="22" s="1"/>
  <c r="J1270" i="22" a="1"/>
  <c r="J1270" i="22" s="1"/>
  <c r="J1105" i="22" a="1"/>
  <c r="J1105" i="22" s="1"/>
  <c r="J895" i="22" a="1"/>
  <c r="J895" i="22" s="1"/>
  <c r="J1777" i="22" a="1"/>
  <c r="J1777" i="22" s="1"/>
  <c r="J1229" i="22" a="1"/>
  <c r="J1229" i="22" s="1"/>
  <c r="J1379" i="22" a="1"/>
  <c r="J1379" i="22" s="1"/>
  <c r="J620" i="22" a="1"/>
  <c r="J620" i="22" s="1"/>
  <c r="J1529" i="22" a="1"/>
  <c r="J1529" i="22" s="1"/>
  <c r="J346" i="22" a="1"/>
  <c r="J346" i="22" s="1"/>
  <c r="J1653" i="22" a="1"/>
  <c r="J1653" i="22" s="1"/>
  <c r="O1572" i="22"/>
  <c r="I1570" i="22"/>
  <c r="O1570" i="22" s="1"/>
  <c r="O1571" i="22"/>
  <c r="O1575" i="22"/>
  <c r="O1577" i="22"/>
  <c r="O1576" i="22"/>
  <c r="O1574" i="22"/>
  <c r="O1578" i="22"/>
  <c r="O1573" i="22"/>
  <c r="I1818" i="22"/>
  <c r="O1818" i="22" s="1"/>
  <c r="O1820" i="22"/>
  <c r="O1826" i="22"/>
  <c r="O1823" i="22"/>
  <c r="O1819" i="22"/>
  <c r="O1821" i="22"/>
  <c r="O1824" i="22"/>
  <c r="O1825" i="22"/>
  <c r="O1822" i="22"/>
  <c r="K1066" i="22" a="1"/>
  <c r="I307" i="22"/>
  <c r="O307" i="22" s="1"/>
  <c r="O314" i="22"/>
  <c r="O312" i="22"/>
  <c r="O317" i="22"/>
  <c r="O308" i="22"/>
  <c r="O311" i="22"/>
  <c r="O309" i="22"/>
  <c r="O310" i="22"/>
  <c r="O318" i="22"/>
  <c r="O313" i="22"/>
  <c r="O315" i="22"/>
  <c r="O316" i="22"/>
  <c r="J233" i="22" a="1"/>
  <c r="J233" i="22" s="1"/>
  <c r="J372" i="22" a="1"/>
  <c r="J372" i="22" s="1"/>
  <c r="I1490" i="22" a="1"/>
  <c r="I1092" i="22" a="1"/>
  <c r="I1580" i="22"/>
  <c r="O1580" i="22" s="1"/>
  <c r="O1582" i="22"/>
  <c r="O1583" i="22"/>
  <c r="O1585" i="22"/>
  <c r="O1581" i="22"/>
  <c r="O1586" i="22"/>
  <c r="O1584" i="22"/>
  <c r="O1588" i="22"/>
  <c r="O1587" i="22"/>
  <c r="I786" i="22"/>
  <c r="O786" i="22" s="1"/>
  <c r="O788" i="22"/>
  <c r="O790" i="22"/>
  <c r="O787" i="22"/>
  <c r="O789" i="22"/>
  <c r="O791" i="22"/>
  <c r="O792" i="22"/>
  <c r="O794" i="22"/>
  <c r="O793" i="22"/>
  <c r="K1190" i="22" a="1"/>
  <c r="I555" i="22"/>
  <c r="O555" i="22" s="1"/>
  <c r="O565" i="22"/>
  <c r="O566" i="22"/>
  <c r="O563" i="22"/>
  <c r="O562" i="22"/>
  <c r="O564" i="22"/>
  <c r="O557" i="22"/>
  <c r="O556" i="22"/>
  <c r="O559" i="22"/>
  <c r="O560" i="22"/>
  <c r="O558" i="22"/>
  <c r="O561" i="22"/>
  <c r="J18" i="22" a="1"/>
  <c r="J18" i="22" s="1"/>
  <c r="J1555" i="22" a="1"/>
  <c r="J1555" i="22" s="1"/>
  <c r="I1640" i="22" a="1"/>
  <c r="I1216" i="22" a="1"/>
  <c r="I1828" i="22"/>
  <c r="O1828" i="22" s="1"/>
  <c r="O1830" i="22"/>
  <c r="O1833" i="22"/>
  <c r="O1829" i="22"/>
  <c r="O1835" i="22"/>
  <c r="O1834" i="22"/>
  <c r="O1831" i="22"/>
  <c r="O1832" i="22"/>
  <c r="I521" i="22"/>
  <c r="O521" i="22" s="1"/>
  <c r="O523" i="22"/>
  <c r="O526" i="22"/>
  <c r="O522" i="22"/>
  <c r="O528" i="22"/>
  <c r="O527" i="22"/>
  <c r="O524" i="22"/>
  <c r="O525" i="22"/>
  <c r="K1314" i="22" a="1"/>
  <c r="I431" i="22"/>
  <c r="O431" i="22" s="1"/>
  <c r="O434" i="22"/>
  <c r="O432" i="22"/>
  <c r="O437" i="22"/>
  <c r="O439" i="22"/>
  <c r="O441" i="22"/>
  <c r="O442" i="22"/>
  <c r="O433" i="22"/>
  <c r="O436" i="22"/>
  <c r="O440" i="22"/>
  <c r="O438" i="22"/>
  <c r="O435" i="22"/>
  <c r="J107" i="22" a="1"/>
  <c r="J107" i="22" s="1"/>
  <c r="J719" i="22" a="1"/>
  <c r="J719" i="22" s="1"/>
  <c r="J594" i="22" a="1"/>
  <c r="J594" i="22" s="1"/>
  <c r="G34" i="10"/>
  <c r="J745" i="22" a="1"/>
  <c r="J745" i="22" s="1"/>
  <c r="J1627" i="22" a="1"/>
  <c r="J1627" i="22" s="1"/>
  <c r="J1327" i="22" a="1"/>
  <c r="J1327" i="22" s="1"/>
  <c r="J869" i="22" a="1"/>
  <c r="J869" i="22" s="1"/>
  <c r="J444" i="22" a="1"/>
  <c r="J444" i="22" s="1"/>
  <c r="J1503" i="22" a="1"/>
  <c r="J1503" i="22" s="1"/>
  <c r="J320" i="22" a="1"/>
  <c r="J320" i="22" s="1"/>
  <c r="J1203" i="22" a="1"/>
  <c r="J1203" i="22" s="1"/>
  <c r="J1751" i="22" a="1"/>
  <c r="J1751" i="22" s="1"/>
  <c r="J568" i="22" a="1"/>
  <c r="J568" i="22" s="1"/>
  <c r="J1079" i="22" a="1"/>
  <c r="J1079" i="22" s="1"/>
  <c r="J1353" i="22" a="1"/>
  <c r="J1353" i="22" s="1"/>
  <c r="J1006" i="22" a="1"/>
  <c r="J1006" i="22" s="1"/>
  <c r="J843" i="22" a="1"/>
  <c r="J843" i="22" s="1"/>
  <c r="J470" i="22" a="1"/>
  <c r="J470" i="22" s="1"/>
  <c r="J1477" i="22" a="1"/>
  <c r="J1477" i="22" s="1"/>
  <c r="J246" i="22" a="1"/>
  <c r="J246" i="22" s="1"/>
  <c r="J646" i="22" a="1"/>
  <c r="J646" i="22" s="1"/>
  <c r="I1764" i="22" a="1"/>
  <c r="I1516" i="22" a="1"/>
  <c r="I936" i="22"/>
  <c r="O936" i="22" s="1"/>
  <c r="O938" i="22"/>
  <c r="O942" i="22"/>
  <c r="O940" i="22"/>
  <c r="O941" i="22"/>
  <c r="O937" i="22"/>
  <c r="O939" i="22"/>
  <c r="O943" i="22"/>
  <c r="O944" i="22"/>
  <c r="I1146" i="22"/>
  <c r="O1146" i="22" s="1"/>
  <c r="O1148" i="22"/>
  <c r="O1149" i="22"/>
  <c r="O1152" i="22"/>
  <c r="O1151" i="22"/>
  <c r="O1154" i="22"/>
  <c r="O1153" i="22"/>
  <c r="O1150" i="22"/>
  <c r="O1147" i="22"/>
  <c r="K307" i="22" a="1"/>
  <c r="I980" i="22"/>
  <c r="O980" i="22" s="1"/>
  <c r="O988" i="22"/>
  <c r="O985" i="22"/>
  <c r="O981" i="22"/>
  <c r="O986" i="22"/>
  <c r="O991" i="22"/>
  <c r="O987" i="22"/>
  <c r="O984" i="22"/>
  <c r="O989" i="22"/>
  <c r="O983" i="22"/>
  <c r="O990" i="22"/>
  <c r="O982" i="22"/>
  <c r="I607" i="22" a="1"/>
  <c r="I457" i="22" a="1"/>
  <c r="I1190" i="22"/>
  <c r="O1190" i="22" s="1"/>
  <c r="O1191" i="22"/>
  <c r="O1192" i="22"/>
  <c r="O1200" i="22"/>
  <c r="O1198" i="22"/>
  <c r="O1199" i="22"/>
  <c r="O1195" i="22"/>
  <c r="O1194" i="22"/>
  <c r="O1197" i="22"/>
  <c r="O1193" i="22"/>
  <c r="O1196" i="22"/>
  <c r="O1201" i="22"/>
  <c r="J1862" i="22" a="1"/>
  <c r="J1862" i="22" s="1"/>
  <c r="G138" i="10"/>
  <c r="J1872" i="22" a="1"/>
  <c r="J1872" i="22" s="1"/>
  <c r="O948" i="22"/>
  <c r="I946" i="22"/>
  <c r="O946" i="22" s="1"/>
  <c r="O947" i="22"/>
  <c r="O950" i="22"/>
  <c r="O954" i="22"/>
  <c r="O949" i="22"/>
  <c r="O953" i="22"/>
  <c r="O951" i="22"/>
  <c r="O952" i="22"/>
  <c r="I1156" i="22"/>
  <c r="O1156" i="22" s="1"/>
  <c r="O1158" i="22"/>
  <c r="O1163" i="22"/>
  <c r="O1157" i="22"/>
  <c r="O1160" i="22"/>
  <c r="O1161" i="22"/>
  <c r="O1164" i="22"/>
  <c r="O1159" i="22"/>
  <c r="O1162" i="22"/>
  <c r="K980" i="22" a="1"/>
  <c r="I1738" i="22"/>
  <c r="O1738" i="22" s="1"/>
  <c r="O1743" i="22"/>
  <c r="O1740" i="22"/>
  <c r="O1748" i="22"/>
  <c r="O1744" i="22"/>
  <c r="O1739" i="22"/>
  <c r="O1746" i="22"/>
  <c r="O1749" i="22"/>
  <c r="O1741" i="22"/>
  <c r="O1745" i="22"/>
  <c r="O1747" i="22"/>
  <c r="O1742" i="22"/>
  <c r="J771" i="22" a="1"/>
  <c r="J771" i="22" s="1"/>
  <c r="I483" i="22" a="1"/>
  <c r="I1340" i="22" a="1"/>
  <c r="K646" i="22" a="1"/>
  <c r="K1555" i="22" a="1"/>
  <c r="K372" i="22" a="1"/>
  <c r="K1803" i="22" a="1"/>
  <c r="K496" i="22" a="1"/>
  <c r="K1679" i="22" a="1"/>
  <c r="K1255" i="22" a="1"/>
  <c r="K1131" i="22" a="1"/>
  <c r="K921" i="22" a="1"/>
  <c r="K1405" i="22" a="1"/>
  <c r="K771" i="22" a="1"/>
  <c r="I661" i="22"/>
  <c r="O661" i="22" s="1"/>
  <c r="O663" i="22"/>
  <c r="O662" i="22"/>
  <c r="O669" i="22"/>
  <c r="O664" i="22"/>
  <c r="O668" i="22"/>
  <c r="O665" i="22"/>
  <c r="O666" i="22"/>
  <c r="O667" i="22"/>
  <c r="I511" i="22"/>
  <c r="O511" i="22" s="1"/>
  <c r="O513" i="22"/>
  <c r="O515" i="22"/>
  <c r="O516" i="22"/>
  <c r="O517" i="22"/>
  <c r="O514" i="22"/>
  <c r="O512" i="22"/>
  <c r="O519" i="22"/>
  <c r="O518" i="22"/>
  <c r="K1738" i="22" a="1"/>
  <c r="I1464" i="22"/>
  <c r="O1464" i="22" s="1"/>
  <c r="O1470" i="22"/>
  <c r="O1466" i="22"/>
  <c r="O1475" i="22"/>
  <c r="O1468" i="22"/>
  <c r="O1474" i="22"/>
  <c r="O1467" i="22"/>
  <c r="O1471" i="22"/>
  <c r="O1465" i="22"/>
  <c r="O1469" i="22"/>
  <c r="O1472" i="22"/>
  <c r="O1473" i="22"/>
  <c r="J1405" i="22" a="1"/>
  <c r="J1405" i="22" s="1"/>
  <c r="I856" i="22" a="1"/>
  <c r="I333" i="22" a="1"/>
  <c r="I671" i="22"/>
  <c r="O671" i="22" s="1"/>
  <c r="O673" i="22"/>
  <c r="O676" i="22"/>
  <c r="O678" i="22"/>
  <c r="O679" i="22"/>
  <c r="O677" i="22"/>
  <c r="O675" i="22"/>
  <c r="O672" i="22"/>
  <c r="O674" i="22"/>
  <c r="I387" i="22"/>
  <c r="O387" i="22" s="1"/>
  <c r="O389" i="22"/>
  <c r="O393" i="22"/>
  <c r="O395" i="22"/>
  <c r="O394" i="22"/>
  <c r="O390" i="22"/>
  <c r="O391" i="22"/>
  <c r="O392" i="22"/>
  <c r="O388" i="22"/>
  <c r="K1464" i="22" a="1"/>
  <c r="I706" i="22"/>
  <c r="O706" i="22" s="1"/>
  <c r="O710" i="22"/>
  <c r="O712" i="22"/>
  <c r="O716" i="22"/>
  <c r="O709" i="22"/>
  <c r="O715" i="22"/>
  <c r="O711" i="22"/>
  <c r="O713" i="22"/>
  <c r="O708" i="22"/>
  <c r="O707" i="22"/>
  <c r="O717" i="22"/>
  <c r="O714" i="22"/>
  <c r="J921" i="22" a="1"/>
  <c r="J921" i="22" s="1"/>
  <c r="I1019" i="22" a="1"/>
  <c r="I758" i="22" a="1"/>
  <c r="O1432" i="22"/>
  <c r="I1430" i="22"/>
  <c r="O1430" i="22" s="1"/>
  <c r="O1433" i="22"/>
  <c r="O1434" i="22"/>
  <c r="O1438" i="22"/>
  <c r="O1437" i="22"/>
  <c r="O1436" i="22"/>
  <c r="O1431" i="22"/>
  <c r="O1435" i="22"/>
  <c r="I397" i="22"/>
  <c r="O397" i="22" s="1"/>
  <c r="O399" i="22"/>
  <c r="O400" i="22"/>
  <c r="O398" i="22"/>
  <c r="O403" i="22"/>
  <c r="O401" i="22"/>
  <c r="O405" i="22"/>
  <c r="O402" i="22"/>
  <c r="O404" i="22"/>
  <c r="K706" i="22" a="1"/>
  <c r="I830" i="22"/>
  <c r="O830" i="22" s="1"/>
  <c r="O840" i="22"/>
  <c r="O838" i="22"/>
  <c r="O832" i="22"/>
  <c r="O833" i="22"/>
  <c r="O836" i="22"/>
  <c r="O834" i="22"/>
  <c r="O835" i="22"/>
  <c r="O837" i="22"/>
  <c r="O839" i="22"/>
  <c r="O831" i="22"/>
  <c r="J1255" i="22" a="1"/>
  <c r="J1255" i="22" s="1"/>
  <c r="I1366" i="22" a="1"/>
  <c r="I1882" i="22"/>
  <c r="O1882" i="22" s="1"/>
  <c r="D2022" i="22" s="1"/>
  <c r="G52" i="8" s="1"/>
  <c r="O1884" i="22"/>
  <c r="O1890" i="22"/>
  <c r="O1889" i="22"/>
  <c r="O1888" i="22"/>
  <c r="O1887" i="22"/>
  <c r="O1883" i="22"/>
  <c r="O1885" i="22"/>
  <c r="O1886" i="22"/>
  <c r="I1694" i="22"/>
  <c r="O1694" i="22" s="1"/>
  <c r="O1696" i="22"/>
  <c r="O1699" i="22"/>
  <c r="O1695" i="22"/>
  <c r="O1700" i="22"/>
  <c r="O1697" i="22"/>
  <c r="O1698" i="22"/>
  <c r="O1701" i="22"/>
  <c r="O1702" i="22"/>
  <c r="I1270" i="22"/>
  <c r="O1270" i="22" s="1"/>
  <c r="O1272" i="22"/>
  <c r="O1271" i="22"/>
  <c r="O1276" i="22"/>
  <c r="O1277" i="22"/>
  <c r="O1274" i="22"/>
  <c r="O1273" i="22"/>
  <c r="O1278" i="22"/>
  <c r="O1275" i="22"/>
  <c r="K830" i="22" a="1"/>
  <c r="I1614" i="22"/>
  <c r="O1614" i="22" s="1"/>
  <c r="O1622" i="22"/>
  <c r="O1620" i="22"/>
  <c r="O1624" i="22"/>
  <c r="O1617" i="22"/>
  <c r="O1618" i="22"/>
  <c r="O1615" i="22"/>
  <c r="O1619" i="22"/>
  <c r="O1623" i="22"/>
  <c r="O1625" i="22"/>
  <c r="O1621" i="22"/>
  <c r="O1616" i="22"/>
  <c r="J1679" i="22" a="1"/>
  <c r="J1679" i="22" s="1"/>
  <c r="I732" i="22" a="1"/>
  <c r="I1420" i="22"/>
  <c r="O1420" i="22" s="1"/>
  <c r="O1422" i="22"/>
  <c r="O1428" i="22"/>
  <c r="O1427" i="22"/>
  <c r="O1425" i="22"/>
  <c r="O1421" i="22"/>
  <c r="O1426" i="22"/>
  <c r="O1423" i="22"/>
  <c r="O1424" i="22"/>
  <c r="I1280" i="22"/>
  <c r="O1280" i="22" s="1"/>
  <c r="O1282" i="22"/>
  <c r="O1281" i="22"/>
  <c r="O1285" i="22"/>
  <c r="O1283" i="22"/>
  <c r="O1287" i="22"/>
  <c r="O1288" i="22"/>
  <c r="O1286" i="22"/>
  <c r="O1284" i="22"/>
  <c r="K1614" i="22" a="1"/>
  <c r="I1066" i="22"/>
  <c r="O1066" i="22" s="1"/>
  <c r="O1071" i="22"/>
  <c r="O1075" i="22"/>
  <c r="O1067" i="22"/>
  <c r="O1073" i="22"/>
  <c r="O1074" i="22"/>
  <c r="O1070" i="22"/>
  <c r="O1072" i="22"/>
  <c r="O1069" i="22"/>
  <c r="O1068" i="22"/>
  <c r="O1076" i="22"/>
  <c r="O1077" i="22"/>
  <c r="J1131" i="22" a="1"/>
  <c r="J1131" i="22" s="1"/>
  <c r="I581" i="22" a="1"/>
  <c r="I120" i="22" a="1"/>
  <c r="O130" i="22" s="1"/>
  <c r="L229" i="22"/>
  <c r="L222" i="22"/>
  <c r="L228" i="22"/>
  <c r="L224" i="22"/>
  <c r="L227" i="22"/>
  <c r="L226" i="22"/>
  <c r="L225" i="22"/>
  <c r="L230" i="22"/>
  <c r="K220" i="22"/>
  <c r="L220" i="22" s="1"/>
  <c r="L221" i="22"/>
  <c r="L223" i="22"/>
  <c r="I174" i="22"/>
  <c r="O174" i="22" s="1"/>
  <c r="O181" i="22"/>
  <c r="O177" i="22"/>
  <c r="O179" i="22"/>
  <c r="O180" i="22"/>
  <c r="O182" i="22"/>
  <c r="O175" i="22"/>
  <c r="O176" i="22"/>
  <c r="O178" i="22"/>
  <c r="G48" i="10"/>
  <c r="J133" i="22" a="1"/>
  <c r="J133" i="22" s="1"/>
  <c r="K159" i="22" a="1"/>
  <c r="K57" i="22"/>
  <c r="L57" i="22" s="1"/>
  <c r="P57" i="22" s="1"/>
  <c r="E69" i="10"/>
  <c r="G69" i="10" s="1"/>
  <c r="K51" i="22" s="1"/>
  <c r="L51" i="22" s="1"/>
  <c r="P51" i="22" s="1"/>
  <c r="G120" i="10"/>
  <c r="J184" i="22" a="1"/>
  <c r="J184" i="22" s="1"/>
  <c r="J174" i="22" a="1"/>
  <c r="J174" i="22" s="1"/>
  <c r="O186" i="22"/>
  <c r="O192" i="22"/>
  <c r="I184" i="22"/>
  <c r="O184" i="22" s="1"/>
  <c r="O185" i="22"/>
  <c r="O189" i="22"/>
  <c r="O190" i="22"/>
  <c r="O187" i="22"/>
  <c r="O188" i="22"/>
  <c r="O191" i="22"/>
  <c r="P101" i="22"/>
  <c r="P100" i="22"/>
  <c r="P97" i="22"/>
  <c r="P95" i="22"/>
  <c r="P103" i="22"/>
  <c r="P98" i="22"/>
  <c r="P94" i="22"/>
  <c r="G27" i="10"/>
  <c r="K38" i="22" s="1"/>
  <c r="L38" i="22" s="1"/>
  <c r="P38" i="22" s="1"/>
  <c r="O69" i="22"/>
  <c r="K41" i="22"/>
  <c r="L41" i="22" s="1"/>
  <c r="P41" i="22" s="1"/>
  <c r="E154" i="15"/>
  <c r="F154" i="15" s="1"/>
  <c r="K104" i="22"/>
  <c r="L104" i="22" s="1"/>
  <c r="K15" i="22"/>
  <c r="L15" i="22" s="1"/>
  <c r="P14" i="22"/>
  <c r="L84" i="22"/>
  <c r="P84" i="22" s="1"/>
  <c r="K32" i="22"/>
  <c r="L32" i="22" s="1"/>
  <c r="P32" i="22" s="1"/>
  <c r="K31" i="22"/>
  <c r="L31" i="22" s="1"/>
  <c r="P12" i="22"/>
  <c r="K35" i="22"/>
  <c r="L35" i="22" s="1"/>
  <c r="P35" i="22" s="1"/>
  <c r="F12" i="11"/>
  <c r="I6" i="8" s="1"/>
  <c r="H6" i="8" s="1"/>
  <c r="P9" i="22"/>
  <c r="P44" i="22"/>
  <c r="P8" i="22"/>
  <c r="P11" i="22"/>
  <c r="G86" i="10"/>
  <c r="K67" i="22" s="1"/>
  <c r="L67" i="22" s="1"/>
  <c r="P67" i="22" s="1"/>
  <c r="J67" i="22"/>
  <c r="J38" i="22"/>
  <c r="K37" i="22"/>
  <c r="L37" i="22" s="1"/>
  <c r="P37" i="22" s="1"/>
  <c r="P6" i="22"/>
  <c r="K34" i="22"/>
  <c r="L34" i="22" s="1"/>
  <c r="P34" i="22" s="1"/>
  <c r="C9" i="17"/>
  <c r="E153" i="15"/>
  <c r="F153" i="15" s="1"/>
  <c r="E148" i="15"/>
  <c r="F148" i="15" s="1"/>
  <c r="E149" i="15"/>
  <c r="F149" i="15" s="1"/>
  <c r="E147" i="15"/>
  <c r="F116" i="15"/>
  <c r="H29" i="8"/>
  <c r="I29" i="8" s="1"/>
  <c r="G68" i="10"/>
  <c r="E82" i="10"/>
  <c r="D2027" i="22" l="1"/>
  <c r="G99" i="8" s="1"/>
  <c r="L99" i="8" s="1"/>
  <c r="L1988" i="22"/>
  <c r="P1988" i="22" s="1"/>
  <c r="D2015" i="22"/>
  <c r="G46" i="8" s="1"/>
  <c r="D2020" i="22"/>
  <c r="G51" i="8" s="1"/>
  <c r="D2030" i="22"/>
  <c r="G95" i="8" s="1"/>
  <c r="D2019" i="22"/>
  <c r="G50" i="8" s="1"/>
  <c r="H10" i="35"/>
  <c r="C10" i="35"/>
  <c r="I49" i="35"/>
  <c r="D2021" i="22"/>
  <c r="G21" i="8" s="1"/>
  <c r="D115" i="30" s="1"/>
  <c r="F115" i="30" s="1"/>
  <c r="F118" i="30" s="1"/>
  <c r="F151" i="15"/>
  <c r="H27" i="8"/>
  <c r="I27" i="8" s="1"/>
  <c r="F141" i="15"/>
  <c r="D2023" i="22"/>
  <c r="G53" i="8" s="1"/>
  <c r="P1968" i="22"/>
  <c r="L1986" i="22"/>
  <c r="P1986" i="22" s="1"/>
  <c r="L1985" i="22"/>
  <c r="P1985" i="22" s="1"/>
  <c r="P1971" i="22"/>
  <c r="L1982" i="22"/>
  <c r="P1982" i="22" s="1"/>
  <c r="O1919" i="22"/>
  <c r="I1922" i="22" a="1"/>
  <c r="I1922" i="22" s="1"/>
  <c r="O1922" i="22" s="1"/>
  <c r="L1989" i="22"/>
  <c r="P1989" i="22" s="1"/>
  <c r="O1914" i="22"/>
  <c r="L1978" i="22"/>
  <c r="D1999" i="22"/>
  <c r="G41" i="8" s="1"/>
  <c r="D2010" i="22"/>
  <c r="I18" i="8"/>
  <c r="J18" i="8" s="1"/>
  <c r="P1970" i="22"/>
  <c r="D1998" i="22"/>
  <c r="G40" i="8" s="1"/>
  <c r="O1927" i="22"/>
  <c r="O1929" i="22"/>
  <c r="O1925" i="22"/>
  <c r="O1924" i="22"/>
  <c r="O1926" i="22"/>
  <c r="D2017" i="22"/>
  <c r="G48" i="8" s="1"/>
  <c r="G96" i="8"/>
  <c r="E2031" i="22"/>
  <c r="H96" i="8" s="1"/>
  <c r="J57" i="8"/>
  <c r="D2018" i="22"/>
  <c r="G49" i="8" s="1"/>
  <c r="D2016" i="22"/>
  <c r="G47" i="8" s="1"/>
  <c r="P1980" i="22"/>
  <c r="L560" i="22"/>
  <c r="P560" i="22" s="1"/>
  <c r="O264" i="22"/>
  <c r="O262" i="22"/>
  <c r="L1955" i="22"/>
  <c r="P1940" i="22"/>
  <c r="L1957" i="22"/>
  <c r="P1942" i="22"/>
  <c r="F2036" i="22" s="1"/>
  <c r="E2036" i="22" s="1"/>
  <c r="L1959" i="22"/>
  <c r="P1941" i="22"/>
  <c r="F2035" i="22" s="1"/>
  <c r="E2035" i="22" s="1"/>
  <c r="H87" i="8" s="1"/>
  <c r="I87" i="8" s="1"/>
  <c r="J87" i="8" s="1"/>
  <c r="L1958" i="22"/>
  <c r="P1943" i="22"/>
  <c r="F2037" i="22" s="1"/>
  <c r="E2037" i="22" s="1"/>
  <c r="H59" i="8" s="1"/>
  <c r="I59" i="8" s="1"/>
  <c r="L1960" i="22"/>
  <c r="P1935" i="22"/>
  <c r="F2025" i="22" s="1"/>
  <c r="E2025" i="22" s="1"/>
  <c r="H17" i="8" s="1"/>
  <c r="I17" i="8" s="1"/>
  <c r="L1956" i="22"/>
  <c r="P1938" i="22"/>
  <c r="F2028" i="22" s="1"/>
  <c r="P1933" i="22"/>
  <c r="F2033" i="22" s="1"/>
  <c r="E2033" i="22" s="1"/>
  <c r="H56" i="8" s="1"/>
  <c r="I56" i="8" s="1"/>
  <c r="L564" i="22"/>
  <c r="P564" i="22" s="1"/>
  <c r="L557" i="22"/>
  <c r="P557" i="22" s="1"/>
  <c r="K555" i="22"/>
  <c r="L555" i="22" s="1"/>
  <c r="P555" i="22" s="1"/>
  <c r="L559" i="22"/>
  <c r="P559" i="22" s="1"/>
  <c r="L562" i="22"/>
  <c r="P562" i="22" s="1"/>
  <c r="L565" i="22"/>
  <c r="P565" i="22" s="1"/>
  <c r="L563" i="22"/>
  <c r="P563" i="22" s="1"/>
  <c r="L558" i="22"/>
  <c r="P558" i="22" s="1"/>
  <c r="L556" i="22"/>
  <c r="P556" i="22" s="1"/>
  <c r="J120" i="22" a="1"/>
  <c r="J120" i="22" s="1"/>
  <c r="I259" i="22"/>
  <c r="O259" i="22" s="1"/>
  <c r="O267" i="22"/>
  <c r="O261" i="22"/>
  <c r="O268" i="22"/>
  <c r="O270" i="22"/>
  <c r="E83" i="10"/>
  <c r="J359" i="22" s="1" a="1"/>
  <c r="J359" i="22" s="1"/>
  <c r="J483" i="22" a="1"/>
  <c r="J483" i="22" s="1"/>
  <c r="O265" i="22"/>
  <c r="O263" i="22"/>
  <c r="O269" i="22"/>
  <c r="J333" i="22" a="1"/>
  <c r="J333" i="22" s="1"/>
  <c r="J758" i="22" a="1"/>
  <c r="J758" i="22" s="1"/>
  <c r="J856" i="22" a="1"/>
  <c r="J856" i="22" s="1"/>
  <c r="J1019" i="22" a="1"/>
  <c r="J1019" i="22" s="1"/>
  <c r="O266" i="22"/>
  <c r="J1516" i="22" a="1"/>
  <c r="J1516" i="22" s="1"/>
  <c r="J1764" i="22" a="1"/>
  <c r="J1764" i="22" s="1"/>
  <c r="J1640" i="22" a="1"/>
  <c r="J1640" i="22" s="1"/>
  <c r="J1340" i="22" a="1"/>
  <c r="J1340" i="22" s="1"/>
  <c r="K1516" i="22" a="1"/>
  <c r="K1516" i="22" s="1"/>
  <c r="L1516" i="22" s="1"/>
  <c r="L505" i="22"/>
  <c r="P505" i="22" s="1"/>
  <c r="L508" i="22"/>
  <c r="K496" i="22"/>
  <c r="L496" i="22" s="1"/>
  <c r="L497" i="22"/>
  <c r="P497" i="22" s="1"/>
  <c r="L507" i="22"/>
  <c r="P507" i="22" s="1"/>
  <c r="L499" i="22"/>
  <c r="L502" i="22"/>
  <c r="P502" i="22" s="1"/>
  <c r="L506" i="22"/>
  <c r="P506" i="22" s="1"/>
  <c r="L509" i="22"/>
  <c r="L503" i="22"/>
  <c r="P503" i="22" s="1"/>
  <c r="L498" i="22"/>
  <c r="P498" i="22" s="1"/>
  <c r="L504" i="22"/>
  <c r="P504" i="22" s="1"/>
  <c r="L501" i="22"/>
  <c r="P501" i="22" s="1"/>
  <c r="L500" i="22"/>
  <c r="P500" i="22" s="1"/>
  <c r="J51" i="22"/>
  <c r="J1366" i="22" a="1"/>
  <c r="J1366" i="22" s="1"/>
  <c r="K1803" i="22"/>
  <c r="L1803" i="22" s="1"/>
  <c r="L1810" i="22"/>
  <c r="P1810" i="22" s="1"/>
  <c r="L1804" i="22"/>
  <c r="P1804" i="22" s="1"/>
  <c r="L1815" i="22"/>
  <c r="L1812" i="22"/>
  <c r="P1812" i="22" s="1"/>
  <c r="L1816" i="22"/>
  <c r="L1809" i="22"/>
  <c r="P1809" i="22" s="1"/>
  <c r="L1806" i="22"/>
  <c r="L1814" i="22"/>
  <c r="P1814" i="22" s="1"/>
  <c r="L1813" i="22"/>
  <c r="P1813" i="22" s="1"/>
  <c r="L1807" i="22"/>
  <c r="P1807" i="22" s="1"/>
  <c r="L1805" i="22"/>
  <c r="P1805" i="22" s="1"/>
  <c r="L1808" i="22"/>
  <c r="P1808" i="22" s="1"/>
  <c r="L1811" i="22"/>
  <c r="P1811" i="22" s="1"/>
  <c r="I607" i="22"/>
  <c r="O607" i="22" s="1"/>
  <c r="O612" i="22"/>
  <c r="O618" i="22"/>
  <c r="O616" i="22"/>
  <c r="O613" i="22"/>
  <c r="O608" i="22"/>
  <c r="O611" i="22"/>
  <c r="O614" i="22"/>
  <c r="O609" i="22"/>
  <c r="O615" i="22"/>
  <c r="O610" i="22"/>
  <c r="O617" i="22"/>
  <c r="K1066" i="22"/>
  <c r="L1066" i="22" s="1"/>
  <c r="L1074" i="22"/>
  <c r="L1068" i="22"/>
  <c r="L1071" i="22"/>
  <c r="L1075" i="22"/>
  <c r="L1072" i="22"/>
  <c r="L1067" i="22"/>
  <c r="L1076" i="22"/>
  <c r="L1069" i="22"/>
  <c r="L1073" i="22"/>
  <c r="L1070" i="22"/>
  <c r="K233" i="22" a="1"/>
  <c r="K307" i="22"/>
  <c r="L307" i="22" s="1"/>
  <c r="L309" i="22"/>
  <c r="L315" i="22"/>
  <c r="L312" i="22"/>
  <c r="L316" i="22"/>
  <c r="L308" i="22"/>
  <c r="L310" i="22"/>
  <c r="L317" i="22"/>
  <c r="L313" i="22"/>
  <c r="L314" i="22"/>
  <c r="L311" i="22"/>
  <c r="P561" i="22"/>
  <c r="K1156" i="22" a="1"/>
  <c r="K1146" i="22" a="1"/>
  <c r="K521" i="22" a="1"/>
  <c r="K1818" i="22" a="1"/>
  <c r="K1420" i="22" a="1"/>
  <c r="K661" i="22" a="1"/>
  <c r="K1704" i="22" a="1"/>
  <c r="K1694" i="22" a="1"/>
  <c r="K1430" i="22" a="1"/>
  <c r="K796" i="22" a="1"/>
  <c r="K786" i="22" a="1"/>
  <c r="K671" i="22" a="1"/>
  <c r="K946" i="22" a="1"/>
  <c r="K936" i="22" a="1"/>
  <c r="K1828" i="22" a="1"/>
  <c r="K1580" i="22" a="1"/>
  <c r="K1570" i="22" a="1"/>
  <c r="K1280" i="22" a="1"/>
  <c r="K1270" i="22" a="1"/>
  <c r="K397" i="22" a="1"/>
  <c r="K387" i="22" a="1"/>
  <c r="K511" i="22" a="1"/>
  <c r="K372" i="22"/>
  <c r="L372" i="22" s="1"/>
  <c r="L378" i="22"/>
  <c r="P378" i="22" s="1"/>
  <c r="L383" i="22"/>
  <c r="P383" i="22" s="1"/>
  <c r="L385" i="22"/>
  <c r="L381" i="22"/>
  <c r="P381" i="22" s="1"/>
  <c r="L373" i="22"/>
  <c r="P373" i="22" s="1"/>
  <c r="L384" i="22"/>
  <c r="L374" i="22"/>
  <c r="P374" i="22" s="1"/>
  <c r="L375" i="22"/>
  <c r="L382" i="22"/>
  <c r="P382" i="22" s="1"/>
  <c r="L380" i="22"/>
  <c r="P380" i="22" s="1"/>
  <c r="L376" i="22"/>
  <c r="P376" i="22" s="1"/>
  <c r="L377" i="22"/>
  <c r="P377" i="22" s="1"/>
  <c r="L379" i="22"/>
  <c r="P379" i="22" s="1"/>
  <c r="J457" i="22" a="1"/>
  <c r="J457" i="22" s="1"/>
  <c r="K18" i="22" a="1"/>
  <c r="L25" i="22" s="1"/>
  <c r="P25" i="22" s="1"/>
  <c r="L1564" i="22"/>
  <c r="P1564" i="22" s="1"/>
  <c r="L1561" i="22"/>
  <c r="P1561" i="22" s="1"/>
  <c r="L1567" i="22"/>
  <c r="K1555" i="22"/>
  <c r="L1555" i="22" s="1"/>
  <c r="L1566" i="22"/>
  <c r="P1566" i="22" s="1"/>
  <c r="L1565" i="22"/>
  <c r="P1565" i="22" s="1"/>
  <c r="L1556" i="22"/>
  <c r="P1556" i="22" s="1"/>
  <c r="L1568" i="22"/>
  <c r="L1558" i="22"/>
  <c r="L1557" i="22"/>
  <c r="P1557" i="22" s="1"/>
  <c r="L1560" i="22"/>
  <c r="P1560" i="22" s="1"/>
  <c r="L1563" i="22"/>
  <c r="P1563" i="22" s="1"/>
  <c r="L1562" i="22"/>
  <c r="P1562" i="22" s="1"/>
  <c r="L1559" i="22"/>
  <c r="P1559" i="22" s="1"/>
  <c r="J732" i="22" a="1"/>
  <c r="J732" i="22" s="1"/>
  <c r="K993" i="22" a="1"/>
  <c r="K646" i="22"/>
  <c r="L646" i="22" s="1"/>
  <c r="L657" i="22"/>
  <c r="P657" i="22" s="1"/>
  <c r="L658" i="22"/>
  <c r="L652" i="22"/>
  <c r="P652" i="22" s="1"/>
  <c r="L655" i="22"/>
  <c r="P655" i="22" s="1"/>
  <c r="L647" i="22"/>
  <c r="P647" i="22" s="1"/>
  <c r="L648" i="22"/>
  <c r="P648" i="22" s="1"/>
  <c r="L656" i="22"/>
  <c r="P656" i="22" s="1"/>
  <c r="L649" i="22"/>
  <c r="L659" i="22"/>
  <c r="L654" i="22"/>
  <c r="P654" i="22" s="1"/>
  <c r="L651" i="22"/>
  <c r="P651" i="22" s="1"/>
  <c r="L650" i="22"/>
  <c r="L653" i="22"/>
  <c r="P653" i="22" s="1"/>
  <c r="J259" i="22" a="1"/>
  <c r="J259" i="22" s="1"/>
  <c r="K1216" i="22" a="1"/>
  <c r="K581" i="22" a="1"/>
  <c r="J1216" i="22" a="1"/>
  <c r="J1216" i="22" s="1"/>
  <c r="K457" i="22" a="1"/>
  <c r="K1490" i="22" a="1"/>
  <c r="K431" i="22"/>
  <c r="L431" i="22" s="1"/>
  <c r="L433" i="22"/>
  <c r="L439" i="22"/>
  <c r="L436" i="22"/>
  <c r="L440" i="22"/>
  <c r="L437" i="22"/>
  <c r="P437" i="22" s="1"/>
  <c r="L432" i="22"/>
  <c r="L441" i="22"/>
  <c r="L434" i="22"/>
  <c r="L435" i="22"/>
  <c r="L438" i="22"/>
  <c r="I1366" i="22"/>
  <c r="O1366" i="22" s="1"/>
  <c r="O1374" i="22"/>
  <c r="O1377" i="22"/>
  <c r="O1373" i="22"/>
  <c r="O1367" i="22"/>
  <c r="O1369" i="22"/>
  <c r="O1376" i="22"/>
  <c r="O1368" i="22"/>
  <c r="O1370" i="22"/>
  <c r="O1371" i="22"/>
  <c r="O1375" i="22"/>
  <c r="O1372" i="22"/>
  <c r="K771" i="22"/>
  <c r="L771" i="22" s="1"/>
  <c r="L777" i="22"/>
  <c r="P777" i="22" s="1"/>
  <c r="L780" i="22"/>
  <c r="P780" i="22" s="1"/>
  <c r="L772" i="22"/>
  <c r="P772" i="22" s="1"/>
  <c r="L783" i="22"/>
  <c r="L784" i="22"/>
  <c r="L782" i="22"/>
  <c r="P782" i="22" s="1"/>
  <c r="L779" i="22"/>
  <c r="P779" i="22" s="1"/>
  <c r="L774" i="22"/>
  <c r="L776" i="22"/>
  <c r="P776" i="22" s="1"/>
  <c r="L773" i="22"/>
  <c r="P773" i="22" s="1"/>
  <c r="L781" i="22"/>
  <c r="P781" i="22" s="1"/>
  <c r="L778" i="22"/>
  <c r="P778" i="22" s="1"/>
  <c r="L775" i="22"/>
  <c r="J1490" i="22" a="1"/>
  <c r="J1490" i="22" s="1"/>
  <c r="K1764" i="22" a="1"/>
  <c r="J581" i="22" a="1"/>
  <c r="J581" i="22" s="1"/>
  <c r="I882" i="22"/>
  <c r="O882" i="22" s="1"/>
  <c r="O889" i="22"/>
  <c r="O887" i="22"/>
  <c r="O885" i="22"/>
  <c r="O890" i="22"/>
  <c r="O886" i="22"/>
  <c r="O891" i="22"/>
  <c r="O884" i="22"/>
  <c r="O893" i="22"/>
  <c r="O892" i="22"/>
  <c r="O888" i="22"/>
  <c r="O883" i="22"/>
  <c r="K882" i="22" a="1"/>
  <c r="K607" i="22" a="1"/>
  <c r="K259" i="22" a="1"/>
  <c r="K706" i="22"/>
  <c r="L706" i="22" s="1"/>
  <c r="L715" i="22"/>
  <c r="L714" i="22"/>
  <c r="L708" i="22"/>
  <c r="L711" i="22"/>
  <c r="L710" i="22"/>
  <c r="L712" i="22"/>
  <c r="L716" i="22"/>
  <c r="L707" i="22"/>
  <c r="L709" i="22"/>
  <c r="L713" i="22"/>
  <c r="K1019" i="22" a="1"/>
  <c r="K856" i="22" a="1"/>
  <c r="K1405" i="22"/>
  <c r="L1405" i="22" s="1"/>
  <c r="L1411" i="22"/>
  <c r="P1411" i="22" s="1"/>
  <c r="L1414" i="22"/>
  <c r="P1414" i="22" s="1"/>
  <c r="L1417" i="22"/>
  <c r="L1406" i="22"/>
  <c r="P1406" i="22" s="1"/>
  <c r="L1416" i="22"/>
  <c r="P1416" i="22" s="1"/>
  <c r="L1408" i="22"/>
  <c r="L1410" i="22"/>
  <c r="P1410" i="22" s="1"/>
  <c r="L1415" i="22"/>
  <c r="P1415" i="22" s="1"/>
  <c r="L1418" i="22"/>
  <c r="L1407" i="22"/>
  <c r="P1407" i="22" s="1"/>
  <c r="L1413" i="22"/>
  <c r="P1413" i="22" s="1"/>
  <c r="L1409" i="22"/>
  <c r="P1409" i="22" s="1"/>
  <c r="L1412" i="22"/>
  <c r="P1412" i="22" s="1"/>
  <c r="K732" i="22" a="1"/>
  <c r="K1872" i="22" a="1"/>
  <c r="K1862" i="22" a="1"/>
  <c r="K107" i="22" a="1"/>
  <c r="K107" i="22" s="1"/>
  <c r="L107" i="22" s="1"/>
  <c r="K594" i="22" a="1"/>
  <c r="K745" i="22" a="1"/>
  <c r="K1627" i="22" a="1"/>
  <c r="K1327" i="22" a="1"/>
  <c r="K869" i="22" a="1"/>
  <c r="K444" i="22" a="1"/>
  <c r="K1503" i="22" a="1"/>
  <c r="K320" i="22" a="1"/>
  <c r="K1203" i="22" a="1"/>
  <c r="K246" i="22" a="1"/>
  <c r="K1751" i="22" a="1"/>
  <c r="K1079" i="22" a="1"/>
  <c r="K568" i="22" a="1"/>
  <c r="K1353" i="22" a="1"/>
  <c r="K1006" i="22" a="1"/>
  <c r="K843" i="22" a="1"/>
  <c r="K470" i="22" a="1"/>
  <c r="K719" i="22" a="1"/>
  <c r="K1477" i="22" a="1"/>
  <c r="I1216" i="22"/>
  <c r="O1216" i="22" s="1"/>
  <c r="O1217" i="22"/>
  <c r="O1227" i="22"/>
  <c r="O1219" i="22"/>
  <c r="O1224" i="22"/>
  <c r="O1218" i="22"/>
  <c r="O1226" i="22"/>
  <c r="O1221" i="22"/>
  <c r="O1223" i="22"/>
  <c r="O1220" i="22"/>
  <c r="O1225" i="22"/>
  <c r="O1222" i="22"/>
  <c r="K133" i="22" a="1"/>
  <c r="L140" i="22" s="1"/>
  <c r="P140" i="22" s="1"/>
  <c r="K1777" i="22" a="1"/>
  <c r="K1229" i="22" a="1"/>
  <c r="K1379" i="22" a="1"/>
  <c r="K620" i="22" a="1"/>
  <c r="K1529" i="22" a="1"/>
  <c r="K346" i="22" a="1"/>
  <c r="K1653" i="22" a="1"/>
  <c r="K1105" i="22" a="1"/>
  <c r="K895" i="22" a="1"/>
  <c r="K758" i="22" a="1"/>
  <c r="K1092" i="22" a="1"/>
  <c r="O128" i="22"/>
  <c r="I581" i="22"/>
  <c r="O581" i="22" s="1"/>
  <c r="O586" i="22"/>
  <c r="O583" i="22"/>
  <c r="O589" i="22"/>
  <c r="O584" i="22"/>
  <c r="O588" i="22"/>
  <c r="O590" i="22"/>
  <c r="O582" i="22"/>
  <c r="O585" i="22"/>
  <c r="O587" i="22"/>
  <c r="O591" i="22"/>
  <c r="O592" i="22"/>
  <c r="K333" i="22" a="1"/>
  <c r="I758" i="22"/>
  <c r="O758" i="22" s="1"/>
  <c r="O768" i="22"/>
  <c r="O761" i="22"/>
  <c r="O769" i="22"/>
  <c r="O762" i="22"/>
  <c r="O765" i="22"/>
  <c r="O759" i="22"/>
  <c r="O767" i="22"/>
  <c r="O760" i="22"/>
  <c r="O766" i="22"/>
  <c r="O764" i="22"/>
  <c r="O763" i="22"/>
  <c r="I333" i="22"/>
  <c r="O333" i="22" s="1"/>
  <c r="O334" i="22"/>
  <c r="O340" i="22"/>
  <c r="O335" i="22"/>
  <c r="O339" i="22"/>
  <c r="O337" i="22"/>
  <c r="O338" i="22"/>
  <c r="O341" i="22"/>
  <c r="O343" i="22"/>
  <c r="O342" i="22"/>
  <c r="O344" i="22"/>
  <c r="O336" i="22"/>
  <c r="L927" i="22"/>
  <c r="P927" i="22" s="1"/>
  <c r="L930" i="22"/>
  <c r="P930" i="22" s="1"/>
  <c r="L931" i="22"/>
  <c r="P931" i="22" s="1"/>
  <c r="K921" i="22"/>
  <c r="L921" i="22" s="1"/>
  <c r="L922" i="22"/>
  <c r="P922" i="22" s="1"/>
  <c r="L933" i="22"/>
  <c r="L932" i="22"/>
  <c r="P932" i="22" s="1"/>
  <c r="L934" i="22"/>
  <c r="L924" i="22"/>
  <c r="L923" i="22"/>
  <c r="P923" i="22" s="1"/>
  <c r="L928" i="22"/>
  <c r="P928" i="22" s="1"/>
  <c r="L929" i="22"/>
  <c r="P929" i="22" s="1"/>
  <c r="L926" i="22"/>
  <c r="P926" i="22" s="1"/>
  <c r="L925" i="22"/>
  <c r="I1340" i="22"/>
  <c r="O1340" i="22" s="1"/>
  <c r="O1343" i="22"/>
  <c r="O1348" i="22"/>
  <c r="O1347" i="22"/>
  <c r="O1350" i="22"/>
  <c r="O1342" i="22"/>
  <c r="O1345" i="22"/>
  <c r="O1351" i="22"/>
  <c r="O1346" i="22"/>
  <c r="O1341" i="22"/>
  <c r="O1349" i="22"/>
  <c r="O1344" i="22"/>
  <c r="J882" i="22" a="1"/>
  <c r="J882" i="22" s="1"/>
  <c r="I1640" i="22"/>
  <c r="O1640" i="22" s="1"/>
  <c r="O1650" i="22"/>
  <c r="O1646" i="22"/>
  <c r="O1643" i="22"/>
  <c r="O1647" i="22"/>
  <c r="O1649" i="22"/>
  <c r="O1642" i="22"/>
  <c r="O1648" i="22"/>
  <c r="O1645" i="22"/>
  <c r="O1641" i="22"/>
  <c r="O1651" i="22"/>
  <c r="O1644" i="22"/>
  <c r="K1640" i="22" a="1"/>
  <c r="I457" i="22"/>
  <c r="O457" i="22" s="1"/>
  <c r="O468" i="22"/>
  <c r="O466" i="22"/>
  <c r="O462" i="22"/>
  <c r="O467" i="22"/>
  <c r="O459" i="22"/>
  <c r="O460" i="22"/>
  <c r="O463" i="22"/>
  <c r="O465" i="22"/>
  <c r="O461" i="22"/>
  <c r="O464" i="22"/>
  <c r="O458" i="22"/>
  <c r="O125" i="22"/>
  <c r="I732" i="22"/>
  <c r="O732" i="22" s="1"/>
  <c r="O733" i="22"/>
  <c r="O741" i="22"/>
  <c r="O735" i="22"/>
  <c r="O736" i="22"/>
  <c r="O738" i="22"/>
  <c r="O737" i="22"/>
  <c r="O739" i="22"/>
  <c r="O740" i="22"/>
  <c r="O742" i="22"/>
  <c r="O734" i="22"/>
  <c r="O743" i="22"/>
  <c r="I1019" i="22"/>
  <c r="O1019" i="22" s="1"/>
  <c r="O1028" i="22"/>
  <c r="O1027" i="22"/>
  <c r="O1030" i="22"/>
  <c r="O1026" i="22"/>
  <c r="O1020" i="22"/>
  <c r="O1025" i="22"/>
  <c r="O1023" i="22"/>
  <c r="O1022" i="22"/>
  <c r="O1024" i="22"/>
  <c r="O1021" i="22"/>
  <c r="O1029" i="22"/>
  <c r="I856" i="22"/>
  <c r="O856" i="22" s="1"/>
  <c r="O861" i="22"/>
  <c r="O858" i="22"/>
  <c r="O864" i="22"/>
  <c r="O862" i="22"/>
  <c r="O857" i="22"/>
  <c r="O866" i="22"/>
  <c r="O867" i="22"/>
  <c r="O859" i="22"/>
  <c r="O863" i="22"/>
  <c r="O860" i="22"/>
  <c r="O865" i="22"/>
  <c r="K1131" i="22"/>
  <c r="L1131" i="22" s="1"/>
  <c r="L1136" i="22"/>
  <c r="P1136" i="22" s="1"/>
  <c r="L1143" i="22"/>
  <c r="L1137" i="22"/>
  <c r="P1137" i="22" s="1"/>
  <c r="L1140" i="22"/>
  <c r="P1140" i="22" s="1"/>
  <c r="L1141" i="22"/>
  <c r="P1141" i="22" s="1"/>
  <c r="L1132" i="22"/>
  <c r="P1132" i="22" s="1"/>
  <c r="L1142" i="22"/>
  <c r="P1142" i="22" s="1"/>
  <c r="L1144" i="22"/>
  <c r="L1133" i="22"/>
  <c r="P1133" i="22" s="1"/>
  <c r="L1134" i="22"/>
  <c r="L1139" i="22"/>
  <c r="P1139" i="22" s="1"/>
  <c r="L1135" i="22"/>
  <c r="P1135" i="22" s="1"/>
  <c r="L1138" i="22"/>
  <c r="P1138" i="22" s="1"/>
  <c r="I483" i="22"/>
  <c r="O483" i="22" s="1"/>
  <c r="O485" i="22"/>
  <c r="O490" i="22"/>
  <c r="O491" i="22"/>
  <c r="O486" i="22"/>
  <c r="O494" i="22"/>
  <c r="O484" i="22"/>
  <c r="O487" i="22"/>
  <c r="O493" i="22"/>
  <c r="O488" i="22"/>
  <c r="O492" i="22"/>
  <c r="O489" i="22"/>
  <c r="J1092" i="22" a="1"/>
  <c r="J1092" i="22" s="1"/>
  <c r="K1340" i="22" a="1"/>
  <c r="I1092" i="22"/>
  <c r="O1092" i="22" s="1"/>
  <c r="O1100" i="22"/>
  <c r="O1099" i="22"/>
  <c r="O1094" i="22"/>
  <c r="O1103" i="22"/>
  <c r="O1098" i="22"/>
  <c r="O1102" i="22"/>
  <c r="O1095" i="22"/>
  <c r="O1097" i="22"/>
  <c r="O1101" i="22"/>
  <c r="O1096" i="22"/>
  <c r="O1093" i="22"/>
  <c r="O124" i="22"/>
  <c r="K1255" i="22"/>
  <c r="L1255" i="22" s="1"/>
  <c r="L1261" i="22"/>
  <c r="P1261" i="22" s="1"/>
  <c r="L1256" i="22"/>
  <c r="P1256" i="22" s="1"/>
  <c r="L1267" i="22"/>
  <c r="L1265" i="22"/>
  <c r="P1265" i="22" s="1"/>
  <c r="L1268" i="22"/>
  <c r="L1264" i="22"/>
  <c r="P1264" i="22" s="1"/>
  <c r="L1266" i="22"/>
  <c r="P1266" i="22" s="1"/>
  <c r="L1258" i="22"/>
  <c r="L1263" i="22"/>
  <c r="P1263" i="22" s="1"/>
  <c r="L1257" i="22"/>
  <c r="P1257" i="22" s="1"/>
  <c r="L1260" i="22"/>
  <c r="P1260" i="22" s="1"/>
  <c r="L1259" i="22"/>
  <c r="P1259" i="22" s="1"/>
  <c r="L1262" i="22"/>
  <c r="P1262" i="22" s="1"/>
  <c r="J607" i="22" a="1"/>
  <c r="J607" i="22" s="1"/>
  <c r="K1366" i="22" a="1"/>
  <c r="I1490" i="22"/>
  <c r="O1490" i="22" s="1"/>
  <c r="O1495" i="22"/>
  <c r="O1501" i="22"/>
  <c r="O1496" i="22"/>
  <c r="O1499" i="22"/>
  <c r="O1494" i="22"/>
  <c r="O1493" i="22"/>
  <c r="O1497" i="22"/>
  <c r="O1498" i="22"/>
  <c r="O1492" i="22"/>
  <c r="O1500" i="22"/>
  <c r="O1491" i="22"/>
  <c r="I1764" i="22"/>
  <c r="O1764" i="22" s="1"/>
  <c r="O1770" i="22"/>
  <c r="O1772" i="22"/>
  <c r="O1765" i="22"/>
  <c r="O1774" i="22"/>
  <c r="O1771" i="22"/>
  <c r="O1773" i="22"/>
  <c r="O1768" i="22"/>
  <c r="O1775" i="22"/>
  <c r="O1767" i="22"/>
  <c r="O1769" i="22"/>
  <c r="O1766" i="22"/>
  <c r="K1614" i="22"/>
  <c r="L1614" i="22" s="1"/>
  <c r="L1624" i="22"/>
  <c r="L1619" i="22"/>
  <c r="L1622" i="22"/>
  <c r="L1623" i="22"/>
  <c r="L1616" i="22"/>
  <c r="L1615" i="22"/>
  <c r="L1617" i="22"/>
  <c r="L1620" i="22"/>
  <c r="L1618" i="22"/>
  <c r="L1621" i="22"/>
  <c r="K830" i="22"/>
  <c r="L830" i="22" s="1"/>
  <c r="L838" i="22"/>
  <c r="L839" i="22"/>
  <c r="L832" i="22"/>
  <c r="L835" i="22"/>
  <c r="L833" i="22"/>
  <c r="L836" i="22"/>
  <c r="L831" i="22"/>
  <c r="L840" i="22"/>
  <c r="L837" i="22"/>
  <c r="L834" i="22"/>
  <c r="K1464" i="22"/>
  <c r="L1464" i="22" s="1"/>
  <c r="L1472" i="22"/>
  <c r="L1466" i="22"/>
  <c r="L1469" i="22"/>
  <c r="L1474" i="22"/>
  <c r="L1473" i="22"/>
  <c r="L1467" i="22"/>
  <c r="L1465" i="22"/>
  <c r="L1468" i="22"/>
  <c r="L1470" i="22"/>
  <c r="L1471" i="22"/>
  <c r="K1738" i="22"/>
  <c r="L1738" i="22" s="1"/>
  <c r="L1743" i="22"/>
  <c r="L1740" i="22"/>
  <c r="L1746" i="22"/>
  <c r="L1747" i="22"/>
  <c r="L1748" i="22"/>
  <c r="L1744" i="22"/>
  <c r="L1739" i="22"/>
  <c r="L1741" i="22"/>
  <c r="L1742" i="22"/>
  <c r="L1745" i="22"/>
  <c r="K1679" i="22"/>
  <c r="L1679" i="22" s="1"/>
  <c r="L1690" i="22"/>
  <c r="P1690" i="22" s="1"/>
  <c r="L1682" i="22"/>
  <c r="L1691" i="22"/>
  <c r="L1686" i="22"/>
  <c r="P1686" i="22" s="1"/>
  <c r="L1680" i="22"/>
  <c r="P1680" i="22" s="1"/>
  <c r="L1689" i="22"/>
  <c r="P1689" i="22" s="1"/>
  <c r="L1681" i="22"/>
  <c r="P1681" i="22" s="1"/>
  <c r="L1685" i="22"/>
  <c r="P1685" i="22" s="1"/>
  <c r="L1692" i="22"/>
  <c r="L1688" i="22"/>
  <c r="P1688" i="22" s="1"/>
  <c r="L1683" i="22"/>
  <c r="P1683" i="22" s="1"/>
  <c r="L1684" i="22"/>
  <c r="P1684" i="22" s="1"/>
  <c r="L1687" i="22"/>
  <c r="P1687" i="22" s="1"/>
  <c r="K980" i="22"/>
  <c r="L980" i="22" s="1"/>
  <c r="L985" i="22"/>
  <c r="L988" i="22"/>
  <c r="L989" i="22"/>
  <c r="L982" i="22"/>
  <c r="P982" i="22" s="1"/>
  <c r="L983" i="22"/>
  <c r="L986" i="22"/>
  <c r="L981" i="22"/>
  <c r="L990" i="22"/>
  <c r="L984" i="22"/>
  <c r="L987" i="22"/>
  <c r="K483" i="22" a="1"/>
  <c r="I1516" i="22"/>
  <c r="O1516" i="22" s="1"/>
  <c r="O1525" i="22"/>
  <c r="O1517" i="22"/>
  <c r="O1523" i="22"/>
  <c r="O1527" i="22"/>
  <c r="O1520" i="22"/>
  <c r="O1526" i="22"/>
  <c r="O1518" i="22"/>
  <c r="O1524" i="22"/>
  <c r="O1519" i="22"/>
  <c r="O1522" i="22"/>
  <c r="O1521" i="22"/>
  <c r="K1314" i="22"/>
  <c r="L1314" i="22" s="1"/>
  <c r="L1319" i="22"/>
  <c r="L1316" i="22"/>
  <c r="L1323" i="22"/>
  <c r="L1322" i="22"/>
  <c r="L1317" i="22"/>
  <c r="L1324" i="22"/>
  <c r="L1320" i="22"/>
  <c r="L1315" i="22"/>
  <c r="L1318" i="22"/>
  <c r="L1321" i="22"/>
  <c r="K1190" i="22"/>
  <c r="L1190" i="22" s="1"/>
  <c r="L1198" i="22"/>
  <c r="L1194" i="22"/>
  <c r="L1192" i="22"/>
  <c r="L1195" i="22"/>
  <c r="L1199" i="22"/>
  <c r="L1200" i="22"/>
  <c r="L1196" i="22"/>
  <c r="L1197" i="22"/>
  <c r="L1191" i="22"/>
  <c r="L1193" i="22"/>
  <c r="O127" i="22"/>
  <c r="I120" i="22"/>
  <c r="O120" i="22" s="1"/>
  <c r="O126" i="22"/>
  <c r="O121" i="22"/>
  <c r="O123" i="22"/>
  <c r="O129" i="22"/>
  <c r="O122" i="22"/>
  <c r="P229" i="22"/>
  <c r="P225" i="22"/>
  <c r="P226" i="22"/>
  <c r="P221" i="22"/>
  <c r="P230" i="22"/>
  <c r="P227" i="22"/>
  <c r="P224" i="22"/>
  <c r="P228" i="22"/>
  <c r="P222" i="22"/>
  <c r="P223" i="22"/>
  <c r="O131" i="22"/>
  <c r="P220" i="22"/>
  <c r="M219" i="22"/>
  <c r="K184" i="22" a="1"/>
  <c r="K174" i="22" a="1"/>
  <c r="K159" i="22"/>
  <c r="L159" i="22" s="1"/>
  <c r="L169" i="22"/>
  <c r="P169" i="22" s="1"/>
  <c r="L172" i="22"/>
  <c r="L161" i="22"/>
  <c r="P161" i="22" s="1"/>
  <c r="L171" i="22"/>
  <c r="L160" i="22"/>
  <c r="P160" i="22" s="1"/>
  <c r="L162" i="22"/>
  <c r="L168" i="22"/>
  <c r="P168" i="22" s="1"/>
  <c r="L165" i="22"/>
  <c r="P165" i="22" s="1"/>
  <c r="L166" i="22"/>
  <c r="P166" i="22" s="1"/>
  <c r="L163" i="22"/>
  <c r="P163" i="22" s="1"/>
  <c r="L170" i="22"/>
  <c r="P170" i="22" s="1"/>
  <c r="L167" i="22"/>
  <c r="P167" i="22" s="1"/>
  <c r="L164" i="22"/>
  <c r="P164" i="22" s="1"/>
  <c r="P104" i="22"/>
  <c r="M94" i="22"/>
  <c r="P15" i="22"/>
  <c r="G83" i="10"/>
  <c r="K64" i="22" s="1"/>
  <c r="L64" i="22" s="1"/>
  <c r="P64" i="22" s="1"/>
  <c r="J64" i="22"/>
  <c r="G82" i="10"/>
  <c r="J63" i="22"/>
  <c r="P31" i="22"/>
  <c r="M30" i="22"/>
  <c r="H31" i="8"/>
  <c r="I31" i="8" s="1"/>
  <c r="J31" i="8" s="1"/>
  <c r="K50" i="22"/>
  <c r="L50" i="22" s="1"/>
  <c r="K120" i="22" a="1"/>
  <c r="L131" i="22" s="1"/>
  <c r="M4" i="22"/>
  <c r="H26" i="8"/>
  <c r="I26" i="8" s="1"/>
  <c r="H25" i="8"/>
  <c r="I25" i="8" s="1"/>
  <c r="J25" i="8" s="1"/>
  <c r="H30" i="8"/>
  <c r="I30" i="8" s="1"/>
  <c r="H28" i="8"/>
  <c r="I28" i="8" s="1"/>
  <c r="J28" i="8" s="1"/>
  <c r="H24" i="8"/>
  <c r="F147" i="15"/>
  <c r="I14" i="7"/>
  <c r="D14" i="32" s="1"/>
  <c r="F14" i="32" s="1"/>
  <c r="F18" i="32" s="1"/>
  <c r="G3" i="8"/>
  <c r="E128" i="8"/>
  <c r="E127" i="8"/>
  <c r="E125" i="8"/>
  <c r="K125" i="8" s="1"/>
  <c r="E124" i="8"/>
  <c r="K124" i="8" s="1"/>
  <c r="E123" i="8"/>
  <c r="K123" i="8" s="1"/>
  <c r="E122" i="8"/>
  <c r="K122" i="8" s="1"/>
  <c r="E121" i="8"/>
  <c r="K121" i="8" s="1"/>
  <c r="E120" i="8"/>
  <c r="K120" i="8" s="1"/>
  <c r="E119" i="8"/>
  <c r="K119" i="8" s="1"/>
  <c r="E118" i="8"/>
  <c r="K118" i="8" s="1"/>
  <c r="E117" i="8"/>
  <c r="K117" i="8" s="1"/>
  <c r="E116" i="8"/>
  <c r="K116" i="8" s="1"/>
  <c r="E115" i="8"/>
  <c r="K115" i="8" s="1"/>
  <c r="E114" i="8"/>
  <c r="K114" i="8" s="1"/>
  <c r="E113" i="8"/>
  <c r="K113" i="8" s="1"/>
  <c r="E112" i="8"/>
  <c r="K112" i="8" s="1"/>
  <c r="E111" i="8"/>
  <c r="K111" i="8" s="1"/>
  <c r="E110" i="8"/>
  <c r="K110" i="8" s="1"/>
  <c r="E109" i="8"/>
  <c r="K109" i="8" s="1"/>
  <c r="J108" i="8"/>
  <c r="E108" i="8"/>
  <c r="K108" i="8" s="1"/>
  <c r="J107" i="8"/>
  <c r="E107" i="8"/>
  <c r="K107" i="8" s="1"/>
  <c r="J106" i="8"/>
  <c r="E106" i="8"/>
  <c r="K106" i="8" s="1"/>
  <c r="J105" i="8"/>
  <c r="E105" i="8"/>
  <c r="K105" i="8" s="1"/>
  <c r="E104" i="8"/>
  <c r="E103" i="8"/>
  <c r="K103" i="8" s="1"/>
  <c r="J102" i="8"/>
  <c r="E102" i="8"/>
  <c r="K102" i="8" s="1"/>
  <c r="J101" i="8"/>
  <c r="E101" i="8"/>
  <c r="K101" i="8" s="1"/>
  <c r="J100" i="8"/>
  <c r="E100" i="8"/>
  <c r="K100" i="8" s="1"/>
  <c r="E99" i="8"/>
  <c r="E96" i="8"/>
  <c r="E95" i="8"/>
  <c r="E94" i="8"/>
  <c r="E93" i="8"/>
  <c r="E92" i="8"/>
  <c r="E91" i="8"/>
  <c r="E90" i="8"/>
  <c r="E89" i="8"/>
  <c r="K88" i="8"/>
  <c r="J88" i="8"/>
  <c r="E87" i="8"/>
  <c r="J85" i="8"/>
  <c r="E85" i="8"/>
  <c r="J84" i="8"/>
  <c r="E84" i="8"/>
  <c r="K84" i="8" s="1"/>
  <c r="E83" i="8"/>
  <c r="K83" i="8" s="1"/>
  <c r="E82" i="8"/>
  <c r="J81" i="8"/>
  <c r="E81" i="8"/>
  <c r="K81" i="8" s="1"/>
  <c r="E80" i="8"/>
  <c r="K80" i="8" s="1"/>
  <c r="E79" i="8"/>
  <c r="J78" i="8"/>
  <c r="E78" i="8"/>
  <c r="K78" i="8" s="1"/>
  <c r="E77" i="8"/>
  <c r="K77" i="8" s="1"/>
  <c r="E76" i="8"/>
  <c r="J75" i="8"/>
  <c r="E75" i="8"/>
  <c r="K75" i="8" s="1"/>
  <c r="J72" i="8"/>
  <c r="E72" i="8"/>
  <c r="K72" i="8" s="1"/>
  <c r="J71" i="8"/>
  <c r="E71" i="8"/>
  <c r="K71" i="8" s="1"/>
  <c r="E70" i="8"/>
  <c r="K70" i="8" s="1"/>
  <c r="E67" i="8"/>
  <c r="K67" i="8" s="1"/>
  <c r="E66" i="8"/>
  <c r="K66" i="8" s="1"/>
  <c r="E64" i="8"/>
  <c r="K64" i="8" s="1"/>
  <c r="E63" i="8"/>
  <c r="E62" i="8"/>
  <c r="E61" i="8"/>
  <c r="E59" i="8"/>
  <c r="E58" i="8"/>
  <c r="E57" i="8"/>
  <c r="E56" i="8"/>
  <c r="J55" i="8"/>
  <c r="E55" i="8"/>
  <c r="K55" i="8" s="1"/>
  <c r="E54" i="8"/>
  <c r="E53" i="8"/>
  <c r="E52" i="8"/>
  <c r="E48" i="8"/>
  <c r="E47" i="8"/>
  <c r="E46" i="8"/>
  <c r="E45" i="8"/>
  <c r="E44" i="8"/>
  <c r="E43" i="8"/>
  <c r="E42" i="8"/>
  <c r="E41" i="8"/>
  <c r="E40" i="8"/>
  <c r="K39" i="8"/>
  <c r="J39" i="8"/>
  <c r="E36" i="8"/>
  <c r="E35" i="8"/>
  <c r="K34" i="8"/>
  <c r="J34" i="8"/>
  <c r="E31" i="8"/>
  <c r="E30" i="8"/>
  <c r="E29" i="8"/>
  <c r="E28" i="8"/>
  <c r="E26" i="8"/>
  <c r="E25" i="8"/>
  <c r="E24" i="8"/>
  <c r="K23" i="8"/>
  <c r="J23" i="8"/>
  <c r="J22" i="8"/>
  <c r="E22" i="8"/>
  <c r="K22" i="8" s="1"/>
  <c r="E21" i="8"/>
  <c r="E19" i="8"/>
  <c r="E18" i="8"/>
  <c r="E17" i="8"/>
  <c r="E14" i="8"/>
  <c r="E13" i="8"/>
  <c r="E12" i="8"/>
  <c r="E11" i="8"/>
  <c r="E10" i="8"/>
  <c r="E8" i="8"/>
  <c r="E7" i="8"/>
  <c r="E6" i="8"/>
  <c r="K6" i="8" s="1"/>
  <c r="E5" i="8"/>
  <c r="E2020" i="22" l="1"/>
  <c r="H51" i="8" s="1"/>
  <c r="H58" i="8"/>
  <c r="I58" i="8" s="1"/>
  <c r="J58" i="8" s="1"/>
  <c r="D2009" i="22"/>
  <c r="G89" i="8" s="1"/>
  <c r="D2007" i="22"/>
  <c r="G42" i="8" s="1"/>
  <c r="I51" i="8"/>
  <c r="C51" i="8" s="1"/>
  <c r="C32" i="8"/>
  <c r="I128" i="8"/>
  <c r="H128" i="8" s="1"/>
  <c r="C33" i="8"/>
  <c r="C126" i="8"/>
  <c r="J146" i="22" a="1"/>
  <c r="J146" i="22" s="1"/>
  <c r="J272" i="22" a="1"/>
  <c r="J272" i="22" s="1"/>
  <c r="D2003" i="22"/>
  <c r="G62" i="8" s="1"/>
  <c r="D105" i="32"/>
  <c r="F105" i="32" s="1"/>
  <c r="F108" i="32" s="1"/>
  <c r="C18" i="8"/>
  <c r="K57" i="8"/>
  <c r="C27" i="8"/>
  <c r="K27" i="8"/>
  <c r="J27" i="8"/>
  <c r="P1978" i="22"/>
  <c r="E2023" i="22"/>
  <c r="D2002" i="22"/>
  <c r="G61" i="8" s="1"/>
  <c r="P1991" i="22"/>
  <c r="D2005" i="22"/>
  <c r="G91" i="8" s="1"/>
  <c r="F2011" i="22"/>
  <c r="E2011" i="22" s="1"/>
  <c r="L1991" i="22"/>
  <c r="L1995" i="22" s="1"/>
  <c r="K18" i="8"/>
  <c r="F157" i="15"/>
  <c r="D2008" i="22"/>
  <c r="J1242" i="22" a="1"/>
  <c r="J1242" i="22" s="1"/>
  <c r="D2000" i="22"/>
  <c r="G35" i="8" s="1"/>
  <c r="D109" i="30" s="1"/>
  <c r="J1790" i="22" a="1"/>
  <c r="J1790" i="22" s="1"/>
  <c r="O1928" i="22"/>
  <c r="D2028" i="22" s="1"/>
  <c r="G63" i="8" s="1"/>
  <c r="O1923" i="22"/>
  <c r="O1930" i="22"/>
  <c r="J1118" i="22" a="1"/>
  <c r="J1118" i="22" s="1"/>
  <c r="C81" i="8"/>
  <c r="C9" i="8"/>
  <c r="J1542" i="22" a="1"/>
  <c r="J1542" i="22" s="1"/>
  <c r="J1032" i="22" a="1"/>
  <c r="J1032" i="22" s="1"/>
  <c r="J633" i="22" a="1"/>
  <c r="J633" i="22" s="1"/>
  <c r="I96" i="8"/>
  <c r="J96" i="8" s="1"/>
  <c r="J1666" i="22" a="1"/>
  <c r="J1666" i="22" s="1"/>
  <c r="J1392" i="22" a="1"/>
  <c r="J1392" i="22" s="1"/>
  <c r="D2006" i="22"/>
  <c r="G92" i="8" s="1"/>
  <c r="J908" i="22" a="1"/>
  <c r="J908" i="22" s="1"/>
  <c r="G8" i="8"/>
  <c r="I8" i="8" s="1"/>
  <c r="C8" i="8" s="1"/>
  <c r="D15" i="30"/>
  <c r="F15" i="30" s="1"/>
  <c r="D2004" i="22"/>
  <c r="G90" i="8" s="1"/>
  <c r="D2001" i="22"/>
  <c r="G36" i="8" s="1"/>
  <c r="D110" i="30" s="1"/>
  <c r="E2017" i="22"/>
  <c r="H48" i="8" s="1"/>
  <c r="I48" i="8" s="1"/>
  <c r="C75" i="8"/>
  <c r="C6" i="8"/>
  <c r="C55" i="8"/>
  <c r="C76" i="8"/>
  <c r="C29" i="8"/>
  <c r="C122" i="8"/>
  <c r="C22" i="8"/>
  <c r="C113" i="8"/>
  <c r="C72" i="8"/>
  <c r="C79" i="8"/>
  <c r="C15" i="8"/>
  <c r="C98" i="8"/>
  <c r="C58" i="8"/>
  <c r="K58" i="8"/>
  <c r="K87" i="8"/>
  <c r="K17" i="8"/>
  <c r="C109" i="8"/>
  <c r="C82" i="8"/>
  <c r="H157" i="15"/>
  <c r="C86" i="8"/>
  <c r="C73" i="8"/>
  <c r="C56" i="8"/>
  <c r="C70" i="8"/>
  <c r="C78" i="8"/>
  <c r="C84" i="8"/>
  <c r="C104" i="8"/>
  <c r="C110" i="8"/>
  <c r="C59" i="8"/>
  <c r="M554" i="22"/>
  <c r="O284" i="22"/>
  <c r="L109" i="22"/>
  <c r="P109" i="22" s="1"/>
  <c r="L1522" i="22"/>
  <c r="P1522" i="22" s="1"/>
  <c r="L115" i="22"/>
  <c r="P115" i="22" s="1"/>
  <c r="L113" i="22"/>
  <c r="P113" i="22" s="1"/>
  <c r="L114" i="22"/>
  <c r="P114" i="22" s="1"/>
  <c r="L108" i="22"/>
  <c r="P108" i="22" s="1"/>
  <c r="L116" i="22"/>
  <c r="L110" i="22"/>
  <c r="P110" i="22" s="1"/>
  <c r="L1520" i="22"/>
  <c r="P1520" i="22" s="1"/>
  <c r="L117" i="22"/>
  <c r="P117" i="22" s="1"/>
  <c r="L111" i="22"/>
  <c r="P111" i="22" s="1"/>
  <c r="L112" i="22"/>
  <c r="P112" i="22" s="1"/>
  <c r="O680" i="22"/>
  <c r="O1289" i="22"/>
  <c r="O1165" i="22"/>
  <c r="O1713" i="22"/>
  <c r="L1523" i="22"/>
  <c r="P1523" i="22" s="1"/>
  <c r="L1519" i="22"/>
  <c r="P1519" i="22" s="1"/>
  <c r="L1518" i="22"/>
  <c r="P1518" i="22" s="1"/>
  <c r="O955" i="22"/>
  <c r="O1044" i="22"/>
  <c r="O805" i="22"/>
  <c r="L1517" i="22"/>
  <c r="P1517" i="22" s="1"/>
  <c r="O1589" i="22"/>
  <c r="O530" i="22"/>
  <c r="L1525" i="22"/>
  <c r="P1525" i="22" s="1"/>
  <c r="L1521" i="22"/>
  <c r="P1521" i="22" s="1"/>
  <c r="O1439" i="22"/>
  <c r="L1526" i="22"/>
  <c r="P1526" i="22" s="1"/>
  <c r="O1837" i="22"/>
  <c r="L1524" i="22"/>
  <c r="P1524" i="22" s="1"/>
  <c r="O406" i="22"/>
  <c r="L1527" i="22"/>
  <c r="P1527" i="22" s="1"/>
  <c r="L138" i="22"/>
  <c r="P138" i="22" s="1"/>
  <c r="M1678" i="22"/>
  <c r="P1679" i="22"/>
  <c r="P837" i="22"/>
  <c r="P436" i="22"/>
  <c r="K946" i="22"/>
  <c r="L946" i="22" s="1"/>
  <c r="L947" i="22"/>
  <c r="P947" i="22" s="1"/>
  <c r="L954" i="22"/>
  <c r="P954" i="22" s="1"/>
  <c r="L948" i="22"/>
  <c r="P948" i="22" s="1"/>
  <c r="L951" i="22"/>
  <c r="P951" i="22" s="1"/>
  <c r="L949" i="22"/>
  <c r="P949" i="22" s="1"/>
  <c r="L952" i="22"/>
  <c r="P952" i="22" s="1"/>
  <c r="L950" i="22"/>
  <c r="P950" i="22" s="1"/>
  <c r="L953" i="22"/>
  <c r="P953" i="22" s="1"/>
  <c r="K1156" i="22"/>
  <c r="L1156" i="22" s="1"/>
  <c r="L1158" i="22"/>
  <c r="P1158" i="22" s="1"/>
  <c r="L1163" i="22"/>
  <c r="P1163" i="22" s="1"/>
  <c r="L1161" i="22"/>
  <c r="P1161" i="22" s="1"/>
  <c r="L1164" i="22"/>
  <c r="P1164" i="22" s="1"/>
  <c r="L1162" i="22"/>
  <c r="P1162" i="22" s="1"/>
  <c r="L1160" i="22"/>
  <c r="P1160" i="22" s="1"/>
  <c r="L1157" i="22"/>
  <c r="P1157" i="22" s="1"/>
  <c r="L1159" i="22"/>
  <c r="P1159" i="22" s="1"/>
  <c r="P309" i="22"/>
  <c r="P1068" i="22"/>
  <c r="L1852" i="22"/>
  <c r="P1852" i="22" s="1"/>
  <c r="P1806" i="22"/>
  <c r="L141" i="22"/>
  <c r="P141" i="22" s="1"/>
  <c r="P1197" i="22"/>
  <c r="P1320" i="22"/>
  <c r="P984" i="22"/>
  <c r="P1745" i="22"/>
  <c r="P1470" i="22"/>
  <c r="P840" i="22"/>
  <c r="P1620" i="22"/>
  <c r="L1306" i="22"/>
  <c r="P1306" i="22" s="1"/>
  <c r="P1268" i="22"/>
  <c r="L1181" i="22"/>
  <c r="P1181" i="22" s="1"/>
  <c r="P1143" i="22"/>
  <c r="K1092" i="22"/>
  <c r="L1092" i="22" s="1"/>
  <c r="L1100" i="22"/>
  <c r="P1100" i="22" s="1"/>
  <c r="L1097" i="22"/>
  <c r="P1097" i="22" s="1"/>
  <c r="L1101" i="22"/>
  <c r="P1101" i="22" s="1"/>
  <c r="L1093" i="22"/>
  <c r="P1093" i="22" s="1"/>
  <c r="L1103" i="22"/>
  <c r="L1096" i="22"/>
  <c r="P1096" i="22" s="1"/>
  <c r="L1099" i="22"/>
  <c r="P1099" i="22" s="1"/>
  <c r="L1094" i="22"/>
  <c r="P1094" i="22" s="1"/>
  <c r="L1102" i="22"/>
  <c r="P1102" i="22" s="1"/>
  <c r="L1098" i="22"/>
  <c r="P1098" i="22" s="1"/>
  <c r="L1095" i="22"/>
  <c r="P1095" i="22" s="1"/>
  <c r="K1477" i="22"/>
  <c r="L1477" i="22" s="1"/>
  <c r="L1488" i="22"/>
  <c r="L1486" i="22"/>
  <c r="P1486" i="22" s="1"/>
  <c r="L1485" i="22"/>
  <c r="P1485" i="22" s="1"/>
  <c r="L1482" i="22"/>
  <c r="P1482" i="22" s="1"/>
  <c r="L1479" i="22"/>
  <c r="P1479" i="22" s="1"/>
  <c r="L1487" i="22"/>
  <c r="P1487" i="22" s="1"/>
  <c r="L1478" i="22"/>
  <c r="P1478" i="22" s="1"/>
  <c r="L1483" i="22"/>
  <c r="P1483" i="22" s="1"/>
  <c r="L1480" i="22"/>
  <c r="P1480" i="22" s="1"/>
  <c r="L1484" i="22"/>
  <c r="P1484" i="22" s="1"/>
  <c r="L1481" i="22"/>
  <c r="P1481" i="22" s="1"/>
  <c r="K1503" i="22"/>
  <c r="L1503" i="22" s="1"/>
  <c r="L1511" i="22"/>
  <c r="P1511" i="22" s="1"/>
  <c r="L1513" i="22"/>
  <c r="P1513" i="22" s="1"/>
  <c r="L1514" i="22"/>
  <c r="P1514" i="22" s="1"/>
  <c r="L1508" i="22"/>
  <c r="P1508" i="22" s="1"/>
  <c r="L1505" i="22"/>
  <c r="P1505" i="22" s="1"/>
  <c r="L1506" i="22"/>
  <c r="P1506" i="22" s="1"/>
  <c r="L1512" i="22"/>
  <c r="P1512" i="22" s="1"/>
  <c r="L1509" i="22"/>
  <c r="P1509" i="22" s="1"/>
  <c r="L1504" i="22"/>
  <c r="P1504" i="22" s="1"/>
  <c r="L1507" i="22"/>
  <c r="P1507" i="22" s="1"/>
  <c r="L1510" i="22"/>
  <c r="P1510" i="22" s="1"/>
  <c r="L1868" i="22"/>
  <c r="L1867" i="22"/>
  <c r="L1863" i="22"/>
  <c r="L1866" i="22"/>
  <c r="L1864" i="22"/>
  <c r="L1870" i="22"/>
  <c r="K1862" i="22"/>
  <c r="L1862" i="22" s="1"/>
  <c r="L1865" i="22"/>
  <c r="L1869" i="22"/>
  <c r="P710" i="22"/>
  <c r="P439" i="22"/>
  <c r="K671" i="22"/>
  <c r="L671" i="22" s="1"/>
  <c r="L678" i="22"/>
  <c r="P678" i="22" s="1"/>
  <c r="L672" i="22"/>
  <c r="P672" i="22" s="1"/>
  <c r="L679" i="22"/>
  <c r="P679" i="22" s="1"/>
  <c r="L676" i="22"/>
  <c r="P676" i="22" s="1"/>
  <c r="L673" i="22"/>
  <c r="P673" i="22" s="1"/>
  <c r="L674" i="22"/>
  <c r="P674" i="22" s="1"/>
  <c r="L675" i="22"/>
  <c r="P675" i="22" s="1"/>
  <c r="L677" i="22"/>
  <c r="P677" i="22" s="1"/>
  <c r="M306" i="22"/>
  <c r="P307" i="22"/>
  <c r="P1074" i="22"/>
  <c r="P1315" i="22"/>
  <c r="L139" i="22"/>
  <c r="P139" i="22" s="1"/>
  <c r="P1196" i="22"/>
  <c r="P1324" i="22"/>
  <c r="P990" i="22"/>
  <c r="P1742" i="22"/>
  <c r="P1468" i="22"/>
  <c r="P831" i="22"/>
  <c r="P1617" i="22"/>
  <c r="L970" i="22"/>
  <c r="P970" i="22" s="1"/>
  <c r="P924" i="22"/>
  <c r="K758" i="22"/>
  <c r="L758" i="22" s="1"/>
  <c r="L763" i="22"/>
  <c r="P763" i="22" s="1"/>
  <c r="L759" i="22"/>
  <c r="P759" i="22" s="1"/>
  <c r="L769" i="22"/>
  <c r="P769" i="22" s="1"/>
  <c r="L768" i="22"/>
  <c r="P768" i="22" s="1"/>
  <c r="L766" i="22"/>
  <c r="P766" i="22" s="1"/>
  <c r="L767" i="22"/>
  <c r="P767" i="22" s="1"/>
  <c r="L764" i="22"/>
  <c r="P764" i="22" s="1"/>
  <c r="L760" i="22"/>
  <c r="P760" i="22" s="1"/>
  <c r="L765" i="22"/>
  <c r="P765" i="22" s="1"/>
  <c r="L762" i="22"/>
  <c r="P762" i="22" s="1"/>
  <c r="L761" i="22"/>
  <c r="P761" i="22" s="1"/>
  <c r="K719" i="22"/>
  <c r="L719" i="22" s="1"/>
  <c r="L727" i="22"/>
  <c r="P727" i="22" s="1"/>
  <c r="L721" i="22"/>
  <c r="P721" i="22" s="1"/>
  <c r="L724" i="22"/>
  <c r="P724" i="22" s="1"/>
  <c r="L730" i="22"/>
  <c r="L728" i="22"/>
  <c r="P728" i="22" s="1"/>
  <c r="L725" i="22"/>
  <c r="P725" i="22" s="1"/>
  <c r="L729" i="22"/>
  <c r="P729" i="22" s="1"/>
  <c r="L720" i="22"/>
  <c r="P720" i="22" s="1"/>
  <c r="L726" i="22"/>
  <c r="P726" i="22" s="1"/>
  <c r="L722" i="22"/>
  <c r="P722" i="22" s="1"/>
  <c r="L723" i="22"/>
  <c r="P723" i="22" s="1"/>
  <c r="K444" i="22"/>
  <c r="L444" i="22" s="1"/>
  <c r="L452" i="22"/>
  <c r="P452" i="22" s="1"/>
  <c r="L449" i="22"/>
  <c r="P449" i="22" s="1"/>
  <c r="L455" i="22"/>
  <c r="L454" i="22"/>
  <c r="P454" i="22" s="1"/>
  <c r="L446" i="22"/>
  <c r="P446" i="22" s="1"/>
  <c r="L450" i="22"/>
  <c r="P450" i="22" s="1"/>
  <c r="L447" i="22"/>
  <c r="P447" i="22" s="1"/>
  <c r="L453" i="22"/>
  <c r="P453" i="22" s="1"/>
  <c r="L445" i="22"/>
  <c r="P445" i="22" s="1"/>
  <c r="L448" i="22"/>
  <c r="P448" i="22" s="1"/>
  <c r="L451" i="22"/>
  <c r="P451" i="22" s="1"/>
  <c r="K1872" i="22"/>
  <c r="L1872" i="22" s="1"/>
  <c r="P1872" i="22" s="1"/>
  <c r="L1878" i="22"/>
  <c r="P1878" i="22" s="1"/>
  <c r="L1880" i="22"/>
  <c r="P1880" i="22" s="1"/>
  <c r="L1873" i="22"/>
  <c r="P1873" i="22" s="1"/>
  <c r="L1874" i="22"/>
  <c r="P1874" i="22" s="1"/>
  <c r="L1875" i="22"/>
  <c r="P1875" i="22" s="1"/>
  <c r="L1876" i="22"/>
  <c r="P1876" i="22" s="1"/>
  <c r="L1879" i="22"/>
  <c r="P1879" i="22" s="1"/>
  <c r="L1877" i="22"/>
  <c r="L1455" i="22"/>
  <c r="P1455" i="22" s="1"/>
  <c r="P1417" i="22"/>
  <c r="P711" i="22"/>
  <c r="P433" i="22"/>
  <c r="L697" i="22"/>
  <c r="P697" i="22" s="1"/>
  <c r="P658" i="22"/>
  <c r="L1604" i="22"/>
  <c r="P1604" i="22" s="1"/>
  <c r="P1558" i="22"/>
  <c r="M371" i="22"/>
  <c r="P372" i="22"/>
  <c r="K786" i="22"/>
  <c r="L786" i="22" s="1"/>
  <c r="L788" i="22"/>
  <c r="P788" i="22" s="1"/>
  <c r="L791" i="22"/>
  <c r="P791" i="22" s="1"/>
  <c r="L794" i="22"/>
  <c r="P794" i="22" s="1"/>
  <c r="L792" i="22"/>
  <c r="P792" i="22" s="1"/>
  <c r="L787" i="22"/>
  <c r="P787" i="22" s="1"/>
  <c r="L789" i="22"/>
  <c r="P789" i="22" s="1"/>
  <c r="L790" i="22"/>
  <c r="P790" i="22" s="1"/>
  <c r="L793" i="22"/>
  <c r="P793" i="22" s="1"/>
  <c r="K233" i="22"/>
  <c r="L233" i="22" s="1"/>
  <c r="L238" i="22"/>
  <c r="L242" i="22"/>
  <c r="L235" i="22"/>
  <c r="L241" i="22"/>
  <c r="L244" i="22"/>
  <c r="L234" i="22"/>
  <c r="L243" i="22"/>
  <c r="L239" i="22"/>
  <c r="L236" i="22"/>
  <c r="L237" i="22"/>
  <c r="L240" i="22"/>
  <c r="M1065" i="22"/>
  <c r="P1066" i="22"/>
  <c r="L1854" i="22"/>
  <c r="P1854" i="22" s="1"/>
  <c r="P1816" i="22"/>
  <c r="L135" i="22"/>
  <c r="P135" i="22" s="1"/>
  <c r="P1200" i="22"/>
  <c r="P1317" i="22"/>
  <c r="P981" i="22"/>
  <c r="L1730" i="22"/>
  <c r="P1730" i="22" s="1"/>
  <c r="P1692" i="22"/>
  <c r="P1741" i="22"/>
  <c r="P1465" i="22"/>
  <c r="P836" i="22"/>
  <c r="P1615" i="22"/>
  <c r="L1305" i="22"/>
  <c r="P1305" i="22" s="1"/>
  <c r="P1267" i="22"/>
  <c r="M1130" i="22"/>
  <c r="P1131" i="22"/>
  <c r="L972" i="22"/>
  <c r="P972" i="22" s="1"/>
  <c r="P934" i="22"/>
  <c r="L906" i="22"/>
  <c r="P906" i="22" s="1"/>
  <c r="K895" i="22"/>
  <c r="L895" i="22" s="1"/>
  <c r="L900" i="22"/>
  <c r="P900" i="22" s="1"/>
  <c r="L897" i="22"/>
  <c r="P897" i="22" s="1"/>
  <c r="L903" i="22"/>
  <c r="P903" i="22" s="1"/>
  <c r="L905" i="22"/>
  <c r="P905" i="22" s="1"/>
  <c r="L899" i="22"/>
  <c r="P899" i="22" s="1"/>
  <c r="L902" i="22"/>
  <c r="P902" i="22" s="1"/>
  <c r="L904" i="22"/>
  <c r="P904" i="22" s="1"/>
  <c r="L898" i="22"/>
  <c r="P898" i="22" s="1"/>
  <c r="L901" i="22"/>
  <c r="P901" i="22" s="1"/>
  <c r="L896" i="22"/>
  <c r="P896" i="22" s="1"/>
  <c r="K470" i="22"/>
  <c r="L470" i="22" s="1"/>
  <c r="L475" i="22"/>
  <c r="P475" i="22" s="1"/>
  <c r="L472" i="22"/>
  <c r="P472" i="22" s="1"/>
  <c r="L480" i="22"/>
  <c r="P480" i="22" s="1"/>
  <c r="L478" i="22"/>
  <c r="P478" i="22" s="1"/>
  <c r="L481" i="22"/>
  <c r="P481" i="22" s="1"/>
  <c r="L476" i="22"/>
  <c r="P476" i="22" s="1"/>
  <c r="L471" i="22"/>
  <c r="P471" i="22" s="1"/>
  <c r="L473" i="22"/>
  <c r="P473" i="22" s="1"/>
  <c r="L479" i="22"/>
  <c r="P479" i="22" s="1"/>
  <c r="L474" i="22"/>
  <c r="P474" i="22" s="1"/>
  <c r="L477" i="22"/>
  <c r="P477" i="22" s="1"/>
  <c r="K869" i="22"/>
  <c r="L869" i="22" s="1"/>
  <c r="L874" i="22"/>
  <c r="P874" i="22" s="1"/>
  <c r="L880" i="22"/>
  <c r="P880" i="22" s="1"/>
  <c r="L871" i="22"/>
  <c r="P871" i="22" s="1"/>
  <c r="L879" i="22"/>
  <c r="P879" i="22" s="1"/>
  <c r="L877" i="22"/>
  <c r="P877" i="22" s="1"/>
  <c r="L878" i="22"/>
  <c r="P878" i="22" s="1"/>
  <c r="L875" i="22"/>
  <c r="P875" i="22" s="1"/>
  <c r="L872" i="22"/>
  <c r="P872" i="22" s="1"/>
  <c r="L870" i="22"/>
  <c r="P870" i="22" s="1"/>
  <c r="L876" i="22"/>
  <c r="P876" i="22" s="1"/>
  <c r="L873" i="22"/>
  <c r="P873" i="22" s="1"/>
  <c r="K732" i="22"/>
  <c r="L732" i="22" s="1"/>
  <c r="L737" i="22"/>
  <c r="P737" i="22" s="1"/>
  <c r="L743" i="22"/>
  <c r="L741" i="22"/>
  <c r="P741" i="22" s="1"/>
  <c r="L733" i="22"/>
  <c r="P733" i="22" s="1"/>
  <c r="L740" i="22"/>
  <c r="P740" i="22" s="1"/>
  <c r="L742" i="22"/>
  <c r="P742" i="22" s="1"/>
  <c r="L734" i="22"/>
  <c r="P734" i="22" s="1"/>
  <c r="L736" i="22"/>
  <c r="P736" i="22" s="1"/>
  <c r="L738" i="22"/>
  <c r="P738" i="22" s="1"/>
  <c r="L735" i="22"/>
  <c r="P735" i="22" s="1"/>
  <c r="L739" i="22"/>
  <c r="P739" i="22" s="1"/>
  <c r="P708" i="22"/>
  <c r="P775" i="22"/>
  <c r="M430" i="22"/>
  <c r="P431" i="22"/>
  <c r="L1606" i="22"/>
  <c r="P1606" i="22" s="1"/>
  <c r="P1568" i="22"/>
  <c r="K511" i="22"/>
  <c r="L511" i="22" s="1"/>
  <c r="L513" i="22"/>
  <c r="P513" i="22" s="1"/>
  <c r="L519" i="22"/>
  <c r="P519" i="22" s="1"/>
  <c r="L516" i="22"/>
  <c r="P516" i="22" s="1"/>
  <c r="L512" i="22"/>
  <c r="P512" i="22" s="1"/>
  <c r="L518" i="22"/>
  <c r="P518" i="22" s="1"/>
  <c r="L517" i="22"/>
  <c r="P517" i="22" s="1"/>
  <c r="L515" i="22"/>
  <c r="P515" i="22" s="1"/>
  <c r="L514" i="22"/>
  <c r="P514" i="22" s="1"/>
  <c r="K796" i="22"/>
  <c r="L796" i="22" s="1"/>
  <c r="L798" i="22"/>
  <c r="P798" i="22" s="1"/>
  <c r="L801" i="22"/>
  <c r="P801" i="22" s="1"/>
  <c r="L804" i="22"/>
  <c r="P804" i="22" s="1"/>
  <c r="L797" i="22"/>
  <c r="P797" i="22" s="1"/>
  <c r="L802" i="22"/>
  <c r="P802" i="22" s="1"/>
  <c r="L800" i="22"/>
  <c r="P800" i="22" s="1"/>
  <c r="L803" i="22"/>
  <c r="P803" i="22" s="1"/>
  <c r="L799" i="22"/>
  <c r="P799" i="22" s="1"/>
  <c r="P311" i="22"/>
  <c r="L547" i="22"/>
  <c r="P547" i="22" s="1"/>
  <c r="P509" i="22"/>
  <c r="K133" i="22"/>
  <c r="L133" i="22" s="1"/>
  <c r="P1739" i="22"/>
  <c r="K1105" i="22"/>
  <c r="L1105" i="22" s="1"/>
  <c r="L1116" i="22"/>
  <c r="P1116" i="22" s="1"/>
  <c r="L1113" i="22"/>
  <c r="P1113" i="22" s="1"/>
  <c r="L1110" i="22"/>
  <c r="P1110" i="22" s="1"/>
  <c r="L1107" i="22"/>
  <c r="P1107" i="22" s="1"/>
  <c r="L1106" i="22"/>
  <c r="P1106" i="22" s="1"/>
  <c r="L1114" i="22"/>
  <c r="P1114" i="22" s="1"/>
  <c r="L1115" i="22"/>
  <c r="P1115" i="22" s="1"/>
  <c r="L1111" i="22"/>
  <c r="P1111" i="22" s="1"/>
  <c r="L1112" i="22"/>
  <c r="P1112" i="22" s="1"/>
  <c r="L1108" i="22"/>
  <c r="P1108" i="22" s="1"/>
  <c r="L1109" i="22"/>
  <c r="P1109" i="22" s="1"/>
  <c r="K843" i="22"/>
  <c r="L843" i="22" s="1"/>
  <c r="L848" i="22"/>
  <c r="P848" i="22" s="1"/>
  <c r="L851" i="22"/>
  <c r="P851" i="22" s="1"/>
  <c r="L852" i="22"/>
  <c r="P852" i="22" s="1"/>
  <c r="L846" i="22"/>
  <c r="P846" i="22" s="1"/>
  <c r="L845" i="22"/>
  <c r="P845" i="22" s="1"/>
  <c r="L854" i="22"/>
  <c r="L853" i="22"/>
  <c r="P853" i="22" s="1"/>
  <c r="L847" i="22"/>
  <c r="P847" i="22" s="1"/>
  <c r="L844" i="22"/>
  <c r="P844" i="22" s="1"/>
  <c r="L849" i="22"/>
  <c r="P849" i="22" s="1"/>
  <c r="L850" i="22"/>
  <c r="P850" i="22" s="1"/>
  <c r="L1335" i="22"/>
  <c r="P1335" i="22" s="1"/>
  <c r="K1327" i="22"/>
  <c r="L1327" i="22" s="1"/>
  <c r="P1327" i="22" s="1"/>
  <c r="L1338" i="22"/>
  <c r="L1332" i="22"/>
  <c r="P1332" i="22" s="1"/>
  <c r="L1329" i="22"/>
  <c r="P1329" i="22" s="1"/>
  <c r="L1336" i="22"/>
  <c r="P1336" i="22" s="1"/>
  <c r="L1328" i="22"/>
  <c r="L1330" i="22"/>
  <c r="P1330" i="22" s="1"/>
  <c r="L1333" i="22"/>
  <c r="P1333" i="22" s="1"/>
  <c r="L1337" i="22"/>
  <c r="P1337" i="22" s="1"/>
  <c r="L1334" i="22"/>
  <c r="P1334" i="22" s="1"/>
  <c r="L1331" i="22"/>
  <c r="P1331" i="22" s="1"/>
  <c r="P714" i="22"/>
  <c r="M770" i="22"/>
  <c r="P771" i="22"/>
  <c r="K1490" i="22"/>
  <c r="L1490" i="22" s="1"/>
  <c r="L1491" i="22"/>
  <c r="P1491" i="22" s="1"/>
  <c r="L1501" i="22"/>
  <c r="L1500" i="22"/>
  <c r="P1500" i="22" s="1"/>
  <c r="L1495" i="22"/>
  <c r="P1495" i="22" s="1"/>
  <c r="L1498" i="22"/>
  <c r="P1498" i="22" s="1"/>
  <c r="L1496" i="22"/>
  <c r="P1496" i="22" s="1"/>
  <c r="L1493" i="22"/>
  <c r="P1493" i="22" s="1"/>
  <c r="L1494" i="22"/>
  <c r="P1494" i="22" s="1"/>
  <c r="L1499" i="22"/>
  <c r="P1499" i="22" s="1"/>
  <c r="L1497" i="22"/>
  <c r="P1497" i="22" s="1"/>
  <c r="L1492" i="22"/>
  <c r="P1492" i="22" s="1"/>
  <c r="P650" i="22"/>
  <c r="M645" i="22"/>
  <c r="P646" i="22"/>
  <c r="K387" i="22"/>
  <c r="L387" i="22" s="1"/>
  <c r="L389" i="22"/>
  <c r="P389" i="22" s="1"/>
  <c r="L392" i="22"/>
  <c r="P392" i="22" s="1"/>
  <c r="L395" i="22"/>
  <c r="P395" i="22" s="1"/>
  <c r="L388" i="22"/>
  <c r="P388" i="22" s="1"/>
  <c r="L391" i="22"/>
  <c r="P391" i="22" s="1"/>
  <c r="L393" i="22"/>
  <c r="P393" i="22" s="1"/>
  <c r="L394" i="22"/>
  <c r="P394" i="22" s="1"/>
  <c r="L390" i="22"/>
  <c r="P390" i="22" s="1"/>
  <c r="K1430" i="22"/>
  <c r="L1430" i="22" s="1"/>
  <c r="L1438" i="22"/>
  <c r="P1438" i="22" s="1"/>
  <c r="L1436" i="22"/>
  <c r="P1436" i="22" s="1"/>
  <c r="L1435" i="22"/>
  <c r="P1435" i="22" s="1"/>
  <c r="L1432" i="22"/>
  <c r="P1432" i="22" s="1"/>
  <c r="L1431" i="22"/>
  <c r="P1431" i="22" s="1"/>
  <c r="L1433" i="22"/>
  <c r="P1433" i="22" s="1"/>
  <c r="L1434" i="22"/>
  <c r="P1434" i="22" s="1"/>
  <c r="L1437" i="22"/>
  <c r="P1437" i="22" s="1"/>
  <c r="P314" i="22"/>
  <c r="P1070" i="22"/>
  <c r="L1853" i="22"/>
  <c r="P1853" i="22" s="1"/>
  <c r="P1815" i="22"/>
  <c r="L1180" i="22"/>
  <c r="P1180" i="22" s="1"/>
  <c r="P1134" i="22"/>
  <c r="L971" i="22"/>
  <c r="P971" i="22" s="1"/>
  <c r="P933" i="22"/>
  <c r="K1653" i="22"/>
  <c r="L1653" i="22" s="1"/>
  <c r="L1664" i="22"/>
  <c r="P1664" i="22" s="1"/>
  <c r="L1655" i="22"/>
  <c r="P1655" i="22" s="1"/>
  <c r="L1659" i="22"/>
  <c r="P1659" i="22" s="1"/>
  <c r="L1662" i="22"/>
  <c r="P1662" i="22" s="1"/>
  <c r="L1661" i="22"/>
  <c r="P1661" i="22" s="1"/>
  <c r="L1663" i="22"/>
  <c r="P1663" i="22" s="1"/>
  <c r="L1658" i="22"/>
  <c r="P1658" i="22" s="1"/>
  <c r="L1654" i="22"/>
  <c r="P1654" i="22" s="1"/>
  <c r="L1656" i="22"/>
  <c r="P1656" i="22" s="1"/>
  <c r="L1660" i="22"/>
  <c r="P1660" i="22" s="1"/>
  <c r="L1657" i="22"/>
  <c r="P1657" i="22" s="1"/>
  <c r="K1006" i="22"/>
  <c r="L1006" i="22" s="1"/>
  <c r="L1011" i="22"/>
  <c r="P1011" i="22" s="1"/>
  <c r="L1015" i="22"/>
  <c r="P1015" i="22" s="1"/>
  <c r="L1017" i="22"/>
  <c r="P1017" i="22" s="1"/>
  <c r="L1008" i="22"/>
  <c r="P1008" i="22" s="1"/>
  <c r="L1014" i="22"/>
  <c r="P1014" i="22" s="1"/>
  <c r="L1016" i="22"/>
  <c r="P1016" i="22" s="1"/>
  <c r="L1007" i="22"/>
  <c r="P1007" i="22" s="1"/>
  <c r="L1013" i="22"/>
  <c r="P1013" i="22" s="1"/>
  <c r="L1010" i="22"/>
  <c r="P1010" i="22" s="1"/>
  <c r="L1009" i="22"/>
  <c r="P1009" i="22" s="1"/>
  <c r="L1012" i="22"/>
  <c r="P1012" i="22" s="1"/>
  <c r="K1627" i="22"/>
  <c r="L1627" i="22" s="1"/>
  <c r="L1638" i="22"/>
  <c r="L1637" i="22"/>
  <c r="P1637" i="22" s="1"/>
  <c r="L1628" i="22"/>
  <c r="P1628" i="22" s="1"/>
  <c r="L1632" i="22"/>
  <c r="P1632" i="22" s="1"/>
  <c r="L1635" i="22"/>
  <c r="P1635" i="22" s="1"/>
  <c r="L1636" i="22"/>
  <c r="P1636" i="22" s="1"/>
  <c r="L1633" i="22"/>
  <c r="P1633" i="22" s="1"/>
  <c r="L1629" i="22"/>
  <c r="P1629" i="22" s="1"/>
  <c r="L1630" i="22"/>
  <c r="P1630" i="22" s="1"/>
  <c r="L1634" i="22"/>
  <c r="P1634" i="22" s="1"/>
  <c r="L1631" i="22"/>
  <c r="P1631" i="22" s="1"/>
  <c r="M1404" i="22"/>
  <c r="P1405" i="22"/>
  <c r="P715" i="22"/>
  <c r="P438" i="22"/>
  <c r="K457" i="22"/>
  <c r="L457" i="22" s="1"/>
  <c r="L467" i="22"/>
  <c r="P467" i="22" s="1"/>
  <c r="L466" i="22"/>
  <c r="P466" i="22" s="1"/>
  <c r="L468" i="22"/>
  <c r="L458" i="22"/>
  <c r="P458" i="22" s="1"/>
  <c r="L465" i="22"/>
  <c r="P465" i="22" s="1"/>
  <c r="L462" i="22"/>
  <c r="P462" i="22" s="1"/>
  <c r="L459" i="22"/>
  <c r="P459" i="22" s="1"/>
  <c r="L464" i="22"/>
  <c r="P464" i="22" s="1"/>
  <c r="L461" i="22"/>
  <c r="P461" i="22" s="1"/>
  <c r="L460" i="22"/>
  <c r="P460" i="22" s="1"/>
  <c r="L463" i="22"/>
  <c r="K993" i="22"/>
  <c r="L993" i="22" s="1"/>
  <c r="L995" i="22"/>
  <c r="P995" i="22" s="1"/>
  <c r="L998" i="22"/>
  <c r="P998" i="22" s="1"/>
  <c r="L1004" i="22"/>
  <c r="L1003" i="22"/>
  <c r="P1003" i="22" s="1"/>
  <c r="L1001" i="22"/>
  <c r="P1001" i="22" s="1"/>
  <c r="L1002" i="22"/>
  <c r="P1002" i="22" s="1"/>
  <c r="L997" i="22"/>
  <c r="P997" i="22" s="1"/>
  <c r="L999" i="22"/>
  <c r="P999" i="22" s="1"/>
  <c r="L994" i="22"/>
  <c r="P994" i="22" s="1"/>
  <c r="L1000" i="22"/>
  <c r="P1000" i="22" s="1"/>
  <c r="L996" i="22"/>
  <c r="P996" i="22" s="1"/>
  <c r="K397" i="22"/>
  <c r="L397" i="22" s="1"/>
  <c r="L399" i="22"/>
  <c r="P399" i="22" s="1"/>
  <c r="L405" i="22"/>
  <c r="P405" i="22" s="1"/>
  <c r="L398" i="22"/>
  <c r="P398" i="22" s="1"/>
  <c r="L402" i="22"/>
  <c r="P402" i="22" s="1"/>
  <c r="L403" i="22"/>
  <c r="P403" i="22" s="1"/>
  <c r="L401" i="22"/>
  <c r="P401" i="22" s="1"/>
  <c r="L400" i="22"/>
  <c r="P400" i="22" s="1"/>
  <c r="L404" i="22"/>
  <c r="P404" i="22" s="1"/>
  <c r="K1694" i="22"/>
  <c r="L1694" i="22" s="1"/>
  <c r="P1694" i="22" s="1"/>
  <c r="L1702" i="22"/>
  <c r="P1702" i="22" s="1"/>
  <c r="L1696" i="22"/>
  <c r="P1696" i="22" s="1"/>
  <c r="L1699" i="22"/>
  <c r="P1699" i="22" s="1"/>
  <c r="L1700" i="22"/>
  <c r="P1700" i="22" s="1"/>
  <c r="L1695" i="22"/>
  <c r="P1695" i="22" s="1"/>
  <c r="L1697" i="22"/>
  <c r="P1697" i="22" s="1"/>
  <c r="L1698" i="22"/>
  <c r="P1698" i="22" s="1"/>
  <c r="L1701" i="22"/>
  <c r="P313" i="22"/>
  <c r="P1073" i="22"/>
  <c r="P1618" i="22"/>
  <c r="P712" i="22"/>
  <c r="P1199" i="22"/>
  <c r="P1322" i="22"/>
  <c r="P833" i="22"/>
  <c r="P1616" i="22"/>
  <c r="P1473" i="22"/>
  <c r="P1623" i="22"/>
  <c r="L142" i="22"/>
  <c r="P142" i="22" s="1"/>
  <c r="P1192" i="22"/>
  <c r="P1316" i="22"/>
  <c r="P1748" i="22"/>
  <c r="P1474" i="22"/>
  <c r="P832" i="22"/>
  <c r="P1622" i="22"/>
  <c r="M1254" i="22"/>
  <c r="P1255" i="22"/>
  <c r="K1640" i="22"/>
  <c r="L1640" i="22" s="1"/>
  <c r="P1640" i="22" s="1"/>
  <c r="L1651" i="22"/>
  <c r="L1645" i="22"/>
  <c r="P1645" i="22" s="1"/>
  <c r="L1650" i="22"/>
  <c r="P1650" i="22" s="1"/>
  <c r="L1648" i="22"/>
  <c r="P1648" i="22" s="1"/>
  <c r="L1649" i="22"/>
  <c r="P1649" i="22" s="1"/>
  <c r="L1641" i="22"/>
  <c r="P1641" i="22" s="1"/>
  <c r="L1642" i="22"/>
  <c r="P1642" i="22" s="1"/>
  <c r="L1643" i="22"/>
  <c r="P1643" i="22" s="1"/>
  <c r="L1647" i="22"/>
  <c r="P1647" i="22" s="1"/>
  <c r="L1644" i="22"/>
  <c r="L1646" i="22"/>
  <c r="P1646" i="22" s="1"/>
  <c r="K346" i="22"/>
  <c r="L346" i="22" s="1"/>
  <c r="L354" i="22"/>
  <c r="P354" i="22" s="1"/>
  <c r="L357" i="22"/>
  <c r="P357" i="22" s="1"/>
  <c r="L353" i="22"/>
  <c r="P353" i="22" s="1"/>
  <c r="L349" i="22"/>
  <c r="P349" i="22" s="1"/>
  <c r="L356" i="22"/>
  <c r="P356" i="22" s="1"/>
  <c r="L351" i="22"/>
  <c r="P351" i="22" s="1"/>
  <c r="L348" i="22"/>
  <c r="P348" i="22" s="1"/>
  <c r="L350" i="22"/>
  <c r="P350" i="22" s="1"/>
  <c r="L355" i="22"/>
  <c r="P355" i="22" s="1"/>
  <c r="L347" i="22"/>
  <c r="P347" i="22" s="1"/>
  <c r="L352" i="22"/>
  <c r="P352" i="22" s="1"/>
  <c r="K1353" i="22"/>
  <c r="L1353" i="22" s="1"/>
  <c r="L1361" i="22"/>
  <c r="P1361" i="22" s="1"/>
  <c r="L1363" i="22"/>
  <c r="P1363" i="22" s="1"/>
  <c r="L1355" i="22"/>
  <c r="P1355" i="22" s="1"/>
  <c r="L1364" i="22"/>
  <c r="P1364" i="22" s="1"/>
  <c r="L1358" i="22"/>
  <c r="P1358" i="22" s="1"/>
  <c r="L1356" i="22"/>
  <c r="P1356" i="22" s="1"/>
  <c r="L1359" i="22"/>
  <c r="P1359" i="22" s="1"/>
  <c r="L1362" i="22"/>
  <c r="P1362" i="22" s="1"/>
  <c r="L1354" i="22"/>
  <c r="P1354" i="22" s="1"/>
  <c r="L1360" i="22"/>
  <c r="P1360" i="22" s="1"/>
  <c r="L1357" i="22"/>
  <c r="P1357" i="22" s="1"/>
  <c r="K745" i="22"/>
  <c r="L745" i="22" s="1"/>
  <c r="L753" i="22"/>
  <c r="P753" i="22" s="1"/>
  <c r="L747" i="22"/>
  <c r="P747" i="22" s="1"/>
  <c r="L756" i="22"/>
  <c r="P756" i="22" s="1"/>
  <c r="L750" i="22"/>
  <c r="P750" i="22" s="1"/>
  <c r="L754" i="22"/>
  <c r="P754" i="22" s="1"/>
  <c r="L748" i="22"/>
  <c r="P748" i="22" s="1"/>
  <c r="L755" i="22"/>
  <c r="P755" i="22" s="1"/>
  <c r="L746" i="22"/>
  <c r="P746" i="22" s="1"/>
  <c r="L751" i="22"/>
  <c r="P751" i="22" s="1"/>
  <c r="L749" i="22"/>
  <c r="P749" i="22" s="1"/>
  <c r="L752" i="22"/>
  <c r="P752" i="22" s="1"/>
  <c r="K856" i="22"/>
  <c r="L856" i="22" s="1"/>
  <c r="L865" i="22"/>
  <c r="P865" i="22" s="1"/>
  <c r="L864" i="22"/>
  <c r="P864" i="22" s="1"/>
  <c r="L857" i="22"/>
  <c r="P857" i="22" s="1"/>
  <c r="L867" i="22"/>
  <c r="L861" i="22"/>
  <c r="P861" i="22" s="1"/>
  <c r="L858" i="22"/>
  <c r="P858" i="22" s="1"/>
  <c r="L866" i="22"/>
  <c r="P866" i="22" s="1"/>
  <c r="L859" i="22"/>
  <c r="P859" i="22" s="1"/>
  <c r="L860" i="22"/>
  <c r="P860" i="22" s="1"/>
  <c r="L862" i="22"/>
  <c r="P862" i="22" s="1"/>
  <c r="L863" i="22"/>
  <c r="P863" i="22" s="1"/>
  <c r="M705" i="22"/>
  <c r="P706" i="22"/>
  <c r="P435" i="22"/>
  <c r="L421" i="22"/>
  <c r="P421" i="22" s="1"/>
  <c r="P375" i="22"/>
  <c r="K1270" i="22"/>
  <c r="L1270" i="22" s="1"/>
  <c r="L1272" i="22"/>
  <c r="P1272" i="22" s="1"/>
  <c r="L1275" i="22"/>
  <c r="P1275" i="22" s="1"/>
  <c r="L1273" i="22"/>
  <c r="P1273" i="22" s="1"/>
  <c r="L1271" i="22"/>
  <c r="P1271" i="22" s="1"/>
  <c r="L1278" i="22"/>
  <c r="P1278" i="22" s="1"/>
  <c r="L1276" i="22"/>
  <c r="P1276" i="22" s="1"/>
  <c r="L1277" i="22"/>
  <c r="P1277" i="22" s="1"/>
  <c r="L1274" i="22"/>
  <c r="P1274" i="22" s="1"/>
  <c r="K1704" i="22"/>
  <c r="L1704" i="22" s="1"/>
  <c r="L1712" i="22"/>
  <c r="P1712" i="22" s="1"/>
  <c r="L1709" i="22"/>
  <c r="P1709" i="22" s="1"/>
  <c r="L1705" i="22"/>
  <c r="P1705" i="22" s="1"/>
  <c r="L1710" i="22"/>
  <c r="P1710" i="22" s="1"/>
  <c r="L1706" i="22"/>
  <c r="P1706" i="22" s="1"/>
  <c r="L1707" i="22"/>
  <c r="P1707" i="22" s="1"/>
  <c r="L1708" i="22"/>
  <c r="P1708" i="22" s="1"/>
  <c r="L1711" i="22"/>
  <c r="P1711" i="22" s="1"/>
  <c r="P317" i="22"/>
  <c r="P1069" i="22"/>
  <c r="L545" i="22"/>
  <c r="P545" i="22" s="1"/>
  <c r="P499" i="22"/>
  <c r="P987" i="22"/>
  <c r="L331" i="22"/>
  <c r="L325" i="22"/>
  <c r="P325" i="22" s="1"/>
  <c r="K320" i="22"/>
  <c r="L320" i="22" s="1"/>
  <c r="L322" i="22"/>
  <c r="P322" i="22" s="1"/>
  <c r="L329" i="22"/>
  <c r="P329" i="22" s="1"/>
  <c r="L327" i="22"/>
  <c r="P327" i="22" s="1"/>
  <c r="L328" i="22"/>
  <c r="P328" i="22" s="1"/>
  <c r="L324" i="22"/>
  <c r="P324" i="22" s="1"/>
  <c r="L330" i="22"/>
  <c r="P330" i="22" s="1"/>
  <c r="L326" i="22"/>
  <c r="P326" i="22" s="1"/>
  <c r="L321" i="22"/>
  <c r="P321" i="22" s="1"/>
  <c r="L323" i="22"/>
  <c r="P323" i="22" s="1"/>
  <c r="L821" i="22"/>
  <c r="P821" i="22" s="1"/>
  <c r="P783" i="22"/>
  <c r="P986" i="22"/>
  <c r="P1467" i="22"/>
  <c r="P1195" i="22"/>
  <c r="P1323" i="22"/>
  <c r="P983" i="22"/>
  <c r="P1744" i="22"/>
  <c r="P835" i="22"/>
  <c r="L143" i="22"/>
  <c r="P143" i="22" s="1"/>
  <c r="P1194" i="22"/>
  <c r="P1319" i="22"/>
  <c r="P989" i="22"/>
  <c r="P1747" i="22"/>
  <c r="P1469" i="22"/>
  <c r="P839" i="22"/>
  <c r="P1619" i="22"/>
  <c r="L1182" i="22"/>
  <c r="P1182" i="22" s="1"/>
  <c r="P1144" i="22"/>
  <c r="M920" i="22"/>
  <c r="P921" i="22"/>
  <c r="K1529" i="22"/>
  <c r="L1529" i="22" s="1"/>
  <c r="L1540" i="22"/>
  <c r="P1540" i="22" s="1"/>
  <c r="L1537" i="22"/>
  <c r="P1537" i="22" s="1"/>
  <c r="L1531" i="22"/>
  <c r="P1531" i="22" s="1"/>
  <c r="L1538" i="22"/>
  <c r="P1538" i="22" s="1"/>
  <c r="L1534" i="22"/>
  <c r="P1534" i="22" s="1"/>
  <c r="L1530" i="22"/>
  <c r="P1530" i="22" s="1"/>
  <c r="L1539" i="22"/>
  <c r="P1539" i="22" s="1"/>
  <c r="L1535" i="22"/>
  <c r="P1535" i="22" s="1"/>
  <c r="L1533" i="22"/>
  <c r="P1533" i="22" s="1"/>
  <c r="L1536" i="22"/>
  <c r="P1536" i="22" s="1"/>
  <c r="L1532" i="22"/>
  <c r="P1532" i="22" s="1"/>
  <c r="K568" i="22"/>
  <c r="L568" i="22" s="1"/>
  <c r="L578" i="22"/>
  <c r="L579" i="22"/>
  <c r="L576" i="22"/>
  <c r="L573" i="22"/>
  <c r="L570" i="22"/>
  <c r="L574" i="22"/>
  <c r="L571" i="22"/>
  <c r="P571" i="22" s="1"/>
  <c r="L577" i="22"/>
  <c r="L569" i="22"/>
  <c r="L572" i="22"/>
  <c r="L575" i="22"/>
  <c r="K594" i="22"/>
  <c r="L594" i="22" s="1"/>
  <c r="L596" i="22"/>
  <c r="P596" i="22" s="1"/>
  <c r="L604" i="22"/>
  <c r="P604" i="22" s="1"/>
  <c r="L599" i="22"/>
  <c r="P599" i="22" s="1"/>
  <c r="L605" i="22"/>
  <c r="P605" i="22" s="1"/>
  <c r="L602" i="22"/>
  <c r="P602" i="22" s="1"/>
  <c r="L597" i="22"/>
  <c r="P597" i="22" s="1"/>
  <c r="L595" i="22"/>
  <c r="P595" i="22" s="1"/>
  <c r="L600" i="22"/>
  <c r="P600" i="22" s="1"/>
  <c r="L603" i="22"/>
  <c r="P603" i="22" s="1"/>
  <c r="L601" i="22"/>
  <c r="P601" i="22" s="1"/>
  <c r="L598" i="22"/>
  <c r="P598" i="22" s="1"/>
  <c r="L1027" i="22"/>
  <c r="P1027" i="22" s="1"/>
  <c r="L1030" i="22"/>
  <c r="K1019" i="22"/>
  <c r="L1019" i="22" s="1"/>
  <c r="L1024" i="22"/>
  <c r="P1024" i="22" s="1"/>
  <c r="L1020" i="22"/>
  <c r="P1020" i="22" s="1"/>
  <c r="L1028" i="22"/>
  <c r="P1028" i="22" s="1"/>
  <c r="L1025" i="22"/>
  <c r="P1025" i="22" s="1"/>
  <c r="L1029" i="22"/>
  <c r="P1029" i="22" s="1"/>
  <c r="L1021" i="22"/>
  <c r="P1021" i="22" s="1"/>
  <c r="L1023" i="22"/>
  <c r="P1023" i="22" s="1"/>
  <c r="L1022" i="22"/>
  <c r="P1022" i="22" s="1"/>
  <c r="L1026" i="22"/>
  <c r="P1026" i="22" s="1"/>
  <c r="K259" i="22"/>
  <c r="L259" i="22" s="1"/>
  <c r="L270" i="22"/>
  <c r="L264" i="22"/>
  <c r="P264" i="22" s="1"/>
  <c r="L269" i="22"/>
  <c r="P269" i="22" s="1"/>
  <c r="L268" i="22"/>
  <c r="P268" i="22" s="1"/>
  <c r="L267" i="22"/>
  <c r="P267" i="22" s="1"/>
  <c r="L260" i="22"/>
  <c r="P260" i="22" s="1"/>
  <c r="L261" i="22"/>
  <c r="P261" i="22" s="1"/>
  <c r="L265" i="22"/>
  <c r="P265" i="22" s="1"/>
  <c r="L262" i="22"/>
  <c r="P262" i="22" s="1"/>
  <c r="L266" i="22"/>
  <c r="P266" i="22" s="1"/>
  <c r="L263" i="22"/>
  <c r="P263" i="22" s="1"/>
  <c r="P434" i="22"/>
  <c r="L698" i="22"/>
  <c r="P698" i="22" s="1"/>
  <c r="P659" i="22"/>
  <c r="M1554" i="22"/>
  <c r="P1555" i="22"/>
  <c r="K1280" i="22"/>
  <c r="L1280" i="22" s="1"/>
  <c r="L1288" i="22"/>
  <c r="P1288" i="22" s="1"/>
  <c r="L1281" i="22"/>
  <c r="P1281" i="22" s="1"/>
  <c r="L1285" i="22"/>
  <c r="P1285" i="22" s="1"/>
  <c r="L1282" i="22"/>
  <c r="P1282" i="22" s="1"/>
  <c r="L1284" i="22"/>
  <c r="P1284" i="22" s="1"/>
  <c r="L1286" i="22"/>
  <c r="P1286" i="22" s="1"/>
  <c r="L1283" i="22"/>
  <c r="P1283" i="22" s="1"/>
  <c r="L1287" i="22"/>
  <c r="P1287" i="22" s="1"/>
  <c r="K661" i="22"/>
  <c r="L661" i="22" s="1"/>
  <c r="L666" i="22"/>
  <c r="P666" i="22" s="1"/>
  <c r="L669" i="22"/>
  <c r="P669" i="22" s="1"/>
  <c r="L663" i="22"/>
  <c r="P663" i="22" s="1"/>
  <c r="L664" i="22"/>
  <c r="P664" i="22" s="1"/>
  <c r="L662" i="22"/>
  <c r="P662" i="22" s="1"/>
  <c r="L667" i="22"/>
  <c r="P667" i="22" s="1"/>
  <c r="L668" i="22"/>
  <c r="P668" i="22" s="1"/>
  <c r="L665" i="22"/>
  <c r="P665" i="22" s="1"/>
  <c r="P310" i="22"/>
  <c r="P1076" i="22"/>
  <c r="M1802" i="22"/>
  <c r="P1803" i="22"/>
  <c r="K1366" i="22"/>
  <c r="L1366" i="22" s="1"/>
  <c r="L1375" i="22"/>
  <c r="P1375" i="22" s="1"/>
  <c r="L1374" i="22"/>
  <c r="P1374" i="22" s="1"/>
  <c r="L1377" i="22"/>
  <c r="P1377" i="22" s="1"/>
  <c r="L1367" i="22"/>
  <c r="P1367" i="22" s="1"/>
  <c r="L1371" i="22"/>
  <c r="P1371" i="22" s="1"/>
  <c r="L1368" i="22"/>
  <c r="P1368" i="22" s="1"/>
  <c r="L1376" i="22"/>
  <c r="P1376" i="22" s="1"/>
  <c r="L1370" i="22"/>
  <c r="P1370" i="22" s="1"/>
  <c r="L1373" i="22"/>
  <c r="P1373" i="22" s="1"/>
  <c r="L1369" i="22"/>
  <c r="P1369" i="22" s="1"/>
  <c r="L1372" i="22"/>
  <c r="P1372" i="22" s="1"/>
  <c r="L137" i="22"/>
  <c r="P137" i="22" s="1"/>
  <c r="L136" i="22"/>
  <c r="P136" i="22" s="1"/>
  <c r="P1198" i="22"/>
  <c r="M1313" i="22"/>
  <c r="P1314" i="22"/>
  <c r="P988" i="22"/>
  <c r="P1746" i="22"/>
  <c r="P1466" i="22"/>
  <c r="P838" i="22"/>
  <c r="P1624" i="22"/>
  <c r="K620" i="22"/>
  <c r="L620" i="22" s="1"/>
  <c r="L625" i="22"/>
  <c r="P625" i="22" s="1"/>
  <c r="L628" i="22"/>
  <c r="P628" i="22" s="1"/>
  <c r="L631" i="22"/>
  <c r="P631" i="22" s="1"/>
  <c r="L630" i="22"/>
  <c r="P630" i="22" s="1"/>
  <c r="L622" i="22"/>
  <c r="P622" i="22" s="1"/>
  <c r="L621" i="22"/>
  <c r="P621" i="22" s="1"/>
  <c r="L629" i="22"/>
  <c r="P629" i="22" s="1"/>
  <c r="L626" i="22"/>
  <c r="P626" i="22" s="1"/>
  <c r="L624" i="22"/>
  <c r="P624" i="22" s="1"/>
  <c r="L627" i="22"/>
  <c r="P627" i="22" s="1"/>
  <c r="L623" i="22"/>
  <c r="P623" i="22" s="1"/>
  <c r="K1079" i="22"/>
  <c r="L1079" i="22" s="1"/>
  <c r="L1088" i="22"/>
  <c r="P1088" i="22" s="1"/>
  <c r="L1081" i="22"/>
  <c r="P1081" i="22" s="1"/>
  <c r="L1090" i="22"/>
  <c r="L1084" i="22"/>
  <c r="P1084" i="22" s="1"/>
  <c r="L1087" i="22"/>
  <c r="P1087" i="22" s="1"/>
  <c r="L1089" i="22"/>
  <c r="P1089" i="22" s="1"/>
  <c r="L1085" i="22"/>
  <c r="P1085" i="22" s="1"/>
  <c r="L1083" i="22"/>
  <c r="P1083" i="22" s="1"/>
  <c r="L1080" i="22"/>
  <c r="P1080" i="22" s="1"/>
  <c r="L1082" i="22"/>
  <c r="P1082" i="22" s="1"/>
  <c r="L1086" i="22"/>
  <c r="P1086" i="22" s="1"/>
  <c r="L1456" i="22"/>
  <c r="P1456" i="22" s="1"/>
  <c r="P1418" i="22"/>
  <c r="P713" i="22"/>
  <c r="K607" i="22"/>
  <c r="L607" i="22" s="1"/>
  <c r="L616" i="22"/>
  <c r="P616" i="22" s="1"/>
  <c r="L612" i="22"/>
  <c r="P612" i="22" s="1"/>
  <c r="L608" i="22"/>
  <c r="P608" i="22" s="1"/>
  <c r="L618" i="22"/>
  <c r="P618" i="22" s="1"/>
  <c r="L617" i="22"/>
  <c r="P617" i="22" s="1"/>
  <c r="L609" i="22"/>
  <c r="P609" i="22" s="1"/>
  <c r="L615" i="22"/>
  <c r="P615" i="22" s="1"/>
  <c r="L611" i="22"/>
  <c r="P611" i="22" s="1"/>
  <c r="L610" i="22"/>
  <c r="P610" i="22" s="1"/>
  <c r="L614" i="22"/>
  <c r="P614" i="22" s="1"/>
  <c r="L613" i="22"/>
  <c r="P613" i="22" s="1"/>
  <c r="L820" i="22"/>
  <c r="P820" i="22" s="1"/>
  <c r="P774" i="22"/>
  <c r="P441" i="22"/>
  <c r="L696" i="22"/>
  <c r="P696" i="22" s="1"/>
  <c r="P649" i="22"/>
  <c r="L1605" i="22"/>
  <c r="P1605" i="22" s="1"/>
  <c r="P1567" i="22"/>
  <c r="L422" i="22"/>
  <c r="P422" i="22" s="1"/>
  <c r="P384" i="22"/>
  <c r="K1570" i="22"/>
  <c r="L1570" i="22" s="1"/>
  <c r="L1575" i="22"/>
  <c r="P1575" i="22" s="1"/>
  <c r="L1578" i="22"/>
  <c r="P1578" i="22" s="1"/>
  <c r="L1573" i="22"/>
  <c r="P1573" i="22" s="1"/>
  <c r="L1572" i="22"/>
  <c r="P1572" i="22" s="1"/>
  <c r="L1571" i="22"/>
  <c r="P1571" i="22" s="1"/>
  <c r="L1576" i="22"/>
  <c r="P1576" i="22" s="1"/>
  <c r="L1577" i="22"/>
  <c r="P1577" i="22" s="1"/>
  <c r="L1574" i="22"/>
  <c r="P1574" i="22" s="1"/>
  <c r="K1420" i="22"/>
  <c r="L1420" i="22" s="1"/>
  <c r="L1428" i="22"/>
  <c r="P1428" i="22" s="1"/>
  <c r="L1422" i="22"/>
  <c r="P1422" i="22" s="1"/>
  <c r="L1425" i="22"/>
  <c r="P1425" i="22" s="1"/>
  <c r="L1421" i="22"/>
  <c r="P1421" i="22" s="1"/>
  <c r="L1426" i="22"/>
  <c r="P1426" i="22" s="1"/>
  <c r="L1423" i="22"/>
  <c r="P1423" i="22" s="1"/>
  <c r="L1427" i="22"/>
  <c r="P1427" i="22" s="1"/>
  <c r="L1424" i="22"/>
  <c r="P1424" i="22" s="1"/>
  <c r="P308" i="22"/>
  <c r="P1067" i="22"/>
  <c r="L134" i="22"/>
  <c r="P134" i="22" s="1"/>
  <c r="M1189" i="22"/>
  <c r="P1190" i="22"/>
  <c r="P985" i="22"/>
  <c r="L1729" i="22"/>
  <c r="P1729" i="22" s="1"/>
  <c r="P1691" i="22"/>
  <c r="P1740" i="22"/>
  <c r="P1472" i="22"/>
  <c r="M829" i="22"/>
  <c r="P830" i="22"/>
  <c r="M1613" i="22"/>
  <c r="P1614" i="22"/>
  <c r="P925" i="22"/>
  <c r="L1381" i="22"/>
  <c r="P1381" i="22" s="1"/>
  <c r="K1379" i="22"/>
  <c r="L1379" i="22" s="1"/>
  <c r="L1384" i="22"/>
  <c r="P1384" i="22" s="1"/>
  <c r="L1390" i="22"/>
  <c r="P1390" i="22" s="1"/>
  <c r="L1385" i="22"/>
  <c r="P1385" i="22" s="1"/>
  <c r="L1387" i="22"/>
  <c r="P1387" i="22" s="1"/>
  <c r="L1388" i="22"/>
  <c r="P1388" i="22" s="1"/>
  <c r="L1380" i="22"/>
  <c r="P1380" i="22" s="1"/>
  <c r="L1389" i="22"/>
  <c r="P1389" i="22" s="1"/>
  <c r="L1382" i="22"/>
  <c r="P1382" i="22" s="1"/>
  <c r="L1383" i="22"/>
  <c r="P1383" i="22" s="1"/>
  <c r="L1386" i="22"/>
  <c r="P1386" i="22" s="1"/>
  <c r="K1751" i="22"/>
  <c r="L1751" i="22" s="1"/>
  <c r="L1762" i="22"/>
  <c r="L1760" i="22"/>
  <c r="P1760" i="22" s="1"/>
  <c r="L1756" i="22"/>
  <c r="P1756" i="22" s="1"/>
  <c r="L1753" i="22"/>
  <c r="P1753" i="22" s="1"/>
  <c r="L1757" i="22"/>
  <c r="P1757" i="22" s="1"/>
  <c r="L1759" i="22"/>
  <c r="P1759" i="22" s="1"/>
  <c r="L1761" i="22"/>
  <c r="P1761" i="22" s="1"/>
  <c r="L1752" i="22"/>
  <c r="P1752" i="22" s="1"/>
  <c r="L1754" i="22"/>
  <c r="P1754" i="22" s="1"/>
  <c r="L1758" i="22"/>
  <c r="P1758" i="22" s="1"/>
  <c r="L1755" i="22"/>
  <c r="P1755" i="22" s="1"/>
  <c r="P709" i="22"/>
  <c r="K882" i="22"/>
  <c r="L882" i="22" s="1"/>
  <c r="L883" i="22"/>
  <c r="P883" i="22" s="1"/>
  <c r="L893" i="22"/>
  <c r="P893" i="22" s="1"/>
  <c r="L887" i="22"/>
  <c r="P887" i="22" s="1"/>
  <c r="L891" i="22"/>
  <c r="P891" i="22" s="1"/>
  <c r="L890" i="22"/>
  <c r="P890" i="22" s="1"/>
  <c r="L892" i="22"/>
  <c r="P892" i="22" s="1"/>
  <c r="L888" i="22"/>
  <c r="P888" i="22" s="1"/>
  <c r="L889" i="22"/>
  <c r="P889" i="22" s="1"/>
  <c r="L884" i="22"/>
  <c r="P884" i="22" s="1"/>
  <c r="L886" i="22"/>
  <c r="P886" i="22" s="1"/>
  <c r="L885" i="22"/>
  <c r="P885" i="22" s="1"/>
  <c r="P432" i="22"/>
  <c r="K581" i="22"/>
  <c r="L581" i="22" s="1"/>
  <c r="L590" i="22"/>
  <c r="P590" i="22" s="1"/>
  <c r="L592" i="22"/>
  <c r="L585" i="22"/>
  <c r="P585" i="22" s="1"/>
  <c r="L589" i="22"/>
  <c r="P589" i="22" s="1"/>
  <c r="L586" i="22"/>
  <c r="P586" i="22" s="1"/>
  <c r="L582" i="22"/>
  <c r="P582" i="22" s="1"/>
  <c r="L588" i="22"/>
  <c r="P588" i="22" s="1"/>
  <c r="L591" i="22"/>
  <c r="P591" i="22" s="1"/>
  <c r="L583" i="22"/>
  <c r="P583" i="22" s="1"/>
  <c r="L587" i="22"/>
  <c r="P587" i="22" s="1"/>
  <c r="L584" i="22"/>
  <c r="P584" i="22" s="1"/>
  <c r="K1580" i="22"/>
  <c r="L1580" i="22" s="1"/>
  <c r="L1582" i="22"/>
  <c r="P1582" i="22" s="1"/>
  <c r="L1588" i="22"/>
  <c r="P1588" i="22" s="1"/>
  <c r="L1585" i="22"/>
  <c r="P1585" i="22" s="1"/>
  <c r="L1586" i="22"/>
  <c r="P1586" i="22" s="1"/>
  <c r="L1581" i="22"/>
  <c r="P1581" i="22" s="1"/>
  <c r="L1583" i="22"/>
  <c r="P1583" i="22" s="1"/>
  <c r="L1587" i="22"/>
  <c r="P1587" i="22" s="1"/>
  <c r="L1584" i="22"/>
  <c r="P1584" i="22" s="1"/>
  <c r="K1818" i="22"/>
  <c r="L1818" i="22" s="1"/>
  <c r="L1820" i="22"/>
  <c r="P1820" i="22" s="1"/>
  <c r="L1823" i="22"/>
  <c r="P1823" i="22" s="1"/>
  <c r="L1824" i="22"/>
  <c r="P1824" i="22" s="1"/>
  <c r="L1821" i="22"/>
  <c r="P1821" i="22" s="1"/>
  <c r="L1819" i="22"/>
  <c r="P1819" i="22" s="1"/>
  <c r="L1826" i="22"/>
  <c r="P1826" i="22" s="1"/>
  <c r="L1825" i="22"/>
  <c r="P1825" i="22" s="1"/>
  <c r="L1822" i="22"/>
  <c r="P1822" i="22" s="1"/>
  <c r="P316" i="22"/>
  <c r="P1072" i="22"/>
  <c r="M495" i="22"/>
  <c r="P496" i="22"/>
  <c r="M1463" i="22"/>
  <c r="P1464" i="22"/>
  <c r="L1304" i="22"/>
  <c r="P1304" i="22" s="1"/>
  <c r="P1258" i="22"/>
  <c r="K1340" i="22"/>
  <c r="L1340" i="22" s="1"/>
  <c r="L1341" i="22"/>
  <c r="P1341" i="22" s="1"/>
  <c r="L1345" i="22"/>
  <c r="P1345" i="22" s="1"/>
  <c r="L1351" i="22"/>
  <c r="L1349" i="22"/>
  <c r="P1349" i="22" s="1"/>
  <c r="L1348" i="22"/>
  <c r="P1348" i="22" s="1"/>
  <c r="L1342" i="22"/>
  <c r="P1342" i="22" s="1"/>
  <c r="L1350" i="22"/>
  <c r="P1350" i="22" s="1"/>
  <c r="L1346" i="22"/>
  <c r="P1346" i="22" s="1"/>
  <c r="L1344" i="22"/>
  <c r="P1344" i="22" s="1"/>
  <c r="L1347" i="22"/>
  <c r="P1347" i="22" s="1"/>
  <c r="L1343" i="22"/>
  <c r="P1343" i="22" s="1"/>
  <c r="K1229" i="22"/>
  <c r="L1229" i="22" s="1"/>
  <c r="L1237" i="22"/>
  <c r="P1237" i="22" s="1"/>
  <c r="L1238" i="22"/>
  <c r="P1238" i="22" s="1"/>
  <c r="L1234" i="22"/>
  <c r="P1234" i="22" s="1"/>
  <c r="L1231" i="22"/>
  <c r="P1231" i="22" s="1"/>
  <c r="L1240" i="22"/>
  <c r="P1240" i="22" s="1"/>
  <c r="L1230" i="22"/>
  <c r="P1230" i="22" s="1"/>
  <c r="L1235" i="22"/>
  <c r="P1235" i="22" s="1"/>
  <c r="L1239" i="22"/>
  <c r="P1239" i="22" s="1"/>
  <c r="L1232" i="22"/>
  <c r="P1232" i="22" s="1"/>
  <c r="L1236" i="22"/>
  <c r="P1236" i="22" s="1"/>
  <c r="L1233" i="22"/>
  <c r="P1233" i="22" s="1"/>
  <c r="K246" i="22"/>
  <c r="L246" i="22" s="1"/>
  <c r="L251" i="22"/>
  <c r="P251" i="22" s="1"/>
  <c r="L257" i="22"/>
  <c r="P257" i="22" s="1"/>
  <c r="L248" i="22"/>
  <c r="P248" i="22" s="1"/>
  <c r="L254" i="22"/>
  <c r="P254" i="22" s="1"/>
  <c r="L255" i="22"/>
  <c r="P255" i="22" s="1"/>
  <c r="L247" i="22"/>
  <c r="P247" i="22" s="1"/>
  <c r="L256" i="22"/>
  <c r="P256" i="22" s="1"/>
  <c r="L252" i="22"/>
  <c r="P252" i="22" s="1"/>
  <c r="L249" i="22"/>
  <c r="P249" i="22" s="1"/>
  <c r="L250" i="22"/>
  <c r="P250" i="22" s="1"/>
  <c r="L253" i="22"/>
  <c r="P253" i="22" s="1"/>
  <c r="P707" i="22"/>
  <c r="K1828" i="22"/>
  <c r="L1828" i="22" s="1"/>
  <c r="L1833" i="22"/>
  <c r="P1833" i="22" s="1"/>
  <c r="L1830" i="22"/>
  <c r="P1830" i="22" s="1"/>
  <c r="L1831" i="22"/>
  <c r="P1831" i="22" s="1"/>
  <c r="L1836" i="22"/>
  <c r="L1835" i="22"/>
  <c r="P1835" i="22" s="1"/>
  <c r="L1834" i="22"/>
  <c r="P1834" i="22" s="1"/>
  <c r="L1832" i="22"/>
  <c r="P1832" i="22" s="1"/>
  <c r="L1829" i="22"/>
  <c r="P1829" i="22" s="1"/>
  <c r="K521" i="22"/>
  <c r="L521" i="22" s="1"/>
  <c r="L523" i="22"/>
  <c r="P523" i="22" s="1"/>
  <c r="L529" i="22"/>
  <c r="L526" i="22"/>
  <c r="P526" i="22" s="1"/>
  <c r="L527" i="22"/>
  <c r="P527" i="22" s="1"/>
  <c r="L522" i="22"/>
  <c r="P522" i="22" s="1"/>
  <c r="L524" i="22"/>
  <c r="P524" i="22" s="1"/>
  <c r="L525" i="22"/>
  <c r="P525" i="22" s="1"/>
  <c r="L528" i="22"/>
  <c r="P528" i="22" s="1"/>
  <c r="P312" i="22"/>
  <c r="P1075" i="22"/>
  <c r="L546" i="22"/>
  <c r="P546" i="22" s="1"/>
  <c r="P508" i="22"/>
  <c r="P1191" i="22"/>
  <c r="P1471" i="22"/>
  <c r="K1542" i="22" a="1"/>
  <c r="K1242" i="22" a="1"/>
  <c r="K1118" i="22" a="1"/>
  <c r="K908" i="22" a="1"/>
  <c r="K359" i="22" a="1"/>
  <c r="K1790" i="22" a="1"/>
  <c r="K1392" i="22" a="1"/>
  <c r="K272" i="22" a="1"/>
  <c r="K1666" i="22" a="1"/>
  <c r="K633" i="22" a="1"/>
  <c r="K1032" i="22" a="1"/>
  <c r="L144" i="22"/>
  <c r="P144" i="22" s="1"/>
  <c r="P1321" i="22"/>
  <c r="M979" i="22"/>
  <c r="P980" i="22"/>
  <c r="L1728" i="22"/>
  <c r="P1728" i="22" s="1"/>
  <c r="P1682" i="22"/>
  <c r="P1743" i="22"/>
  <c r="P1193" i="22"/>
  <c r="P1318" i="22"/>
  <c r="K483" i="22"/>
  <c r="L483" i="22" s="1"/>
  <c r="L488" i="22"/>
  <c r="P488" i="22" s="1"/>
  <c r="L491" i="22"/>
  <c r="P491" i="22" s="1"/>
  <c r="L492" i="22"/>
  <c r="P492" i="22" s="1"/>
  <c r="L485" i="22"/>
  <c r="P485" i="22" s="1"/>
  <c r="L494" i="22"/>
  <c r="P494" i="22" s="1"/>
  <c r="L484" i="22"/>
  <c r="P484" i="22" s="1"/>
  <c r="L493" i="22"/>
  <c r="P493" i="22" s="1"/>
  <c r="L486" i="22"/>
  <c r="P486" i="22" s="1"/>
  <c r="L489" i="22"/>
  <c r="P489" i="22" s="1"/>
  <c r="L487" i="22"/>
  <c r="P487" i="22" s="1"/>
  <c r="L490" i="22"/>
  <c r="P490" i="22" s="1"/>
  <c r="M1737" i="22"/>
  <c r="P1738" i="22"/>
  <c r="P834" i="22"/>
  <c r="P1621" i="22"/>
  <c r="K333" i="22"/>
  <c r="L333" i="22" s="1"/>
  <c r="L334" i="22"/>
  <c r="P334" i="22" s="1"/>
  <c r="L338" i="22"/>
  <c r="P338" i="22" s="1"/>
  <c r="L344" i="22"/>
  <c r="L342" i="22"/>
  <c r="P342" i="22" s="1"/>
  <c r="L341" i="22"/>
  <c r="P341" i="22" s="1"/>
  <c r="L335" i="22"/>
  <c r="P335" i="22" s="1"/>
  <c r="L343" i="22"/>
  <c r="P343" i="22" s="1"/>
  <c r="L336" i="22"/>
  <c r="P336" i="22" s="1"/>
  <c r="L339" i="22"/>
  <c r="P339" i="22" s="1"/>
  <c r="L340" i="22"/>
  <c r="P340" i="22" s="1"/>
  <c r="L337" i="22"/>
  <c r="P337" i="22" s="1"/>
  <c r="K1777" i="22"/>
  <c r="L1777" i="22" s="1"/>
  <c r="L1779" i="22"/>
  <c r="P1779" i="22" s="1"/>
  <c r="L1788" i="22"/>
  <c r="L1786" i="22"/>
  <c r="P1786" i="22" s="1"/>
  <c r="L1785" i="22"/>
  <c r="P1785" i="22" s="1"/>
  <c r="L1782" i="22"/>
  <c r="P1782" i="22" s="1"/>
  <c r="L1787" i="22"/>
  <c r="P1787" i="22" s="1"/>
  <c r="L1778" i="22"/>
  <c r="P1778" i="22" s="1"/>
  <c r="L1783" i="22"/>
  <c r="P1783" i="22" s="1"/>
  <c r="L1784" i="22"/>
  <c r="P1784" i="22" s="1"/>
  <c r="L1781" i="22"/>
  <c r="P1781" i="22" s="1"/>
  <c r="L1780" i="22"/>
  <c r="P1780" i="22" s="1"/>
  <c r="K1203" i="22"/>
  <c r="L1203" i="22" s="1"/>
  <c r="L1211" i="22"/>
  <c r="P1211" i="22" s="1"/>
  <c r="L1208" i="22"/>
  <c r="P1208" i="22" s="1"/>
  <c r="L1213" i="22"/>
  <c r="P1213" i="22" s="1"/>
  <c r="L1214" i="22"/>
  <c r="L1212" i="22"/>
  <c r="P1212" i="22" s="1"/>
  <c r="L1205" i="22"/>
  <c r="P1205" i="22" s="1"/>
  <c r="L1209" i="22"/>
  <c r="P1209" i="22" s="1"/>
  <c r="L1204" i="22"/>
  <c r="P1204" i="22" s="1"/>
  <c r="L1207" i="22"/>
  <c r="P1207" i="22" s="1"/>
  <c r="L1206" i="22"/>
  <c r="P1206" i="22" s="1"/>
  <c r="L1210" i="22"/>
  <c r="P1210" i="22" s="1"/>
  <c r="L1454" i="22"/>
  <c r="P1454" i="22" s="1"/>
  <c r="P1408" i="22"/>
  <c r="P716" i="22"/>
  <c r="K1764" i="22"/>
  <c r="L1764" i="22" s="1"/>
  <c r="L1769" i="22"/>
  <c r="P1769" i="22" s="1"/>
  <c r="L1765" i="22"/>
  <c r="P1765" i="22" s="1"/>
  <c r="L1770" i="22"/>
  <c r="P1770" i="22" s="1"/>
  <c r="L1771" i="22"/>
  <c r="P1771" i="22" s="1"/>
  <c r="L1775" i="22"/>
  <c r="L1774" i="22"/>
  <c r="P1774" i="22" s="1"/>
  <c r="L1773" i="22"/>
  <c r="P1773" i="22" s="1"/>
  <c r="L1772" i="22"/>
  <c r="P1772" i="22" s="1"/>
  <c r="L1767" i="22"/>
  <c r="P1767" i="22" s="1"/>
  <c r="L1766" i="22"/>
  <c r="P1766" i="22" s="1"/>
  <c r="L1768" i="22"/>
  <c r="P1768" i="22" s="1"/>
  <c r="L822" i="22"/>
  <c r="P822" i="22" s="1"/>
  <c r="P784" i="22"/>
  <c r="P440" i="22"/>
  <c r="K1216" i="22"/>
  <c r="L1216" i="22" s="1"/>
  <c r="L1226" i="22"/>
  <c r="P1226" i="22" s="1"/>
  <c r="L1227" i="22"/>
  <c r="L1220" i="22"/>
  <c r="P1220" i="22" s="1"/>
  <c r="L1224" i="22"/>
  <c r="P1224" i="22" s="1"/>
  <c r="L1221" i="22"/>
  <c r="P1221" i="22" s="1"/>
  <c r="L1217" i="22"/>
  <c r="P1217" i="22" s="1"/>
  <c r="L1222" i="22"/>
  <c r="P1222" i="22" s="1"/>
  <c r="L1225" i="22"/>
  <c r="P1225" i="22" s="1"/>
  <c r="L1219" i="22"/>
  <c r="P1219" i="22" s="1"/>
  <c r="L1223" i="22"/>
  <c r="P1223" i="22" s="1"/>
  <c r="L1218" i="22"/>
  <c r="P1218" i="22" s="1"/>
  <c r="K18" i="22"/>
  <c r="L18" i="22" s="1"/>
  <c r="L20" i="22"/>
  <c r="L29" i="22"/>
  <c r="L26" i="22"/>
  <c r="L23" i="22"/>
  <c r="L27" i="22"/>
  <c r="L28" i="22"/>
  <c r="L22" i="22"/>
  <c r="L24" i="22"/>
  <c r="P24" i="22" s="1"/>
  <c r="L21" i="22"/>
  <c r="L19" i="22"/>
  <c r="L423" i="22"/>
  <c r="P423" i="22" s="1"/>
  <c r="P385" i="22"/>
  <c r="K936" i="22"/>
  <c r="L936" i="22" s="1"/>
  <c r="L941" i="22"/>
  <c r="P941" i="22" s="1"/>
  <c r="L944" i="22"/>
  <c r="P944" i="22" s="1"/>
  <c r="L938" i="22"/>
  <c r="P938" i="22" s="1"/>
  <c r="L943" i="22"/>
  <c r="P943" i="22" s="1"/>
  <c r="L942" i="22"/>
  <c r="P942" i="22" s="1"/>
  <c r="L939" i="22"/>
  <c r="P939" i="22" s="1"/>
  <c r="L937" i="22"/>
  <c r="P937" i="22" s="1"/>
  <c r="L940" i="22"/>
  <c r="P940" i="22" s="1"/>
  <c r="K1146" i="22"/>
  <c r="L1146" i="22" s="1"/>
  <c r="L1151" i="22"/>
  <c r="P1151" i="22" s="1"/>
  <c r="L1154" i="22"/>
  <c r="P1154" i="22" s="1"/>
  <c r="L1148" i="22"/>
  <c r="P1148" i="22" s="1"/>
  <c r="L1147" i="22"/>
  <c r="P1147" i="22" s="1"/>
  <c r="L1150" i="22"/>
  <c r="P1150" i="22" s="1"/>
  <c r="L1149" i="22"/>
  <c r="P1149" i="22" s="1"/>
  <c r="L1153" i="22"/>
  <c r="P1153" i="22" s="1"/>
  <c r="L1152" i="22"/>
  <c r="P1152" i="22" s="1"/>
  <c r="P315" i="22"/>
  <c r="P1071" i="22"/>
  <c r="P1516" i="22"/>
  <c r="O193" i="22"/>
  <c r="P171" i="22"/>
  <c r="L209" i="22"/>
  <c r="P209" i="22" s="1"/>
  <c r="K63" i="22"/>
  <c r="L63" i="22" s="1"/>
  <c r="P63" i="22" s="1"/>
  <c r="K146" i="22" a="1"/>
  <c r="P172" i="22"/>
  <c r="L210" i="22"/>
  <c r="P210" i="22" s="1"/>
  <c r="P159" i="22"/>
  <c r="M158" i="22"/>
  <c r="L118" i="22"/>
  <c r="K174" i="22"/>
  <c r="L174" i="22" s="1"/>
  <c r="L182" i="22"/>
  <c r="P182" i="22" s="1"/>
  <c r="L181" i="22"/>
  <c r="P181" i="22" s="1"/>
  <c r="L177" i="22"/>
  <c r="P177" i="22" s="1"/>
  <c r="L175" i="22"/>
  <c r="P175" i="22" s="1"/>
  <c r="L180" i="22"/>
  <c r="P180" i="22" s="1"/>
  <c r="L179" i="22"/>
  <c r="P179" i="22" s="1"/>
  <c r="L178" i="22"/>
  <c r="P178" i="22" s="1"/>
  <c r="L176" i="22"/>
  <c r="P176" i="22" s="1"/>
  <c r="K184" i="22"/>
  <c r="L184" i="22" s="1"/>
  <c r="L189" i="22"/>
  <c r="P189" i="22" s="1"/>
  <c r="L186" i="22"/>
  <c r="P186" i="22" s="1"/>
  <c r="L187" i="22"/>
  <c r="P187" i="22" s="1"/>
  <c r="L185" i="22"/>
  <c r="P185" i="22" s="1"/>
  <c r="L192" i="22"/>
  <c r="P192" i="22" s="1"/>
  <c r="L190" i="22"/>
  <c r="P190" i="22" s="1"/>
  <c r="L188" i="22"/>
  <c r="P188" i="22" s="1"/>
  <c r="L191" i="22"/>
  <c r="P191" i="22" s="1"/>
  <c r="P162" i="22"/>
  <c r="L208" i="22"/>
  <c r="P208" i="22" s="1"/>
  <c r="P116" i="22"/>
  <c r="P107" i="22"/>
  <c r="P131" i="22"/>
  <c r="C31" i="8"/>
  <c r="K120" i="22"/>
  <c r="L120" i="22" s="1"/>
  <c r="P120" i="22" s="1"/>
  <c r="L126" i="22"/>
  <c r="P126" i="22" s="1"/>
  <c r="L125" i="22"/>
  <c r="P125" i="22" s="1"/>
  <c r="L121" i="22"/>
  <c r="P121" i="22" s="1"/>
  <c r="L127" i="22"/>
  <c r="P127" i="22" s="1"/>
  <c r="L130" i="22"/>
  <c r="P130" i="22" s="1"/>
  <c r="L128" i="22"/>
  <c r="P128" i="22" s="1"/>
  <c r="L124" i="22"/>
  <c r="P124" i="22" s="1"/>
  <c r="L129" i="22"/>
  <c r="P129" i="22" s="1"/>
  <c r="L123" i="22"/>
  <c r="P123" i="22" s="1"/>
  <c r="L122" i="22"/>
  <c r="P122" i="22" s="1"/>
  <c r="K31" i="8"/>
  <c r="P50" i="22"/>
  <c r="M43" i="22"/>
  <c r="L79" i="22"/>
  <c r="P79" i="22" s="1"/>
  <c r="C116" i="8"/>
  <c r="K26" i="8"/>
  <c r="K30" i="8"/>
  <c r="C28" i="8"/>
  <c r="K28" i="8"/>
  <c r="C119" i="8"/>
  <c r="C125" i="8"/>
  <c r="C38" i="8"/>
  <c r="C67" i="8"/>
  <c r="C14" i="8"/>
  <c r="K14" i="8"/>
  <c r="J14" i="8"/>
  <c r="C66" i="8"/>
  <c r="C102" i="8"/>
  <c r="C112" i="8"/>
  <c r="C115" i="8"/>
  <c r="C118" i="8"/>
  <c r="C121" i="8"/>
  <c r="C124" i="8"/>
  <c r="J56" i="8"/>
  <c r="J59" i="8"/>
  <c r="J76" i="8"/>
  <c r="K25" i="8"/>
  <c r="K29" i="8"/>
  <c r="K56" i="8"/>
  <c r="K59" i="8"/>
  <c r="K76" i="8"/>
  <c r="K79" i="8"/>
  <c r="K82" i="8"/>
  <c r="K85" i="8"/>
  <c r="J6" i="8"/>
  <c r="C17" i="8"/>
  <c r="C26" i="8"/>
  <c r="C30" i="8"/>
  <c r="C57" i="8"/>
  <c r="C64" i="8"/>
  <c r="J70" i="8"/>
  <c r="C77" i="8"/>
  <c r="C80" i="8"/>
  <c r="C83" i="8"/>
  <c r="J104" i="8"/>
  <c r="C107" i="8"/>
  <c r="C100" i="8"/>
  <c r="K104" i="8"/>
  <c r="J109" i="8"/>
  <c r="C105" i="8"/>
  <c r="C103" i="8"/>
  <c r="K8" i="8"/>
  <c r="J29" i="8"/>
  <c r="J79" i="8"/>
  <c r="J82" i="8"/>
  <c r="C71" i="8"/>
  <c r="C87" i="8"/>
  <c r="C25" i="8"/>
  <c r="C85" i="8"/>
  <c r="J17" i="8"/>
  <c r="J26" i="8"/>
  <c r="J30" i="8"/>
  <c r="J64" i="8"/>
  <c r="J77" i="8"/>
  <c r="J80" i="8"/>
  <c r="J83" i="8"/>
  <c r="C108" i="8"/>
  <c r="C101" i="8"/>
  <c r="J103" i="8"/>
  <c r="C106" i="8"/>
  <c r="C111" i="8"/>
  <c r="C114" i="8"/>
  <c r="C117" i="8"/>
  <c r="C120" i="8"/>
  <c r="C123" i="8"/>
  <c r="O1944" i="22" l="1"/>
  <c r="D2038" i="22"/>
  <c r="G43" i="8"/>
  <c r="H44" i="8"/>
  <c r="I44" i="8" s="1"/>
  <c r="J44" i="8" s="1"/>
  <c r="H53" i="8"/>
  <c r="I53" i="8" s="1"/>
  <c r="J53" i="8" s="1"/>
  <c r="J8" i="8"/>
  <c r="F158" i="15"/>
  <c r="I154" i="15"/>
  <c r="C96" i="8"/>
  <c r="F109" i="30"/>
  <c r="D99" i="32"/>
  <c r="F99" i="32" s="1"/>
  <c r="F110" i="30"/>
  <c r="D100" i="32"/>
  <c r="F100" i="32" s="1"/>
  <c r="K96" i="8"/>
  <c r="K48" i="8"/>
  <c r="E2028" i="22"/>
  <c r="H63" i="8" s="1"/>
  <c r="I63" i="8" s="1"/>
  <c r="J51" i="8"/>
  <c r="K51" i="8"/>
  <c r="G19" i="8"/>
  <c r="D91" i="32" s="1"/>
  <c r="F91" i="32" s="1"/>
  <c r="F2038" i="22"/>
  <c r="F2016" i="22"/>
  <c r="E2016" i="22" s="1"/>
  <c r="H47" i="8" s="1"/>
  <c r="I47" i="8" s="1"/>
  <c r="F2014" i="22"/>
  <c r="E2014" i="22" s="1"/>
  <c r="H94" i="8" s="1"/>
  <c r="I94" i="8" s="1"/>
  <c r="F2017" i="22"/>
  <c r="F2020" i="22"/>
  <c r="F2012" i="22"/>
  <c r="E2012" i="22" s="1"/>
  <c r="H45" i="8" s="1"/>
  <c r="I45" i="8" s="1"/>
  <c r="F2019" i="22"/>
  <c r="E2019" i="22" s="1"/>
  <c r="H50" i="8" s="1"/>
  <c r="I50" i="8" s="1"/>
  <c r="F2021" i="22"/>
  <c r="E2021" i="22" s="1"/>
  <c r="H21" i="8" s="1"/>
  <c r="I21" i="8" s="1"/>
  <c r="F2013" i="22"/>
  <c r="E2013" i="22" s="1"/>
  <c r="H93" i="8" s="1"/>
  <c r="I93" i="8" s="1"/>
  <c r="P1869" i="22"/>
  <c r="L1953" i="22"/>
  <c r="P1865" i="22"/>
  <c r="L1949" i="22"/>
  <c r="L1946" i="22"/>
  <c r="P1870" i="22"/>
  <c r="F2030" i="22" s="1"/>
  <c r="E2030" i="22" s="1"/>
  <c r="H95" i="8" s="1"/>
  <c r="I95" i="8" s="1"/>
  <c r="L1954" i="22"/>
  <c r="P1866" i="22"/>
  <c r="L1950" i="22"/>
  <c r="P1863" i="22"/>
  <c r="L1947" i="22"/>
  <c r="P1867" i="22"/>
  <c r="L1951" i="22"/>
  <c r="P1868" i="22"/>
  <c r="L1952" i="22"/>
  <c r="P1864" i="22"/>
  <c r="F2024" i="22" s="1"/>
  <c r="E2024" i="22" s="1"/>
  <c r="H54" i="8" s="1"/>
  <c r="I54" i="8" s="1"/>
  <c r="L1944" i="22"/>
  <c r="L1948" i="22"/>
  <c r="M106" i="22"/>
  <c r="L808" i="22"/>
  <c r="P808" i="22" s="1"/>
  <c r="M132" i="22"/>
  <c r="L817" i="22"/>
  <c r="P817" i="22" s="1"/>
  <c r="L542" i="22"/>
  <c r="P542" i="22" s="1"/>
  <c r="P133" i="22"/>
  <c r="L541" i="22"/>
  <c r="P541" i="22" s="1"/>
  <c r="M1515" i="22"/>
  <c r="M1365" i="22"/>
  <c r="P1366" i="22"/>
  <c r="M1279" i="22"/>
  <c r="P1280" i="22"/>
  <c r="P574" i="22"/>
  <c r="L1726" i="22"/>
  <c r="P1726" i="22" s="1"/>
  <c r="P1638" i="22"/>
  <c r="L809" i="22"/>
  <c r="P809" i="22" s="1"/>
  <c r="M731" i="22"/>
  <c r="P732" i="22"/>
  <c r="M868" i="22"/>
  <c r="P869" i="22"/>
  <c r="M469" i="22"/>
  <c r="P470" i="22"/>
  <c r="L297" i="22"/>
  <c r="P297" i="22" s="1"/>
  <c r="P244" i="22"/>
  <c r="L812" i="22"/>
  <c r="P812" i="22" s="1"/>
  <c r="P21" i="22"/>
  <c r="L75" i="22"/>
  <c r="P75" i="22" s="1"/>
  <c r="K908" i="22"/>
  <c r="L908" i="22" s="1"/>
  <c r="L957" i="22" s="1"/>
  <c r="L918" i="22"/>
  <c r="P918" i="22" s="1"/>
  <c r="L909" i="22"/>
  <c r="P909" i="22" s="1"/>
  <c r="L913" i="22"/>
  <c r="P913" i="22" s="1"/>
  <c r="L916" i="22"/>
  <c r="L917" i="22"/>
  <c r="P917" i="22" s="1"/>
  <c r="L919" i="22"/>
  <c r="P919" i="22" s="1"/>
  <c r="L910" i="22"/>
  <c r="P910" i="22" s="1"/>
  <c r="L912" i="22"/>
  <c r="L914" i="22"/>
  <c r="P914" i="22" s="1"/>
  <c r="L915" i="22"/>
  <c r="P915" i="22" s="1"/>
  <c r="L911" i="22"/>
  <c r="P911" i="22" s="1"/>
  <c r="P570" i="22"/>
  <c r="L807" i="22"/>
  <c r="P1651" i="22"/>
  <c r="M1626" i="22"/>
  <c r="P1627" i="22"/>
  <c r="M1005" i="22"/>
  <c r="P1006" i="22"/>
  <c r="M1652" i="22"/>
  <c r="P1653" i="22"/>
  <c r="L815" i="22"/>
  <c r="P815" i="22" s="1"/>
  <c r="M842" i="22"/>
  <c r="P843" i="22"/>
  <c r="M1104" i="22"/>
  <c r="P1105" i="22"/>
  <c r="P241" i="22"/>
  <c r="L811" i="22"/>
  <c r="P811" i="22" s="1"/>
  <c r="K1392" i="22"/>
  <c r="L1392" i="22" s="1"/>
  <c r="L1441" i="22" s="1"/>
  <c r="L1393" i="22"/>
  <c r="P1393" i="22" s="1"/>
  <c r="L1403" i="22"/>
  <c r="P1403" i="22" s="1"/>
  <c r="L1402" i="22"/>
  <c r="P1402" i="22" s="1"/>
  <c r="L1400" i="22"/>
  <c r="P1400" i="22" s="1"/>
  <c r="L1397" i="22"/>
  <c r="L1394" i="22"/>
  <c r="L1398" i="22"/>
  <c r="P1398" i="22" s="1"/>
  <c r="L1401" i="22"/>
  <c r="P1401" i="22" s="1"/>
  <c r="L1395" i="22"/>
  <c r="P1395" i="22" s="1"/>
  <c r="L1396" i="22"/>
  <c r="P1396" i="22" s="1"/>
  <c r="L1399" i="22"/>
  <c r="P1399" i="22" s="1"/>
  <c r="M660" i="22"/>
  <c r="P661" i="22"/>
  <c r="P576" i="22"/>
  <c r="M319" i="22"/>
  <c r="P320" i="22"/>
  <c r="P242" i="22"/>
  <c r="M1871" i="22"/>
  <c r="P1877" i="22"/>
  <c r="M1018" i="22"/>
  <c r="P1019" i="22"/>
  <c r="M1639" i="22"/>
  <c r="P1644" i="22"/>
  <c r="L1057" i="22"/>
  <c r="P1057" i="22" s="1"/>
  <c r="P1004" i="22"/>
  <c r="L544" i="22"/>
  <c r="P544" i="22" s="1"/>
  <c r="P468" i="22"/>
  <c r="P238" i="22"/>
  <c r="M1861" i="22"/>
  <c r="P1862" i="22"/>
  <c r="F2022" i="22" s="1"/>
  <c r="E2022" i="22" s="1"/>
  <c r="H52" i="8" s="1"/>
  <c r="I52" i="8" s="1"/>
  <c r="M386" i="22"/>
  <c r="P387" i="22"/>
  <c r="M795" i="22"/>
  <c r="P796" i="22"/>
  <c r="M232" i="22"/>
  <c r="P233" i="22"/>
  <c r="P1103" i="22"/>
  <c r="M945" i="22"/>
  <c r="P946" i="22"/>
  <c r="M1215" i="22"/>
  <c r="P1216" i="22"/>
  <c r="M1228" i="22"/>
  <c r="P1229" i="22"/>
  <c r="K1118" i="22"/>
  <c r="L1118" i="22" s="1"/>
  <c r="L1167" i="22" s="1"/>
  <c r="L1119" i="22"/>
  <c r="P1119" i="22" s="1"/>
  <c r="L1123" i="22"/>
  <c r="P1123" i="22" s="1"/>
  <c r="L1126" i="22"/>
  <c r="P1126" i="22" s="1"/>
  <c r="L1129" i="22"/>
  <c r="P1129" i="22" s="1"/>
  <c r="L1125" i="22"/>
  <c r="P1125" i="22" s="1"/>
  <c r="L1124" i="22"/>
  <c r="P1124" i="22" s="1"/>
  <c r="L1122" i="22"/>
  <c r="P1122" i="22" s="1"/>
  <c r="L1127" i="22"/>
  <c r="L1120" i="22"/>
  <c r="P1120" i="22" s="1"/>
  <c r="L1128" i="22"/>
  <c r="P1128" i="22" s="1"/>
  <c r="L1121" i="22"/>
  <c r="P1121" i="22" s="1"/>
  <c r="M785" i="22"/>
  <c r="P786" i="22"/>
  <c r="K1542" i="22"/>
  <c r="L1542" i="22" s="1"/>
  <c r="L1547" i="22"/>
  <c r="L1553" i="22"/>
  <c r="P1553" i="22" s="1"/>
  <c r="L1550" i="22"/>
  <c r="P1550" i="22" s="1"/>
  <c r="L1543" i="22"/>
  <c r="P1543" i="22" s="1"/>
  <c r="L1551" i="22"/>
  <c r="P1551" i="22" s="1"/>
  <c r="L1552" i="22"/>
  <c r="L1546" i="22"/>
  <c r="P1546" i="22" s="1"/>
  <c r="L1544" i="22"/>
  <c r="L1549" i="22"/>
  <c r="P1549" i="22" s="1"/>
  <c r="L1545" i="22"/>
  <c r="P1545" i="22" s="1"/>
  <c r="L1548" i="22"/>
  <c r="P1548" i="22" s="1"/>
  <c r="M1579" i="22"/>
  <c r="P1580" i="22"/>
  <c r="P27" i="22"/>
  <c r="L81" i="22"/>
  <c r="P81" i="22" s="1"/>
  <c r="M1078" i="22"/>
  <c r="P1079" i="22"/>
  <c r="M619" i="22"/>
  <c r="P620" i="22"/>
  <c r="L535" i="22"/>
  <c r="P535" i="22" s="1"/>
  <c r="M258" i="22"/>
  <c r="P259" i="22"/>
  <c r="M593" i="22"/>
  <c r="P594" i="22"/>
  <c r="M567" i="22"/>
  <c r="P568" i="22"/>
  <c r="M1528" i="22"/>
  <c r="P1529" i="22"/>
  <c r="P240" i="22"/>
  <c r="L1302" i="22"/>
  <c r="P1302" i="22" s="1"/>
  <c r="P1214" i="22"/>
  <c r="M606" i="22"/>
  <c r="P607" i="22"/>
  <c r="M1352" i="22"/>
  <c r="P1353" i="22"/>
  <c r="K1242" i="22"/>
  <c r="L1242" i="22" s="1"/>
  <c r="L1291" i="22" s="1"/>
  <c r="L1251" i="22"/>
  <c r="P1251" i="22" s="1"/>
  <c r="L1250" i="22"/>
  <c r="L1247" i="22"/>
  <c r="P1247" i="22" s="1"/>
  <c r="L1243" i="22"/>
  <c r="P1243" i="22" s="1"/>
  <c r="L1253" i="22"/>
  <c r="P1253" i="22" s="1"/>
  <c r="L1252" i="22"/>
  <c r="P1252" i="22" s="1"/>
  <c r="L1244" i="22"/>
  <c r="P1244" i="22" s="1"/>
  <c r="L1245" i="22"/>
  <c r="L1246" i="22"/>
  <c r="L1249" i="22"/>
  <c r="P1249" i="22" s="1"/>
  <c r="L1248" i="22"/>
  <c r="P1248" i="22" s="1"/>
  <c r="L814" i="22"/>
  <c r="P814" i="22" s="1"/>
  <c r="P270" i="22"/>
  <c r="P1030" i="22"/>
  <c r="P578" i="22"/>
  <c r="L419" i="22"/>
  <c r="P419" i="22" s="1"/>
  <c r="P331" i="22"/>
  <c r="L533" i="22"/>
  <c r="P533" i="22" s="1"/>
  <c r="P26" i="22"/>
  <c r="L80" i="22"/>
  <c r="P80" i="22" s="1"/>
  <c r="K633" i="22"/>
  <c r="L633" i="22" s="1"/>
  <c r="L682" i="22" s="1"/>
  <c r="L634" i="22"/>
  <c r="P634" i="22" s="1"/>
  <c r="L641" i="22"/>
  <c r="P641" i="22" s="1"/>
  <c r="L644" i="22"/>
  <c r="P644" i="22" s="1"/>
  <c r="L642" i="22"/>
  <c r="P642" i="22" s="1"/>
  <c r="L643" i="22"/>
  <c r="P643" i="22" s="1"/>
  <c r="L638" i="22"/>
  <c r="P638" i="22" s="1"/>
  <c r="L635" i="22"/>
  <c r="P635" i="22" s="1"/>
  <c r="L637" i="22"/>
  <c r="P637" i="22" s="1"/>
  <c r="L636" i="22"/>
  <c r="P636" i="22" s="1"/>
  <c r="L639" i="22"/>
  <c r="P639" i="22" s="1"/>
  <c r="L640" i="22"/>
  <c r="P640" i="22" s="1"/>
  <c r="P1351" i="22"/>
  <c r="M1817" i="22"/>
  <c r="P1818" i="22"/>
  <c r="L1850" i="22"/>
  <c r="P1850" i="22" s="1"/>
  <c r="P1762" i="22"/>
  <c r="M1378" i="22"/>
  <c r="P1379" i="22"/>
  <c r="M1419" i="22"/>
  <c r="P1420" i="22"/>
  <c r="P575" i="22"/>
  <c r="M1269" i="22"/>
  <c r="P1270" i="22"/>
  <c r="L813" i="22"/>
  <c r="P813" i="22" s="1"/>
  <c r="M396" i="22"/>
  <c r="P397" i="22"/>
  <c r="M992" i="22"/>
  <c r="P993" i="22"/>
  <c r="M456" i="22"/>
  <c r="P457" i="22"/>
  <c r="P1501" i="22"/>
  <c r="M1326" i="22"/>
  <c r="P1328" i="22"/>
  <c r="L968" i="22"/>
  <c r="P968" i="22" s="1"/>
  <c r="P854" i="22"/>
  <c r="L530" i="22"/>
  <c r="P237" i="22"/>
  <c r="L818" i="22"/>
  <c r="P818" i="22" s="1"/>
  <c r="P730" i="22"/>
  <c r="L537" i="22"/>
  <c r="P537" i="22" s="1"/>
  <c r="M245" i="22" a="1"/>
  <c r="M245" i="22" s="1"/>
  <c r="P246" i="22"/>
  <c r="M1339" i="22"/>
  <c r="P1340" i="22"/>
  <c r="P19" i="22"/>
  <c r="L73" i="22"/>
  <c r="P73" i="22" s="1"/>
  <c r="P573" i="22"/>
  <c r="M855" i="22"/>
  <c r="P856" i="22"/>
  <c r="M345" i="22"/>
  <c r="P346" i="22"/>
  <c r="M1693" i="22"/>
  <c r="P1701" i="22"/>
  <c r="P22" i="22"/>
  <c r="L76" i="22"/>
  <c r="P76" i="22" s="1"/>
  <c r="P344" i="22"/>
  <c r="M580" i="22"/>
  <c r="P581" i="22"/>
  <c r="M1569" i="22"/>
  <c r="P1570" i="22"/>
  <c r="P23" i="22"/>
  <c r="L77" i="22"/>
  <c r="P77" i="22" s="1"/>
  <c r="M1776" i="22"/>
  <c r="P1777" i="22"/>
  <c r="M881" i="22"/>
  <c r="P882" i="22"/>
  <c r="P29" i="22"/>
  <c r="L83" i="22"/>
  <c r="P83" i="22" s="1"/>
  <c r="P1227" i="22"/>
  <c r="K1666" i="22"/>
  <c r="L1666" i="22" s="1"/>
  <c r="L1667" i="22"/>
  <c r="P1667" i="22" s="1"/>
  <c r="L1676" i="22"/>
  <c r="L1671" i="22"/>
  <c r="L1675" i="22"/>
  <c r="L1674" i="22"/>
  <c r="P1674" i="22" s="1"/>
  <c r="L1677" i="22"/>
  <c r="P1677" i="22" s="1"/>
  <c r="L1668" i="22"/>
  <c r="P1668" i="22" s="1"/>
  <c r="L1672" i="22"/>
  <c r="P1672" i="22" s="1"/>
  <c r="L1670" i="22"/>
  <c r="P1670" i="22" s="1"/>
  <c r="L1669" i="22"/>
  <c r="P1669" i="22" s="1"/>
  <c r="L1673" i="22"/>
  <c r="P1673" i="22" s="1"/>
  <c r="M1827" i="22"/>
  <c r="P1828" i="22"/>
  <c r="L810" i="22"/>
  <c r="P810" i="22" s="1"/>
  <c r="M1750" i="22"/>
  <c r="P1751" i="22"/>
  <c r="P572" i="22"/>
  <c r="L538" i="22"/>
  <c r="P538" i="22" s="1"/>
  <c r="P463" i="22"/>
  <c r="M1429" i="22"/>
  <c r="P1430" i="22"/>
  <c r="L532" i="22"/>
  <c r="P236" i="22"/>
  <c r="L543" i="22"/>
  <c r="P543" i="22" s="1"/>
  <c r="P455" i="22"/>
  <c r="M1155" i="22"/>
  <c r="P1156" i="22"/>
  <c r="L72" i="22"/>
  <c r="P72" i="22" s="1"/>
  <c r="M17" i="22"/>
  <c r="P18" i="22"/>
  <c r="M1145" i="22"/>
  <c r="P1146" i="22"/>
  <c r="K359" i="22"/>
  <c r="L359" i="22" s="1"/>
  <c r="L368" i="22"/>
  <c r="L364" i="22"/>
  <c r="L367" i="22"/>
  <c r="L370" i="22"/>
  <c r="P370" i="22" s="1"/>
  <c r="L360" i="22"/>
  <c r="L363" i="22"/>
  <c r="P363" i="22" s="1"/>
  <c r="L369" i="22"/>
  <c r="P369" i="22" s="1"/>
  <c r="L362" i="22"/>
  <c r="P362" i="22" s="1"/>
  <c r="L366" i="22"/>
  <c r="P366" i="22" s="1"/>
  <c r="L361" i="22"/>
  <c r="P361" i="22" s="1"/>
  <c r="L365" i="22"/>
  <c r="P365" i="22" s="1"/>
  <c r="M1763" i="22"/>
  <c r="P1764" i="22"/>
  <c r="M482" i="22"/>
  <c r="P483" i="22"/>
  <c r="P592" i="22"/>
  <c r="M744" i="22"/>
  <c r="P745" i="22"/>
  <c r="M510" i="22"/>
  <c r="P511" i="22"/>
  <c r="P235" i="22"/>
  <c r="L1178" i="22"/>
  <c r="P1178" i="22" s="1"/>
  <c r="P28" i="22"/>
  <c r="L82" i="22"/>
  <c r="P82" i="22" s="1"/>
  <c r="L693" i="22"/>
  <c r="P693" i="22" s="1"/>
  <c r="P579" i="22"/>
  <c r="M1202" i="22"/>
  <c r="P1203" i="22"/>
  <c r="M332" i="22"/>
  <c r="P333" i="22"/>
  <c r="K1032" i="22"/>
  <c r="L1032" i="22" s="1"/>
  <c r="L1043" i="22"/>
  <c r="P1043" i="22" s="1"/>
  <c r="L1041" i="22"/>
  <c r="P1041" i="22" s="1"/>
  <c r="L1040" i="22"/>
  <c r="P1040" i="22" s="1"/>
  <c r="L1033" i="22"/>
  <c r="P1033" i="22" s="1"/>
  <c r="L1037" i="22"/>
  <c r="P1037" i="22" s="1"/>
  <c r="L1039" i="22"/>
  <c r="P1039" i="22" s="1"/>
  <c r="L1036" i="22"/>
  <c r="P1036" i="22" s="1"/>
  <c r="L1034" i="22"/>
  <c r="L1042" i="22"/>
  <c r="P1042" i="22" s="1"/>
  <c r="L1038" i="22"/>
  <c r="P1038" i="22" s="1"/>
  <c r="L1035" i="22"/>
  <c r="P1035" i="22" s="1"/>
  <c r="M935" i="22"/>
  <c r="P936" i="22"/>
  <c r="P20" i="22"/>
  <c r="L74" i="22"/>
  <c r="P74" i="22" s="1"/>
  <c r="P1775" i="22"/>
  <c r="K272" i="22"/>
  <c r="L272" i="22" s="1"/>
  <c r="P272" i="22" s="1"/>
  <c r="L281" i="22"/>
  <c r="P281" i="22" s="1"/>
  <c r="L274" i="22"/>
  <c r="P274" i="22" s="1"/>
  <c r="L280" i="22"/>
  <c r="P280" i="22" s="1"/>
  <c r="L277" i="22"/>
  <c r="P277" i="22" s="1"/>
  <c r="L273" i="22"/>
  <c r="P273" i="22" s="1"/>
  <c r="L282" i="22"/>
  <c r="P282" i="22" s="1"/>
  <c r="L276" i="22"/>
  <c r="P276" i="22" s="1"/>
  <c r="L279" i="22"/>
  <c r="P279" i="22" s="1"/>
  <c r="L283" i="22"/>
  <c r="P283" i="22" s="1"/>
  <c r="L278" i="22"/>
  <c r="P278" i="22" s="1"/>
  <c r="L275" i="22"/>
  <c r="P275" i="22" s="1"/>
  <c r="P569" i="22"/>
  <c r="L539" i="22"/>
  <c r="P539" i="22" s="1"/>
  <c r="M1489" i="22"/>
  <c r="P1490" i="22"/>
  <c r="P239" i="22"/>
  <c r="M670" i="22"/>
  <c r="P671" i="22"/>
  <c r="L1602" i="22"/>
  <c r="P1602" i="22" s="1"/>
  <c r="P1488" i="22"/>
  <c r="P577" i="22"/>
  <c r="M1703" i="22"/>
  <c r="P1704" i="22"/>
  <c r="P867" i="22"/>
  <c r="L805" i="22"/>
  <c r="L819" i="22"/>
  <c r="P819" i="22" s="1"/>
  <c r="P743" i="22"/>
  <c r="P243" i="22"/>
  <c r="L534" i="22"/>
  <c r="P534" i="22" s="1"/>
  <c r="M1502" i="22"/>
  <c r="P1503" i="22"/>
  <c r="M1476" i="22"/>
  <c r="P1477" i="22"/>
  <c r="M1091" i="22"/>
  <c r="P1092" i="22"/>
  <c r="L78" i="22"/>
  <c r="P78" i="22" s="1"/>
  <c r="K1790" i="22"/>
  <c r="L1790" i="22" s="1"/>
  <c r="L1795" i="22"/>
  <c r="P1795" i="22" s="1"/>
  <c r="L1791" i="22"/>
  <c r="P1791" i="22" s="1"/>
  <c r="L1799" i="22"/>
  <c r="P1799" i="22" s="1"/>
  <c r="L1801" i="22"/>
  <c r="P1801" i="22" s="1"/>
  <c r="L1800" i="22"/>
  <c r="P1800" i="22" s="1"/>
  <c r="L1798" i="22"/>
  <c r="P1798" i="22" s="1"/>
  <c r="L1792" i="22"/>
  <c r="P1792" i="22" s="1"/>
  <c r="L1796" i="22"/>
  <c r="P1796" i="22" s="1"/>
  <c r="L1793" i="22"/>
  <c r="L1794" i="22"/>
  <c r="P1794" i="22" s="1"/>
  <c r="L1797" i="22"/>
  <c r="P1797" i="22" s="1"/>
  <c r="M520" i="22"/>
  <c r="P521" i="22"/>
  <c r="L536" i="22"/>
  <c r="P536" i="22" s="1"/>
  <c r="L816" i="22"/>
  <c r="P816" i="22" s="1"/>
  <c r="L1452" i="22"/>
  <c r="P1452" i="22" s="1"/>
  <c r="P1338" i="22"/>
  <c r="M894" i="22"/>
  <c r="P895" i="22"/>
  <c r="P234" i="22"/>
  <c r="M443" i="22"/>
  <c r="P444" i="22"/>
  <c r="M718" i="22"/>
  <c r="P719" i="22"/>
  <c r="M757" i="22"/>
  <c r="P758" i="22"/>
  <c r="L540" i="22"/>
  <c r="P540" i="22" s="1"/>
  <c r="P118" i="22"/>
  <c r="P174" i="22"/>
  <c r="M173" i="22"/>
  <c r="L206" i="22"/>
  <c r="P206" i="22" s="1"/>
  <c r="P184" i="22"/>
  <c r="M183" i="22"/>
  <c r="L69" i="22"/>
  <c r="M56" i="22"/>
  <c r="K146" i="22"/>
  <c r="L146" i="22" s="1"/>
  <c r="L154" i="22"/>
  <c r="P154" i="22" s="1"/>
  <c r="L157" i="22"/>
  <c r="L151" i="22"/>
  <c r="P151" i="22" s="1"/>
  <c r="L149" i="22"/>
  <c r="P149" i="22" s="1"/>
  <c r="L148" i="22"/>
  <c r="P148" i="22" s="1"/>
  <c r="L147" i="22"/>
  <c r="P147" i="22" s="1"/>
  <c r="L155" i="22"/>
  <c r="P155" i="22" s="1"/>
  <c r="L152" i="22"/>
  <c r="P152" i="22" s="1"/>
  <c r="L156" i="22"/>
  <c r="P156" i="22" s="1"/>
  <c r="L153" i="22"/>
  <c r="L150" i="22"/>
  <c r="M119" i="22"/>
  <c r="C44" i="8" l="1"/>
  <c r="K53" i="8"/>
  <c r="K44" i="8"/>
  <c r="C53" i="8"/>
  <c r="L685" i="22"/>
  <c r="P685" i="22" s="1"/>
  <c r="L1170" i="22"/>
  <c r="P1170" i="22" s="1"/>
  <c r="L1169" i="22"/>
  <c r="P1169" i="22" s="1"/>
  <c r="L964" i="22"/>
  <c r="P964" i="22" s="1"/>
  <c r="F101" i="32"/>
  <c r="C63" i="8"/>
  <c r="K63" i="8"/>
  <c r="J63" i="8"/>
  <c r="J48" i="8"/>
  <c r="C48" i="8"/>
  <c r="I19" i="8"/>
  <c r="D101" i="30"/>
  <c r="F101" i="30" s="1"/>
  <c r="F111" i="30" s="1"/>
  <c r="F2027" i="22"/>
  <c r="E2027" i="22" s="1"/>
  <c r="H99" i="8" s="1"/>
  <c r="I99" i="8" s="1"/>
  <c r="J99" i="8" s="1"/>
  <c r="J52" i="8"/>
  <c r="C52" i="8"/>
  <c r="K52" i="8"/>
  <c r="J54" i="8"/>
  <c r="K54" i="8"/>
  <c r="C54" i="8"/>
  <c r="J95" i="8"/>
  <c r="K95" i="8"/>
  <c r="C95" i="8"/>
  <c r="F2018" i="22"/>
  <c r="E2018" i="22" s="1"/>
  <c r="H49" i="8" s="1"/>
  <c r="I49" i="8" s="1"/>
  <c r="J21" i="8"/>
  <c r="C21" i="8"/>
  <c r="K21" i="8"/>
  <c r="J45" i="8"/>
  <c r="C45" i="8"/>
  <c r="K45" i="8"/>
  <c r="J93" i="8"/>
  <c r="C93" i="8"/>
  <c r="K93" i="8"/>
  <c r="C50" i="8"/>
  <c r="J50" i="8"/>
  <c r="K50" i="8"/>
  <c r="C94" i="8"/>
  <c r="J94" i="8"/>
  <c r="K94" i="8"/>
  <c r="F2002" i="22"/>
  <c r="E2002" i="22" s="1"/>
  <c r="H61" i="8" s="1"/>
  <c r="I61" i="8" s="1"/>
  <c r="F2015" i="22"/>
  <c r="E2015" i="22" s="1"/>
  <c r="H46" i="8" s="1"/>
  <c r="I46" i="8" s="1"/>
  <c r="C47" i="8"/>
  <c r="K47" i="8"/>
  <c r="J47" i="8"/>
  <c r="F1998" i="22"/>
  <c r="L1444" i="22"/>
  <c r="P1444" i="22" s="1"/>
  <c r="F2010" i="22"/>
  <c r="E2010" i="22" s="1"/>
  <c r="F1999" i="22"/>
  <c r="E1999" i="22" s="1"/>
  <c r="H41" i="8" s="1"/>
  <c r="I41" i="8" s="1"/>
  <c r="L1598" i="22"/>
  <c r="P1598" i="22" s="1"/>
  <c r="L683" i="22"/>
  <c r="P683" i="22" s="1"/>
  <c r="L967" i="22"/>
  <c r="P967" i="22" s="1"/>
  <c r="L1447" i="22"/>
  <c r="P1447" i="22" s="1"/>
  <c r="L1450" i="22"/>
  <c r="P1450" i="22" s="1"/>
  <c r="L1445" i="22"/>
  <c r="P1445" i="22" s="1"/>
  <c r="L1961" i="22"/>
  <c r="L1965" i="22" s="1"/>
  <c r="P1944" i="22"/>
  <c r="L958" i="22"/>
  <c r="P958" i="22" s="1"/>
  <c r="L1448" i="22"/>
  <c r="P1448" i="22" s="1"/>
  <c r="L415" i="22"/>
  <c r="P415" i="22" s="1"/>
  <c r="L296" i="22"/>
  <c r="P296" i="22" s="1"/>
  <c r="L1595" i="22"/>
  <c r="P1595" i="22" s="1"/>
  <c r="L1292" i="22"/>
  <c r="P1292" i="22" s="1"/>
  <c r="L1056" i="22"/>
  <c r="P1056" i="22" s="1"/>
  <c r="L1600" i="22"/>
  <c r="P1600" i="22" s="1"/>
  <c r="L1296" i="22"/>
  <c r="P1296" i="22" s="1"/>
  <c r="L1171" i="22"/>
  <c r="P1171" i="22" s="1"/>
  <c r="L1293" i="22"/>
  <c r="P1293" i="22" s="1"/>
  <c r="L689" i="22"/>
  <c r="P689" i="22" s="1"/>
  <c r="L969" i="22"/>
  <c r="P969" i="22" s="1"/>
  <c r="L1599" i="22"/>
  <c r="P1599" i="22" s="1"/>
  <c r="L1174" i="22"/>
  <c r="P1174" i="22" s="1"/>
  <c r="L1449" i="22"/>
  <c r="P1449" i="22" s="1"/>
  <c r="L691" i="22"/>
  <c r="P691" i="22" s="1"/>
  <c r="L1603" i="22"/>
  <c r="P1603" i="22" s="1"/>
  <c r="L1173" i="22"/>
  <c r="P1173" i="22" s="1"/>
  <c r="L1719" i="22"/>
  <c r="P1719" i="22" s="1"/>
  <c r="L966" i="22"/>
  <c r="P966" i="22" s="1"/>
  <c r="L1851" i="22"/>
  <c r="P1851" i="22" s="1"/>
  <c r="L1592" i="22"/>
  <c r="P1592" i="22" s="1"/>
  <c r="L692" i="22"/>
  <c r="P692" i="22" s="1"/>
  <c r="L290" i="22"/>
  <c r="P290" i="22" s="1"/>
  <c r="L959" i="22"/>
  <c r="P959" i="22" s="1"/>
  <c r="L287" i="22"/>
  <c r="P287" i="22" s="1"/>
  <c r="L1597" i="22"/>
  <c r="P1597" i="22" s="1"/>
  <c r="L1055" i="22"/>
  <c r="P1055" i="22" s="1"/>
  <c r="L686" i="22"/>
  <c r="P686" i="22" s="1"/>
  <c r="L1841" i="22"/>
  <c r="P1841" i="22" s="1"/>
  <c r="L410" i="22"/>
  <c r="P410" i="22" s="1"/>
  <c r="L289" i="22"/>
  <c r="P289" i="22" s="1"/>
  <c r="L688" i="22"/>
  <c r="P688" i="22" s="1"/>
  <c r="L200" i="22"/>
  <c r="P200" i="22" s="1"/>
  <c r="L1847" i="22"/>
  <c r="P1847" i="22" s="1"/>
  <c r="L1058" i="22"/>
  <c r="P1058" i="22" s="1"/>
  <c r="L1451" i="22"/>
  <c r="P1451" i="22" s="1"/>
  <c r="L198" i="22"/>
  <c r="P198" i="22" s="1"/>
  <c r="P69" i="22"/>
  <c r="L1168" i="22"/>
  <c r="P1168" i="22" s="1"/>
  <c r="L1297" i="22"/>
  <c r="P1297" i="22" s="1"/>
  <c r="L1723" i="22"/>
  <c r="P1723" i="22" s="1"/>
  <c r="L1175" i="22"/>
  <c r="P1175" i="22" s="1"/>
  <c r="L1843" i="22"/>
  <c r="P1843" i="22" s="1"/>
  <c r="L204" i="22"/>
  <c r="P204" i="22" s="1"/>
  <c r="P530" i="22"/>
  <c r="L412" i="22"/>
  <c r="P412" i="22" s="1"/>
  <c r="L1594" i="22"/>
  <c r="P1594" i="22" s="1"/>
  <c r="P85" i="22"/>
  <c r="L963" i="22"/>
  <c r="P963" i="22" s="1"/>
  <c r="P805" i="22"/>
  <c r="L1837" i="22"/>
  <c r="P1167" i="22"/>
  <c r="P1793" i="22"/>
  <c r="L1842" i="22"/>
  <c r="P1842" i="22" s="1"/>
  <c r="M1031" i="22"/>
  <c r="P1032" i="22"/>
  <c r="L1046" i="22"/>
  <c r="P1544" i="22"/>
  <c r="L1593" i="22"/>
  <c r="P1593" i="22" s="1"/>
  <c r="L1846" i="22"/>
  <c r="P1846" i="22" s="1"/>
  <c r="L1054" i="22"/>
  <c r="P1054" i="22" s="1"/>
  <c r="P682" i="22"/>
  <c r="L684" i="22"/>
  <c r="P684" i="22" s="1"/>
  <c r="L288" i="22"/>
  <c r="P288" i="22" s="1"/>
  <c r="M358" i="22"/>
  <c r="P359" i="22"/>
  <c r="P916" i="22"/>
  <c r="L965" i="22"/>
  <c r="P965" i="22" s="1"/>
  <c r="L1722" i="22"/>
  <c r="P1722" i="22" s="1"/>
  <c r="L1053" i="22"/>
  <c r="P1053" i="22" s="1"/>
  <c r="P1552" i="22"/>
  <c r="L1601" i="22"/>
  <c r="P1601" i="22" s="1"/>
  <c r="L295" i="22"/>
  <c r="P295" i="22" s="1"/>
  <c r="M1391" i="22"/>
  <c r="P1392" i="22"/>
  <c r="L1844" i="22"/>
  <c r="P1844" i="22" s="1"/>
  <c r="L680" i="22"/>
  <c r="L1717" i="22"/>
  <c r="P1717" i="22" s="1"/>
  <c r="L1716" i="22"/>
  <c r="P1716" i="22" s="1"/>
  <c r="P1441" i="22"/>
  <c r="L1303" i="22"/>
  <c r="P1303" i="22" s="1"/>
  <c r="L1049" i="22"/>
  <c r="P1049" i="22" s="1"/>
  <c r="L298" i="22"/>
  <c r="P298" i="22" s="1"/>
  <c r="L1845" i="22"/>
  <c r="P1845" i="22" s="1"/>
  <c r="P1127" i="22"/>
  <c r="L1176" i="22"/>
  <c r="P1176" i="22" s="1"/>
  <c r="L1051" i="22"/>
  <c r="P1051" i="22" s="1"/>
  <c r="L548" i="22"/>
  <c r="L552" i="22" s="1"/>
  <c r="P532" i="22"/>
  <c r="P548" i="22" s="1"/>
  <c r="L1453" i="22"/>
  <c r="P1453" i="22" s="1"/>
  <c r="M632" i="22"/>
  <c r="P633" i="22"/>
  <c r="P680" i="22" s="1"/>
  <c r="P1291" i="22"/>
  <c r="P1250" i="22"/>
  <c r="L1299" i="22"/>
  <c r="P1299" i="22" s="1"/>
  <c r="L1165" i="22"/>
  <c r="M907" i="22"/>
  <c r="P908" i="22"/>
  <c r="L955" i="22"/>
  <c r="L293" i="22"/>
  <c r="P293" i="22" s="1"/>
  <c r="L1840" i="22"/>
  <c r="P1840" i="22" s="1"/>
  <c r="L294" i="22"/>
  <c r="P294" i="22" s="1"/>
  <c r="L1044" i="22"/>
  <c r="L85" i="22"/>
  <c r="L90" i="22" s="1"/>
  <c r="M1241" i="22"/>
  <c r="P1242" i="22"/>
  <c r="L1300" i="22"/>
  <c r="P1300" i="22" s="1"/>
  <c r="L414" i="22"/>
  <c r="P414" i="22" s="1"/>
  <c r="L1048" i="22"/>
  <c r="P1048" i="22" s="1"/>
  <c r="P1034" i="22"/>
  <c r="L292" i="22"/>
  <c r="P292" i="22" s="1"/>
  <c r="P957" i="22"/>
  <c r="L1177" i="22"/>
  <c r="P1177" i="22" s="1"/>
  <c r="L694" i="22"/>
  <c r="P694" i="22" s="1"/>
  <c r="P360" i="22"/>
  <c r="L409" i="22"/>
  <c r="P409" i="22" s="1"/>
  <c r="P1675" i="22"/>
  <c r="L1724" i="22"/>
  <c r="P1724" i="22" s="1"/>
  <c r="L1289" i="22"/>
  <c r="L687" i="22"/>
  <c r="P687" i="22" s="1"/>
  <c r="L1047" i="22"/>
  <c r="P1047" i="22" s="1"/>
  <c r="P1547" i="22"/>
  <c r="L1596" i="22"/>
  <c r="P1596" i="22" s="1"/>
  <c r="L1179" i="22"/>
  <c r="P1179" i="22" s="1"/>
  <c r="L1298" i="22"/>
  <c r="P1298" i="22" s="1"/>
  <c r="L960" i="22"/>
  <c r="P960" i="22" s="1"/>
  <c r="P1671" i="22"/>
  <c r="L1720" i="22"/>
  <c r="P1720" i="22" s="1"/>
  <c r="M1541" i="22"/>
  <c r="P1542" i="22"/>
  <c r="L1589" i="22"/>
  <c r="L1721" i="22"/>
  <c r="P1721" i="22" s="1"/>
  <c r="P1394" i="22"/>
  <c r="L1443" i="22"/>
  <c r="P1443" i="22" s="1"/>
  <c r="P912" i="22"/>
  <c r="L961" i="22"/>
  <c r="P961" i="22" s="1"/>
  <c r="L1172" i="22"/>
  <c r="P1172" i="22" s="1"/>
  <c r="L1591" i="22"/>
  <c r="P1676" i="22"/>
  <c r="L1725" i="22"/>
  <c r="P1725" i="22" s="1"/>
  <c r="P1246" i="22"/>
  <c r="L1295" i="22"/>
  <c r="P1295" i="22" s="1"/>
  <c r="L1848" i="22"/>
  <c r="P1848" i="22" s="1"/>
  <c r="L411" i="22"/>
  <c r="P411" i="22" s="1"/>
  <c r="L284" i="22"/>
  <c r="L1052" i="22"/>
  <c r="P1052" i="22" s="1"/>
  <c r="P1397" i="22"/>
  <c r="L1446" i="22"/>
  <c r="P1446" i="22" s="1"/>
  <c r="L1727" i="22"/>
  <c r="P1727" i="22" s="1"/>
  <c r="L1050" i="22"/>
  <c r="P1050" i="22" s="1"/>
  <c r="L408" i="22"/>
  <c r="P367" i="22"/>
  <c r="L416" i="22"/>
  <c r="P416" i="22" s="1"/>
  <c r="P364" i="22"/>
  <c r="L413" i="22"/>
  <c r="P413" i="22" s="1"/>
  <c r="L420" i="22"/>
  <c r="P420" i="22" s="1"/>
  <c r="L1439" i="22"/>
  <c r="L286" i="22"/>
  <c r="L962" i="22"/>
  <c r="P962" i="22" s="1"/>
  <c r="L823" i="22"/>
  <c r="L827" i="22" s="1"/>
  <c r="P807" i="22"/>
  <c r="P823" i="22" s="1"/>
  <c r="M1789" i="22"/>
  <c r="P1790" i="22"/>
  <c r="L406" i="22"/>
  <c r="L1839" i="22"/>
  <c r="P1245" i="22"/>
  <c r="L1294" i="22"/>
  <c r="P1294" i="22" s="1"/>
  <c r="L1301" i="22"/>
  <c r="P1301" i="22" s="1"/>
  <c r="P368" i="22"/>
  <c r="L417" i="22"/>
  <c r="P417" i="22" s="1"/>
  <c r="M1665" i="22"/>
  <c r="P1666" i="22"/>
  <c r="L1715" i="22"/>
  <c r="P1715" i="22" s="1"/>
  <c r="L1713" i="22"/>
  <c r="M1117" i="22"/>
  <c r="P1118" i="22"/>
  <c r="P284" i="22"/>
  <c r="L291" i="22"/>
  <c r="P291" i="22" s="1"/>
  <c r="L1718" i="22"/>
  <c r="P1718" i="22" s="1"/>
  <c r="L690" i="22"/>
  <c r="P690" i="22" s="1"/>
  <c r="L418" i="22"/>
  <c r="P418" i="22" s="1"/>
  <c r="L1849" i="22"/>
  <c r="P1849" i="22" s="1"/>
  <c r="L1442" i="22"/>
  <c r="P1442" i="22" s="1"/>
  <c r="L197" i="22"/>
  <c r="P197" i="22" s="1"/>
  <c r="L196" i="22"/>
  <c r="P196" i="22" s="1"/>
  <c r="L193" i="22"/>
  <c r="P153" i="22"/>
  <c r="F2003" i="22" s="1"/>
  <c r="E2003" i="22" s="1"/>
  <c r="H62" i="8" s="1"/>
  <c r="I62" i="8" s="1"/>
  <c r="J62" i="8" s="1"/>
  <c r="L202" i="22"/>
  <c r="P202" i="22" s="1"/>
  <c r="L203" i="22"/>
  <c r="P203" i="22" s="1"/>
  <c r="L195" i="22"/>
  <c r="L201" i="22"/>
  <c r="P201" i="22" s="1"/>
  <c r="P150" i="22"/>
  <c r="L199" i="22"/>
  <c r="P199" i="22" s="1"/>
  <c r="P146" i="22"/>
  <c r="M145" i="22"/>
  <c r="P157" i="22"/>
  <c r="F2009" i="22" s="1"/>
  <c r="E2009" i="22" s="1"/>
  <c r="H89" i="8" s="1"/>
  <c r="I89" i="8" s="1"/>
  <c r="L207" i="22"/>
  <c r="P207" i="22" s="1"/>
  <c r="L205" i="22"/>
  <c r="P205" i="22" s="1"/>
  <c r="K9" i="7"/>
  <c r="K8" i="7"/>
  <c r="J61" i="8" l="1"/>
  <c r="L26" i="35"/>
  <c r="C19" i="8"/>
  <c r="L6" i="35"/>
  <c r="F2000" i="22"/>
  <c r="E2000" i="22" s="1"/>
  <c r="H35" i="8" s="1"/>
  <c r="J19" i="8"/>
  <c r="K19" i="8"/>
  <c r="F9" i="30"/>
  <c r="K6" i="7"/>
  <c r="C99" i="8"/>
  <c r="K99" i="8"/>
  <c r="C61" i="8"/>
  <c r="F2005" i="22"/>
  <c r="E2005" i="22" s="1"/>
  <c r="H91" i="8" s="1"/>
  <c r="I91" i="8" s="1"/>
  <c r="J91" i="8" s="1"/>
  <c r="K61" i="8"/>
  <c r="F2006" i="22"/>
  <c r="E2006" i="22" s="1"/>
  <c r="H92" i="8" s="1"/>
  <c r="I92" i="8" s="1"/>
  <c r="C92" i="8" s="1"/>
  <c r="F2001" i="22"/>
  <c r="E2001" i="22" s="1"/>
  <c r="H36" i="8" s="1"/>
  <c r="I36" i="8" s="1"/>
  <c r="C36" i="8" s="1"/>
  <c r="F2008" i="22"/>
  <c r="E2008" i="22" s="1"/>
  <c r="F2004" i="22"/>
  <c r="E2004" i="22" s="1"/>
  <c r="H90" i="8" s="1"/>
  <c r="I90" i="8" s="1"/>
  <c r="J90" i="8" s="1"/>
  <c r="J46" i="8"/>
  <c r="C46" i="8"/>
  <c r="K46" i="8"/>
  <c r="K49" i="8"/>
  <c r="J49" i="8"/>
  <c r="C49" i="8"/>
  <c r="C41" i="8"/>
  <c r="J41" i="8"/>
  <c r="K41" i="8"/>
  <c r="F2007" i="22"/>
  <c r="E2007" i="22" s="1"/>
  <c r="H42" i="8" s="1"/>
  <c r="I42" i="8" s="1"/>
  <c r="K62" i="8"/>
  <c r="K89" i="8"/>
  <c r="C89" i="8"/>
  <c r="J89" i="8"/>
  <c r="C62" i="8"/>
  <c r="E1998" i="22"/>
  <c r="H40" i="8" s="1"/>
  <c r="I40" i="8" s="1"/>
  <c r="P1165" i="22"/>
  <c r="P1589" i="22"/>
  <c r="P1044" i="22"/>
  <c r="P1713" i="22"/>
  <c r="P1439" i="22"/>
  <c r="P699" i="22"/>
  <c r="P1289" i="22"/>
  <c r="P955" i="22"/>
  <c r="L1307" i="22"/>
  <c r="L1311" i="22" s="1"/>
  <c r="P1837" i="22"/>
  <c r="P1307" i="22"/>
  <c r="L1607" i="22"/>
  <c r="L1611" i="22" s="1"/>
  <c r="P1591" i="22"/>
  <c r="P1607" i="22" s="1"/>
  <c r="L699" i="22"/>
  <c r="L703" i="22" s="1"/>
  <c r="P1183" i="22"/>
  <c r="P973" i="22"/>
  <c r="L1457" i="22"/>
  <c r="L1183" i="22"/>
  <c r="L1187" i="22" s="1"/>
  <c r="L1855" i="22"/>
  <c r="L1859" i="22" s="1"/>
  <c r="P1839" i="22"/>
  <c r="P1855" i="22" s="1"/>
  <c r="L973" i="22"/>
  <c r="L977" i="22" s="1"/>
  <c r="P286" i="22"/>
  <c r="P299" i="22" s="1"/>
  <c r="L299" i="22"/>
  <c r="L304" i="22" s="1"/>
  <c r="P1731" i="22"/>
  <c r="L1059" i="22"/>
  <c r="L1063" i="22" s="1"/>
  <c r="P1046" i="22"/>
  <c r="P1059" i="22" s="1"/>
  <c r="L1731" i="22"/>
  <c r="L1735" i="22" s="1"/>
  <c r="P406" i="22"/>
  <c r="L424" i="22"/>
  <c r="P408" i="22"/>
  <c r="L211" i="22"/>
  <c r="L216" i="22" s="1"/>
  <c r="P193" i="22"/>
  <c r="P195" i="22"/>
  <c r="P211" i="22" s="1"/>
  <c r="H43" i="8" l="1"/>
  <c r="I43" i="8" s="1"/>
  <c r="K43" i="8" s="1"/>
  <c r="I35" i="8"/>
  <c r="C35" i="8" s="1"/>
  <c r="I12" i="7"/>
  <c r="F6" i="30"/>
  <c r="K4" i="7"/>
  <c r="K12" i="7" s="1"/>
  <c r="I5" i="8" s="1"/>
  <c r="K92" i="8"/>
  <c r="J92" i="8"/>
  <c r="K91" i="8"/>
  <c r="C91" i="8"/>
  <c r="K90" i="8"/>
  <c r="C90" i="8"/>
  <c r="K36" i="8"/>
  <c r="J36" i="8"/>
  <c r="J42" i="8"/>
  <c r="K42" i="8"/>
  <c r="C42" i="8"/>
  <c r="F2040" i="22"/>
  <c r="J40" i="8"/>
  <c r="K40" i="8"/>
  <c r="C40" i="8"/>
  <c r="K35" i="8"/>
  <c r="L428" i="22"/>
  <c r="P424" i="22"/>
  <c r="L1461" i="22"/>
  <c r="P1457" i="22"/>
  <c r="I13" i="7"/>
  <c r="G5" i="8"/>
  <c r="Q45" i="6"/>
  <c r="R44" i="6"/>
  <c r="S44" i="6" s="1"/>
  <c r="P44" i="6"/>
  <c r="P43" i="6"/>
  <c r="R43" i="6" s="1"/>
  <c r="S43" i="6" s="1"/>
  <c r="R42" i="6"/>
  <c r="S42" i="6" s="1"/>
  <c r="N41" i="6"/>
  <c r="J41" i="6"/>
  <c r="I41" i="6"/>
  <c r="H41" i="6"/>
  <c r="G41" i="6"/>
  <c r="F41" i="6"/>
  <c r="E41" i="6"/>
  <c r="D41" i="6"/>
  <c r="N40" i="6"/>
  <c r="M40" i="6"/>
  <c r="J40" i="6"/>
  <c r="I40" i="6"/>
  <c r="H40" i="6"/>
  <c r="G40" i="6"/>
  <c r="F40" i="6"/>
  <c r="E40" i="6"/>
  <c r="D40" i="6"/>
  <c r="C40" i="6"/>
  <c r="N39" i="6"/>
  <c r="J39" i="6"/>
  <c r="I39" i="6"/>
  <c r="H39" i="6"/>
  <c r="G39" i="6"/>
  <c r="F39" i="6"/>
  <c r="E39" i="6"/>
  <c r="D39" i="6"/>
  <c r="N38" i="6"/>
  <c r="J38" i="6"/>
  <c r="I38" i="6"/>
  <c r="H38" i="6"/>
  <c r="G38" i="6"/>
  <c r="F38" i="6"/>
  <c r="E38" i="6"/>
  <c r="D38" i="6"/>
  <c r="N37" i="6"/>
  <c r="M37" i="6"/>
  <c r="J37" i="6"/>
  <c r="I37" i="6"/>
  <c r="H37" i="6"/>
  <c r="G37" i="6"/>
  <c r="F37" i="6"/>
  <c r="E37" i="6"/>
  <c r="D37" i="6"/>
  <c r="C37" i="6"/>
  <c r="N36" i="6"/>
  <c r="J36" i="6"/>
  <c r="I36" i="6"/>
  <c r="H36" i="6"/>
  <c r="G36" i="6"/>
  <c r="F36" i="6"/>
  <c r="E36" i="6"/>
  <c r="D36" i="6"/>
  <c r="O35" i="6"/>
  <c r="P35" i="6" s="1"/>
  <c r="R35" i="6" s="1"/>
  <c r="S35" i="6" s="1"/>
  <c r="N34" i="6"/>
  <c r="M34" i="6"/>
  <c r="J34" i="6"/>
  <c r="I34" i="6"/>
  <c r="H34" i="6"/>
  <c r="G34" i="6"/>
  <c r="F34" i="6"/>
  <c r="E34" i="6"/>
  <c r="D34" i="6"/>
  <c r="C34" i="6"/>
  <c r="F33" i="6"/>
  <c r="E33" i="6"/>
  <c r="J32" i="6"/>
  <c r="J33" i="6" s="1"/>
  <c r="I32" i="6"/>
  <c r="I33" i="6" s="1"/>
  <c r="F32" i="6"/>
  <c r="N31" i="6"/>
  <c r="N32" i="6" s="1"/>
  <c r="N33" i="6" s="1"/>
  <c r="M31" i="6"/>
  <c r="M32" i="6" s="1"/>
  <c r="M33" i="6" s="1"/>
  <c r="J31" i="6"/>
  <c r="I31" i="6"/>
  <c r="H31" i="6"/>
  <c r="H32" i="6" s="1"/>
  <c r="H33" i="6" s="1"/>
  <c r="G31" i="6"/>
  <c r="G32" i="6" s="1"/>
  <c r="G33" i="6" s="1"/>
  <c r="F31" i="6"/>
  <c r="E31" i="6"/>
  <c r="E32" i="6" s="1"/>
  <c r="D31" i="6"/>
  <c r="D42" i="6" s="1"/>
  <c r="P42" i="6" s="1"/>
  <c r="C31" i="6"/>
  <c r="C32" i="6" s="1"/>
  <c r="M30" i="6"/>
  <c r="M39" i="6" s="1"/>
  <c r="C30" i="6"/>
  <c r="O29" i="6"/>
  <c r="M29" i="6"/>
  <c r="L29" i="6"/>
  <c r="K29" i="6"/>
  <c r="J29" i="6"/>
  <c r="I29" i="6"/>
  <c r="H29" i="6"/>
  <c r="G29" i="6"/>
  <c r="F29" i="6"/>
  <c r="E29" i="6"/>
  <c r="D29" i="6"/>
  <c r="C29" i="6"/>
  <c r="O28" i="6"/>
  <c r="P28" i="6" s="1"/>
  <c r="R28" i="6" s="1"/>
  <c r="S28" i="6" s="1"/>
  <c r="J27" i="6"/>
  <c r="O26" i="6"/>
  <c r="O27" i="6" s="1"/>
  <c r="M26" i="6"/>
  <c r="M27" i="6" s="1"/>
  <c r="J26" i="6"/>
  <c r="D26" i="6"/>
  <c r="D27" i="6" s="1"/>
  <c r="C26" i="6"/>
  <c r="C27" i="6" s="1"/>
  <c r="O25" i="6"/>
  <c r="O30" i="6" s="1"/>
  <c r="M25" i="6"/>
  <c r="L25" i="6"/>
  <c r="L26" i="6" s="1"/>
  <c r="L27" i="6" s="1"/>
  <c r="K25" i="6"/>
  <c r="K26" i="6" s="1"/>
  <c r="K27" i="6" s="1"/>
  <c r="J25" i="6"/>
  <c r="I25" i="6"/>
  <c r="I26" i="6" s="1"/>
  <c r="I27" i="6" s="1"/>
  <c r="H25" i="6"/>
  <c r="H26" i="6" s="1"/>
  <c r="H27" i="6" s="1"/>
  <c r="G25" i="6"/>
  <c r="G26" i="6" s="1"/>
  <c r="G27" i="6" s="1"/>
  <c r="F25" i="6"/>
  <c r="F26" i="6" s="1"/>
  <c r="F27" i="6" s="1"/>
  <c r="E25" i="6"/>
  <c r="E26" i="6" s="1"/>
  <c r="E27" i="6" s="1"/>
  <c r="D25" i="6"/>
  <c r="C25" i="6"/>
  <c r="O23" i="6"/>
  <c r="O22" i="6"/>
  <c r="E22" i="6"/>
  <c r="E23" i="6" s="1"/>
  <c r="O21" i="6"/>
  <c r="P21" i="6" s="1"/>
  <c r="R21" i="6" s="1"/>
  <c r="S21" i="6" s="1"/>
  <c r="L20" i="6"/>
  <c r="L22" i="6" s="1"/>
  <c r="L23" i="6" s="1"/>
  <c r="L18" i="6"/>
  <c r="L19" i="6" s="1"/>
  <c r="F18" i="6"/>
  <c r="F19" i="6" s="1"/>
  <c r="F20" i="6" s="1"/>
  <c r="F22" i="6" s="1"/>
  <c r="F23" i="6" s="1"/>
  <c r="L17" i="6"/>
  <c r="K17" i="6"/>
  <c r="K18" i="6" s="1"/>
  <c r="K19" i="6" s="1"/>
  <c r="K20" i="6" s="1"/>
  <c r="K22" i="6" s="1"/>
  <c r="K23" i="6" s="1"/>
  <c r="J17" i="6"/>
  <c r="J18" i="6" s="1"/>
  <c r="J19" i="6" s="1"/>
  <c r="J20" i="6" s="1"/>
  <c r="J22" i="6" s="1"/>
  <c r="J23" i="6" s="1"/>
  <c r="I17" i="6"/>
  <c r="I18" i="6" s="1"/>
  <c r="I19" i="6" s="1"/>
  <c r="I20" i="6" s="1"/>
  <c r="I22" i="6" s="1"/>
  <c r="I23" i="6" s="1"/>
  <c r="F17" i="6"/>
  <c r="O16" i="6"/>
  <c r="N16" i="6"/>
  <c r="N17" i="6" s="1"/>
  <c r="N18" i="6" s="1"/>
  <c r="N19" i="6" s="1"/>
  <c r="N20" i="6" s="1"/>
  <c r="N22" i="6" s="1"/>
  <c r="N23" i="6" s="1"/>
  <c r="N24" i="6" s="1"/>
  <c r="M16" i="6"/>
  <c r="M17" i="6" s="1"/>
  <c r="M18" i="6" s="1"/>
  <c r="M19" i="6" s="1"/>
  <c r="M20" i="6" s="1"/>
  <c r="M22" i="6" s="1"/>
  <c r="M23" i="6" s="1"/>
  <c r="L16" i="6"/>
  <c r="K16" i="6"/>
  <c r="J16" i="6"/>
  <c r="I16" i="6"/>
  <c r="H16" i="6"/>
  <c r="H17" i="6" s="1"/>
  <c r="H18" i="6" s="1"/>
  <c r="H19" i="6" s="1"/>
  <c r="H20" i="6" s="1"/>
  <c r="H22" i="6" s="1"/>
  <c r="H23" i="6" s="1"/>
  <c r="G16" i="6"/>
  <c r="G17" i="6" s="1"/>
  <c r="G18" i="6" s="1"/>
  <c r="G19" i="6" s="1"/>
  <c r="G20" i="6" s="1"/>
  <c r="G22" i="6" s="1"/>
  <c r="G23" i="6" s="1"/>
  <c r="F16" i="6"/>
  <c r="F45" i="6" s="1"/>
  <c r="E16" i="6"/>
  <c r="E17" i="6" s="1"/>
  <c r="E18" i="6" s="1"/>
  <c r="E19" i="6" s="1"/>
  <c r="E20" i="6" s="1"/>
  <c r="D16" i="6"/>
  <c r="C16" i="6"/>
  <c r="C17" i="6" s="1"/>
  <c r="R15" i="6"/>
  <c r="S15" i="6" s="1"/>
  <c r="P15" i="6"/>
  <c r="O14" i="6"/>
  <c r="P14" i="6" s="1"/>
  <c r="R14" i="6" s="1"/>
  <c r="S14" i="6" s="1"/>
  <c r="K13" i="6"/>
  <c r="L13" i="6" s="1"/>
  <c r="O12" i="6"/>
  <c r="O13" i="6" s="1"/>
  <c r="O11" i="6"/>
  <c r="N11" i="6"/>
  <c r="K11" i="6"/>
  <c r="I11" i="6"/>
  <c r="E11" i="6"/>
  <c r="O10" i="6"/>
  <c r="N10" i="6"/>
  <c r="M10" i="6"/>
  <c r="L10" i="6"/>
  <c r="L11" i="6" s="1"/>
  <c r="K10" i="6"/>
  <c r="J10" i="6"/>
  <c r="I10" i="6"/>
  <c r="H10" i="6"/>
  <c r="H11" i="6" s="1"/>
  <c r="G10" i="6"/>
  <c r="G11" i="6" s="1"/>
  <c r="G12" i="6" s="1"/>
  <c r="P12" i="6" s="1"/>
  <c r="R12" i="6" s="1"/>
  <c r="S12" i="6" s="1"/>
  <c r="E10" i="6"/>
  <c r="D10" i="6"/>
  <c r="C10" i="6"/>
  <c r="P9" i="6"/>
  <c r="R9" i="6" s="1"/>
  <c r="S9" i="6" s="1"/>
  <c r="P8" i="6"/>
  <c r="R8" i="6" s="1"/>
  <c r="S8" i="6" s="1"/>
  <c r="P7" i="6"/>
  <c r="R7" i="6" s="1"/>
  <c r="S7" i="6" s="1"/>
  <c r="P6" i="6"/>
  <c r="D8" i="17" l="1"/>
  <c r="K29" i="17" s="1"/>
  <c r="J43" i="8"/>
  <c r="L13" i="35"/>
  <c r="C43" i="8"/>
  <c r="J35" i="8"/>
  <c r="L10" i="35"/>
  <c r="H5" i="8"/>
  <c r="G7" i="8"/>
  <c r="I7" i="8" s="1"/>
  <c r="J7" i="8" s="1"/>
  <c r="F13" i="30"/>
  <c r="J5" i="8"/>
  <c r="K5" i="8"/>
  <c r="C5" i="8"/>
  <c r="C18" i="6"/>
  <c r="H45" i="6"/>
  <c r="C33" i="6"/>
  <c r="M45" i="6"/>
  <c r="N25" i="6"/>
  <c r="N26" i="6" s="1"/>
  <c r="N27" i="6" s="1"/>
  <c r="P27" i="6" s="1"/>
  <c r="R27" i="6" s="1"/>
  <c r="S27" i="6" s="1"/>
  <c r="P24" i="6"/>
  <c r="R24" i="6" s="1"/>
  <c r="S24" i="6" s="1"/>
  <c r="N29" i="6"/>
  <c r="P29" i="6"/>
  <c r="R29" i="6" s="1"/>
  <c r="S29" i="6" s="1"/>
  <c r="O39" i="6"/>
  <c r="O36" i="6"/>
  <c r="O31" i="6"/>
  <c r="O32" i="6" s="1"/>
  <c r="O33" i="6" s="1"/>
  <c r="O41" i="6"/>
  <c r="O38" i="6"/>
  <c r="O37" i="6"/>
  <c r="O40" i="6"/>
  <c r="O34" i="6"/>
  <c r="J45" i="6"/>
  <c r="G45" i="6"/>
  <c r="E45" i="6"/>
  <c r="I45" i="6"/>
  <c r="P16" i="6"/>
  <c r="R16" i="6" s="1"/>
  <c r="S16" i="6" s="1"/>
  <c r="P26" i="6"/>
  <c r="R26" i="6" s="1"/>
  <c r="S26" i="6" s="1"/>
  <c r="P13" i="6"/>
  <c r="R13" i="6" s="1"/>
  <c r="S13" i="6" s="1"/>
  <c r="M38" i="6"/>
  <c r="M41" i="6"/>
  <c r="P11" i="6"/>
  <c r="R11" i="6" s="1"/>
  <c r="S11" i="6" s="1"/>
  <c r="P10" i="6"/>
  <c r="R10" i="6" s="1"/>
  <c r="S10" i="6" s="1"/>
  <c r="C38" i="6"/>
  <c r="C41" i="6"/>
  <c r="R6" i="6"/>
  <c r="D17" i="6"/>
  <c r="D18" i="6" s="1"/>
  <c r="D19" i="6" s="1"/>
  <c r="D20" i="6" s="1"/>
  <c r="D22" i="6" s="1"/>
  <c r="D23" i="6" s="1"/>
  <c r="K30" i="6"/>
  <c r="D32" i="6"/>
  <c r="D33" i="6" s="1"/>
  <c r="L30" i="6"/>
  <c r="M36" i="6"/>
  <c r="C36" i="6"/>
  <c r="C39" i="6"/>
  <c r="C8" i="17" l="1"/>
  <c r="F8" i="17"/>
  <c r="E70" i="17"/>
  <c r="E71" i="17" s="1"/>
  <c r="E72" i="17" s="1"/>
  <c r="K7" i="8"/>
  <c r="C7" i="8"/>
  <c r="P25" i="6"/>
  <c r="R25" i="6" s="1"/>
  <c r="S25" i="6" s="1"/>
  <c r="D45" i="6"/>
  <c r="K40" i="6"/>
  <c r="K37" i="6"/>
  <c r="K34" i="6"/>
  <c r="K31" i="6"/>
  <c r="K38" i="6"/>
  <c r="P38" i="6" s="1"/>
  <c r="R38" i="6" s="1"/>
  <c r="S38" i="6" s="1"/>
  <c r="K39" i="6"/>
  <c r="P39" i="6" s="1"/>
  <c r="R39" i="6" s="1"/>
  <c r="S39" i="6" s="1"/>
  <c r="K36" i="6"/>
  <c r="P36" i="6" s="1"/>
  <c r="R36" i="6" s="1"/>
  <c r="S36" i="6" s="1"/>
  <c r="K41" i="6"/>
  <c r="P41" i="6" s="1"/>
  <c r="R41" i="6" s="1"/>
  <c r="S41" i="6" s="1"/>
  <c r="S6" i="6"/>
  <c r="P30" i="6"/>
  <c r="R30" i="6" s="1"/>
  <c r="S30" i="6" s="1"/>
  <c r="L40" i="6"/>
  <c r="L37" i="6"/>
  <c r="L34" i="6"/>
  <c r="L31" i="6"/>
  <c r="L39" i="6"/>
  <c r="L36" i="6"/>
  <c r="L41" i="6"/>
  <c r="L38" i="6"/>
  <c r="O45" i="6"/>
  <c r="P18" i="6"/>
  <c r="R18" i="6" s="1"/>
  <c r="S18" i="6" s="1"/>
  <c r="C19" i="6"/>
  <c r="P17" i="6"/>
  <c r="R17" i="6" s="1"/>
  <c r="S17" i="6" s="1"/>
  <c r="N45" i="6"/>
  <c r="L32" i="6" l="1"/>
  <c r="L33" i="6" s="1"/>
  <c r="L45" i="6" s="1"/>
  <c r="P37" i="6"/>
  <c r="R37" i="6" s="1"/>
  <c r="S37" i="6" s="1"/>
  <c r="P40" i="6"/>
  <c r="R40" i="6" s="1"/>
  <c r="S40" i="6" s="1"/>
  <c r="P34" i="6"/>
  <c r="R34" i="6" s="1"/>
  <c r="S34" i="6" s="1"/>
  <c r="C20" i="6"/>
  <c r="P19" i="6"/>
  <c r="R19" i="6" s="1"/>
  <c r="K32" i="6"/>
  <c r="P31" i="6"/>
  <c r="R31" i="6" s="1"/>
  <c r="S31" i="6" s="1"/>
  <c r="K33" i="6" l="1"/>
  <c r="P32" i="6"/>
  <c r="R32" i="6" s="1"/>
  <c r="S32" i="6" s="1"/>
  <c r="S19" i="6"/>
  <c r="C22" i="6"/>
  <c r="P20" i="6"/>
  <c r="R20" i="6" s="1"/>
  <c r="S20" i="6" s="1"/>
  <c r="P22" i="6" l="1"/>
  <c r="R22" i="6" s="1"/>
  <c r="S22" i="6" s="1"/>
  <c r="C23" i="6"/>
  <c r="P23" i="6" s="1"/>
  <c r="R23" i="6" s="1"/>
  <c r="S23" i="6" s="1"/>
  <c r="C45" i="6"/>
  <c r="P33" i="6"/>
  <c r="K45" i="6"/>
  <c r="D272" i="2"/>
  <c r="F272" i="2" l="1"/>
  <c r="C59" i="4" s="1"/>
  <c r="E59" i="4" s="1"/>
  <c r="I59" i="4" s="1"/>
  <c r="R33" i="6"/>
  <c r="S33" i="6" s="1"/>
  <c r="S45" i="6" s="1"/>
  <c r="P45" i="6"/>
  <c r="R45" i="6"/>
  <c r="F355" i="2"/>
  <c r="C58" i="4" s="1"/>
  <c r="I354" i="2"/>
  <c r="G354" i="2" s="1"/>
  <c r="D354" i="2"/>
  <c r="F354" i="2" s="1"/>
  <c r="C57" i="4" s="1"/>
  <c r="E57" i="4" s="1"/>
  <c r="I57" i="4" s="1"/>
  <c r="I351" i="2"/>
  <c r="G351" i="2" s="1"/>
  <c r="G350" i="2"/>
  <c r="F350" i="2"/>
  <c r="G353" i="2"/>
  <c r="D353" i="2"/>
  <c r="F353" i="2" s="1"/>
  <c r="D348" i="2"/>
  <c r="F348" i="2" s="1"/>
  <c r="G352" i="2"/>
  <c r="F352" i="2"/>
  <c r="I349" i="2"/>
  <c r="G349" i="2" s="1"/>
  <c r="F349" i="2"/>
  <c r="G348" i="2"/>
  <c r="G347" i="2"/>
  <c r="F347" i="2"/>
  <c r="C341" i="2"/>
  <c r="G341" i="2" s="1"/>
  <c r="C340" i="2"/>
  <c r="G340" i="2" s="1"/>
  <c r="C56" i="4" l="1"/>
  <c r="E56" i="4" s="1"/>
  <c r="I56" i="4" s="1"/>
  <c r="E58" i="4"/>
  <c r="G356" i="2"/>
  <c r="C54" i="4"/>
  <c r="E54" i="4" s="1"/>
  <c r="I54" i="4" s="1"/>
  <c r="D351" i="2"/>
  <c r="F351" i="2" s="1"/>
  <c r="C55" i="4" s="1"/>
  <c r="E55" i="4" s="1"/>
  <c r="I55" i="4" s="1"/>
  <c r="F341" i="2"/>
  <c r="G342" i="2"/>
  <c r="G343" i="2" s="1"/>
  <c r="F340" i="2"/>
  <c r="I58" i="4" l="1"/>
  <c r="F342" i="2"/>
  <c r="F343" i="2" s="1"/>
  <c r="F356" i="2"/>
  <c r="C50" i="4"/>
  <c r="E50" i="4" s="1"/>
  <c r="I50" i="4" s="1"/>
  <c r="I334" i="2"/>
  <c r="G334" i="2" s="1"/>
  <c r="F334" i="2"/>
  <c r="G37" i="4"/>
  <c r="C37" i="4" s="1"/>
  <c r="F333" i="2"/>
  <c r="G332" i="2"/>
  <c r="F332" i="2"/>
  <c r="G331" i="2"/>
  <c r="F331" i="2"/>
  <c r="C322" i="2"/>
  <c r="F322" i="2" s="1"/>
  <c r="C325" i="2"/>
  <c r="G325" i="2" s="1"/>
  <c r="C324" i="2"/>
  <c r="G324" i="2" s="1"/>
  <c r="C323" i="2"/>
  <c r="G323" i="2" s="1"/>
  <c r="D316" i="2"/>
  <c r="G316" i="2" s="1"/>
  <c r="G315" i="2"/>
  <c r="F315" i="2"/>
  <c r="G314" i="2"/>
  <c r="F314" i="2"/>
  <c r="G313" i="2"/>
  <c r="F313" i="2"/>
  <c r="I311" i="2"/>
  <c r="I292" i="2"/>
  <c r="N292" i="2"/>
  <c r="G312" i="2"/>
  <c r="F312" i="2"/>
  <c r="E311" i="2"/>
  <c r="F311" i="2" s="1"/>
  <c r="G310" i="2"/>
  <c r="F310" i="2"/>
  <c r="C12" i="4"/>
  <c r="E12" i="4" s="1"/>
  <c r="I12" i="4" s="1"/>
  <c r="L12" i="4" s="1"/>
  <c r="G12" i="4"/>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3" i="2"/>
  <c r="L17" i="4" l="1"/>
  <c r="E4" i="39" s="1"/>
  <c r="H4" i="39" s="1"/>
  <c r="H8" i="39" s="1"/>
  <c r="F325" i="2"/>
  <c r="E37" i="4"/>
  <c r="I37" i="4" s="1"/>
  <c r="C42" i="4"/>
  <c r="F335" i="2"/>
  <c r="F316" i="2"/>
  <c r="F317" i="2" s="1"/>
  <c r="I46" i="2"/>
  <c r="D286" i="2" s="1"/>
  <c r="F286" i="2" s="1"/>
  <c r="C10" i="4" s="1"/>
  <c r="G333" i="2"/>
  <c r="G335" i="2" s="1"/>
  <c r="G336" i="2" s="1"/>
  <c r="F323" i="2"/>
  <c r="G311" i="2"/>
  <c r="G317" i="2" s="1"/>
  <c r="G318" i="2" s="1"/>
  <c r="G322" i="2"/>
  <c r="G326" i="2" s="1"/>
  <c r="G327" i="2" s="1"/>
  <c r="F324" i="2"/>
  <c r="C17" i="4"/>
  <c r="C22" i="4" s="1"/>
  <c r="F278" i="2"/>
  <c r="C5" i="4" s="1"/>
  <c r="E10" i="4" l="1"/>
  <c r="H15" i="7" s="1"/>
  <c r="F336" i="2"/>
  <c r="C51" i="4"/>
  <c r="E51" i="4" s="1"/>
  <c r="I51" i="4" s="1"/>
  <c r="E5" i="4"/>
  <c r="C47" i="4"/>
  <c r="C52" i="4" s="1"/>
  <c r="E42" i="4"/>
  <c r="I42" i="4" s="1"/>
  <c r="E17" i="4"/>
  <c r="I17" i="4" s="1"/>
  <c r="E22" i="4"/>
  <c r="I22" i="4" s="1"/>
  <c r="C32" i="4"/>
  <c r="E32" i="4" s="1"/>
  <c r="I32" i="4" s="1"/>
  <c r="C27" i="4"/>
  <c r="E27" i="4" s="1"/>
  <c r="I27" i="4" s="1"/>
  <c r="F318" i="2"/>
  <c r="C21" i="4"/>
  <c r="F326" i="2"/>
  <c r="C305" i="2"/>
  <c r="G305" i="2" s="1"/>
  <c r="C304" i="2"/>
  <c r="F304" i="2" s="1"/>
  <c r="F303" i="2"/>
  <c r="I11" i="4" l="1"/>
  <c r="E47" i="4"/>
  <c r="I47" i="4" s="1"/>
  <c r="E52" i="4"/>
  <c r="I52" i="4" s="1"/>
  <c r="F327" i="2"/>
  <c r="C20" i="4"/>
  <c r="E21" i="4"/>
  <c r="I21" i="4" s="1"/>
  <c r="C31" i="4"/>
  <c r="E31" i="4" s="1"/>
  <c r="I31" i="4" s="1"/>
  <c r="C26" i="4"/>
  <c r="E26" i="4" s="1"/>
  <c r="I26" i="4" s="1"/>
  <c r="C46" i="4"/>
  <c r="E46" i="4" s="1"/>
  <c r="I46" i="4" s="1"/>
  <c r="C36" i="4"/>
  <c r="E36" i="4" s="1"/>
  <c r="I36" i="4" s="1"/>
  <c r="C41" i="4"/>
  <c r="E41" i="4" s="1"/>
  <c r="I41" i="4" s="1"/>
  <c r="F305" i="2"/>
  <c r="G304" i="2"/>
  <c r="G303" i="2"/>
  <c r="F302" i="2"/>
  <c r="E285" i="2"/>
  <c r="I285" i="2"/>
  <c r="I284" i="2"/>
  <c r="G284" i="2" s="1"/>
  <c r="I283" i="2"/>
  <c r="F283" i="2" s="1"/>
  <c r="D297" i="2"/>
  <c r="G297" i="2" s="1"/>
  <c r="F296" i="2"/>
  <c r="G296" i="2"/>
  <c r="G295" i="2"/>
  <c r="F295" i="2"/>
  <c r="G306" i="2" l="1"/>
  <c r="E20" i="4"/>
  <c r="I20" i="4" s="1"/>
  <c r="C35" i="4"/>
  <c r="E35" i="4" s="1"/>
  <c r="I35" i="4" s="1"/>
  <c r="C30" i="4"/>
  <c r="E30" i="4" s="1"/>
  <c r="I30" i="4" s="1"/>
  <c r="C25" i="4"/>
  <c r="E25" i="4" s="1"/>
  <c r="I25" i="4" s="1"/>
  <c r="C45" i="4"/>
  <c r="E45" i="4" s="1"/>
  <c r="I45" i="4" s="1"/>
  <c r="C40" i="4"/>
  <c r="E40" i="4" s="1"/>
  <c r="I40" i="4" s="1"/>
  <c r="F306" i="2"/>
  <c r="G285" i="2"/>
  <c r="F297" i="2"/>
  <c r="G283" i="2"/>
  <c r="F285" i="2"/>
  <c r="F284" i="2"/>
  <c r="G294" i="2"/>
  <c r="F294" i="2"/>
  <c r="G293" i="2"/>
  <c r="F293" i="2"/>
  <c r="E292" i="2"/>
  <c r="F292" i="2" s="1"/>
  <c r="G291" i="2"/>
  <c r="F291" i="2"/>
  <c r="F282" i="2"/>
  <c r="C7" i="4" s="1"/>
  <c r="E7" i="4" s="1"/>
  <c r="I7" i="4" s="1"/>
  <c r="G281" i="2"/>
  <c r="G279" i="2"/>
  <c r="C8" i="4" l="1"/>
  <c r="E8" i="4" s="1"/>
  <c r="I8" i="4" s="1"/>
  <c r="C15" i="4"/>
  <c r="F298" i="2"/>
  <c r="G292" i="2"/>
  <c r="G298" i="2" s="1"/>
  <c r="F279" i="2"/>
  <c r="F236" i="2"/>
  <c r="G236" i="2"/>
  <c r="F237" i="2"/>
  <c r="G237" i="2"/>
  <c r="F238" i="2"/>
  <c r="G238" i="2"/>
  <c r="F239" i="2"/>
  <c r="G239" i="2"/>
  <c r="F240" i="2"/>
  <c r="G240" i="2"/>
  <c r="F241" i="2"/>
  <c r="G241" i="2"/>
  <c r="F242" i="2"/>
  <c r="G242" i="2"/>
  <c r="F243" i="2"/>
  <c r="G243" i="2"/>
  <c r="F244" i="2"/>
  <c r="G244" i="2"/>
  <c r="F245" i="2"/>
  <c r="G245" i="2"/>
  <c r="F246" i="2"/>
  <c r="G246" i="2"/>
  <c r="F247" i="2"/>
  <c r="G247" i="2"/>
  <c r="F248" i="2"/>
  <c r="G248" i="2"/>
  <c r="F249" i="2"/>
  <c r="G249" i="2"/>
  <c r="F250" i="2"/>
  <c r="G250" i="2"/>
  <c r="F251" i="2"/>
  <c r="G251" i="2"/>
  <c r="F252" i="2"/>
  <c r="G252" i="2"/>
  <c r="F253" i="2"/>
  <c r="G253" i="2"/>
  <c r="F254" i="2"/>
  <c r="G254" i="2"/>
  <c r="F255" i="2"/>
  <c r="G255" i="2"/>
  <c r="F256" i="2"/>
  <c r="G256" i="2"/>
  <c r="F257" i="2"/>
  <c r="G257" i="2"/>
  <c r="F258" i="2"/>
  <c r="G258" i="2"/>
  <c r="F259" i="2"/>
  <c r="G259" i="2"/>
  <c r="F260" i="2"/>
  <c r="G260" i="2"/>
  <c r="F261" i="2"/>
  <c r="G261" i="2"/>
  <c r="F262" i="2"/>
  <c r="G262" i="2"/>
  <c r="F263" i="2"/>
  <c r="G263" i="2"/>
  <c r="F264" i="2"/>
  <c r="G264" i="2"/>
  <c r="F265" i="2"/>
  <c r="G265" i="2"/>
  <c r="F266" i="2"/>
  <c r="G266" i="2"/>
  <c r="F267" i="2"/>
  <c r="G267" i="2"/>
  <c r="F268" i="2"/>
  <c r="G268" i="2"/>
  <c r="F269" i="2"/>
  <c r="G269" i="2"/>
  <c r="F270" i="2"/>
  <c r="G270" i="2"/>
  <c r="F271" i="2"/>
  <c r="G271" i="2"/>
  <c r="F191" i="2"/>
  <c r="G191" i="2"/>
  <c r="F192" i="2"/>
  <c r="G192" i="2"/>
  <c r="F193" i="2"/>
  <c r="G193" i="2"/>
  <c r="F194" i="2"/>
  <c r="G194" i="2"/>
  <c r="F195" i="2"/>
  <c r="G195" i="2"/>
  <c r="F196" i="2"/>
  <c r="G196" i="2"/>
  <c r="F197" i="2"/>
  <c r="G197" i="2"/>
  <c r="F198" i="2"/>
  <c r="G198" i="2"/>
  <c r="F199" i="2"/>
  <c r="G199" i="2"/>
  <c r="F200" i="2"/>
  <c r="G200" i="2"/>
  <c r="F201" i="2"/>
  <c r="G201" i="2"/>
  <c r="F202" i="2"/>
  <c r="G202" i="2"/>
  <c r="F203" i="2"/>
  <c r="G203" i="2"/>
  <c r="F204" i="2"/>
  <c r="G204" i="2"/>
  <c r="F205" i="2"/>
  <c r="G205" i="2"/>
  <c r="F206" i="2"/>
  <c r="G206" i="2"/>
  <c r="F207" i="2"/>
  <c r="G207" i="2"/>
  <c r="F208" i="2"/>
  <c r="G208" i="2"/>
  <c r="F209" i="2"/>
  <c r="G209" i="2"/>
  <c r="F210" i="2"/>
  <c r="G210" i="2"/>
  <c r="F211" i="2"/>
  <c r="G211" i="2"/>
  <c r="F212" i="2"/>
  <c r="G212" i="2"/>
  <c r="F213" i="2"/>
  <c r="G213" i="2"/>
  <c r="F214" i="2"/>
  <c r="G214" i="2"/>
  <c r="F215" i="2"/>
  <c r="G215" i="2"/>
  <c r="F216" i="2"/>
  <c r="G216" i="2"/>
  <c r="F217" i="2"/>
  <c r="G217" i="2"/>
  <c r="F218" i="2"/>
  <c r="G218" i="2"/>
  <c r="F219" i="2"/>
  <c r="G219" i="2"/>
  <c r="F220" i="2"/>
  <c r="G220" i="2"/>
  <c r="F221" i="2"/>
  <c r="G221" i="2"/>
  <c r="F222" i="2"/>
  <c r="G222" i="2"/>
  <c r="F223" i="2"/>
  <c r="G223" i="2"/>
  <c r="F224" i="2"/>
  <c r="G224" i="2"/>
  <c r="F225" i="2"/>
  <c r="G225" i="2"/>
  <c r="F226" i="2"/>
  <c r="G226" i="2"/>
  <c r="F227" i="2"/>
  <c r="G227" i="2"/>
  <c r="F228" i="2"/>
  <c r="G228" i="2"/>
  <c r="F229" i="2"/>
  <c r="G229" i="2"/>
  <c r="F230" i="2"/>
  <c r="G230" i="2"/>
  <c r="F231" i="2"/>
  <c r="G231" i="2"/>
  <c r="G190" i="2"/>
  <c r="F190" i="2"/>
  <c r="F144" i="2"/>
  <c r="G144" i="2"/>
  <c r="F145" i="2"/>
  <c r="G145" i="2"/>
  <c r="F146" i="2"/>
  <c r="G146" i="2"/>
  <c r="F147" i="2"/>
  <c r="G147" i="2"/>
  <c r="F148" i="2"/>
  <c r="G148" i="2"/>
  <c r="F149" i="2"/>
  <c r="G149" i="2"/>
  <c r="F150" i="2"/>
  <c r="G150" i="2"/>
  <c r="F151" i="2"/>
  <c r="G151" i="2"/>
  <c r="F152" i="2"/>
  <c r="G152" i="2"/>
  <c r="F153" i="2"/>
  <c r="G153" i="2"/>
  <c r="F154" i="2"/>
  <c r="G154" i="2"/>
  <c r="F155" i="2"/>
  <c r="G155" i="2"/>
  <c r="F156" i="2"/>
  <c r="G156" i="2"/>
  <c r="F157" i="2"/>
  <c r="G157" i="2"/>
  <c r="F158" i="2"/>
  <c r="G158" i="2"/>
  <c r="F159" i="2"/>
  <c r="G159" i="2"/>
  <c r="F160" i="2"/>
  <c r="G160" i="2"/>
  <c r="F161" i="2"/>
  <c r="G161" i="2"/>
  <c r="F162" i="2"/>
  <c r="G162" i="2"/>
  <c r="F163" i="2"/>
  <c r="G163" i="2"/>
  <c r="F164" i="2"/>
  <c r="G164" i="2"/>
  <c r="F165" i="2"/>
  <c r="G165" i="2"/>
  <c r="F166" i="2"/>
  <c r="G166" i="2"/>
  <c r="F167" i="2"/>
  <c r="G167" i="2"/>
  <c r="F168" i="2"/>
  <c r="G168" i="2"/>
  <c r="F169" i="2"/>
  <c r="G169" i="2"/>
  <c r="F170" i="2"/>
  <c r="G170" i="2"/>
  <c r="F171" i="2"/>
  <c r="G171" i="2"/>
  <c r="F172" i="2"/>
  <c r="G172" i="2"/>
  <c r="F173" i="2"/>
  <c r="G173" i="2"/>
  <c r="F174" i="2"/>
  <c r="G174" i="2"/>
  <c r="F175" i="2"/>
  <c r="G175" i="2"/>
  <c r="F176" i="2"/>
  <c r="G176" i="2"/>
  <c r="F177" i="2"/>
  <c r="G177" i="2"/>
  <c r="F178" i="2"/>
  <c r="G178" i="2"/>
  <c r="F179" i="2"/>
  <c r="G179" i="2"/>
  <c r="F180" i="2"/>
  <c r="G180" i="2"/>
  <c r="F181" i="2"/>
  <c r="G181" i="2"/>
  <c r="F182" i="2"/>
  <c r="G182" i="2"/>
  <c r="F183" i="2"/>
  <c r="G183" i="2"/>
  <c r="F184" i="2"/>
  <c r="G184" i="2"/>
  <c r="F143" i="2"/>
  <c r="G143" i="2"/>
  <c r="F98" i="2"/>
  <c r="G98" i="2"/>
  <c r="F99" i="2"/>
  <c r="G99" i="2"/>
  <c r="F100" i="2"/>
  <c r="G100" i="2"/>
  <c r="F101" i="2"/>
  <c r="G101" i="2"/>
  <c r="F102" i="2"/>
  <c r="G102" i="2"/>
  <c r="F103" i="2"/>
  <c r="G103" i="2"/>
  <c r="F104" i="2"/>
  <c r="G104" i="2"/>
  <c r="F105" i="2"/>
  <c r="G105" i="2"/>
  <c r="F106" i="2"/>
  <c r="G106" i="2"/>
  <c r="F107" i="2"/>
  <c r="G107" i="2"/>
  <c r="F108" i="2"/>
  <c r="G108" i="2"/>
  <c r="F109" i="2"/>
  <c r="G109" i="2"/>
  <c r="F110" i="2"/>
  <c r="G110" i="2"/>
  <c r="F111" i="2"/>
  <c r="G111" i="2"/>
  <c r="F112" i="2"/>
  <c r="G112" i="2"/>
  <c r="F113" i="2"/>
  <c r="G113" i="2"/>
  <c r="F114" i="2"/>
  <c r="G114" i="2"/>
  <c r="F115" i="2"/>
  <c r="G115" i="2"/>
  <c r="F116" i="2"/>
  <c r="G116" i="2"/>
  <c r="F117" i="2"/>
  <c r="G117" i="2"/>
  <c r="F118" i="2"/>
  <c r="G118" i="2"/>
  <c r="F119" i="2"/>
  <c r="G119" i="2"/>
  <c r="F120" i="2"/>
  <c r="G120" i="2"/>
  <c r="F121" i="2"/>
  <c r="G121" i="2"/>
  <c r="F122" i="2"/>
  <c r="G122" i="2"/>
  <c r="F123" i="2"/>
  <c r="G123" i="2"/>
  <c r="F124" i="2"/>
  <c r="G124" i="2"/>
  <c r="F125" i="2"/>
  <c r="G125" i="2"/>
  <c r="F126" i="2"/>
  <c r="G126" i="2"/>
  <c r="F127" i="2"/>
  <c r="G127" i="2"/>
  <c r="F128" i="2"/>
  <c r="G128" i="2"/>
  <c r="F129" i="2"/>
  <c r="G129" i="2"/>
  <c r="F130" i="2"/>
  <c r="G130" i="2"/>
  <c r="F131" i="2"/>
  <c r="G131" i="2"/>
  <c r="F132" i="2"/>
  <c r="G132" i="2"/>
  <c r="F133" i="2"/>
  <c r="G133" i="2"/>
  <c r="F134" i="2"/>
  <c r="G134" i="2"/>
  <c r="F135" i="2"/>
  <c r="G135" i="2"/>
  <c r="F136" i="2"/>
  <c r="G136" i="2"/>
  <c r="F137" i="2"/>
  <c r="G137" i="2"/>
  <c r="F138" i="2"/>
  <c r="G138" i="2"/>
  <c r="G97" i="2"/>
  <c r="F97" i="2"/>
  <c r="F51" i="2"/>
  <c r="G51" i="2"/>
  <c r="F52" i="2"/>
  <c r="G52" i="2"/>
  <c r="F53" i="2"/>
  <c r="G53" i="2"/>
  <c r="F54" i="2"/>
  <c r="G54" i="2"/>
  <c r="F55" i="2"/>
  <c r="G55" i="2"/>
  <c r="F56" i="2"/>
  <c r="G56" i="2"/>
  <c r="F57" i="2"/>
  <c r="G57" i="2"/>
  <c r="F58" i="2"/>
  <c r="G58" i="2"/>
  <c r="F59" i="2"/>
  <c r="G59" i="2"/>
  <c r="F60" i="2"/>
  <c r="G60" i="2"/>
  <c r="F61" i="2"/>
  <c r="G61" i="2"/>
  <c r="F62" i="2"/>
  <c r="G62" i="2"/>
  <c r="F63" i="2"/>
  <c r="G63" i="2"/>
  <c r="F64" i="2"/>
  <c r="G64" i="2"/>
  <c r="F65" i="2"/>
  <c r="G65" i="2"/>
  <c r="F66" i="2"/>
  <c r="G66" i="2"/>
  <c r="F67" i="2"/>
  <c r="G67" i="2"/>
  <c r="F68" i="2"/>
  <c r="G68" i="2"/>
  <c r="F69" i="2"/>
  <c r="G69" i="2"/>
  <c r="F70" i="2"/>
  <c r="G70" i="2"/>
  <c r="F71" i="2"/>
  <c r="G71" i="2"/>
  <c r="F72" i="2"/>
  <c r="G72" i="2"/>
  <c r="F73" i="2"/>
  <c r="G73" i="2"/>
  <c r="F74" i="2"/>
  <c r="G74" i="2"/>
  <c r="F75" i="2"/>
  <c r="G75" i="2"/>
  <c r="F76" i="2"/>
  <c r="G76" i="2"/>
  <c r="F77" i="2"/>
  <c r="G77" i="2"/>
  <c r="F78" i="2"/>
  <c r="G78" i="2"/>
  <c r="F79" i="2"/>
  <c r="G79" i="2"/>
  <c r="F80" i="2"/>
  <c r="G80" i="2"/>
  <c r="F81" i="2"/>
  <c r="G81" i="2"/>
  <c r="F82" i="2"/>
  <c r="G82" i="2"/>
  <c r="F83" i="2"/>
  <c r="G83" i="2"/>
  <c r="F84" i="2"/>
  <c r="G84" i="2"/>
  <c r="F85" i="2"/>
  <c r="G85" i="2"/>
  <c r="F86" i="2"/>
  <c r="G86" i="2"/>
  <c r="F87" i="2"/>
  <c r="G87" i="2"/>
  <c r="F88" i="2"/>
  <c r="G88" i="2"/>
  <c r="F89" i="2"/>
  <c r="G89" i="2"/>
  <c r="F90" i="2"/>
  <c r="G90" i="2"/>
  <c r="F91" i="2"/>
  <c r="G91" i="2"/>
  <c r="F92" i="2"/>
  <c r="G92" i="2"/>
  <c r="G50" i="2"/>
  <c r="F50" i="2"/>
  <c r="F40" i="2"/>
  <c r="G40" i="2"/>
  <c r="F41" i="2"/>
  <c r="G41" i="2"/>
  <c r="F42" i="2"/>
  <c r="G42" i="2"/>
  <c r="F43" i="2"/>
  <c r="G43" i="2"/>
  <c r="F44" i="2"/>
  <c r="G44" i="2"/>
  <c r="F45" i="2"/>
  <c r="G45" i="2"/>
  <c r="F39" i="2"/>
  <c r="G39" i="2"/>
  <c r="G35" i="2"/>
  <c r="F35" i="2"/>
  <c r="G11" i="2"/>
  <c r="F11" i="2"/>
  <c r="F4" i="2"/>
  <c r="G4" i="2"/>
  <c r="F5" i="2"/>
  <c r="G5" i="2"/>
  <c r="F6" i="2"/>
  <c r="G6" i="2"/>
  <c r="F7" i="2"/>
  <c r="G7" i="2"/>
  <c r="F8" i="2"/>
  <c r="G8" i="2"/>
  <c r="G9" i="2"/>
  <c r="F10" i="2"/>
  <c r="G10" i="2"/>
  <c r="F12" i="2"/>
  <c r="G12" i="2"/>
  <c r="F13" i="2"/>
  <c r="G13" i="2"/>
  <c r="F14" i="2"/>
  <c r="G14" i="2"/>
  <c r="F15" i="2"/>
  <c r="G15" i="2"/>
  <c r="F16" i="2"/>
  <c r="G16" i="2"/>
  <c r="F17" i="2"/>
  <c r="G17" i="2"/>
  <c r="F18" i="2"/>
  <c r="G18" i="2"/>
  <c r="F19" i="2"/>
  <c r="G19" i="2"/>
  <c r="F20" i="2"/>
  <c r="G20" i="2"/>
  <c r="F21" i="2"/>
  <c r="G21" i="2"/>
  <c r="F22" i="2"/>
  <c r="G22" i="2"/>
  <c r="F23" i="2"/>
  <c r="G23" i="2"/>
  <c r="F24" i="2"/>
  <c r="G24" i="2"/>
  <c r="F25" i="2"/>
  <c r="G25" i="2"/>
  <c r="F26" i="2"/>
  <c r="G26" i="2"/>
  <c r="F27" i="2"/>
  <c r="G27" i="2"/>
  <c r="F28" i="2"/>
  <c r="G28" i="2"/>
  <c r="F29" i="2"/>
  <c r="G29" i="2"/>
  <c r="F30" i="2"/>
  <c r="G30" i="2"/>
  <c r="F31" i="2"/>
  <c r="G31" i="2"/>
  <c r="F32" i="2"/>
  <c r="G32" i="2"/>
  <c r="F33" i="2"/>
  <c r="G33" i="2"/>
  <c r="F34" i="2"/>
  <c r="G34" i="2"/>
  <c r="F36" i="2"/>
  <c r="G36" i="2"/>
  <c r="F37" i="2"/>
  <c r="G37" i="2"/>
  <c r="F38" i="2"/>
  <c r="G38" i="2"/>
  <c r="F3" i="2"/>
  <c r="F287" i="2" l="1"/>
  <c r="C6" i="4"/>
  <c r="E15" i="4"/>
  <c r="I15" i="4"/>
  <c r="F273" i="2"/>
  <c r="C49" i="4" s="1"/>
  <c r="E49" i="4" s="1"/>
  <c r="I49" i="4" s="1"/>
  <c r="C16" i="4"/>
  <c r="E16" i="4" s="1"/>
  <c r="I16" i="4" s="1"/>
  <c r="F232" i="2"/>
  <c r="C39" i="4" s="1"/>
  <c r="E39" i="4" s="1"/>
  <c r="I39" i="4" s="1"/>
  <c r="F139" i="2"/>
  <c r="C19" i="4" s="1"/>
  <c r="E19" i="4" s="1"/>
  <c r="I19" i="4" s="1"/>
  <c r="F185" i="2"/>
  <c r="F46" i="2"/>
  <c r="C11" i="4" s="1"/>
  <c r="E11" i="4" s="1"/>
  <c r="F93" i="2"/>
  <c r="C14" i="4" s="1"/>
  <c r="E14" i="4" s="1"/>
  <c r="I14" i="4" s="1"/>
  <c r="G46" i="2"/>
  <c r="L50" i="2" l="1"/>
  <c r="C4" i="5"/>
  <c r="L51" i="2"/>
  <c r="C3" i="5"/>
  <c r="E6" i="4"/>
  <c r="F186" i="2"/>
  <c r="C24" i="4"/>
  <c r="F274" i="2"/>
  <c r="C44" i="4"/>
  <c r="E44" i="4" s="1"/>
  <c r="I44" i="4" s="1"/>
  <c r="D69" i="32" l="1"/>
  <c r="F69" i="32" s="1"/>
  <c r="F3" i="5"/>
  <c r="D79" i="30"/>
  <c r="F79" i="30" s="1"/>
  <c r="G12" i="8"/>
  <c r="I12" i="8" s="1"/>
  <c r="D67" i="32"/>
  <c r="F67" i="32" s="1"/>
  <c r="F4" i="5"/>
  <c r="D77" i="30"/>
  <c r="F77" i="30" s="1"/>
  <c r="G13" i="8"/>
  <c r="I13" i="8" s="1"/>
  <c r="L52" i="2"/>
  <c r="C5" i="5"/>
  <c r="E24" i="4"/>
  <c r="C29" i="4"/>
  <c r="E6" i="5" l="1"/>
  <c r="E10" i="5"/>
  <c r="L12" i="8"/>
  <c r="D70" i="4"/>
  <c r="L13" i="8"/>
  <c r="I24" i="4"/>
  <c r="C12" i="8"/>
  <c r="K12" i="8"/>
  <c r="J12" i="8"/>
  <c r="K13" i="8"/>
  <c r="C13" i="8"/>
  <c r="J13" i="8"/>
  <c r="E29" i="4"/>
  <c r="C34" i="4"/>
  <c r="E34" i="4" s="1"/>
  <c r="D38" i="30" l="1"/>
  <c r="F38" i="30" s="1"/>
  <c r="D37" i="32"/>
  <c r="F37" i="32" s="1"/>
  <c r="D75" i="4"/>
  <c r="F75" i="4" s="1"/>
  <c r="D76" i="4"/>
  <c r="D74" i="4"/>
  <c r="F74" i="4" s="1"/>
  <c r="D68" i="4"/>
  <c r="D69" i="4"/>
  <c r="D79" i="4"/>
  <c r="F79" i="4" s="1"/>
  <c r="D67" i="4"/>
  <c r="D66" i="4"/>
  <c r="D77" i="4"/>
  <c r="F77" i="4" s="1"/>
  <c r="D73" i="4"/>
  <c r="D72" i="4"/>
  <c r="D78" i="4"/>
  <c r="F78" i="4" s="1"/>
  <c r="D71" i="4"/>
  <c r="D65" i="4"/>
  <c r="D84" i="4" s="1"/>
  <c r="F70" i="4"/>
  <c r="I34" i="4"/>
  <c r="I29" i="4"/>
  <c r="E60" i="4"/>
  <c r="D46" i="32" l="1"/>
  <c r="F46" i="32" s="1"/>
  <c r="D47" i="32"/>
  <c r="F47" i="32" s="1"/>
  <c r="D51" i="32"/>
  <c r="F51" i="32" s="1"/>
  <c r="D40" i="32"/>
  <c r="F40" i="32" s="1"/>
  <c r="D55" i="32"/>
  <c r="F55" i="32" s="1"/>
  <c r="D32" i="30"/>
  <c r="F32" i="30" s="1"/>
  <c r="D32" i="32"/>
  <c r="F32" i="32" s="1"/>
  <c r="D44" i="32"/>
  <c r="D26" i="30"/>
  <c r="F26" i="30" s="1"/>
  <c r="D26" i="32"/>
  <c r="F26" i="32" s="1"/>
  <c r="D69" i="30"/>
  <c r="F76" i="4"/>
  <c r="F72" i="4"/>
  <c r="D62" i="30"/>
  <c r="F62" i="30" s="1"/>
  <c r="F73" i="4"/>
  <c r="D55" i="30"/>
  <c r="F55" i="30" s="1"/>
  <c r="D85" i="4"/>
  <c r="D53" i="30"/>
  <c r="F68" i="4"/>
  <c r="D50" i="30"/>
  <c r="F67" i="4"/>
  <c r="D43" i="30"/>
  <c r="F43" i="30" s="1"/>
  <c r="F69" i="4"/>
  <c r="F66" i="4"/>
  <c r="D87" i="4"/>
  <c r="F71" i="4"/>
  <c r="D86" i="4"/>
  <c r="I60" i="4"/>
  <c r="L62" i="4" s="1"/>
  <c r="D80" i="4"/>
  <c r="F65" i="4"/>
  <c r="F27" i="30"/>
  <c r="F53" i="30" l="1"/>
  <c r="D18" i="30"/>
  <c r="F18" i="30" s="1"/>
  <c r="F19" i="30" s="1"/>
  <c r="G10" i="8"/>
  <c r="I10" i="8" s="1"/>
  <c r="D73" i="32"/>
  <c r="F73" i="32" s="1"/>
  <c r="F79" i="32" s="1"/>
  <c r="F151" i="32" s="1"/>
  <c r="F153" i="32" s="1"/>
  <c r="D83" i="30"/>
  <c r="F83" i="30" s="1"/>
  <c r="F69" i="30"/>
  <c r="D88" i="4"/>
  <c r="F80" i="4"/>
  <c r="H83" i="4"/>
  <c r="G11" i="8"/>
  <c r="L10" i="8" l="1"/>
  <c r="L11" i="8"/>
  <c r="I11" i="8"/>
  <c r="F89" i="30"/>
  <c r="F165" i="30" s="1"/>
  <c r="F166" i="30" s="1"/>
  <c r="F152" i="32"/>
  <c r="F154" i="32" s="1"/>
  <c r="K10" i="8"/>
  <c r="C10" i="8"/>
  <c r="J10" i="8"/>
  <c r="I24" i="8"/>
  <c r="D28" i="17" l="1"/>
  <c r="C29" i="17"/>
  <c r="F29" i="17"/>
  <c r="C48" i="17"/>
  <c r="F48" i="17"/>
  <c r="D7" i="17"/>
  <c r="I129" i="8"/>
  <c r="K11" i="8"/>
  <c r="L16" i="8"/>
  <c r="C11" i="8"/>
  <c r="J11" i="8"/>
  <c r="H11" i="8"/>
  <c r="C49" i="35"/>
  <c r="F167" i="30"/>
  <c r="F168" i="30" s="1"/>
  <c r="J24" i="8"/>
  <c r="C24" i="8"/>
  <c r="K24" i="8"/>
  <c r="D36" i="17" l="1"/>
  <c r="D37" i="17" s="1"/>
  <c r="H28" i="17"/>
  <c r="K28" i="17" s="1"/>
  <c r="F28" i="17"/>
  <c r="F36" i="17" s="1"/>
  <c r="C28" i="17"/>
  <c r="F50" i="17"/>
  <c r="C50" i="17"/>
  <c r="D56" i="17"/>
  <c r="D49" i="35"/>
  <c r="E49" i="35" s="1"/>
  <c r="K49" i="35" s="1"/>
  <c r="C7" i="17"/>
  <c r="F7" i="17"/>
  <c r="D15" i="17"/>
  <c r="F13" i="17"/>
  <c r="C127" i="8"/>
  <c r="C13" i="17"/>
  <c r="K127" i="8"/>
  <c r="J127" i="8"/>
  <c r="J49" i="35" l="1"/>
  <c r="D38" i="17"/>
  <c r="F38" i="17" s="1"/>
  <c r="C36" i="17"/>
  <c r="F37" i="17"/>
  <c r="C37" i="17"/>
  <c r="C56" i="17"/>
  <c r="D57" i="17"/>
  <c r="D58" i="17"/>
  <c r="F56" i="17"/>
  <c r="D16" i="17"/>
  <c r="D17" i="17"/>
  <c r="C15" i="17"/>
  <c r="F15" i="17"/>
  <c r="C129" i="8"/>
  <c r="K128" i="8"/>
  <c r="J128" i="8"/>
  <c r="C38" i="17" l="1"/>
  <c r="D39" i="17"/>
  <c r="D40" i="17" s="1"/>
  <c r="D41" i="17" s="1"/>
  <c r="F39" i="17"/>
  <c r="F40" i="17" s="1"/>
  <c r="D59" i="17"/>
  <c r="C57" i="17"/>
  <c r="F57" i="17"/>
  <c r="C58" i="17"/>
  <c r="F58" i="17"/>
  <c r="C17" i="17"/>
  <c r="F16" i="17"/>
  <c r="F17" i="17"/>
  <c r="D129" i="8"/>
  <c r="E129" i="8" s="1"/>
  <c r="K129" i="8" s="1"/>
  <c r="D18" i="17"/>
  <c r="C16" i="17"/>
  <c r="J131" i="8" l="1"/>
  <c r="K131" i="8"/>
  <c r="C39" i="17"/>
  <c r="C41" i="17"/>
  <c r="C40" i="17"/>
  <c r="F41" i="17"/>
  <c r="D60" i="17"/>
  <c r="C59" i="17"/>
  <c r="F59" i="17"/>
  <c r="F60" i="17" s="1"/>
  <c r="D64" i="17"/>
  <c r="F18" i="17"/>
  <c r="F19" i="17" s="1"/>
  <c r="C18" i="17"/>
  <c r="D19" i="17"/>
  <c r="D61" i="17" l="1"/>
  <c r="C60" i="17"/>
  <c r="F61" i="17"/>
  <c r="C61" i="17"/>
  <c r="F20" i="17"/>
  <c r="C19" i="17"/>
  <c r="D20" i="17"/>
  <c r="C20" i="17" l="1"/>
  <c r="H48" i="17" l="1"/>
  <c r="H49" i="17" l="1"/>
  <c r="K49" i="17" s="1"/>
  <c r="H56" i="1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<sst xmlns="http://schemas.openxmlformats.org/spreadsheetml/2006/main" count="6744" uniqueCount="1230">
  <si>
    <t>Form A-1 Schedule of Quantities &amp; Prices</t>
  </si>
  <si>
    <t xml:space="preserve">Sr.No </t>
  </si>
  <si>
    <t>Description</t>
  </si>
  <si>
    <t>UOM</t>
  </si>
  <si>
    <t xml:space="preserve">Quantity </t>
  </si>
  <si>
    <t>Rate</t>
  </si>
  <si>
    <t>Total Amount</t>
  </si>
  <si>
    <t>Excavation and Backfilling</t>
  </si>
  <si>
    <t>Rate includes removal of all kinds of vegetation, small shrubs etc. Dewatering water to be let out of the building area through proper pipes &amp; channels if required. The contractor at his own expenses shall water very well, ram and thoroughly, consolidate the bottom of all excavations &amp; ground before the construction of foundation/footing/plinth beam, filling in basement floor or other work is commenced. The rate for excavation shall include for shoring sides or trenches with approved timber/steel accessories wherever necessary to prevent sides from falling including bailing or pumping out of water if necessary and include If there are any shrubs, bushes, trees, roots of the trees to be removed for min depth 5’0”. Lift &amp; lead outside campus are to be considered to suit the local regulations. Contour level to be taken jointly with the Project Manager and prior written approval be taken before starting any excavation/ filling at every 3 / 5 mt grids for arriving at the actual quantity. Measurements for filling will be taken for consolidated thickness only .Cost to include all and necessary royalty and other permission charges required to execute the works. Unless noted otherwise measurements shall be considered to the edge of PCC only.</t>
  </si>
  <si>
    <t>General Excavation by mechanical means in all types of soil including dense soil, disintegrated/ weathered / soft rock  / Medium Rock including necessary manual excavation for dressing the edges &amp; levelling, all leads and lifts,  necessary soil stabilization pre excavation, protection etc in all types of soil except hard rock as specified and directed. The rate shall include the necessary surface preparation required for the Excavation and to its related works as specified and directed. Rate to include carting away of excavated material outside the site. 
Note: PCC area shall be considered for measurement Rate to include the dressing of excavated surface to be handed over from General excavation contractor to the required level. (Working space &amp; provision of slopes if required for execution shall not be paid separately).</t>
  </si>
  <si>
    <t>Excavation in soil at all depth</t>
  </si>
  <si>
    <t>Cum</t>
  </si>
  <si>
    <t>Same as item No - 1 above but in hard rock/ boulders (Un-poclainable) by chiselling/wedging up to the required level &amp; depth including all leads and lifts,  and carting away excavated material outside the site as directed, de-watering of both ground and surface water as specified. Blasting is not allowed. Note:PCC area shall be considered for measurement (Working space &amp; provision of slopes if required for execution shall not be paid separately. Mode of measurement shall be by joint measurements/ levels before and after excavation).</t>
  </si>
  <si>
    <t>Excavation in Hard rock at all depth</t>
  </si>
  <si>
    <t>Manual Excavation</t>
  </si>
  <si>
    <t>QRO</t>
  </si>
  <si>
    <t>Backfilling with approved good quality earth in plinths, below grade slab, behind retaining wall etc. in layers not exceeding depths mentioned below, breaking clods, watering, compacting each layer with vibratory compactor (Vibratory Roller/Compactor capacity i.e. 8 to 10 Tonne) and at inaccessible places with 2 Ton Roller/Plate Compactor to achieve required proctor density mentioned below with optimum moisture content as mentioned below; dressing up embankments; if required, bailing/pumping out of water to keep site dry while backfilling; rate to includes conveyance of all materials, labour, machinery etc. complete as per  direction of the EIC to his entire satisfaction. The rate is inclusive of Dewatering.
Notes:
(1) Field compaction: 98% for Plinth area and 95% for other areas
(2) Layers thickness of filling: 150mm compacted in Plinth area filling and 200mm compacted in other filling areas
(3) Field density tests: 1 test / 5 Sq.m. for each layer in plinth filling area and 1 test / 50 Sq.m. in other filling area by Sand
 replacement method as per IS 2720 Part 28 (Latest revision)
(4) The measurement shall be for the net compacted volume of filling done. Block levels at intervals of 5 X 5 m or as directed by the Engineer shall be jointly recorded for the measurement purpose, before the start of filling. The acceptance criteria for backfilling works like formation levels, method of compaction, optimum moisture content variation etc. Complete.
Please refer Tender Document, Preamble to BOQ, Standard Conditions of Contract, All annexures attached in Tender Document etc. as these all shall be considered in Rates Quoted in BOQ.
Mode of Measurement - Actual Filling Area in Cum</t>
  </si>
  <si>
    <t>With selected excavated material available within plot.</t>
  </si>
  <si>
    <t>With approved quality of earth brought from outside</t>
  </si>
  <si>
    <t>Providing and applying anti termite treatment using approved chemical, conforming to IS 6313 part II (Latest Revision) and approved Method Statement using chemical at 5ltr/sqm of application area or as per manufacture recommendation that shall create a chemical barrier under and around the foundation pits, along external perimeter of building, surroundings of pipes, conduits, etc.; all complete and conforming to specifications and/ or as per approved manufacturer's instructions/recommendation, initial level supervision and application by manufacturer's approved agency with a guarantee of 10 years by Manufacturer and Contractor, all to the satisfaction of the EIC. (Plinth area in plan at ground level shall be measured as per IS 3861). Commencement of work shall be done as per approved method statement.
Area at plinth level will be considered for payment..
(Rates include material+labour,tranportation+wastage etc)</t>
  </si>
  <si>
    <t>Anti Termite</t>
  </si>
  <si>
    <t>Sqm</t>
  </si>
  <si>
    <t>Providing and applying two component coal-tar based epoxy protective coating of approved manufacture to be applied externally on concrete surfaces directly in contact with soil, following  manufactures specification as directed by EIC
Mode of Measurment:Actual Area of Application</t>
  </si>
  <si>
    <t>Providing and laying in position minimum 230mm thick Soling, base preparation by Mechanical compaction, using deccan trap basalt hand broken / Rubble for void filling, murrum for binding including watering,packing,compaction etc. in under floor, foundation, pavement, roads, steps, ramps, soak pit and other similar locations, hand set vertically in regular lines, interstices filled in with smaller stone chips including watering and Compaction / consolidating &amp; finishing to the required levels and lines etc  with mechanical rammer / manual compaction etc. complete as directed by EIC and as mentioned in Specification and drawing, etc Complete. (Binding layer shall be of metal, sand or murrum which shall be part of Rate quoted).
Please refer Tender Document, Preamble to BOQ, Standard Conditions of Contract, All annexures attached in Tender Document etc. as these all shall be considered in Rates Quoted in BOQ.(Rates include material+labour,tranportation+wastage etc)</t>
  </si>
  <si>
    <t>Soling</t>
  </si>
  <si>
    <t>Excavation Total</t>
  </si>
  <si>
    <t>RCC</t>
  </si>
  <si>
    <t>READY MIX CONCRETE / CONTROLLED CONCRETE</t>
  </si>
  <si>
    <t xml:space="preserve">Providing, batching, mixing, transporting through transit mixers, pumping and laying Reinforced Cement Concrete of specified grade at all levels and heights, elevations, projections, surfaces specified below using ordinary Portland cement of grade 53 from approved manufacturer, river sand/manufactured sand, 20mm and down size coarse aggregates, necessary admixtures approved by Consultants/as specified in the contract document, including all leads and lifts, pumping using line pump or boom placer, vibrating/ compaction, scaffolding wherever necessary, curing, treatment of construction joints, necessary co-ordination for Post tensioning works if any etc. complete as directed by the EIC, excluding cost of shuttering and centering. The cost shall include any additional enhancers required to make the concrete more durable or to achieve the strength as per instruction of structural consultant.                                                               
All necessary treatment to honey combed areas, uneven concrete surfaces shall be made proper as per the structural consultant without any extra cost 
</t>
  </si>
  <si>
    <t>(Design mix shall be as approved by the Structural Consultant / Employers representative.)</t>
  </si>
  <si>
    <t xml:space="preserve">Note:   RMC to be outsourced  </t>
  </si>
  <si>
    <t>Providing and laying specified Grade concrete for  P.C.C.  of specified thick wherever specified using Manufactured sand, 20mm and downsize metal including base preparation, Compaction, levelling, all leads and lifts, curing and shuttering if necessary etc., Complete</t>
  </si>
  <si>
    <t>2.1.1</t>
  </si>
  <si>
    <t xml:space="preserve">M15-PCC </t>
  </si>
  <si>
    <t>2.1.2</t>
  </si>
  <si>
    <t xml:space="preserve">M20-PCC </t>
  </si>
  <si>
    <t>2.1.3</t>
  </si>
  <si>
    <t>M10- Lean Mix</t>
  </si>
  <si>
    <t>Providing and laying 0f M20 grade concrete for  Plum concrete wherever specified using manufactured sand, 40mm and down size metal and boulders of 150mm (proportion 60: 40 for  boulder : Concrete ) of approved design mix including sub grade preparation, levelling, surface preparation, all leads and lifts, rough finishing at the top surface, curing and shuttering if necessary etc.</t>
  </si>
  <si>
    <t>2.1.4</t>
  </si>
  <si>
    <t xml:space="preserve">Plum Concrete </t>
  </si>
  <si>
    <t>Providing and Laying approved design mix of concrete for Reinforced Cement Concrete (RCC) work confirming to IS 456 and as specified in drawing and technical specifications. Rate shall include the following :-
Handling and transportation, labour, plant &amp; tools, mechanical mixing, placing to required location by hoisting and / or pumping, lubrication of concrete pump line and mechnical vibration, compaction, finishing, curing by any means like by portable water and / or curing compound etc. scaffolding, dewatering, if any hacking of concrete surface wherever required etc. post concrete laitance and slurry removal, making concrete form finish complete at all floors, height and levels as directed by EIC. Forming projections, sinking of floors for sumps wherever directed, forming opening or niches, opening for services and providing dowel bars and also co-ordinating with other agencies for laying conduits, boxes, pipes, clamps etc. as directed at site and making sure they do not get damaged or chocked during concreting. Forming construction joints / expansion strips as directed by the EIC including keys, slopes, falls, temporary stops etc. complete. Any approved make admixture confirming to IS 9103, the contractor may use in order to enhance the workability / properties, any cost towards making concrete water-tight and crack free shall be the part of the item and no extra claim shall be entertained to achieve the same. This rate shall exclude the cost of formwork, shuttering and steel reinforcement. The cost of the testing has to borne by the concractor and no extra claim will be entertained on this account.
Location :- Raft/ Foundation</t>
  </si>
  <si>
    <t>2.1.5</t>
  </si>
  <si>
    <t>M50 from outsourced RMC plant.</t>
  </si>
  <si>
    <t xml:space="preserve">Providing and Laying approved design mix of concrete for Reinforced Cement Concrete (RCC) work confirming to IS 456 and as specified in drawing and technical specifications. Rate shall include the following :-
Handling and transportation, labour, plant &amp; tools, mechanical mixing, placing to required location by hoisting and / or pumping, lubrication of concrete pump line and mechnical vibration, compaction, finishing, curing by any means like by portable water and / or curing compound etc. scaffolding, dewatering, if any hacking of concrete surface wherever required etc. post concrete laitance and slurry removal, making concrete form finish complete at all floors, height and levels as directed by EIC. Forming projections, sinking of floors for sumps wherever directed, forming opening or niches, opening for services and providing dowel bars and also co-ordinating with other agencies for laying conduits, boxes, pipes, clamps etc. as directed at site and making sure they do not get damaged or chocked during concreting. Forming construction joints / expansion strips as directed by the EIC including keys, slopes, falls, temporary stops etc. complete. Any approved make admixture confirming to IS 9103, the contractor may use in order to enhance the workability / properties, any cost towards making concrete water-tight and crack free shall be the part of the item and no extra claim shall be entertained to achieve the same. This rate shall exclude the cost of formwork, shuttering and steel reinforcement. The cost of the testing has to borne by the concractor and no extra claim will be entertained on this account. 
Columns may be free standing or integrated with shear / lift walls, they may be floating on or hanging from beams, rectangular, T shaped, L shaped or square columns, pedestral or stup columns, composite columns, butteress for retaining wall of different sizes and shapes at various levels / heights. </t>
  </si>
  <si>
    <t>Column</t>
  </si>
  <si>
    <t>M60</t>
  </si>
  <si>
    <t>M50</t>
  </si>
  <si>
    <t>M40</t>
  </si>
  <si>
    <t>2.1.6</t>
  </si>
  <si>
    <t>Retaining Wall</t>
  </si>
  <si>
    <t>2.1.7</t>
  </si>
  <si>
    <t>UGT, OHT, LMR, Swimming Pool and Parapet Wall</t>
  </si>
  <si>
    <t>M30</t>
  </si>
  <si>
    <t>2.1.8</t>
  </si>
  <si>
    <t>Slab</t>
  </si>
  <si>
    <t>M30 (Basement Grade Slab)</t>
  </si>
  <si>
    <t>2.1.9</t>
  </si>
  <si>
    <t>Beams</t>
  </si>
  <si>
    <t>2.1.10</t>
  </si>
  <si>
    <t>RMC Staircase, NS Wall</t>
  </si>
  <si>
    <t>2.1.11</t>
  </si>
  <si>
    <t>Do as above but for CC -M-50 site mixed concrete using concrete mixer</t>
  </si>
  <si>
    <t>2.1.12</t>
  </si>
  <si>
    <t>Do as above but for CC -M-40 site mixed concrete using concrete mixer</t>
  </si>
  <si>
    <t>2.1.13</t>
  </si>
  <si>
    <t>Do as above but for CC -M-30 site mixed concrete using concrete mixer</t>
  </si>
  <si>
    <t>2.1.14</t>
  </si>
  <si>
    <t>Do as above but for CC -M-20 site mixed concrete using concrete mixer</t>
  </si>
  <si>
    <t>2.1.15</t>
  </si>
  <si>
    <t>Do as above but for CC -M-15 site mixed concrete using concrete mixer</t>
  </si>
  <si>
    <t>2.1.16</t>
  </si>
  <si>
    <t>Do as above but for CC -M-10 site mixed concrete using concrete mixer</t>
  </si>
  <si>
    <r>
      <t xml:space="preserve">Providing &amp; laying </t>
    </r>
    <r>
      <rPr>
        <b/>
        <sz val="11"/>
        <rFont val="Tahoma"/>
        <family val="2"/>
      </rPr>
      <t>75mm thk Vacuum de-watered Trimix Flooring</t>
    </r>
    <r>
      <rPr>
        <sz val="11"/>
        <rFont val="Tahoma"/>
        <family val="2"/>
      </rPr>
      <t xml:space="preserve"> in M-25 grade of concrete with 12mm micro AR glass fibers (KDM FIBER or equivalent) at 85 gms per 50 kg cement, on RCC slab base at all floors and levels . The concrete shall consist of Min 325 Kg of cement per cubic meter of concrete shall be poured in the panels (size to be approx. 4.0 X 2.4 mts in alternate pattern) and vibrated with poker vibrator, followed by double beam screed vibrator. Excess water at top surface of the vibrated concrete shall be removed by Vacuum De-watering system as per the specifications to reduce final water cement ratio. Non metallic hardener as per site condition dry shake at the rate of 4.5 Kg per Sq. mt.or as specified by the manufacturer shall be spread and then the surface shall be </t>
    </r>
    <r>
      <rPr>
        <b/>
        <sz val="11"/>
        <rFont val="Tahoma"/>
        <family val="2"/>
      </rPr>
      <t xml:space="preserve">trowelled with a power trowel </t>
    </r>
    <r>
      <rPr>
        <sz val="11"/>
        <rFont val="Tahoma"/>
        <family val="2"/>
      </rPr>
      <t xml:space="preserve">to get desired final smooth finish. </t>
    </r>
    <r>
      <rPr>
        <b/>
        <sz val="11"/>
        <rFont val="Tahoma"/>
        <family val="2"/>
      </rPr>
      <t>Grooves</t>
    </r>
    <r>
      <rPr>
        <sz val="11"/>
        <rFont val="Tahoma"/>
        <family val="2"/>
      </rPr>
      <t xml:space="preserve"> / Joints at the periphery of each panel shall be formed after immediate final setting of concrete with mechanized saw cut to depth of 1/3 rd thickness of the Trimix floor and shall be 3 to 4 mm wide using non metallic Hardener of approved make. These grooved shall be filled  with elastomeric sealant (Bituminous / polysulphide as specified) etc. complete as per drawings &amp; specifications and as directed by the EIC. The floor shall be cured for a period of seven days by ponding water. The acceptance criteria for trimix works shall be as per technical specification and Approved method Statement.</t>
    </r>
  </si>
  <si>
    <t>Formwork</t>
  </si>
  <si>
    <r>
      <t xml:space="preserve">Providing, fabricating &amp; erecting </t>
    </r>
    <r>
      <rPr>
        <b/>
        <sz val="11"/>
        <rFont val="Tahoma"/>
        <family val="2"/>
      </rPr>
      <t xml:space="preserve">aluminium system form work </t>
    </r>
    <r>
      <rPr>
        <sz val="11"/>
        <rFont val="Tahoma"/>
        <family val="2"/>
      </rPr>
      <t xml:space="preserve">at all levels and places wherever needed / specified including striking / deshuttering, cleaning, transporting and storing at all heights. All shuttering including columns, Shear Walls, core walls, curved walls, walls, curved slabs &amp; beams, sunshades, fins facia, beam sides, drip mould, beam bottoms, suspended slab &amp; beam, pergolas, stair cases &amp; landing. Rate shall also be inclusive of providing necessary provision for external grooves provision shall be given as per the Approved GFC drawing , internal skirting arrangement as required by drawings.  Including Grouting for tie rods in mivan shuttering shall be with GP2 internally as well as externally for the depth of entire thickness of RCC member as per manufacture specification approved by consultants. Only the surface area of the form work to be measured.  </t>
    </r>
  </si>
  <si>
    <t>Aluminium Shuttering brought to the site shall be Brand New. The approved vendor for Aluminium Shuttering are 1) Storm, 2) MFE, 3)Kum Kang. If control plans for staggered concreting the additional stuttering shall be planned in construction Joint area.
Inclined shall be provided for wall thickness more than 200mm
Note: QA/QC1. Mock up approval is required well in advance for aluminium formwork finish prior to actual work starts.
2. Grouting of tie rod holes required for entire thickness of RCC member instead.</t>
  </si>
  <si>
    <t>2.3.1</t>
  </si>
  <si>
    <t>Al. Shuttering for Columns, Beams, Slabs, structural &amp; non structural walls staircases, chajjas etc.</t>
  </si>
  <si>
    <t>2.3.2</t>
  </si>
  <si>
    <t>Reckli/ Moulding charges over and above the cost of shuttering works</t>
  </si>
  <si>
    <t>2.3.4</t>
  </si>
  <si>
    <r>
      <rPr>
        <b/>
        <sz val="11"/>
        <rFont val="Tahoma"/>
        <family val="2"/>
      </rPr>
      <t xml:space="preserve">CONVENTIONAL SHUTTERING : </t>
    </r>
    <r>
      <rPr>
        <sz val="11"/>
        <rFont val="Tahoma"/>
        <family val="2"/>
      </rPr>
      <t>Providing, fabricating and erecting form work at all levels and places and profiles wherever needed/specified as per drawing including striking with 12mm Brand new Plastic coated, marine resistant waterproof ply/Smooth finished MS plates  with adjustable steel props of acceptable Staging system and with sufficient bracing as approved by consultant. M.S. plates shall  be considered for foundation only. Cost to include designing of proper form work and staging system to suit the requirements, Submission of design calculations and shop drawings for approval, sealing the joints with heavy duty brown self adhesive tape, aligning to line and levels including M.S. Ties, PVC Spacer, Providing openings/ cutouts/ pockets, necessary co-ordination and arrangement for Post Tensioning works if any, applying deshuttering chemical, Deshuttering as approved by the consultant etc., complete at all levels, double/triple heights, profiles, elevations/surfaces. Rate shall also be inclusive for packing tie rod holes with GP2 or other approved chemicals. Note : Only plan area shall be considered. No extra shall be paid for Side shuttering of Drop panel/column capitals.  3) Shuttering &amp; deshuttering sequence shall be 100% ,80% &amp; 40%  from the slab to be cast respectively. The cost of shuttering includes all slopes as per details provided in the architectural drawings.
Note: Tie rods shall not be used for entire thickness of water retaining structures and retaining wall . Alternatively gugu rods shall be used which breaks through and through hole.</t>
    </r>
  </si>
  <si>
    <t>Reinforcement Steel</t>
  </si>
  <si>
    <t xml:space="preserve">Providing, supplying  &amp; fixing in position Fe 500 reinforcement steel for RCC work with high yield strength ribbed cold twisted tor steel (HSD) bar of various diameters and grade of steel as specified below conforming to IS specification including cutting, providing, supplying &amp; bending, hoisting, and placing in position according to drawings and binding the reinforcement with  galvanized annealed binding wire of double fold of 18 gauge  and providing concrete cover blocks/PVC Cover Blocks required with strength equal to respective concrete grades. as required/instructed for placing the reinforcements in position and for maintaining the cover specified and/or according  to relevant IS.  </t>
  </si>
  <si>
    <t xml:space="preserve">Note : Unless noted otherwise the measurements is accordance with IS 2502. However reinforcement shall be measured only in lengths of bars as actually placed in position on standard weight basis, no allowance being made in the weight for rolling margin. Authorized laps and splices only will be measured. Chairs of any shape &amp; profile, Spacer bar of any shape &amp; profile, cover block, wastage and binding wire will not be measured and shall be included in the quoted rates. Quoted rate shall be deemed to have considered the above stipulation. Quoted rate to include lead, unloading, lift, placing  at all levels and as directed. 
</t>
  </si>
  <si>
    <t>2.4.1</t>
  </si>
  <si>
    <t>MT</t>
  </si>
  <si>
    <t>Providing and fixing Mechanical Splicing using threaded coupler to the reinforcement bars of specified dia and grade using high yield strength standard couplers of specially produced steel to join ribbed bearing bars machine cut end to end. Cost to include necessary supply of threaded couplers of various diameters, reducers wherever required, transportation, coupling at site by mechanical means, threading of reinforcement bars at ends, erection at site, testing of random samples, testing at site, protection of threaded ends using PVC covers etc.., complete. Cost to include necessary testing of joints at site using ultrasonic methods required by Consultants at intervals.</t>
  </si>
  <si>
    <t>a</t>
  </si>
  <si>
    <t>Y40</t>
  </si>
  <si>
    <t>Nos</t>
  </si>
  <si>
    <t>b</t>
  </si>
  <si>
    <t>Y32</t>
  </si>
  <si>
    <t>c</t>
  </si>
  <si>
    <t>Y25</t>
  </si>
  <si>
    <t>d</t>
  </si>
  <si>
    <t>Y20</t>
  </si>
  <si>
    <t>RCC Total</t>
  </si>
  <si>
    <t>Masonry  works</t>
  </si>
  <si>
    <t>Providing, supplying  &amp; fixing in position , receive, unload, Inspect / Test in Accredited by NABL &amp; approved laboratory &amp; Construct AAC block of various thickness, level as per drawing, compressive strength of block shall be minimum 4.0 N/mm2 Grade 1 with density 551 to 650 kg/m3 and Water absorption less than 20%. Fixing of block shall be in adhesive with thickness as per adhesive manufacturer's specification and also providing RCC stiffener (patli) beam of wall width x 100 mm at about 1.2m C/C with 4 nos. 8 mm die Tor bars and 8 mm dia links at 300 c/c in cement concrete of grade M 15, required formwork, curing complete with raking out joints if required, curing, doing independent double legged scaffolding, all complete as per specifications etc. at all heights, depths  lift and leads  and also for all shape &amp; sizes as directed by EIC to his entire satisfaction. (Patli beam including reinforcement is part of the item). Ends of reinforcement steels in patli beam has to be anchored in RCC, including anchoring of reinforcement to min. 75mm using FOSROC Lock Fix / HILTI or Equivalent grout by the means of angle cleat with dash fastener. Patli mentioned is applicable for all thickness masonry wall. If applicable Vertical Stiffeners (Mullion Columns) minimum M-15 grade to be provided every 4m of 100mm thick wall (precast mullions are also allowed). Providing DPC layer of 50mm thk
Provision and making of Control joints &amp; its treatment as per manufacturer's Specification which shall be approved . 
RCC-Masonry junction should be filled with the same non-shrinking polymer mortar and 150mm wide GI expanded metal mesh shall be fixed as per approved work procedure.  
Please refer Tender Document, Preamble to BOQ, Standard Conditions of Contract, Technical Specifications, All annexures attached in Tender Document etc. as these all shall be considered in Rates Quoted in BOQ.
1. Lintel for Door &amp; Window opening shall be as per the drawing or as specified. 
3. Sill for Windows shall be minimum 75 mm thick with nominal reinforcement, bearing for the sill shall be minimum 200mm or nearest RCC. (Rates include material+labour,tranportation+wastage etc)</t>
  </si>
  <si>
    <t>230mm thick AAC block</t>
  </si>
  <si>
    <t>200mm thick AAC block</t>
  </si>
  <si>
    <t>150mm thick AAC block</t>
  </si>
  <si>
    <t>100mm thick AAC block</t>
  </si>
  <si>
    <t>Block  Work Total</t>
  </si>
  <si>
    <t>Internal Plaster</t>
  </si>
  <si>
    <t>Providing and applying  rough Back-coat plastering of required thickness to RCC / masonry walls in CM 1:4 as a backing coat plaster with chat coat for fixing of  tiles, granite slabs, marbles etc., at all levels. The work shall include hacking on RCC &amp; Block work &amp; Providing and fixing of 150 mm wide GI  plaster mesh of Arpitha or equivalent approved make with nominal thickness of individual thread 0.35mm with a Zinc coating of 120 gms. per Sq.m. at the  junctions of   masonry  &amp;  RCC  work,   plastering  the  mesh  in CM 1:2 including tying in position with suitable nails/screws etc., hack aid chemical compound hacking to RCC surfaces, scraping, cleaning    the    surface,    rounding    of    corners    wherever required and specified, forming grooves  wherever necessary, curing,  cost   of   materials, labour,   loading and unloading , transportation, necessary scaffolding, all other incidental charges with all  leads and lifts, etc. complete as per drawings, specifications, etc. The work shall be carried out  up to all heights &amp; all floor levels and as per the directions of the Engineer In charge. The Quoted rate to include providing  plastering &amp; necessary patch works with GI / glass fiber Mesh in masonry walls  over conduits/pipes etc. embedded in masonry and after final fixing of electrical Switch boxes &amp; junction boxes to required line &amp; levels with proper cleaning. Plastering sand shall be conforming to IS 1542 &amp; ITP.  Cement shall be OPC 43 grade or PPC  which  confirms to IS 269-2015 &amp; IS 1489. plastering shall confirms to IS 1661. The acceptance criteria for plaster works shall be as per technical specification and Approved method Statement.  
Note: 1.plaster mesh nailing with washers shall be done at 600mm c/c staggered distance
2. mortar mixing shall be only mechanical
Locations -All Floor Toilet and Kitchen Area</t>
  </si>
  <si>
    <t>Back Coat Plaster-10 to 12mm Thk</t>
  </si>
  <si>
    <t>Back Coat Plaster-8 to 10mm Thk</t>
  </si>
  <si>
    <t>Providing and applying of single coat cement sand plaster of required thickness Internal masonry/RCC Wall surface mixed mechanically (one bag mixture) including racking out junctions of masonry and concrete and other dissimilar materials, treated by pointing and grouting using non-shrinking compound, then providing 150 mm wide GI  plaster mesh of Arpitha or equivalent approved make with nominal thickness of individual thread 0.35mm with a Zinc coating of 120 gms. per Sq.m. at the  junctions of   masonry  &amp;  RCC  work, hacking of 72 nos/sft closely for concrete surfaces &amp; AAC blocks ,etc. Item also include plastering to window sills, RCC cornices, making  wattas, drip moulds,  grooves etc. curing, cleaning, scaffolding, etc. all complete no holes are allowed to be made in block work c. Plastering sand shall be conforming to IS 1542 &amp; approved ITP. The acceptance criteria for plaster works shall be as per technical specification and Approved method Statement. Cement shall be OPC 43 grade or PPC  which  confirms to IS 269-2015 &amp; IS 1489. plastering shall confirms to IS 1661       
Note: 1.plaster mesh nailing with washers shall be done at 600mm c/c staggered distance</t>
  </si>
  <si>
    <t xml:space="preserve">Internal Plaster 10-12mm Thk-Wall </t>
  </si>
  <si>
    <t>Internal Plaster 10-12mm Thk-Ceiling</t>
  </si>
  <si>
    <t>Internal Plaster 12-15mm Thk</t>
  </si>
  <si>
    <t xml:space="preserve">Providing and applying Gypsum  plaster of required thickness on Masonry &amp; RCC surface as per manufacturers' specifications (surface acceptable to the EIC must be achieved by the contractor), including surface preparation, providing and fixing 145 GSM Glass Fiber mesh with opening size 5mm x 5mm at junction of RCC and masonry surface also electrical conduit chasing surfaces, surface finish shall be in right angle and plumb. With all required consumables, labour, double legged scaffolding, shifting of material, cleaning and protecting till the handing over of site to the respective agency, all complete to entire satisfaction of the EIC. Note:
1) Mixing to be carried out by mechanical / electrical stirrer only.
2) Physical and chemical tests of Gypsum shall be carried out for the first lot as per IS 2542, 2547 (latest revision)
</t>
  </si>
  <si>
    <t xml:space="preserve">Gypsum Plaster 6 to 8mm Thk
Location- All floors Internal Walls </t>
  </si>
  <si>
    <t>Gypsum Plaster avg 12mm Thk  Wall</t>
  </si>
  <si>
    <t>8mm thk Gypsum Plaster Ceiling</t>
  </si>
  <si>
    <t>Internal Plaster Total</t>
  </si>
  <si>
    <t>External Plaster</t>
  </si>
  <si>
    <r>
      <t>Providing and applying average</t>
    </r>
    <r>
      <rPr>
        <sz val="11"/>
        <color rgb="FFFF0000"/>
        <rFont val="Tahoma"/>
        <family val="2"/>
      </rPr>
      <t xml:space="preserve"> </t>
    </r>
    <r>
      <rPr>
        <sz val="11"/>
        <color theme="1"/>
        <rFont val="Tahoma"/>
        <family val="2"/>
      </rPr>
      <t xml:space="preserve">25 mm thick double coat  "Cement River Sand" mixed with integral waterproofing compound and cellulose / polypropylene fibres and graded sand, first coat to be avg. 15 mm thick  with 1:6 ratio and second coat to be avg 10 mm with 1:4 ratio thick as per recommendations of the approved manufacturer in both coats, and sand face finished or as required to receive specified architectural external finish, to correct line, plumb and level to external faces of walls, soffits / ceiling if any, including raking of joints, treated by pointing and grouting using non-shrinking compound mixed mortar and further grouted with fresh cleaned square cut aggregate at junction, then providing 150 mm wide 18 gauge GI chicken mesh at treated junctions of masonry work fixed with U Clamps and then apply a scratch coat plaster to create sound durable key for receiving plaster. Level Pads to be provided at periodical intervals. Min. curing period for both first coat and second coat shall be 7 days. Rate to include independent double legged Steel / H Frame scaffolding etc. Item also include plastering to precast concrete window sills, RCC cornices, making wattas, drip moulds, pattas, grooves etc.,curing as per manufacturer specification, cleaning, etc. all complete to the approval of the EIC.  the work to be carried out strictly in line with approved method statement and technical Specification and as directed by EIC within tolerance limit.
Note:
1) PPC cement to be used and river sand with maximum deleterious content not more than 5% by weight during source approval of sand, maximum silt content not more than 7% by volume during routine test on site.
2) Mixing of cement, sand etc. should be with the help of mechanical mixer only, NO manual mixing is allowed on site.
3) Plaster cubes of size 70.6 x 70.6 mm to be casted and cured as per manufacturer's specification and tested on 28 days, frequency as per approved
4) Any long term / short term crack appears on the plastered wall after completion of work or while executing painting activity that should be rectified by contractor on his own cost.
Location : External walls </t>
    </r>
  </si>
  <si>
    <t>External Plaster-Elevation Wall</t>
  </si>
  <si>
    <r>
      <t>Supplying and applying average 20 mm thick double coat</t>
    </r>
    <r>
      <rPr>
        <sz val="11"/>
        <color rgb="FFFF0000"/>
        <rFont val="Tahoma"/>
        <family val="2"/>
      </rPr>
      <t xml:space="preserve">  "</t>
    </r>
    <r>
      <rPr>
        <sz val="11"/>
        <color theme="1"/>
        <rFont val="Tahoma"/>
        <family val="2"/>
      </rPr>
      <t>Cement River Sand" made with integral waterproofing compound and cellulose / polypropylene fibres and graded sand, first coat to be avg. 12 mm thick  with 1:6 ratio and second coat to be avg 8 mm with 1:4 ratio thick as per recommendations of the approved manufacturer in both coats, and sand face finished or as required to receive specified architectural external finish, to correct line, plumb and level to external faces of walls, soffits / ceiling if any, including raking of joints, treated by pointing and grouting using non-shrinking compound mixed mortar and further grouted with fresh cleaned square cut aggregate at junction, then providing 150 mm wide 18 gauge GI chicken mesh at treated junctions of masonry work fixed with U Clamps and then apply a scratch coat plaster to create sound durable key for receiving plaster. Level Pads to be provided at periodical intervals. Min. curing period for both first coat and second coat shall be 7 days. Rate to include independent double legged Steel / H Frame scaffolding etc. Item also include plastering to precast concrete window sills, RCC cornices, making wattas, drip moulds, pattas, grooves etc.,curing as per manufacturer specification, cleaning, etc. all complete to the approval of the EIC. . the work to be carried out strictly in line with approved method statement and technical Specification and as directed by EIC within tolerance limit.
Note:
1) PPC cement to be used and river sand with maximum deleterious content not more than 5% by weight during source approval of sand, maximum silt content not more than 7% by volume during routine test on site.
2) Mixing of cement, sand etc. should be with the help of mechanical mixer only, NO manual mixing is allowed on site.
3) Plaster cubes of size 70.6 x 70.6 mm to be casted and cured as per manufacturer's specification and tested on 28 days, frequency as per approved
4) Any long term / short term crack appears on the plastered wall after completion of work or while executing painting activity that should be rectified by contractor on his own cost.
Location :  Duct Area</t>
    </r>
  </si>
  <si>
    <t>External Plaster-Ducts &amp; Above Terrace</t>
  </si>
  <si>
    <t>External Plaster Total</t>
  </si>
  <si>
    <t>Waterproofing</t>
  </si>
  <si>
    <t>Terrace Waterproofing</t>
  </si>
  <si>
    <t>Providing, Applying of approved Waterproofing Systems as per manufacturers' specification, Technical data sheets, method statements, waterproofing detailing as approved by EIC. Rate shall include surface preparation including bare ponding, dewatering, cleaning, grinding and wire-brushing the concrete surface, water jetting, crack filling using approved crack fillers by making V grooves, pressure grouting any leaking points / pockets in concrete, honeycombs with approved non-shrink cementitious grouts, treating construction joints, cold joints etc. providing required overlap / joints, Bore packing, specific treatment to inserts like pipes, flashing, tie rod filling, termination, providing protection layer to waterproofing etc. as per approved method statement, Pre and post waterproofing curing as directed by EIC, checking and testing of waterproofing layers / stages as per approved method statement and checklists, stage pass sign off for every waterproofing layers, maintenance of consumption register, protection of waterproofing and executing the waterproofing work as per approved method statement and drawings etc complete without any exclusions in scope. Min. 10 years tri-partite performance warranty shall be given in the Notarised Non Judicial Stamp paper in approved format with periodic supervision from manufacturers' end. 
Please refer Tender Document, Preamble to BOQ, Standard Conditions of Contract, All annexures attached in Tender Document etc. as these all shall be considered in Rates Quoted in BOQ.
Note: 
1) Mode of measurement: Actual area of application shall be considered for measurement.
2) Treatment to include Expansion Joint treatment wherever required.
3) Rate should be quoted for the complete system of waterproofing.
4) Shuttering to be used for bore packing.
5) Barricading and protection to ongoing and completed waterproofing activities till handing over to EIC.
6) Approved Makes: Fosroc/Pidilite/BASF
7) Only PPC cement should be considered.(Rates include material+labour,tranportation etc)
8) Including Material Storage and Lead and Lifts
9) Including wastage</t>
  </si>
  <si>
    <t>Providing and laying of average 150mm thick proprietary terrace waterproofing consisting of brickbat coba in cement mortar mixed in ratio of 1:5 (1 cement : 5 sand) with approved waterproofing compound at the rate as specified by approved manufacturer to terrace including applying (spray application) to cleaned, grouted concrete base surface, proprietary chemical water proofing system consisting of polymer modified acrylic base composite coating (of one part  or  two  part component)  as  approved  by  the  EIC  and as recommended by the approved manufacturer of waterproofing  coating, and laying brickbat to required slope to outlet and rain water pipes grouted (minimum thickness 75mm), further finished with 50mm thick IPS  in 1:2:4 cement concrete with smooth finish or broom finish as required. Cost to include the treatment along wall up to 300 mm and no extra measurements shall be accounted for the wall treatment.</t>
  </si>
  <si>
    <t>6.1.1</t>
  </si>
  <si>
    <t>Terrace Waterproofing System</t>
  </si>
  <si>
    <t>Podium Terrace Water proofing</t>
  </si>
  <si>
    <t>Providing, Applying of approved Waterproofing Systems as per manufacturers' specification, Technical data sheets, method statements, waterproofing detailing as approved by EIC. Rate shall include surface preparation including bare ponding, dewatering, cleaning, grinding and wire-brushing the concrete surface, water jetting, crack filling using approved crack fillers by making V grooves, pressure grouting any leaking points / pockets in concrete, honeycombs with approved non-shrink cementitious grouts, treating construction joints, cold joints etc. providing required overlap / joints, Bore packing, specific treatment to inserts like pipes, flashing, tie rod filling, termination, providing protection layer to waterproofing etc. as per approved method statement, Pre and post waterproofing curing as directed by EIC, checking and testing of waterproofing layers / stages as per approved method statement and checklists, stage pass sign off for every waterproofing layers, maintenance of consumption register, protection of waterproofing and executing the waterproofing work as per approved method statement and drawings etc complete without any exclusions in scope. Min. 10 years tri-partite performance warranty shall be given in the Notarised Non Judicial Stamp paper in approved format with periodic supervision from manufacturers' end. 
Please refer Tender Document, Preamble to BOQ, Standard Conditions of Contract, All annexures attatched in Tender Document etc. as these all shall be considered in Rates Quoted in BOQ.
Note: 
1) Treatment to include Expansion Joint treatment wherever required.
2) Rate should be quoted for the complete system of waterproofing.
3) Shuttering to be used for bore packing.
4) Barrication and protection to ongoing and completed waterproofing acivities till handing over to EIC.
5) Approved Makes: Fosroc/Pidilite/BASF
6) Only PPC cement should be considered.(Rates include material+labour,tranportation etc)
7) Including Material Storage and Lead and Lifts
8) Including wastage</t>
  </si>
  <si>
    <t>Providing and laying of average 150mm thick proprietary podium waterproofing consisting of brickbat coba in cement mortar mixed in ratio of 1:5 (1 cement : 5 sand) with approved waterproofing compound at the rate as specified by approved manufacturer to terrace including applying (spray application) to cleaned, grouted concrete base surface, proprietary chemical water proofing system consisting of polymer modified acrylic base composite coating (of one part  or  two  part component)  as  approved  by  the  EIC  and as recommended by the approved manufacturer of waterproofing  coating, and laying brickbat to required slope to outlet and rain water pipes grouted (minimum thickness 75mm), further finished with 50mm thick IPS  in 1:2:4 cement concrete with smooth finish or broom finish as required. Cost to include the treatment along wall up to 300 mm and no extra measurements shall be accounted for the wall treatment.
Mode of measurement: Plan area shall be considered for measurement.</t>
  </si>
  <si>
    <t>6.2.1</t>
  </si>
  <si>
    <t>Providing and laying anti root membrane for the planter area as per manufacturer specifications including the surface preparations for which the surface should be waterproofed with base coat and coba of 150 mm thick with smooth top finish to ensure proper bonding with the membrane. The anti-root membrane should be cut to size and laid over the surface to be waterproofed upto the top, ensuring that it is spread evenly and any air pockets are removed. The membrane should be secured in place using adhesive or other suitable means. The joints between the anti-root membrane and the surface should be sealed to prevent water from penetrating the surface. The waterproofing should be tested by applying water to the surface and checking for any leaks. Any leaks should be repaired. After the waterproofing work is complete, the surface should be inspected to ensure that it meets the specified requirements and that there are no defects.
Mode of measurement: Applied Surface area should be considered for measurement.</t>
  </si>
  <si>
    <t>6.2.2</t>
  </si>
  <si>
    <t>Anti Root Membrane Waterproofing</t>
  </si>
  <si>
    <t>(Not Quoted)</t>
  </si>
  <si>
    <t>Toilet, Balconies, Water Tanks, LMR Top Slabs, Flowerbed and Swimming Pool at Terrace</t>
  </si>
  <si>
    <t>Providing waterproofing in two parts, by Surface method as follows. 
Contractor shall provide minimum 10 years guarante
Note: 
1) Treatment to include Expansion Joint treatment wherever required.
2) Rate should be quoted for the complete system of waterproofing.
3) Shuttering to be used for bore packing.
4) Barrication and protection to ongoing and completed waterproofing acivities till handing over to EIC.
5) Approved Makes: Fosroc/Pidilite/BASF
6) Only PPC cement should be considered.(Rates include material+labour,tranportation etc)
7) River sand should be considered.
8) Including Material Storage and Lead and Lifts
9) Including wastage</t>
  </si>
  <si>
    <t>Providing and application of Two component acrylic polymer modified cementitious  flexible waterproof coating,  after base preparation of cleaning, brushing and removal of flaky materials, grouting the porous area with cementitious grout, fixing of weep holes, bore packingetc. with non shrink grouting chemicals of approved make, methodology approved by the consultants. The coatings shall be applied at intervals and as per the manufacturer’s specifications and approved by consultants.
Mode of measurement:Treated Surface area shall be considered for measurement.</t>
  </si>
  <si>
    <t>6.3.1</t>
  </si>
  <si>
    <t>Base Coat</t>
  </si>
  <si>
    <t>Providing and filling sunken area with Brick bat (150 mm) with cement  mortar mixed in ratio 1:3:6 (1 cement : 3 sand : 6 brick bats) including mixing of water proofing compound 4 % by weight of cement and finishing the top surface with IPS to the entire satisfaction of the PM. Toilet / Sunk portion shall be tested by ponding water for 72 hrs
Location : UG Tank
Mode of measurement: Plan area with avg thickness of coba shall be considered for measurement.</t>
  </si>
  <si>
    <t>6.3.2</t>
  </si>
  <si>
    <t>Brick Bat Coba</t>
  </si>
  <si>
    <t>Basement Waterproofing</t>
  </si>
  <si>
    <t>Providing and laying of bitumen Bm self XL 1.5mm thick SBS based 
self-adhesive waterproofing membrane topped with HDPE cross laminated film with the following technical properties softening point&gt;103 as per AST D 36,tensile strength(film) (L/T) 42/48(N/mm2) as per ASTM D882,elongation (L/T) film,(%) 230/180 as per ASTM D882,tear strength(L/T) film 340/310 (N/mm) as per ASTM 1004,puncture resistance,(N) film&gt;220 as per ASTM E 154,Hydrostatic pressure &gt;70m(7 Bar) No leakage as per BS EN 12390(Part 8),peel adhesion strength,(L/T) 1.8/2(N/mm)  as per ASTM D1000,Crack bridging ability(mm)&gt;1.5mm as per ASTM C 836 including cleaning the surface, primming the surface with BM prime SBD 41 cold applied bituminous primer @ 0.3ml-0.4ml/sqm,properly sealing the joints &amp; maintain 75mm overlap between the membrane selvedge &amp; 100mm overlap on the end joints of the membrane over the slab etc. The entire waterproofing treatment should be executed by the manufacture's in house applicator arm/authorized applicator who is in the field of waterproofing for the past 10years.
Note: Actual  area of application shall be considered for measurement</t>
  </si>
  <si>
    <t>6.4.1</t>
  </si>
  <si>
    <t>Protection Board</t>
  </si>
  <si>
    <t>Providing &amp; fixing of protection board 6mm thk bitumen protection board spot bonded on wall before back filling
Note: Actual  area of application shall be considered for measurement</t>
  </si>
  <si>
    <t>6.5.1</t>
  </si>
  <si>
    <t>Waterproofing Total</t>
  </si>
  <si>
    <t>MEP</t>
  </si>
  <si>
    <t>Providing and fixing GI water bar inserts ( puddle flanges) 750 mm long  and diameter Specified</t>
  </si>
  <si>
    <t>50mm</t>
  </si>
  <si>
    <t>65mm</t>
  </si>
  <si>
    <t>80mm</t>
  </si>
  <si>
    <t>100mm</t>
  </si>
  <si>
    <t>e</t>
  </si>
  <si>
    <t>150mm</t>
  </si>
  <si>
    <t>Supply, laying and fixing medium duty rigid PVC sleeves upto 300 mm Length(as per approved drawings and design) embedded in the RCC slab/ Wall/Beams.</t>
  </si>
  <si>
    <t>40 mm Dia.</t>
  </si>
  <si>
    <t>75 mm Dia.</t>
  </si>
  <si>
    <t>100 mm Dia.</t>
  </si>
  <si>
    <t>150 mm Dia.</t>
  </si>
  <si>
    <t>MEP Total</t>
  </si>
  <si>
    <t>Core &amp; shell Sub Total</t>
  </si>
  <si>
    <t>Add: CGST</t>
  </si>
  <si>
    <t>Add: SGST</t>
  </si>
  <si>
    <t>Total for Core &amp; Shell Works with Taxes</t>
  </si>
  <si>
    <t>Excavation in soil at all depth with in the plot</t>
  </si>
  <si>
    <t>Excavation in soil at all depth outside the plot</t>
  </si>
  <si>
    <t>M15-PCC Outsourced RMC plant.</t>
  </si>
  <si>
    <t>M20-PCC Outsourced RMC plant.</t>
  </si>
  <si>
    <t>M10- Lean Mix Outsourced RMC plant.</t>
  </si>
  <si>
    <t>Plum Concrete  Outsourced RMC plant.</t>
  </si>
  <si>
    <t>M50 from Inhouse RMC plant.</t>
  </si>
  <si>
    <t>M50 from Outsourced RMC plant.</t>
  </si>
  <si>
    <t>Basic Cement Rate</t>
  </si>
  <si>
    <t>M60 Inhouse RMC plant.</t>
  </si>
  <si>
    <t>M60 Outsourced RMC plant.</t>
  </si>
  <si>
    <t>M50 Inhouse RMC plant.</t>
  </si>
  <si>
    <t>M50 Outsourced RMC plant.</t>
  </si>
  <si>
    <t>M40 Inhouse RMC plant.</t>
  </si>
  <si>
    <t>M40 Outsourced RMC plant.</t>
  </si>
  <si>
    <t>M30 Inhouse RMC plant.</t>
  </si>
  <si>
    <t>M30 Outsourced RMC plant.</t>
  </si>
  <si>
    <t>M30 (Basement Grade Slab) Inhouse RMC plant.</t>
  </si>
  <si>
    <t>M30 (Basement Grade Slab) Outsourced RMC plant.</t>
  </si>
  <si>
    <t>Chajja Waterproofing</t>
  </si>
  <si>
    <t>Providing and application of Two component acrylic polymer modified cementitious  flexible waterproof coating, with metal 1 fixing in the junction of chajja and beam  after base preparation of cleaning, brushing and removal of flaky materials, grouting the porous area with cementitious grout, fixing of weep holes, bore packingetc. with non shrink grouting chemicals of approved make, methodology approved by the consultants. The coatings shall be applied at intervals and as per the manufacturer’s specifications and approved by consultants further finished with 50mm thick IPS  in 1:2:4 cement concrete with smooth finish or broom finish as required.
Mode of measurement:Treated Surface area shall be considered for measurement.</t>
  </si>
  <si>
    <t>Chajja IPS Waterproofing</t>
  </si>
  <si>
    <t>Basement Membrane Waterproofing</t>
  </si>
  <si>
    <t>6.6.1</t>
  </si>
  <si>
    <t>Excavation, Backfilling &amp; ATT</t>
  </si>
  <si>
    <t>Sr. No.</t>
  </si>
  <si>
    <t>Work/ 
Item Description</t>
  </si>
  <si>
    <t>Concrete Grade</t>
  </si>
  <si>
    <t>Length
M</t>
  </si>
  <si>
    <t>Width
M</t>
  </si>
  <si>
    <t>Depth
M</t>
  </si>
  <si>
    <t>Area
Sq M</t>
  </si>
  <si>
    <t>Volume
Cu M</t>
  </si>
  <si>
    <t>Amount</t>
  </si>
  <si>
    <t>A</t>
  </si>
  <si>
    <t>Excavation</t>
  </si>
  <si>
    <t>Excavation in Soil - Plinth Area (Bldg Area)</t>
  </si>
  <si>
    <t>Excavation in Soil - Plinth Area (Podium Area)</t>
  </si>
  <si>
    <t>Excavation  - UG Tank Soil</t>
  </si>
  <si>
    <t>Excavation  - Lift Pit Soil</t>
  </si>
  <si>
    <t>Storm water drain in Soil</t>
  </si>
  <si>
    <t>Fire line/Electrical line in Soil</t>
  </si>
  <si>
    <t>Total for Excavation</t>
  </si>
  <si>
    <t>Total Excavation in Soil</t>
  </si>
  <si>
    <t>Total Excavation in Rock</t>
  </si>
  <si>
    <t>B</t>
  </si>
  <si>
    <t>Backfilling</t>
  </si>
  <si>
    <t>Murum Filling in Bldg Area above Raft</t>
  </si>
  <si>
    <t>Filling in Drive way/LOS Area</t>
  </si>
  <si>
    <t>Total Backfilling with Soil within the plot</t>
  </si>
  <si>
    <t>C</t>
  </si>
  <si>
    <t>Plum Concrete for Edges at Level Difference</t>
  </si>
  <si>
    <t>Plum Concrete</t>
  </si>
  <si>
    <t>Project - Mulund</t>
  </si>
  <si>
    <t>Area Statement -Construction Area</t>
  </si>
  <si>
    <t>Mulund</t>
  </si>
  <si>
    <t>Sr.No.</t>
  </si>
  <si>
    <t>Floorplate Area (P line)</t>
  </si>
  <si>
    <t>Deduction</t>
  </si>
  <si>
    <t>Addition</t>
  </si>
  <si>
    <t>Total</t>
  </si>
  <si>
    <t>No</t>
  </si>
  <si>
    <t>Total Construction Area (in Sq.m)</t>
  </si>
  <si>
    <t>Total Construction Area (in sq.ft)</t>
  </si>
  <si>
    <t>Lift Shaft</t>
  </si>
  <si>
    <t xml:space="preserve">MEP Shaft </t>
  </si>
  <si>
    <t>Void</t>
  </si>
  <si>
    <t>S Slab</t>
  </si>
  <si>
    <t>Deck /Balcony</t>
  </si>
  <si>
    <t>Utility/Dry Balcony</t>
  </si>
  <si>
    <t>Chajja</t>
  </si>
  <si>
    <t>Tower Area</t>
  </si>
  <si>
    <t>NTA Open to sky</t>
  </si>
  <si>
    <t>Terrace</t>
  </si>
  <si>
    <t>Beam for Jalli</t>
  </si>
  <si>
    <t>Refuge</t>
  </si>
  <si>
    <t>Basement</t>
  </si>
  <si>
    <t>Ground Floor</t>
  </si>
  <si>
    <t>1st Podium</t>
  </si>
  <si>
    <t>2nd Podium</t>
  </si>
  <si>
    <t>3rd Podium</t>
  </si>
  <si>
    <t>4th Podium</t>
  </si>
  <si>
    <t>5th Podium</t>
  </si>
  <si>
    <t>6th Podium</t>
  </si>
  <si>
    <t>7th Floor</t>
  </si>
  <si>
    <t>8th Floor</t>
  </si>
  <si>
    <t>9th Floor</t>
  </si>
  <si>
    <t>10th Floor</t>
  </si>
  <si>
    <t>11th Floor</t>
  </si>
  <si>
    <t>12th Floor</t>
  </si>
  <si>
    <t>13th Floor</t>
  </si>
  <si>
    <t>14th Floor</t>
  </si>
  <si>
    <t>15th Floor</t>
  </si>
  <si>
    <t>16th Floor</t>
  </si>
  <si>
    <t>17th Floor</t>
  </si>
  <si>
    <t>18th Floor</t>
  </si>
  <si>
    <t>19th Floor</t>
  </si>
  <si>
    <t>20th Floor</t>
  </si>
  <si>
    <t>21st Floor</t>
  </si>
  <si>
    <t>22nd Floor</t>
  </si>
  <si>
    <t>23rd Floor</t>
  </si>
  <si>
    <t>24th Floor</t>
  </si>
  <si>
    <t>25th Floor</t>
  </si>
  <si>
    <t>26th Floor</t>
  </si>
  <si>
    <t>27th Floor</t>
  </si>
  <si>
    <t>28th Floor</t>
  </si>
  <si>
    <t>29th Floor</t>
  </si>
  <si>
    <t>30th Floor</t>
  </si>
  <si>
    <t>31st Floor</t>
  </si>
  <si>
    <t>32nd Floor</t>
  </si>
  <si>
    <t>33rd Floor</t>
  </si>
  <si>
    <t>34th Floor</t>
  </si>
  <si>
    <t>Terrace Floor</t>
  </si>
  <si>
    <t>LMR,Mumty (Floor)</t>
  </si>
  <si>
    <t>LMR, Mumty (Roof)</t>
  </si>
  <si>
    <t xml:space="preserve">Summary Cost Estimate for Project - AVS Mulund as per DBOT </t>
  </si>
  <si>
    <t>Sr.No</t>
  </si>
  <si>
    <t>Particulars</t>
  </si>
  <si>
    <t>As per DBOT</t>
  </si>
  <si>
    <t>Total Construction Area in Sq. ft</t>
  </si>
  <si>
    <t xml:space="preserve">Rate in Rs Per Sq Ft of CA </t>
  </si>
  <si>
    <t>Budget in Rs. Cr.</t>
  </si>
  <si>
    <t>Cost Incurred till date in Rs. Cr.</t>
  </si>
  <si>
    <t>Cost to Complete in Rs. Cr.</t>
  </si>
  <si>
    <t>Preliminaries</t>
  </si>
  <si>
    <t>Civil</t>
  </si>
  <si>
    <t>Finishing</t>
  </si>
  <si>
    <t>MEP NTA</t>
  </si>
  <si>
    <t>MEP EXTERNAL</t>
  </si>
  <si>
    <t>Amenities</t>
  </si>
  <si>
    <t>External Development</t>
  </si>
  <si>
    <t>Post Construction</t>
  </si>
  <si>
    <t xml:space="preserve"> Total</t>
  </si>
  <si>
    <t>Total construction cost excluding Taxes</t>
  </si>
  <si>
    <t>GST 18%</t>
  </si>
  <si>
    <t>Total construction cost with Taxes</t>
  </si>
  <si>
    <t xml:space="preserve">Detailed Cost Estimate </t>
  </si>
  <si>
    <t>CA</t>
  </si>
  <si>
    <t>Sft</t>
  </si>
  <si>
    <t>Sr. No</t>
  </si>
  <si>
    <t>Rate Psf of Const Area</t>
  </si>
  <si>
    <t>% Completed</t>
  </si>
  <si>
    <t>Balance %</t>
  </si>
  <si>
    <t>Unit</t>
  </si>
  <si>
    <t>Quantity</t>
  </si>
  <si>
    <t>Total Cost</t>
  </si>
  <si>
    <t>Cost till date</t>
  </si>
  <si>
    <t>Balance Cost</t>
  </si>
  <si>
    <t>Consumption</t>
  </si>
  <si>
    <t>SHELL AND CORE</t>
  </si>
  <si>
    <t>Cu M</t>
  </si>
  <si>
    <t>Shore Piling</t>
  </si>
  <si>
    <t>Nos.</t>
  </si>
  <si>
    <t xml:space="preserve">Backfiling </t>
  </si>
  <si>
    <t>Antitermite</t>
  </si>
  <si>
    <t>Sq M</t>
  </si>
  <si>
    <t>Soiling</t>
  </si>
  <si>
    <t>Steel</t>
  </si>
  <si>
    <t>Ton</t>
  </si>
  <si>
    <t>Kg/sft</t>
  </si>
  <si>
    <t>Concrete</t>
  </si>
  <si>
    <t>Mivan Shuttering</t>
  </si>
  <si>
    <t>Conventional Shuttering</t>
  </si>
  <si>
    <t>Block Work</t>
  </si>
  <si>
    <t>Plaster</t>
  </si>
  <si>
    <t>Internal Cement Plaster (Wall Area)</t>
  </si>
  <si>
    <t>Internal Cement Plaster (Ceiling Area)</t>
  </si>
  <si>
    <t>Internal Plastering - Back Coat</t>
  </si>
  <si>
    <t>External Plastering - 15mm thick</t>
  </si>
  <si>
    <t>Duct Plaster</t>
  </si>
  <si>
    <t>Basecoat</t>
  </si>
  <si>
    <t>Podium Waterproofing</t>
  </si>
  <si>
    <t>OHT Waterproofing</t>
  </si>
  <si>
    <t>Membrame Waterproofing</t>
  </si>
  <si>
    <t>STP Waterproofing</t>
  </si>
  <si>
    <t>Brickbat</t>
  </si>
  <si>
    <t>Antiroot Waterproofing</t>
  </si>
  <si>
    <t>Int. Plaster Gypsum</t>
  </si>
  <si>
    <t>Gypsum Plastering (Wall Area)</t>
  </si>
  <si>
    <t>Gypsum Plastering (Ceiling Area)</t>
  </si>
  <si>
    <t>Tremix</t>
  </si>
  <si>
    <t>75mm Thick Tremix</t>
  </si>
  <si>
    <t>FINISHING</t>
  </si>
  <si>
    <t>Flooring</t>
  </si>
  <si>
    <t>Vitrified Flooring - Flats</t>
  </si>
  <si>
    <t>Vitrfied Skirting - Flats</t>
  </si>
  <si>
    <t>RM</t>
  </si>
  <si>
    <t>AntiSkid Vitrified/Ceramic Flooring - Toilet</t>
  </si>
  <si>
    <t>Vitrified/Ceramic Dado - Toilet</t>
  </si>
  <si>
    <t xml:space="preserve">Vitrified/Ceramic Dado - Kitchen </t>
  </si>
  <si>
    <t xml:space="preserve">Vitrified/Ceramic Dado - Below Kitchen Platform </t>
  </si>
  <si>
    <t>Vitrified Flooring - Balcony</t>
  </si>
  <si>
    <t>Vitrified Skirting - Balcony</t>
  </si>
  <si>
    <t>Vitrified Dado - Balcony</t>
  </si>
  <si>
    <t>Vitrified Flooring - Utility</t>
  </si>
  <si>
    <t>Vitrified Skirting - Utility</t>
  </si>
  <si>
    <t>Vitrified Dado - Utility</t>
  </si>
  <si>
    <t>Vitrified Flooring - Common Lobby</t>
  </si>
  <si>
    <t>Vitrfied Skirting - Common Lobby</t>
  </si>
  <si>
    <t>Vitrfied Dado - Common Lobby</t>
  </si>
  <si>
    <t>Kota Flooring - Staircase</t>
  </si>
  <si>
    <t>Kota Skriting - Staircase</t>
  </si>
  <si>
    <t>Kota Dado - Staircase</t>
  </si>
  <si>
    <t>Kota Flooring - Tread - Staircase</t>
  </si>
  <si>
    <t>Kota Flooring - Riser - Staircase</t>
  </si>
  <si>
    <t>Painting Works(Internal &amp; External)</t>
  </si>
  <si>
    <t>Internal Painting (Wall Area - Arcylic Emulsion Paint)</t>
  </si>
  <si>
    <t>Internal Painting (Ceiling Area - Arcylic Emulsion Paint)</t>
  </si>
  <si>
    <t>Internal Painting (Wall Area - Cement Paint)</t>
  </si>
  <si>
    <t>Internal Painting (Ceiling  Area - Cement Paint)</t>
  </si>
  <si>
    <t>External Painting</t>
  </si>
  <si>
    <t>Texture Painting External</t>
  </si>
  <si>
    <t>Duct Painting</t>
  </si>
  <si>
    <t>Doors &amp; Windows</t>
  </si>
  <si>
    <t>Doors</t>
  </si>
  <si>
    <t>FRD</t>
  </si>
  <si>
    <t>D1</t>
  </si>
  <si>
    <t>D2</t>
  </si>
  <si>
    <t>K FRD</t>
  </si>
  <si>
    <t>Windows</t>
  </si>
  <si>
    <t>W1</t>
  </si>
  <si>
    <t>W8</t>
  </si>
  <si>
    <t>W4</t>
  </si>
  <si>
    <t>V</t>
  </si>
  <si>
    <t>W7</t>
  </si>
  <si>
    <t>UR</t>
  </si>
  <si>
    <t>BR</t>
  </si>
  <si>
    <t>W2</t>
  </si>
  <si>
    <t>W3</t>
  </si>
  <si>
    <t>W4A</t>
  </si>
  <si>
    <t>LW</t>
  </si>
  <si>
    <t>SW</t>
  </si>
  <si>
    <t>MS Railing - Staircase</t>
  </si>
  <si>
    <t>Miscellenous</t>
  </si>
  <si>
    <t>Granite Basin Counter</t>
  </si>
  <si>
    <t>Granite Door Frame</t>
  </si>
  <si>
    <t>Granite Window Frame</t>
  </si>
  <si>
    <t>Marble Window Frame</t>
  </si>
  <si>
    <t>Granite Kitchen Counter - Main Platform</t>
  </si>
  <si>
    <t>Granite Kitchen Counter - Service Platform</t>
  </si>
  <si>
    <t>Granite Architrave</t>
  </si>
  <si>
    <t xml:space="preserve">Fire Stopper - Ducts </t>
  </si>
  <si>
    <t>False Ceiling</t>
  </si>
  <si>
    <t>False Ceiling - Flats</t>
  </si>
  <si>
    <t>False Ceiling - Common Lobby</t>
  </si>
  <si>
    <t>Electrical</t>
  </si>
  <si>
    <t>LS</t>
  </si>
  <si>
    <t>Plumbing</t>
  </si>
  <si>
    <t>CP &amp; sanitory &amp; Kitchen Sink</t>
  </si>
  <si>
    <t xml:space="preserve">FF incl. </t>
  </si>
  <si>
    <t>FAPA</t>
  </si>
  <si>
    <t>CCTV</t>
  </si>
  <si>
    <t>HVAC Ventilation + pressurization</t>
  </si>
  <si>
    <t>Gas Supply</t>
  </si>
  <si>
    <t>Elevators</t>
  </si>
  <si>
    <t>Solar</t>
  </si>
  <si>
    <t>Intercom/VDP</t>
  </si>
  <si>
    <t>Fire Fighting</t>
  </si>
  <si>
    <t>Car stack</t>
  </si>
  <si>
    <t>Swimming Pool Equipments</t>
  </si>
  <si>
    <t>DG Power Backup</t>
  </si>
  <si>
    <t>Landscape Lighting</t>
  </si>
  <si>
    <t>External Electrical</t>
  </si>
  <si>
    <t>External Plumbing</t>
  </si>
  <si>
    <t>External FF</t>
  </si>
  <si>
    <t>OWC (Organic Waste Converter)</t>
  </si>
  <si>
    <t>Rain water harvesting</t>
  </si>
  <si>
    <t>STP Including Civil</t>
  </si>
  <si>
    <t>Substation</t>
  </si>
  <si>
    <t>External Development Civil</t>
  </si>
  <si>
    <t>TOTAL</t>
  </si>
  <si>
    <t>Vitrified Flooring - Office</t>
  </si>
  <si>
    <t>Vitrfied Skirting - Office</t>
  </si>
  <si>
    <t>Vitrified/Ceramic Dado - Pantry</t>
  </si>
  <si>
    <t>Curtain Wall</t>
  </si>
  <si>
    <t>Room Matrix Details</t>
  </si>
  <si>
    <t>Sr No</t>
  </si>
  <si>
    <t>Floor No</t>
  </si>
  <si>
    <t>Flr to Flr Ht</t>
  </si>
  <si>
    <t>Office 1</t>
  </si>
  <si>
    <t>Office 2</t>
  </si>
  <si>
    <t>Office 3</t>
  </si>
  <si>
    <t>Office 4</t>
  </si>
  <si>
    <t>Office 5</t>
  </si>
  <si>
    <t>Office 6</t>
  </si>
  <si>
    <t>Office 7</t>
  </si>
  <si>
    <t>Office 8</t>
  </si>
  <si>
    <t>Flat 1A</t>
  </si>
  <si>
    <t>Flat 1B,
2BHK</t>
  </si>
  <si>
    <t>Flat 2A</t>
  </si>
  <si>
    <t>Flat 2B,
2BHK</t>
  </si>
  <si>
    <t>Flat 3A,
2BHK</t>
  </si>
  <si>
    <t>Flat 3B,
3BHK</t>
  </si>
  <si>
    <t>Flat 4A,
2BHK</t>
  </si>
  <si>
    <t>Flat 4B,
3BHK</t>
  </si>
  <si>
    <t>Flat 5A</t>
  </si>
  <si>
    <t>Flat 5B,
2BHK</t>
  </si>
  <si>
    <t>Flat 6,
2BHK</t>
  </si>
  <si>
    <t>Flat 7,
3BHK</t>
  </si>
  <si>
    <t>Flat 8,
3BHK</t>
  </si>
  <si>
    <t>Flat 9,
2BHK</t>
  </si>
  <si>
    <t>Flat 10,
2BHK</t>
  </si>
  <si>
    <t>Common Lobby 1</t>
  </si>
  <si>
    <t>Common Lobby 2</t>
  </si>
  <si>
    <t>Staircase</t>
  </si>
  <si>
    <t>Total Apartments</t>
  </si>
  <si>
    <t>Grand Total</t>
  </si>
  <si>
    <t>1BHK</t>
  </si>
  <si>
    <t>Multipurpose Room</t>
  </si>
  <si>
    <t>Flat Sizes</t>
  </si>
  <si>
    <t>Type of Apartment</t>
  </si>
  <si>
    <t>No.of Apartment per floor</t>
  </si>
  <si>
    <t>Area in Sq.m</t>
  </si>
  <si>
    <t>Area in Sq.ft</t>
  </si>
  <si>
    <t>Total Area</t>
  </si>
  <si>
    <t>Perimeter in Rmt</t>
  </si>
  <si>
    <t>Area In Sft</t>
  </si>
  <si>
    <t>Multi Purpose Room</t>
  </si>
  <si>
    <t>Study Room</t>
  </si>
  <si>
    <t>M. Bedroom</t>
  </si>
  <si>
    <t>M. Toilet</t>
  </si>
  <si>
    <t>C. Toilet</t>
  </si>
  <si>
    <t>Sub Total</t>
  </si>
  <si>
    <t>Living, Dining &amp; Passage</t>
  </si>
  <si>
    <t>C.Bedroom</t>
  </si>
  <si>
    <t>Kitchen</t>
  </si>
  <si>
    <t>Utility</t>
  </si>
  <si>
    <t>Balcony</t>
  </si>
  <si>
    <t>C. Bedroom</t>
  </si>
  <si>
    <t>Common Area - Typical Floors</t>
  </si>
  <si>
    <t>Smoke Check Lobby 1</t>
  </si>
  <si>
    <t>Smoke Check Lobby 2</t>
  </si>
  <si>
    <t>Lifts</t>
  </si>
  <si>
    <t>Electric Duct 1 &amp; 2</t>
  </si>
  <si>
    <t>Fire Duct 1 &amp; 2</t>
  </si>
  <si>
    <t>Staircase 1,2,3,4</t>
  </si>
  <si>
    <t>Office Sizes</t>
  </si>
  <si>
    <t>Office</t>
  </si>
  <si>
    <t>Pantry</t>
  </si>
  <si>
    <t>WC</t>
  </si>
  <si>
    <t>Common Area</t>
  </si>
  <si>
    <t>Lobby</t>
  </si>
  <si>
    <t>FLOORWISE CONCRETE AND STEEL QUANTITIES</t>
  </si>
  <si>
    <t>Sr. no</t>
  </si>
  <si>
    <t>Floor</t>
  </si>
  <si>
    <t>Tower</t>
  </si>
  <si>
    <t>Total (Cu M)</t>
  </si>
  <si>
    <t xml:space="preserve">Remarks </t>
  </si>
  <si>
    <t>Steel Qty</t>
  </si>
  <si>
    <t>Foundation</t>
  </si>
  <si>
    <t>RW</t>
  </si>
  <si>
    <t>Footings</t>
  </si>
  <si>
    <t>Podium Slab</t>
  </si>
  <si>
    <t>PCC</t>
  </si>
  <si>
    <t>M15</t>
  </si>
  <si>
    <t>Podium Beam</t>
  </si>
  <si>
    <t>Raft</t>
  </si>
  <si>
    <t>Typical Slab</t>
  </si>
  <si>
    <t>Typical Beams</t>
  </si>
  <si>
    <t>UGT Slab &amp; Walls</t>
  </si>
  <si>
    <t>Columns</t>
  </si>
  <si>
    <t>Sher Wall</t>
  </si>
  <si>
    <t>Grade Slab (Basement Floor)</t>
  </si>
  <si>
    <t>NS Wall</t>
  </si>
  <si>
    <t>Slabs</t>
  </si>
  <si>
    <t>D</t>
  </si>
  <si>
    <t>1st Podium Floor</t>
  </si>
  <si>
    <t>E</t>
  </si>
  <si>
    <t>2nd Podium Floor</t>
  </si>
  <si>
    <t>F</t>
  </si>
  <si>
    <t>3rd Podium Floor</t>
  </si>
  <si>
    <t>G</t>
  </si>
  <si>
    <t>4th Podium Floor</t>
  </si>
  <si>
    <t>H</t>
  </si>
  <si>
    <t>5th Podium Floor</t>
  </si>
  <si>
    <t>I</t>
  </si>
  <si>
    <t>6th Podium Floor</t>
  </si>
  <si>
    <t>J</t>
  </si>
  <si>
    <t>7th Floor to Terrace Floor (29 Levels)</t>
  </si>
  <si>
    <t>K</t>
  </si>
  <si>
    <t>Other Areas</t>
  </si>
  <si>
    <t>Over Head Tank</t>
  </si>
  <si>
    <t>LMR</t>
  </si>
  <si>
    <t>Swimming Pool</t>
  </si>
  <si>
    <t>Parapet Wall</t>
  </si>
  <si>
    <t>Parapet Wall @ Podiums</t>
  </si>
  <si>
    <t>NS Walls</t>
  </si>
  <si>
    <t>Construction Area</t>
  </si>
  <si>
    <t>Concrete Summary</t>
  </si>
  <si>
    <t>Grade</t>
  </si>
  <si>
    <t>Qty</t>
  </si>
  <si>
    <t>For BOQ</t>
  </si>
  <si>
    <t>Waterproofing Work details</t>
  </si>
  <si>
    <t>Sr no</t>
  </si>
  <si>
    <t>Item</t>
  </si>
  <si>
    <t>Area</t>
  </si>
  <si>
    <t>Perimeter</t>
  </si>
  <si>
    <t>Ht.</t>
  </si>
  <si>
    <t>Quantity (sq.m)</t>
  </si>
  <si>
    <t>Sunk Filling in cum</t>
  </si>
  <si>
    <t>Total Nos.</t>
  </si>
  <si>
    <t>WP Area Sq.m</t>
  </si>
  <si>
    <t>Sunk
Cu.m</t>
  </si>
  <si>
    <t>Wall</t>
  </si>
  <si>
    <t>Lift Pits</t>
  </si>
  <si>
    <t>Passenger</t>
  </si>
  <si>
    <t>Lift Pit Basecoat</t>
  </si>
  <si>
    <t>Lift Pit Brickbat</t>
  </si>
  <si>
    <t>For Toilet, Utility and Balcony</t>
  </si>
  <si>
    <t>Toilet Basecoat</t>
  </si>
  <si>
    <t>Toilet Brickbat</t>
  </si>
  <si>
    <t>Kitchen Basecoat</t>
  </si>
  <si>
    <t>Kitchen Brickbat</t>
  </si>
  <si>
    <t>Utility Basecoat</t>
  </si>
  <si>
    <t>Utility Brickbat</t>
  </si>
  <si>
    <t>Balcony Basecoat</t>
  </si>
  <si>
    <t>Balcony Brickbat</t>
  </si>
  <si>
    <t>Terrace Floor &amp; Refuge Areas</t>
  </si>
  <si>
    <t>Podium Terrace</t>
  </si>
  <si>
    <t>Podium Terrace Waterproofing</t>
  </si>
  <si>
    <t xml:space="preserve">OHT </t>
  </si>
  <si>
    <t>L.M.R. Mumty Floor</t>
  </si>
  <si>
    <t>LMR Mumty Roof</t>
  </si>
  <si>
    <t>Refuge Waterproofing</t>
  </si>
  <si>
    <t>Chhajja / Service Slab</t>
  </si>
  <si>
    <t>Total Chajja Area</t>
  </si>
  <si>
    <t>Service Slabs</t>
  </si>
  <si>
    <t>Service Slab Waterproofing</t>
  </si>
  <si>
    <t>Total Basement Areas</t>
  </si>
  <si>
    <t>Basement Membrame Waterproofing</t>
  </si>
  <si>
    <t>Total STP Area</t>
  </si>
  <si>
    <t>UGT Tank</t>
  </si>
  <si>
    <t>UGT Tank Area</t>
  </si>
  <si>
    <t>UGT Basecoat</t>
  </si>
  <si>
    <t>UGT Brickbat</t>
  </si>
  <si>
    <t>Swimming Pool Basecoat</t>
  </si>
  <si>
    <t>Swimming Pool UGT Brickbat</t>
  </si>
  <si>
    <t>Building Waterproofing</t>
  </si>
  <si>
    <t>Chajja Brickbat</t>
  </si>
  <si>
    <t>Civil Infra</t>
  </si>
  <si>
    <t>Road and Pathways</t>
  </si>
  <si>
    <t xml:space="preserve">Boundary wall </t>
  </si>
  <si>
    <t>Rmt</t>
  </si>
  <si>
    <t>Gate &amp; security Cabin</t>
  </si>
  <si>
    <t>Boom Barriers</t>
  </si>
  <si>
    <t>60% Hardscape</t>
  </si>
  <si>
    <t>40% Softscape</t>
  </si>
  <si>
    <t>Landscape &amp; Signages</t>
  </si>
  <si>
    <t>Gr. Floor, 6th Podium and Terrace</t>
  </si>
  <si>
    <t>Hard Scape</t>
  </si>
  <si>
    <t>Soft Scape</t>
  </si>
  <si>
    <t xml:space="preserve">Trees Plantation </t>
  </si>
  <si>
    <t xml:space="preserve">Miscellaneous works </t>
  </si>
  <si>
    <t>considered LS safer side</t>
  </si>
  <si>
    <t xml:space="preserve">List of Amenities </t>
  </si>
  <si>
    <t>Sr.</t>
  </si>
  <si>
    <t>#</t>
  </si>
  <si>
    <t>Gymnasium / Fitness Centre @ 4th Podium Double Ht.</t>
  </si>
  <si>
    <t>Finishing Works</t>
  </si>
  <si>
    <t>Equipments</t>
  </si>
  <si>
    <t>Gymnasium / Fitness Centre @ 6th Podium</t>
  </si>
  <si>
    <t xml:space="preserve">Society Office </t>
  </si>
  <si>
    <t>Meter Room</t>
  </si>
  <si>
    <t>Entrance Lobby @ Gr Floor</t>
  </si>
  <si>
    <t>Entrance Lobby @ 6th Podium</t>
  </si>
  <si>
    <t xml:space="preserve">Total Amount </t>
  </si>
  <si>
    <t>Preliminary</t>
  </si>
  <si>
    <t xml:space="preserve">Barrication </t>
  </si>
  <si>
    <t>Porta Cabin</t>
  </si>
  <si>
    <t>Smog Gun</t>
  </si>
  <si>
    <t>Air Monitory Control</t>
  </si>
  <si>
    <t>Electricity</t>
  </si>
  <si>
    <t>Month</t>
  </si>
  <si>
    <t>Borewell</t>
  </si>
  <si>
    <t>CT / Water supply</t>
  </si>
  <si>
    <t>Site Establishment</t>
  </si>
  <si>
    <t>Portable Toilets</t>
  </si>
  <si>
    <t>Height</t>
  </si>
  <si>
    <t>Area 
(Sq. M)</t>
  </si>
  <si>
    <t>Perimeter 
(M)</t>
  </si>
  <si>
    <t>Net Qty</t>
  </si>
  <si>
    <t>Specs</t>
  </si>
  <si>
    <t>B.Rate</t>
  </si>
  <si>
    <t>Total Rate</t>
  </si>
  <si>
    <t>No. of Units</t>
  </si>
  <si>
    <t>Total Qty</t>
  </si>
  <si>
    <t>Filters</t>
  </si>
  <si>
    <t>Vit Floor</t>
  </si>
  <si>
    <t>Vit Skirt</t>
  </si>
  <si>
    <t>Gyp Wall</t>
  </si>
  <si>
    <t>Gyp Ceiling</t>
  </si>
  <si>
    <t>Acr Paint Wall</t>
  </si>
  <si>
    <t>Acr Paint Ceiling</t>
  </si>
  <si>
    <t>Vit Kitchen Dado</t>
  </si>
  <si>
    <t>Service Platform</t>
  </si>
  <si>
    <t>Vitr Flooring - Toilet</t>
  </si>
  <si>
    <t>Vitr Dado - Toilet</t>
  </si>
  <si>
    <t xml:space="preserve">Granite Door Frame </t>
  </si>
  <si>
    <t>Basin Counter</t>
  </si>
  <si>
    <t>Vit Floor Common</t>
  </si>
  <si>
    <t>Vit Dado Common</t>
  </si>
  <si>
    <t>False Ceiling Common</t>
  </si>
  <si>
    <t>Cem Paint Wall</t>
  </si>
  <si>
    <t>Kota Floor Stair</t>
  </si>
  <si>
    <t>Kota Skirt Stair</t>
  </si>
  <si>
    <t>Kota Dado Stair</t>
  </si>
  <si>
    <t>Cement Plaster Wall</t>
  </si>
  <si>
    <t>Cement Plaster Ceil</t>
  </si>
  <si>
    <t>Cem Paint Ceil</t>
  </si>
  <si>
    <t>MS Railing Stair</t>
  </si>
  <si>
    <t>Kota Tread Stair</t>
  </si>
  <si>
    <t>Kota Riser Stair</t>
  </si>
  <si>
    <t>Backcoat Plaster</t>
  </si>
  <si>
    <t>Finishing Matrix</t>
  </si>
  <si>
    <t xml:space="preserve">Finishing Matrix </t>
  </si>
  <si>
    <t>As per architects details</t>
  </si>
  <si>
    <t>Unit for Basic Rate</t>
  </si>
  <si>
    <t xml:space="preserve">Basic Rate </t>
  </si>
  <si>
    <t>Laying Rate</t>
  </si>
  <si>
    <t xml:space="preserve">Overall Rate </t>
  </si>
  <si>
    <t>Internal Finishes</t>
  </si>
  <si>
    <t>2'x2' Vitrified tiles</t>
  </si>
  <si>
    <t>Sq Ft</t>
  </si>
  <si>
    <t>Skirting</t>
  </si>
  <si>
    <t xml:space="preserve">2'x2' Vitrified tiles </t>
  </si>
  <si>
    <t>R Ft</t>
  </si>
  <si>
    <t>Dado</t>
  </si>
  <si>
    <t>N.A.</t>
  </si>
  <si>
    <t>Wall finishes plaster</t>
  </si>
  <si>
    <t>Gypsum Plaster</t>
  </si>
  <si>
    <t>Ceiling plaster</t>
  </si>
  <si>
    <t>False ceiling</t>
  </si>
  <si>
    <t>Wall finishes Paint</t>
  </si>
  <si>
    <t>Plastic paint</t>
  </si>
  <si>
    <t>Ceiling Paint</t>
  </si>
  <si>
    <t>Others</t>
  </si>
  <si>
    <t>-</t>
  </si>
  <si>
    <t>Toilet</t>
  </si>
  <si>
    <t>Ceramic tiles/vitrified anti-skid tiles</t>
  </si>
  <si>
    <t xml:space="preserve">RM </t>
  </si>
  <si>
    <t>Vitrified tiles</t>
  </si>
  <si>
    <t>Door Frames</t>
  </si>
  <si>
    <t>Granite Frames</t>
  </si>
  <si>
    <t>Window Frames - Internal</t>
  </si>
  <si>
    <t>Window Frames - External</t>
  </si>
  <si>
    <t>Marble Window Frames with Sill</t>
  </si>
  <si>
    <t>Others - Counter</t>
  </si>
  <si>
    <t>Basin Counter 1'6" - Granite Basin Counter</t>
  </si>
  <si>
    <t>ceramic tiles/vitrified anti-skid tiles</t>
  </si>
  <si>
    <t>Kitchen 1'6" Granite Main Counter</t>
  </si>
  <si>
    <t xml:space="preserve">R M </t>
  </si>
  <si>
    <t xml:space="preserve">Cement Paint </t>
  </si>
  <si>
    <t>Architrave</t>
  </si>
  <si>
    <t>Staircase Area</t>
  </si>
  <si>
    <t>Kota Flooring</t>
  </si>
  <si>
    <t>Kota Skirting</t>
  </si>
  <si>
    <t>Cement Plaster</t>
  </si>
  <si>
    <t>Cement Paint</t>
  </si>
  <si>
    <t>Staircase Steps</t>
  </si>
  <si>
    <t xml:space="preserve">             - Railing</t>
  </si>
  <si>
    <t>MS Railing</t>
  </si>
  <si>
    <t xml:space="preserve">             - Tread</t>
  </si>
  <si>
    <t>Sqft</t>
  </si>
  <si>
    <t xml:space="preserve">             - Riser</t>
  </si>
  <si>
    <t>Lift Lobby</t>
  </si>
  <si>
    <t>Vitrified Tiles</t>
  </si>
  <si>
    <t>False celing</t>
  </si>
  <si>
    <t>Gypsum false ceiling with cove</t>
  </si>
  <si>
    <t>Granite</t>
  </si>
  <si>
    <t>R.ft</t>
  </si>
  <si>
    <t xml:space="preserve">Granite Door Frame  </t>
  </si>
  <si>
    <t xml:space="preserve">Granite Window Frame </t>
  </si>
  <si>
    <t>Summary</t>
  </si>
  <si>
    <t>G. Total</t>
  </si>
  <si>
    <t>Vit Dado below Kit</t>
  </si>
  <si>
    <t>Kitchen Platform</t>
  </si>
  <si>
    <t>Vit Floor Utility</t>
  </si>
  <si>
    <t>Vit Skirt Utility</t>
  </si>
  <si>
    <t>Vit Dado Utility</t>
  </si>
  <si>
    <t>Ext Plaster</t>
  </si>
  <si>
    <t>Vit Floor Balcony</t>
  </si>
  <si>
    <t>Vit Skirt Balcony</t>
  </si>
  <si>
    <t>Vit Dado Balcony</t>
  </si>
  <si>
    <t>Dado Below Kitchen Platform</t>
  </si>
  <si>
    <t>Door</t>
  </si>
  <si>
    <t>G.TOTAL</t>
  </si>
  <si>
    <t>G.Total</t>
  </si>
  <si>
    <t>Vit Skirt Common</t>
  </si>
  <si>
    <t>Fire Grade Foam</t>
  </si>
  <si>
    <t>Wall finishes</t>
  </si>
  <si>
    <t>Refugee</t>
  </si>
  <si>
    <t>Vitrified Skirt</t>
  </si>
  <si>
    <t>M. Bed</t>
  </si>
  <si>
    <t>C. Bed</t>
  </si>
  <si>
    <t>Toilet With M. Bed</t>
  </si>
  <si>
    <t>dado under platform</t>
  </si>
  <si>
    <t>Kitchen 2' Granite Main Counter</t>
  </si>
  <si>
    <t>Store Room</t>
  </si>
  <si>
    <t>Balcony / Utility</t>
  </si>
  <si>
    <t>N.A</t>
  </si>
  <si>
    <t>External Plaster  - 15 mm</t>
  </si>
  <si>
    <t>External Grade Paint</t>
  </si>
  <si>
    <t>Smoke Check Lobby</t>
  </si>
  <si>
    <t>Plastic Paint</t>
  </si>
  <si>
    <t>Ventilation Shaft</t>
  </si>
  <si>
    <t>External - 15mm thick</t>
  </si>
  <si>
    <t>Non Electrical Duct</t>
  </si>
  <si>
    <t>IPS Flooring</t>
  </si>
  <si>
    <t>R.Ft</t>
  </si>
  <si>
    <t>Electrical Duct</t>
  </si>
  <si>
    <t>2 Hrs. Fire Rated Flooring</t>
  </si>
  <si>
    <t>Fire Duct</t>
  </si>
  <si>
    <t>Refuge Room</t>
  </si>
  <si>
    <t>Int. Cement Plaster</t>
  </si>
  <si>
    <t>Civil Works</t>
  </si>
  <si>
    <t xml:space="preserve">Concrete </t>
  </si>
  <si>
    <t>Plum concrete</t>
  </si>
  <si>
    <t>M20 - PCC</t>
  </si>
  <si>
    <t>M15 - PCC</t>
  </si>
  <si>
    <t>M20</t>
  </si>
  <si>
    <t xml:space="preserve">External Plaster </t>
  </si>
  <si>
    <t>Waterproofing - Base Coat</t>
  </si>
  <si>
    <t>Waterproofing - Brick Filliing</t>
  </si>
  <si>
    <t>Terrace Waterproofing - OHT</t>
  </si>
  <si>
    <t xml:space="preserve">Terrace Waterproofing </t>
  </si>
  <si>
    <t xml:space="preserve">Basement Waterproofing </t>
  </si>
  <si>
    <t>Service Slab / Chajjas</t>
  </si>
  <si>
    <t>Refuge Floor</t>
  </si>
  <si>
    <t>HDPE Membrane for Raft</t>
  </si>
  <si>
    <t>4mm Thk Textured Paint</t>
  </si>
  <si>
    <t>External Duct Painting</t>
  </si>
  <si>
    <t>Antifungal Paint</t>
  </si>
  <si>
    <t>Back Coat Plaster</t>
  </si>
  <si>
    <t>Main door 1000x2100</t>
  </si>
  <si>
    <t>Block Works -150mm thick</t>
  </si>
  <si>
    <t>Bed room door 900x2100</t>
  </si>
  <si>
    <t>Toilet door 750x2100</t>
  </si>
  <si>
    <t>Sub structure works</t>
  </si>
  <si>
    <t>Windows 1500x1200</t>
  </si>
  <si>
    <t>Excavation Works</t>
  </si>
  <si>
    <t>Excavation in Soft Soil</t>
  </si>
  <si>
    <t>Window 1200 x 1200</t>
  </si>
  <si>
    <t>Excavation in Hard Rock</t>
  </si>
  <si>
    <t>Breaking of Pile</t>
  </si>
  <si>
    <t>Ventilator 600x900</t>
  </si>
  <si>
    <t>Fabrication work for Pilecap beam</t>
  </si>
  <si>
    <t>Within the Plot</t>
  </si>
  <si>
    <t>Outside the Plot</t>
  </si>
  <si>
    <t>Anti Termite Treatment</t>
  </si>
  <si>
    <t>DOORS</t>
  </si>
  <si>
    <t>Room / Area</t>
  </si>
  <si>
    <t>Type</t>
  </si>
  <si>
    <t>L in m</t>
  </si>
  <si>
    <t>H in m</t>
  </si>
  <si>
    <t>Office Doors</t>
  </si>
  <si>
    <t xml:space="preserve">Main Door </t>
  </si>
  <si>
    <t>Panty Door</t>
  </si>
  <si>
    <t>Total Doors</t>
  </si>
  <si>
    <t>Windows for Flats</t>
  </si>
  <si>
    <t>Railing Qty</t>
  </si>
  <si>
    <t>Railing Rate</t>
  </si>
  <si>
    <t>Railing Amount</t>
  </si>
  <si>
    <t>Filter</t>
  </si>
  <si>
    <t>Living Room Flat 1,2,5,6,9,10</t>
  </si>
  <si>
    <t>Living Room Flat 3,4,7,8</t>
  </si>
  <si>
    <t>Bedroom</t>
  </si>
  <si>
    <t>M. Bedroom  Flat 3,4,7,8</t>
  </si>
  <si>
    <t>W5</t>
  </si>
  <si>
    <t>Balcony 1,2,5,6,9,10</t>
  </si>
  <si>
    <t>W6</t>
  </si>
  <si>
    <t>Balcony 3,4,7,8</t>
  </si>
  <si>
    <t>Utiliy</t>
  </si>
  <si>
    <t>Study room</t>
  </si>
  <si>
    <t>Lobby Window</t>
  </si>
  <si>
    <t>WINDOWS</t>
  </si>
  <si>
    <t>Door &amp; Window Schedule</t>
  </si>
  <si>
    <t>Length</t>
  </si>
  <si>
    <t xml:space="preserve">Staircase, Living, Multipurpose, Office Door </t>
  </si>
  <si>
    <t>Bedroom, Office Pantry</t>
  </si>
  <si>
    <t>Toilet, Office Toilet</t>
  </si>
  <si>
    <t>Kitchen, Study</t>
  </si>
  <si>
    <t>BR/UR</t>
  </si>
  <si>
    <t>Balcony Railing/Utility Railing</t>
  </si>
  <si>
    <t>Offices</t>
  </si>
  <si>
    <t>Shuttering Quantities</t>
  </si>
  <si>
    <t>Aluminium Shuttering</t>
  </si>
  <si>
    <t>Columns - Basement Floor</t>
  </si>
  <si>
    <t>Column No.</t>
  </si>
  <si>
    <t>L</t>
  </si>
  <si>
    <t>W</t>
  </si>
  <si>
    <t>Concrete Qty (Cum)</t>
  </si>
  <si>
    <t>Shuttering Qty (Sqm)</t>
  </si>
  <si>
    <t>Surface Area of Columns</t>
  </si>
  <si>
    <t>C5A, C9A</t>
  </si>
  <si>
    <t>SW51</t>
  </si>
  <si>
    <t>RC2,3,4,15</t>
  </si>
  <si>
    <t>RC5,6,7,8,8A,9,10,11,11X,11Y</t>
  </si>
  <si>
    <t>RC14</t>
  </si>
  <si>
    <t>RC1,12,13,16,17,18,19,20,23,24,25,26,27,28,29,30,31,32, 22,22X</t>
  </si>
  <si>
    <t>SW29</t>
  </si>
  <si>
    <t>SW27</t>
  </si>
  <si>
    <t>SW26</t>
  </si>
  <si>
    <t>SW37</t>
  </si>
  <si>
    <t>SW35</t>
  </si>
  <si>
    <t>SW34,36</t>
  </si>
  <si>
    <t>SW33</t>
  </si>
  <si>
    <t>SW32,38</t>
  </si>
  <si>
    <t>SW31</t>
  </si>
  <si>
    <t>C25</t>
  </si>
  <si>
    <t>SW28</t>
  </si>
  <si>
    <t>C21</t>
  </si>
  <si>
    <t>C20</t>
  </si>
  <si>
    <t>C14,15,SW32A,SW37A</t>
  </si>
  <si>
    <t>C11</t>
  </si>
  <si>
    <t>C8,13,16</t>
  </si>
  <si>
    <t>SW25,26</t>
  </si>
  <si>
    <t>C7,12,17,18,23,24</t>
  </si>
  <si>
    <t>SW21X,24X</t>
  </si>
  <si>
    <t>LW1A,LW4A</t>
  </si>
  <si>
    <t>SW15,18,21,22,23,24</t>
  </si>
  <si>
    <t>SW13,20,C4,5</t>
  </si>
  <si>
    <t>SW12</t>
  </si>
  <si>
    <t>SW11</t>
  </si>
  <si>
    <t>SW6,7</t>
  </si>
  <si>
    <t>LW2B,LW3B</t>
  </si>
  <si>
    <t>SW4,9,10</t>
  </si>
  <si>
    <t>SW3B,9B,C9,C10</t>
  </si>
  <si>
    <t>SW3A</t>
  </si>
  <si>
    <t>SW16,17</t>
  </si>
  <si>
    <t>LW1B,SW30A,SW39,SW40</t>
  </si>
  <si>
    <t>SW2,SW30,SW41</t>
  </si>
  <si>
    <t>SW1</t>
  </si>
  <si>
    <t>LW1A,LW2A,LW3A,LW4A</t>
  </si>
  <si>
    <t>LW9,LW10</t>
  </si>
  <si>
    <t>LW5,6,7,8</t>
  </si>
  <si>
    <t>LW1,2,3,4</t>
  </si>
  <si>
    <t>Columns - Ground Floor</t>
  </si>
  <si>
    <t xml:space="preserve">Conventional </t>
  </si>
  <si>
    <t>Aluminium</t>
  </si>
  <si>
    <t>Columns - 1st Podium</t>
  </si>
  <si>
    <t>Columns - 2nd, 3rd and 4th Podium</t>
  </si>
  <si>
    <t>Columns - 5th Podium</t>
  </si>
  <si>
    <t>Columns - 6th to 34th Floor</t>
  </si>
  <si>
    <t>Footings / RW / Tanks</t>
  </si>
  <si>
    <t>Depth</t>
  </si>
  <si>
    <t>Bldg Raft</t>
  </si>
  <si>
    <t>Podium Raft</t>
  </si>
  <si>
    <t>Lift Pit Shuttering</t>
  </si>
  <si>
    <t>Water Tank Pardi</t>
  </si>
  <si>
    <t>STP Pardi</t>
  </si>
  <si>
    <t>Pardi Below Ramp</t>
  </si>
  <si>
    <t>Basement Grade Slab</t>
  </si>
  <si>
    <t>Ground Floor Slab</t>
  </si>
  <si>
    <t>Thickness</t>
  </si>
  <si>
    <t>Flat Slab</t>
  </si>
  <si>
    <t>Drop Panels</t>
  </si>
  <si>
    <t>S7</t>
  </si>
  <si>
    <t>S8</t>
  </si>
  <si>
    <t>S2</t>
  </si>
  <si>
    <t>ST,ST1</t>
  </si>
  <si>
    <t>S1,3,4,5,6</t>
  </si>
  <si>
    <t>Ground Floor Beam</t>
  </si>
  <si>
    <t>300 mm Beams</t>
  </si>
  <si>
    <t>350 mm Beams</t>
  </si>
  <si>
    <t>230 mm Beams</t>
  </si>
  <si>
    <t>150 mm Beams</t>
  </si>
  <si>
    <t>1st to 6th Podium Floor Slab</t>
  </si>
  <si>
    <t>1st to 6th Podium Floor Beam</t>
  </si>
  <si>
    <t>Typical Floor Slab (7th to 34th Floor + Terrace Floor)</t>
  </si>
  <si>
    <t>S1,3,4,5,6,7</t>
  </si>
  <si>
    <t>Above Terrace</t>
  </si>
  <si>
    <t>Over Head Tank Top and Bottom Slab</t>
  </si>
  <si>
    <t>Tank Pardi</t>
  </si>
  <si>
    <t>Lifts Pardi</t>
  </si>
  <si>
    <t>LMR Slab</t>
  </si>
  <si>
    <t>LMR Pardi</t>
  </si>
  <si>
    <t>Pool Pardi</t>
  </si>
  <si>
    <t>Parapet Wall @ Terrace</t>
  </si>
  <si>
    <t>Parapet Wall @ Podiums, Refugee</t>
  </si>
  <si>
    <t>No.s</t>
  </si>
  <si>
    <t>Total Depth</t>
  </si>
  <si>
    <t>Excavation  - UG Tank Rock</t>
  </si>
  <si>
    <t>Excavation  - Lift Pit Rock</t>
  </si>
  <si>
    <t>Bill Of Quantities - Shore Piling Works</t>
  </si>
  <si>
    <t>Shore Pile Details</t>
  </si>
  <si>
    <t>Dia of Pile</t>
  </si>
  <si>
    <t>Depth of pile</t>
  </si>
  <si>
    <t>Nos of Pile</t>
  </si>
  <si>
    <t>Casting Additonal Shore Piling RCC Piles</t>
  </si>
  <si>
    <t>Mobilization of Rigs</t>
  </si>
  <si>
    <t>Drilling of 600mm dia pile</t>
  </si>
  <si>
    <t>M30 Concrete</t>
  </si>
  <si>
    <t>Concrete M30 Pile</t>
  </si>
  <si>
    <t>Dia of Pile (Mtr)</t>
  </si>
  <si>
    <t>Depth of Pile</t>
  </si>
  <si>
    <t>Nos. of Pile</t>
  </si>
  <si>
    <t>Remark</t>
  </si>
  <si>
    <t>Concrete M30 Capping</t>
  </si>
  <si>
    <t>Concrete M15 PCC Capping</t>
  </si>
  <si>
    <t xml:space="preserve">3mm MS Liner for Shore Piling </t>
  </si>
  <si>
    <t>Capping Beam Shuttering</t>
  </si>
  <si>
    <t>MS Permanent Liner</t>
  </si>
  <si>
    <t>Depth (Rock top level)</t>
  </si>
  <si>
    <t>Drilling Work</t>
  </si>
  <si>
    <t xml:space="preserve">Depth </t>
  </si>
  <si>
    <t>Pile Breaking</t>
  </si>
  <si>
    <t xml:space="preserve"> Pile capping beam</t>
  </si>
  <si>
    <t xml:space="preserve">Width </t>
  </si>
  <si>
    <t>Shuttering</t>
  </si>
  <si>
    <t>PILE STEEL DETAILS</t>
  </si>
  <si>
    <t>No. of Plies</t>
  </si>
  <si>
    <t>Bar Details</t>
  </si>
  <si>
    <t>Shape of bar</t>
  </si>
  <si>
    <t>Dia of Bar</t>
  </si>
  <si>
    <t>Spacing (Mtr C/C)</t>
  </si>
  <si>
    <t>Nos of Bar</t>
  </si>
  <si>
    <t>Length of One Bar (Mtr)</t>
  </si>
  <si>
    <t>Vertical Main Bar</t>
  </si>
  <si>
    <t>Master Link</t>
  </si>
  <si>
    <t>Spiral Ring</t>
  </si>
  <si>
    <t>Total R.M Length</t>
  </si>
  <si>
    <t>Total Weight in Ton</t>
  </si>
  <si>
    <t>Gross Weight in Ton</t>
  </si>
  <si>
    <t>Trimix Flooring</t>
  </si>
  <si>
    <t>Floors</t>
  </si>
  <si>
    <t>Flooring Area</t>
  </si>
  <si>
    <t>1st to 3rd Podium</t>
  </si>
  <si>
    <t>5th and 6th Podium</t>
  </si>
  <si>
    <t>BLOCKWORK</t>
  </si>
  <si>
    <t>Blockwork</t>
  </si>
  <si>
    <t>Pline Area</t>
  </si>
  <si>
    <t>Ht</t>
  </si>
  <si>
    <t>Volume</t>
  </si>
  <si>
    <t xml:space="preserve">150 mm Thk </t>
  </si>
  <si>
    <t>Duct Plaster/Duct Paint</t>
  </si>
  <si>
    <t>Duct Area</t>
  </si>
  <si>
    <t>External Paint</t>
  </si>
  <si>
    <t>Ext. Paint (typ)</t>
  </si>
  <si>
    <t xml:space="preserve">Add 10% </t>
  </si>
  <si>
    <t>Podiums and Terrace Parapet Wall</t>
  </si>
  <si>
    <t>NTA</t>
  </si>
  <si>
    <t xml:space="preserve">MEP Cost Summary for Project AVS Rudraksh Tower as per DBOT </t>
  </si>
  <si>
    <t>SR NO</t>
  </si>
  <si>
    <t xml:space="preserve">DESCRIPTION </t>
  </si>
  <si>
    <t xml:space="preserve">TOTAL AMOUNT </t>
  </si>
  <si>
    <t xml:space="preserve">PER SQ FT RATE </t>
  </si>
  <si>
    <t>MEP TOWER</t>
  </si>
  <si>
    <t>Total Flats</t>
  </si>
  <si>
    <t>Intercom</t>
  </si>
  <si>
    <t>Elec</t>
  </si>
  <si>
    <t>FF</t>
  </si>
  <si>
    <t>PHE</t>
  </si>
  <si>
    <t>HVAC</t>
  </si>
  <si>
    <t>infra</t>
  </si>
  <si>
    <t>DG</t>
  </si>
  <si>
    <t>landsca</t>
  </si>
  <si>
    <t>Ext</t>
  </si>
  <si>
    <t>SS</t>
  </si>
  <si>
    <t>MEP INFRA</t>
  </si>
  <si>
    <t>STP (Equipments only)</t>
  </si>
  <si>
    <t>Electrical budget for AVS Rudraksh Tower</t>
  </si>
  <si>
    <t>Sr.no</t>
  </si>
  <si>
    <t>Total for Internal electrification for flats &amp; Offices</t>
  </si>
  <si>
    <t>Total for Mains wiring &amp; common area electrification works</t>
  </si>
  <si>
    <t>Total for Common area works</t>
  </si>
  <si>
    <t>Lightining Arrestor</t>
  </si>
  <si>
    <t>Light fitting supply</t>
  </si>
  <si>
    <t>Parking &amp; Common area light</t>
  </si>
  <si>
    <t>Landscape light</t>
  </si>
  <si>
    <t>Substation &amp; panels</t>
  </si>
  <si>
    <t>Common area &amp; utility panels</t>
  </si>
  <si>
    <t>External Electrical works</t>
  </si>
  <si>
    <t>Internal Electrification</t>
  </si>
  <si>
    <t>Amount/Flat</t>
  </si>
  <si>
    <t>1 BHK</t>
  </si>
  <si>
    <t>2 BHK</t>
  </si>
  <si>
    <t>3 BHK</t>
  </si>
  <si>
    <t>Total offices</t>
  </si>
  <si>
    <t>Amount /Office</t>
  </si>
  <si>
    <t xml:space="preserve">Office </t>
  </si>
  <si>
    <t>Location</t>
  </si>
  <si>
    <t xml:space="preserve">Lights </t>
  </si>
  <si>
    <t>Supply Rate</t>
  </si>
  <si>
    <t>Supply Amt.</t>
  </si>
  <si>
    <t>Inst. Rate</t>
  </si>
  <si>
    <t>Inst amt.</t>
  </si>
  <si>
    <t>Shaft</t>
  </si>
  <si>
    <t>Lift bulkhead</t>
  </si>
  <si>
    <t xml:space="preserve">Total </t>
  </si>
  <si>
    <t>Staicase</t>
  </si>
  <si>
    <t>Parking</t>
  </si>
  <si>
    <t>Panels</t>
  </si>
  <si>
    <t>Lift</t>
  </si>
  <si>
    <t>Common area</t>
  </si>
  <si>
    <t>External</t>
  </si>
  <si>
    <t>Fire</t>
  </si>
  <si>
    <t>Utilities</t>
  </si>
  <si>
    <t>Car charging panel</t>
  </si>
  <si>
    <t>DB</t>
  </si>
  <si>
    <t>Cable &amp; trays</t>
  </si>
  <si>
    <t>Bus Duct</t>
  </si>
  <si>
    <t>Installation</t>
  </si>
  <si>
    <r>
      <t>Sandwich</t>
    </r>
    <r>
      <rPr>
        <b/>
        <sz val="11"/>
        <rFont val="Tahoma"/>
        <family val="2"/>
      </rPr>
      <t xml:space="preserve"> Plug-in</t>
    </r>
    <r>
      <rPr>
        <sz val="11"/>
        <rFont val="Tahoma"/>
        <family val="2"/>
      </rPr>
      <t xml:space="preserve"> busbar trunking with </t>
    </r>
    <r>
      <rPr>
        <b/>
        <sz val="11"/>
        <rFont val="Tahoma"/>
        <family val="2"/>
      </rPr>
      <t>Aluminium</t>
    </r>
    <r>
      <rPr>
        <sz val="11"/>
        <rFont val="Tahoma"/>
        <family val="2"/>
      </rPr>
      <t xml:space="preserve"> </t>
    </r>
    <r>
      <rPr>
        <b/>
        <sz val="11"/>
        <rFont val="Tahoma"/>
        <family val="2"/>
      </rPr>
      <t>conductors</t>
    </r>
    <r>
      <rPr>
        <sz val="11"/>
        <rFont val="Tahoma"/>
        <family val="2"/>
      </rPr>
      <t xml:space="preserve">, epoxy insulation,epoxy painted sheet housing,System-415V, 3Phase, 4Wire with </t>
    </r>
    <r>
      <rPr>
        <b/>
        <sz val="11"/>
        <rFont val="Tahoma"/>
        <family val="2"/>
      </rPr>
      <t>100%</t>
    </r>
    <r>
      <rPr>
        <sz val="11"/>
        <rFont val="Tahoma"/>
        <family val="2"/>
      </rPr>
      <t xml:space="preserve"> Neutral,Degree of Protection </t>
    </r>
    <r>
      <rPr>
        <b/>
        <sz val="11"/>
        <rFont val="Tahoma"/>
        <family val="2"/>
      </rPr>
      <t>IP54, Rating: 2500A/2000A/1600A / 1000A / 800A /630A /400A</t>
    </r>
  </si>
  <si>
    <t>Straight Run - 2000A</t>
  </si>
  <si>
    <t>Mtr</t>
  </si>
  <si>
    <t>Terminal Flange (supplement)</t>
  </si>
  <si>
    <t>Bend (supplement)</t>
  </si>
  <si>
    <t>Reducer - 2000A ~ 1600A (supplement)</t>
  </si>
  <si>
    <t>Straight Run - 1250A</t>
  </si>
  <si>
    <t>Reducer - 1600A ~ 1000A (supplement)</t>
  </si>
  <si>
    <t>Straight Run - 1000A</t>
  </si>
  <si>
    <t>Reducer - 1000A ~ 800A (supplement)</t>
  </si>
  <si>
    <t>Straight Run -800A</t>
  </si>
  <si>
    <t>End Cover - 800A</t>
  </si>
  <si>
    <t>End Cover - 630A</t>
  </si>
  <si>
    <t>R.O.</t>
  </si>
  <si>
    <t>Plug-in Holes</t>
  </si>
  <si>
    <t>Vertical Spring Hangers</t>
  </si>
  <si>
    <t>Set</t>
  </si>
  <si>
    <t>Expansion Joint</t>
  </si>
  <si>
    <t>Copper flexible with bimetal -2000A</t>
  </si>
  <si>
    <t>Aluminum Shorting Link - 2000A</t>
  </si>
  <si>
    <t>Channel Support</t>
  </si>
  <si>
    <t>GI Earthing strip 50*6</t>
  </si>
  <si>
    <t xml:space="preserve">Supply, Installation, testing and commissioning of Tap Off Unit with MCCBs and Rotary Handle :- </t>
  </si>
  <si>
    <t>125A FP 25KA Thermal Magnetic Release with overload, short  circuit including  under  voltage  release</t>
  </si>
  <si>
    <t>Supply, Installation, testing and commissioning of End Feed Unit With 415/500V, Motorised, Fully Drawout type (EDO),  Four Pole, Air  Circuit  Breaker  with  microprocessor  based  overload,  short  circuit  &amp;
earth  Fault  trip  including  under  voltage  release  and  lockable  trip  push button in SHEET STEEL ENCLOSURE. ACB should have Icw=Ics =  50 KA for 1 sec. Indicating lamps with 2A protection MCBs to indicate OPEN, CLOSE, TRIP for ACB. Push button to CLOSE the ACB</t>
  </si>
  <si>
    <t>2000A (50KA)</t>
  </si>
  <si>
    <t>C1</t>
  </si>
  <si>
    <t>Mains wiring  from Tap Off to Meter Panel with clamps, supports etc complete as specifications and instructions.</t>
  </si>
  <si>
    <t>C1.1</t>
  </si>
  <si>
    <t>4C x 16 2XFY</t>
  </si>
  <si>
    <t>C1.2</t>
  </si>
  <si>
    <t>4C x 70 A2XFY</t>
  </si>
  <si>
    <t>Supplying and making end terminal joints to the following  PVC insulated armoured/unarmoured overall sheathed copper/aluminium conductor cables using nickel plated double compression brass cable glands</t>
  </si>
  <si>
    <t>4C x 50 A2XFY</t>
  </si>
  <si>
    <t xml:space="preserve">Supply, Installation, testing and commissioning of SFU wit enclosure:- </t>
  </si>
  <si>
    <t>100A FP  Switch Fuse Unit with Enclosure (Supply Company Scope)</t>
  </si>
  <si>
    <t>TOTAL AMOUNT</t>
  </si>
  <si>
    <t>TOTAL AMOUNT NTA</t>
  </si>
  <si>
    <t>Add 10%</t>
  </si>
  <si>
    <t xml:space="preserve">Substation </t>
  </si>
  <si>
    <t xml:space="preserve">Transformer </t>
  </si>
  <si>
    <t>RMU</t>
  </si>
  <si>
    <t>VCB</t>
  </si>
  <si>
    <t xml:space="preserve">PLUMBING SUMMARY </t>
  </si>
  <si>
    <t>DESCRIPTION</t>
  </si>
  <si>
    <t>Client supply</t>
  </si>
  <si>
    <t>STP Equipments</t>
  </si>
  <si>
    <t xml:space="preserve">TOTAL </t>
  </si>
  <si>
    <t xml:space="preserve">Total Toilets </t>
  </si>
  <si>
    <t>Total Toilets in office</t>
  </si>
  <si>
    <t xml:space="preserve">Total Kitchens </t>
  </si>
  <si>
    <t>Total Pantry</t>
  </si>
  <si>
    <t>CP &amp; sanitory</t>
  </si>
  <si>
    <t>CP &amp; sanitory for Office</t>
  </si>
  <si>
    <t>Kitchen Sink &amp; Tap</t>
  </si>
  <si>
    <t>Kitchen Sink &amp; Tap for office</t>
  </si>
  <si>
    <t>Total for CP &amp; Sanitory &amp; Kitchen sink</t>
  </si>
  <si>
    <t xml:space="preserve">NTA Total for CP &amp; Sanitory </t>
  </si>
  <si>
    <t>FIRE FIGHTING SUMMARY</t>
  </si>
  <si>
    <t>Date : 25.01.2024</t>
  </si>
  <si>
    <t>A.</t>
  </si>
  <si>
    <t>B.</t>
  </si>
  <si>
    <t>EQUIPMENTS  AND PUMP</t>
  </si>
  <si>
    <t>C.</t>
  </si>
  <si>
    <t>D.</t>
  </si>
  <si>
    <t>External Area</t>
  </si>
  <si>
    <t>E.</t>
  </si>
  <si>
    <t xml:space="preserve">FIRE EXTINGUSHERS </t>
  </si>
  <si>
    <t>FAPA Tower</t>
  </si>
  <si>
    <t>FAPA NTA</t>
  </si>
  <si>
    <t>GRAND TOTAL</t>
  </si>
  <si>
    <t>Lift Budget for AVS Rudraksh Tower &amp; Elevator details</t>
  </si>
  <si>
    <t>Elevator Matrix</t>
  </si>
  <si>
    <t>Elevator details</t>
  </si>
  <si>
    <t>Door opening (Center) mm</t>
  </si>
  <si>
    <t>Landings (no)</t>
  </si>
  <si>
    <t>Opening</t>
  </si>
  <si>
    <t>Recommended Speed</t>
  </si>
  <si>
    <t>Rate/landing</t>
  </si>
  <si>
    <t>Lift 1</t>
  </si>
  <si>
    <t>Lift 2</t>
  </si>
  <si>
    <t>Lift 3</t>
  </si>
  <si>
    <t>Lift 4</t>
  </si>
  <si>
    <t>Lift 5</t>
  </si>
  <si>
    <t>Lift 6</t>
  </si>
  <si>
    <t>Fire 01</t>
  </si>
  <si>
    <t>Fire 02</t>
  </si>
  <si>
    <t>Fire 03</t>
  </si>
  <si>
    <t>Fire 04</t>
  </si>
  <si>
    <t>Meters</t>
  </si>
  <si>
    <t>Lift 01</t>
  </si>
  <si>
    <t>3110w x1930d</t>
  </si>
  <si>
    <t>1 side</t>
  </si>
  <si>
    <t>3m/s +</t>
  </si>
  <si>
    <t>Lift 02</t>
  </si>
  <si>
    <t>3280w x2250d</t>
  </si>
  <si>
    <t>Lift 03</t>
  </si>
  <si>
    <t>3360w x2130d</t>
  </si>
  <si>
    <t>Lift 04</t>
  </si>
  <si>
    <t>2070w x1960d</t>
  </si>
  <si>
    <t>Lift 05</t>
  </si>
  <si>
    <t>Lift 06</t>
  </si>
  <si>
    <t>3280w x2130d</t>
  </si>
  <si>
    <t>Fire Lift-01</t>
  </si>
  <si>
    <t>Fire Lift-02</t>
  </si>
  <si>
    <t>Refuge 28</t>
  </si>
  <si>
    <t>2070w x1990d</t>
  </si>
  <si>
    <t>Fire Lift-03</t>
  </si>
  <si>
    <t>Fire Lift-04</t>
  </si>
  <si>
    <t>Firemans Evacuation Lift</t>
  </si>
  <si>
    <t>2000w x1980d</t>
  </si>
  <si>
    <t>Refuge 21</t>
  </si>
  <si>
    <t>Elevator Finishing Details</t>
  </si>
  <si>
    <t>Sides</t>
  </si>
  <si>
    <t>Finish</t>
  </si>
  <si>
    <t>SS Hairline</t>
  </si>
  <si>
    <t>Rear</t>
  </si>
  <si>
    <t>Mirror finish</t>
  </si>
  <si>
    <t>Left</t>
  </si>
  <si>
    <t>Refuge 14</t>
  </si>
  <si>
    <t>Right</t>
  </si>
  <si>
    <t>Artificial Granite</t>
  </si>
  <si>
    <t>Ceiling</t>
  </si>
  <si>
    <t>Dash type Array (in circular)</t>
  </si>
  <si>
    <t>Dash array</t>
  </si>
  <si>
    <t>Button Panel</t>
  </si>
  <si>
    <t>Black SS with black glass display</t>
  </si>
  <si>
    <t>Refuge 7th</t>
  </si>
  <si>
    <t>CAR STACK</t>
  </si>
  <si>
    <t>Podium 6</t>
  </si>
  <si>
    <t xml:space="preserve">Floor </t>
  </si>
  <si>
    <t xml:space="preserve">Qty </t>
  </si>
  <si>
    <t>per car</t>
  </si>
  <si>
    <t>Podium 5</t>
  </si>
  <si>
    <t>Podium 4</t>
  </si>
  <si>
    <t>Podium 3</t>
  </si>
  <si>
    <t>Podium 2</t>
  </si>
  <si>
    <t xml:space="preserve">Total   </t>
  </si>
  <si>
    <t>Podium 1</t>
  </si>
  <si>
    <t>Ground</t>
  </si>
  <si>
    <t>Basement floor</t>
  </si>
  <si>
    <t>Landings</t>
  </si>
  <si>
    <t>Total (M)</t>
  </si>
  <si>
    <t>Escalation @ 3%</t>
  </si>
  <si>
    <t>Contingency @ 4%</t>
  </si>
  <si>
    <t>As per EC</t>
  </si>
  <si>
    <t>Shuttering and Labour</t>
  </si>
  <si>
    <t>Total Concrete</t>
  </si>
  <si>
    <t>Total Steel</t>
  </si>
  <si>
    <t xml:space="preserve">Shuttering </t>
  </si>
  <si>
    <t>SqM</t>
  </si>
  <si>
    <t>AVS Mulund Cost upto Basement Slab</t>
  </si>
  <si>
    <t>Up to Basement</t>
  </si>
  <si>
    <t xml:space="preserve">Beam </t>
  </si>
  <si>
    <t>Summary Cost Estimate for Project - AVS Mulund as per DBOT (Office)</t>
  </si>
  <si>
    <t>Summary Cost Estimate for Project - AVS Mulund as per DBOT (Flats)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</si>
</sst>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1" formatCode="_ * #,##0_ ;_ * \-#,##0_ ;_ * &quot;-&quot;_ ;_ @_ "/>
    <numFmt numFmtId="44" formatCode="_ &quot;₹&quot;\ * #,##0.00_ ;_ &quot;₹&quot;\ * \-#,##0.00_ ;_ &quot;₹&quot;\ * &quot;-&quot;??_ ;_ @_ "/>
    <numFmt numFmtId="43" formatCode="_ * #,##0.00_ ;_ * \-#,##0.00_ ;_ * &quot;-&quot;??_ ;_ @_ "/>
    <numFmt numFmtId="164" formatCode="_(* #,##0.00_);_(* \(#,##0.00\);_(* &quot;-&quot;??_);_(@_)"/>
    <numFmt numFmtId="165" formatCode="0.000"/>
    <numFmt numFmtId="166" formatCode="#,##0\ &quot;Floors&quot;"/>
    <numFmt numFmtId="167" formatCode="0.00\ &quot;MT/cum&quot;"/>
    <numFmt numFmtId="168" formatCode="_(* #,##0_);_(* \(#,##0\);_(* &quot;-&quot;??_);_(@_)"/>
    <numFmt numFmtId="169" formatCode="#\ ##\ ##\ ###"/>
    <numFmt numFmtId="170" formatCode="#,##0.0000"/>
    <numFmt numFmtId="171" formatCode="#,##0\ &quot;mm&quot;"/>
    <numFmt numFmtId="172" formatCode="0.000\ &quot;Kg/m&quot;"/>
    <numFmt numFmtId="173" formatCode="0.0"/>
    <numFmt numFmtId="174" formatCode="\T\ ##0"/>
    <numFmt numFmtId="175" formatCode="_ * #,##0_ ;_ * \-#,##0_ ;_ * &quot;-&quot;??_ ;_ @_ "/>
    <numFmt numFmtId="176" formatCode="#,##0_ ;\-#,##0\ "/>
    <numFmt numFmtId="177" formatCode="#,##0.00_ ;\-#,##0.00\ "/>
    <numFmt numFmtId="178" formatCode="##\ ##\ ###"/>
    <numFmt numFmtId="179" formatCode="_ &quot;Rs.&quot;\ * #,##0.00_ ;_ &quot;Rs.&quot;\ * \-#,##0.00_ ;_ &quot;Rs.&quot;\ * &quot;-&quot;??_ ;_ @_ "/>
    <numFmt numFmtId="180" formatCode="0_)"/>
    <numFmt numFmtId="181" formatCode="_ * #,##0.0_ ;_ * \-#,##0.0_ ;_ * &quot;-&quot;??_ ;_ @_ "/>
    <numFmt numFmtId="182" formatCode="@\ * \:"/>
  </numFmts>
  <fonts count="55">
    <font>
      <sz val="11"/>
      <color theme="1"/>
      <name val="Calibri"/>
      <family val="2"/>
      <scheme val="minor"/>
    </font>
    <font>
      <sz val="11"/>
      <color theme="1"/>
      <name val="Tahoma"/>
      <family val="2"/>
    </font>
    <font>
      <b/>
      <sz val="11"/>
      <color theme="1"/>
      <name val="Tahoma"/>
      <family val="2"/>
    </font>
    <font>
      <sz val="10"/>
      <color theme="1"/>
      <name val="Calibri"/>
      <family val="1"/>
      <scheme val="minor"/>
    </font>
    <font>
      <b/>
      <sz val="11"/>
      <color theme="0"/>
      <name val="Tahoma"/>
      <family val="2"/>
    </font>
    <font>
      <sz val="8"/>
      <name val="Calibri"/>
      <family val="2"/>
      <scheme val="minor"/>
    </font>
    <font>
      <sz val="11"/>
      <color theme="1"/>
      <name val="Calibri"/>
      <family val="2"/>
      <scheme val="minor"/>
    </font>
    <font>
      <sz val="12"/>
      <color theme="1"/>
      <name val="Tahoma"/>
      <family val="2"/>
    </font>
    <font>
      <b/>
      <sz val="12"/>
      <color theme="1"/>
      <name val="Tahoma"/>
      <family val="2"/>
    </font>
    <font>
      <b/>
      <sz val="12"/>
      <color theme="0"/>
      <name val="Tahoma"/>
      <family val="2"/>
    </font>
    <font>
      <b/>
      <sz val="10"/>
      <color theme="1"/>
      <name val="Tahoma"/>
      <family val="2"/>
    </font>
    <font>
      <sz val="10"/>
      <color theme="1"/>
      <name val="Tahoma"/>
      <family val="2"/>
    </font>
    <font>
      <sz val="10"/>
      <color rgb="FFFF0000"/>
      <name val="Tahoma"/>
      <family val="2"/>
    </font>
    <font>
      <sz val="10"/>
      <color theme="4" tint="-0.499984740745262"/>
      <name val="Tahoma"/>
      <family val="2"/>
    </font>
    <font>
      <b/>
      <sz val="10"/>
      <color theme="0"/>
      <name val="Tahoma"/>
      <family val="2"/>
    </font>
    <font>
      <b/>
      <sz val="10"/>
      <color rgb="FFFF0000"/>
      <name val="Tahoma"/>
      <family val="2"/>
    </font>
    <font>
      <b/>
      <sz val="10"/>
      <color theme="4" tint="-0.499984740745262"/>
      <name val="Tahoma"/>
      <family val="2"/>
    </font>
    <font>
      <sz val="10"/>
      <name val="Tahoma"/>
      <family val="2"/>
    </font>
    <font>
      <sz val="10"/>
      <color rgb="FF002060"/>
      <name val="Tahoma"/>
      <family val="2"/>
    </font>
    <font>
      <b/>
      <sz val="10"/>
      <name val="Tahoma"/>
      <family val="2"/>
    </font>
    <font>
      <b/>
      <sz val="11"/>
      <color rgb="FFFFFFFF"/>
      <name val="Tahoma"/>
      <family val="2"/>
    </font>
    <font>
      <b/>
      <sz val="11"/>
      <color rgb="FF000000"/>
      <name val="Tahoma"/>
      <family val="2"/>
    </font>
    <font>
      <sz val="10"/>
      <color theme="1"/>
      <name val="Calibri"/>
      <family val="2"/>
      <scheme val="minor"/>
    </font>
    <font>
      <sz val="11"/>
      <color rgb="FF000000"/>
      <name val="Tahoma"/>
      <family val="2"/>
    </font>
    <font>
      <b/>
      <u/>
      <sz val="11"/>
      <color theme="1"/>
      <name val="Tahoma"/>
      <family val="2"/>
    </font>
    <font>
      <b/>
      <sz val="11"/>
      <name val="Tahoma"/>
      <family val="2"/>
    </font>
    <font>
      <sz val="11"/>
      <color rgb="FFFF0000"/>
      <name val="Tahoma"/>
      <family val="2"/>
    </font>
    <font>
      <b/>
      <sz val="11"/>
      <color rgb="FFFF0000"/>
      <name val="Tahoma"/>
      <family val="2"/>
    </font>
    <font>
      <sz val="11"/>
      <name val="Tahoma"/>
      <family val="2"/>
    </font>
    <font>
      <sz val="11"/>
      <color theme="0"/>
      <name val="Tahoma"/>
      <family val="2"/>
    </font>
    <font>
      <sz val="11"/>
      <color rgb="FF282829"/>
      <name val="Segoe UI"/>
      <family val="2"/>
    </font>
    <font>
      <sz val="9"/>
      <color theme="1"/>
      <name val="Tahoma"/>
      <family val="2"/>
    </font>
    <font>
      <sz val="10"/>
      <color rgb="FF000000"/>
      <name val="Tahoma"/>
      <family val="2"/>
    </font>
    <font>
      <b/>
      <sz val="9"/>
      <name val="Tahoma"/>
      <family val="2"/>
    </font>
    <font>
      <b/>
      <sz val="9"/>
      <color theme="1"/>
      <name val="Tahoma"/>
      <family val="2"/>
    </font>
    <font>
      <b/>
      <u/>
      <sz val="10"/>
      <color theme="1"/>
      <name val="Tahoma"/>
      <family val="2"/>
    </font>
    <font>
      <b/>
      <i/>
      <sz val="10"/>
      <color rgb="FFFF0000"/>
      <name val="Tahoma"/>
      <family val="2"/>
    </font>
    <font>
      <b/>
      <sz val="11"/>
      <color theme="1"/>
      <name val="Calibri"/>
      <family val="2"/>
      <scheme val="minor"/>
    </font>
    <font>
      <sz val="12"/>
      <name val="Calibri"/>
      <family val="2"/>
    </font>
    <font>
      <b/>
      <sz val="12"/>
      <name val="Calibri"/>
      <family val="2"/>
    </font>
    <font>
      <b/>
      <sz val="12"/>
      <color indexed="8"/>
      <name val="Calibri"/>
      <family val="2"/>
    </font>
    <font>
      <b/>
      <sz val="18"/>
      <name val="Calibri"/>
      <family val="2"/>
    </font>
    <font>
      <b/>
      <sz val="11"/>
      <name val="Calibri"/>
      <family val="2"/>
    </font>
    <font>
      <sz val="11"/>
      <name val="Calibri"/>
      <family val="2"/>
    </font>
    <font>
      <sz val="11"/>
      <color theme="1"/>
      <name val="Calibri"/>
      <family val="2"/>
    </font>
    <font>
      <sz val="11"/>
      <color rgb="FF242424"/>
      <name val="Tahoma"/>
      <family val="2"/>
    </font>
    <font>
      <b/>
      <sz val="11"/>
      <color rgb="FF242424"/>
      <name val="Tahoma"/>
      <family val="2"/>
    </font>
    <font>
      <sz val="11"/>
      <color indexed="8"/>
      <name val="Calibri"/>
      <family val="2"/>
    </font>
    <font>
      <sz val="10"/>
      <name val="Helv"/>
      <charset val="204"/>
    </font>
    <font>
      <sz val="11"/>
      <color theme="1"/>
      <name val="Calibri"/>
      <family val="2"/>
      <scheme val="minor"/>
    </font>
    <font>
      <b/>
      <sz val="11"/>
      <color theme="1"/>
      <name val="Tahoma"/>
      <family val="2"/>
    </font>
    <font>
      <sz val="11"/>
      <color theme="1"/>
      <name val="Tahoma"/>
      <family val="2"/>
    </font>
    <font>
      <sz val="12"/>
      <color rgb="FF202124"/>
      <name val="Google Sans"/>
      <charset val="1"/>
    </font>
    <font>
      <sz val="10"/>
      <name val="Arial"/>
      <family val="2"/>
    </font>
    <font>
      <b/>
      <u/>
      <sz val="10"/>
      <color theme="0"/>
      <name val="Tahoma"/>
      <family val="2"/>
    </font>
  </fonts>
  <fills count="33">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rgb="FF002060"/>
        <bgColor indexed="64"/>
      </patternFill>
    </fill>
    <fill>
      <patternFill patternType="solid">
        <fgColor theme="8" tint="0.59999389629810485"/>
        <bgColor indexed="64"/>
      </patternFill>
    </fill>
    <fill>
      <patternFill patternType="solid">
        <fgColor theme="8" tint="-0.49998474074526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7" tint="-0.249977111117893"/>
        <bgColor indexed="64"/>
      </patternFill>
    </fill>
    <fill>
      <patternFill patternType="solid">
        <fgColor theme="9" tint="0.59999389629810485"/>
        <bgColor indexed="64"/>
      </patternFill>
    </fill>
    <fill>
      <patternFill patternType="solid">
        <fgColor theme="9" tint="0.59999389629810485"/>
        <bgColor rgb="FFBFBFBF"/>
      </patternFill>
    </fill>
    <fill>
      <patternFill patternType="solid">
        <fgColor theme="7" tint="0.39997558519241921"/>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79998168889431442"/>
        <bgColor rgb="FF00FFFF"/>
      </patternFill>
    </fill>
    <fill>
      <patternFill patternType="solid">
        <fgColor theme="3" tint="0.79998168889431442"/>
        <bgColor indexed="64"/>
      </patternFill>
    </fill>
    <fill>
      <patternFill patternType="solid">
        <fgColor theme="6" tint="0.79998168889431442"/>
        <bgColor indexed="64"/>
      </patternFill>
    </fill>
    <fill>
      <patternFill patternType="solid">
        <fgColor rgb="FFFFE599"/>
        <bgColor indexed="64"/>
      </patternFill>
    </fill>
    <fill>
      <patternFill patternType="solid">
        <fgColor theme="8" tint="0.39997558519241921"/>
        <bgColor indexed="64"/>
      </patternFill>
    </fill>
    <fill>
      <patternFill patternType="solid">
        <fgColor rgb="FF002060"/>
        <bgColor rgb="FFA5A5A5"/>
      </patternFill>
    </fill>
    <fill>
      <patternFill patternType="solid">
        <fgColor rgb="FFC4BD97"/>
        <bgColor rgb="FFC4BD97"/>
      </patternFill>
    </fill>
    <fill>
      <patternFill patternType="solid">
        <fgColor theme="0" tint="-0.14999847407452621"/>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theme="0"/>
        <bgColor indexed="64"/>
      </patternFill>
    </fill>
    <fill>
      <patternFill patternType="solid">
        <fgColor rgb="FFFFFFFF"/>
        <bgColor indexed="64"/>
      </patternFill>
    </fill>
    <fill>
      <patternFill patternType="solid">
        <fgColor theme="0"/>
        <bgColor rgb="FF000000"/>
      </patternFill>
    </fill>
    <fill>
      <patternFill patternType="solid">
        <fgColor theme="4" tint="0.79998168889431442"/>
        <bgColor theme="4" tint="0.79998168889431442"/>
      </patternFill>
    </fill>
    <fill>
      <patternFill patternType="solid">
        <fgColor theme="9" tint="0.79998168889431442"/>
        <bgColor rgb="FFC2D69B"/>
      </patternFill>
    </fill>
    <fill>
      <patternFill patternType="solid">
        <fgColor rgb="FFFFE599"/>
        <bgColor rgb="FF000000"/>
      </patternFill>
    </fill>
  </fills>
  <borders count="1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hair">
        <color rgb="FF000000"/>
      </top>
      <bottom style="hair">
        <color rgb="FF000000"/>
      </bottom>
      <diagonal/>
    </border>
    <border>
      <left/>
      <right style="thin">
        <color indexed="64"/>
      </right>
      <top/>
      <bottom style="thin">
        <color indexed="64"/>
      </bottom>
      <diagonal/>
    </border>
    <border>
      <left style="thin">
        <color rgb="FF000000"/>
      </left>
      <right style="thin">
        <color rgb="FF000000"/>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medium">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hair">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rgb="FF000000"/>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rgb="FF000000"/>
      </right>
      <top style="thin">
        <color indexed="64"/>
      </top>
      <bottom style="thin">
        <color indexed="64"/>
      </bottom>
      <diagonal/>
    </border>
    <border>
      <left style="medium">
        <color rgb="FF000000"/>
      </left>
      <right/>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indexed="64"/>
      </right>
      <top style="medium">
        <color rgb="FF000000"/>
      </top>
      <bottom style="medium">
        <color rgb="FF000000"/>
      </bottom>
      <diagonal/>
    </border>
    <border>
      <left/>
      <right style="thin">
        <color indexed="64"/>
      </right>
      <top style="medium">
        <color rgb="FF000000"/>
      </top>
      <bottom style="medium">
        <color rgb="FF000000"/>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indexed="64"/>
      </right>
      <top/>
      <bottom style="hair">
        <color indexed="64"/>
      </bottom>
      <diagonal/>
    </border>
    <border>
      <left style="thin">
        <color indexed="64"/>
      </left>
      <right style="medium">
        <color rgb="FF000000"/>
      </right>
      <top/>
      <bottom style="hair">
        <color indexed="64"/>
      </bottom>
      <diagonal/>
    </border>
    <border>
      <left style="medium">
        <color rgb="FF000000"/>
      </left>
      <right style="thin">
        <color indexed="64"/>
      </right>
      <top style="hair">
        <color indexed="64"/>
      </top>
      <bottom style="hair">
        <color indexed="64"/>
      </bottom>
      <diagonal/>
    </border>
    <border>
      <left style="thin">
        <color indexed="64"/>
      </left>
      <right style="medium">
        <color rgb="FF000000"/>
      </right>
      <top style="hair">
        <color indexed="64"/>
      </top>
      <bottom style="hair">
        <color indexed="64"/>
      </bottom>
      <diagonal/>
    </border>
    <border>
      <left style="medium">
        <color rgb="FF000000"/>
      </left>
      <right/>
      <top style="medium">
        <color indexed="64"/>
      </top>
      <bottom style="medium">
        <color rgb="FF000000"/>
      </bottom>
      <diagonal/>
    </border>
    <border>
      <left style="thin">
        <color indexed="64"/>
      </left>
      <right style="thin">
        <color indexed="64"/>
      </right>
      <top style="medium">
        <color indexed="64"/>
      </top>
      <bottom style="medium">
        <color rgb="FF000000"/>
      </bottom>
      <diagonal/>
    </border>
    <border>
      <left style="thin">
        <color indexed="64"/>
      </left>
      <right style="medium">
        <color rgb="FF000000"/>
      </right>
      <top style="medium">
        <color indexed="64"/>
      </top>
      <bottom style="medium">
        <color rgb="FF000000"/>
      </bottom>
      <diagonal/>
    </border>
    <border>
      <left style="thin">
        <color indexed="64"/>
      </left>
      <right style="thin">
        <color indexed="64"/>
      </right>
      <top style="medium">
        <color indexed="64"/>
      </top>
      <bottom style="thin">
        <color indexed="64"/>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style="thin">
        <color indexed="64"/>
      </bottom>
      <diagonal/>
    </border>
    <border>
      <left style="thin">
        <color rgb="FF000000"/>
      </left>
      <right style="thin">
        <color rgb="FF000000"/>
      </right>
      <top style="medium">
        <color rgb="FF000000"/>
      </top>
      <bottom style="thin">
        <color rgb="FF000000"/>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style="thin">
        <color indexed="64"/>
      </bottom>
      <diagonal/>
    </border>
    <border>
      <left style="medium">
        <color rgb="FF000000"/>
      </left>
      <right/>
      <top/>
      <bottom style="thin">
        <color indexed="64"/>
      </bottom>
      <diagonal/>
    </border>
    <border>
      <left style="medium">
        <color rgb="FF000000"/>
      </left>
      <right/>
      <top style="thin">
        <color indexed="64"/>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thin">
        <color rgb="FF000000"/>
      </bottom>
      <diagonal/>
    </border>
    <border>
      <left/>
      <right style="medium">
        <color rgb="FF000000"/>
      </right>
      <top style="medium">
        <color rgb="FF000000"/>
      </top>
      <bottom style="thin">
        <color indexed="64"/>
      </bottom>
      <diagonal/>
    </border>
    <border>
      <left style="medium">
        <color rgb="FF000000"/>
      </left>
      <right style="thin">
        <color indexed="64"/>
      </right>
      <top style="medium">
        <color rgb="FF000000"/>
      </top>
      <bottom style="medium">
        <color indexed="64"/>
      </bottom>
      <diagonal/>
    </border>
    <border>
      <left style="thin">
        <color indexed="64"/>
      </left>
      <right style="thin">
        <color indexed="64"/>
      </right>
      <top style="medium">
        <color rgb="FF000000"/>
      </top>
      <bottom style="medium">
        <color indexed="64"/>
      </bottom>
      <diagonal/>
    </border>
    <border>
      <left style="thin">
        <color indexed="64"/>
      </left>
      <right style="medium">
        <color rgb="FF000000"/>
      </right>
      <top style="medium">
        <color rgb="FF000000"/>
      </top>
      <bottom style="medium">
        <color indexed="64"/>
      </bottom>
      <diagonal/>
    </border>
    <border>
      <left style="medium">
        <color rgb="FF000000"/>
      </left>
      <right style="thin">
        <color indexed="64"/>
      </right>
      <top style="medium">
        <color indexed="64"/>
      </top>
      <bottom style="thin">
        <color indexed="64"/>
      </bottom>
      <diagonal/>
    </border>
    <border>
      <left style="thin">
        <color indexed="64"/>
      </left>
      <right style="medium">
        <color rgb="FF000000"/>
      </right>
      <top style="medium">
        <color indexed="64"/>
      </top>
      <bottom/>
      <diagonal/>
    </border>
    <border>
      <left style="medium">
        <color rgb="FF000000"/>
      </left>
      <right style="thin">
        <color indexed="64"/>
      </right>
      <top style="thin">
        <color indexed="64"/>
      </top>
      <bottom style="medium">
        <color indexed="64"/>
      </bottom>
      <diagonal/>
    </border>
    <border>
      <left style="thin">
        <color indexed="64"/>
      </left>
      <right style="medium">
        <color rgb="FF000000"/>
      </right>
      <top/>
      <bottom style="medium">
        <color indexed="64"/>
      </bottom>
      <diagonal/>
    </border>
    <border>
      <left style="medium">
        <color rgb="FF000000"/>
      </left>
      <right style="thin">
        <color indexed="64"/>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indexed="64"/>
      </right>
      <top style="medium">
        <color rgb="FF000000"/>
      </top>
      <bottom style="hair">
        <color indexed="64"/>
      </bottom>
      <diagonal/>
    </border>
    <border>
      <left style="thin">
        <color indexed="64"/>
      </left>
      <right style="thin">
        <color indexed="64"/>
      </right>
      <top style="medium">
        <color rgb="FF000000"/>
      </top>
      <bottom style="hair">
        <color indexed="64"/>
      </bottom>
      <diagonal/>
    </border>
    <border>
      <left style="thin">
        <color indexed="64"/>
      </left>
      <right style="medium">
        <color rgb="FF000000"/>
      </right>
      <top style="medium">
        <color rgb="FF000000"/>
      </top>
      <bottom style="hair">
        <color indexed="64"/>
      </bottom>
      <diagonal/>
    </border>
    <border>
      <left style="medium">
        <color rgb="FF000000"/>
      </left>
      <right style="thin">
        <color indexed="64"/>
      </right>
      <top style="hair">
        <color indexed="64"/>
      </top>
      <bottom style="medium">
        <color rgb="FF000000"/>
      </bottom>
      <diagonal/>
    </border>
    <border>
      <left style="thin">
        <color indexed="64"/>
      </left>
      <right style="thin">
        <color indexed="64"/>
      </right>
      <top style="hair">
        <color indexed="64"/>
      </top>
      <bottom style="medium">
        <color rgb="FF000000"/>
      </bottom>
      <diagonal/>
    </border>
    <border>
      <left style="thin">
        <color indexed="64"/>
      </left>
      <right style="medium">
        <color rgb="FF000000"/>
      </right>
      <top style="hair">
        <color indexed="64"/>
      </top>
      <bottom style="medium">
        <color rgb="FF000000"/>
      </bottom>
      <diagonal/>
    </border>
    <border>
      <left style="medium">
        <color indexed="64"/>
      </left>
      <right style="medium">
        <color rgb="FF000000"/>
      </right>
      <top style="medium">
        <color rgb="FF000000"/>
      </top>
      <bottom/>
      <diagonal/>
    </border>
    <border>
      <left style="thin">
        <color indexed="64"/>
      </left>
      <right/>
      <top style="medium">
        <color rgb="FF000000"/>
      </top>
      <bottom style="medium">
        <color rgb="FF000000"/>
      </bottom>
      <diagonal/>
    </border>
    <border>
      <left/>
      <right style="thin">
        <color rgb="FF000000"/>
      </right>
      <top/>
      <bottom/>
      <diagonal/>
    </border>
    <border>
      <left/>
      <right style="thin">
        <color rgb="FF000000"/>
      </right>
      <top/>
      <bottom style="thin">
        <color rgb="FF000000"/>
      </bottom>
      <diagonal/>
    </border>
    <border>
      <left style="medium">
        <color rgb="FF000000"/>
      </left>
      <right style="thin">
        <color rgb="FF000000"/>
      </right>
      <top/>
      <bottom/>
      <diagonal/>
    </border>
    <border>
      <left/>
      <right style="thin">
        <color rgb="FF000000"/>
      </right>
      <top style="thin">
        <color rgb="FF000000"/>
      </top>
      <bottom style="thin">
        <color rgb="FF000000"/>
      </bottom>
      <diagonal/>
    </border>
    <border>
      <left/>
      <right style="thin">
        <color indexed="64"/>
      </right>
      <top/>
      <bottom style="medium">
        <color rgb="FF000000"/>
      </bottom>
      <diagonal/>
    </border>
    <border>
      <left style="thin">
        <color indexed="64"/>
      </left>
      <right style="thin">
        <color indexed="64"/>
      </right>
      <top/>
      <bottom style="medium">
        <color rgb="FF000000"/>
      </bottom>
      <diagonal/>
    </border>
    <border>
      <left style="thin">
        <color indexed="64"/>
      </left>
      <right style="medium">
        <color rgb="FF000000"/>
      </right>
      <top/>
      <bottom style="medium">
        <color rgb="FF000000"/>
      </bottom>
      <diagonal/>
    </border>
    <border>
      <left style="thin">
        <color rgb="FF000000"/>
      </left>
      <right style="medium">
        <color rgb="FF000000"/>
      </right>
      <top style="medium">
        <color rgb="FF000000"/>
      </top>
      <bottom style="thin">
        <color rgb="FF000000"/>
      </bottom>
      <diagonal/>
    </border>
  </borders>
  <cellStyleXfs count="28">
    <xf numFmtId="0" fontId="0" fillId="0" borderId="0"/>
    <xf numFmtId="0" fontId="3" fillId="0" borderId="0"/>
    <xf numFmtId="43" fontId="6" fillId="0" borderId="0" applyFont="0" applyFill="0" applyBorder="0" applyAlignment="0" applyProtection="0"/>
    <xf numFmtId="0" fontId="3" fillId="0" borderId="0"/>
    <xf numFmtId="164" fontId="6" fillId="0" borderId="0" applyFont="0" applyFill="0" applyBorder="0" applyAlignment="0" applyProtection="0"/>
    <xf numFmtId="0" fontId="6" fillId="0" borderId="0"/>
    <xf numFmtId="0" fontId="3" fillId="0" borderId="0"/>
    <xf numFmtId="43" fontId="22" fillId="0" borderId="0" applyFont="0" applyFill="0" applyBorder="0" applyAlignment="0" applyProtection="0"/>
    <xf numFmtId="164" fontId="6" fillId="0" borderId="0" applyFont="0" applyFill="0" applyBorder="0" applyAlignment="0" applyProtection="0"/>
    <xf numFmtId="0" fontId="22" fillId="0" borderId="0"/>
    <xf numFmtId="43" fontId="22" fillId="0" borderId="0" applyFont="0" applyFill="0" applyBorder="0" applyAlignment="0" applyProtection="0"/>
    <xf numFmtId="9" fontId="3" fillId="0" borderId="0" applyFont="0" applyFill="0" applyBorder="0" applyAlignment="0" applyProtection="0"/>
    <xf numFmtId="0" fontId="3" fillId="0" borderId="0"/>
    <xf numFmtId="0" fontId="22" fillId="0" borderId="0"/>
    <xf numFmtId="0" fontId="3" fillId="0" borderId="0"/>
    <xf numFmtId="0" fontId="3" fillId="0" borderId="0"/>
    <xf numFmtId="43" fontId="47" fillId="0" borderId="0" applyFont="0" applyFill="0" applyBorder="0" applyAlignment="0" applyProtection="0"/>
    <xf numFmtId="0" fontId="48" fillId="0" borderId="0"/>
    <xf numFmtId="0" fontId="49" fillId="0" borderId="0"/>
    <xf numFmtId="43" fontId="53" fillId="0" borderId="0" applyFont="0" applyFill="0" applyBorder="0" applyAlignment="0" applyProtection="0"/>
    <xf numFmtId="0" fontId="48" fillId="0" borderId="0"/>
    <xf numFmtId="43" fontId="53" fillId="0" borderId="0" applyFont="0" applyFill="0" applyBorder="0" applyAlignment="0" applyProtection="0"/>
    <xf numFmtId="43" fontId="53" fillId="0" borderId="0" applyFont="0" applyFill="0" applyBorder="0" applyAlignment="0" applyProtection="0"/>
    <xf numFmtId="0" fontId="3" fillId="0" borderId="0"/>
    <xf numFmtId="0" fontId="6" fillId="0" borderId="0"/>
    <xf numFmtId="43" fontId="6" fillId="0" borderId="0" applyFont="0" applyFill="0" applyBorder="0" applyAlignment="0" applyProtection="0"/>
    <xf numFmtId="43" fontId="3" fillId="0" borderId="0" applyFont="0" applyFill="0" applyBorder="0" applyAlignment="0" applyProtection="0"/>
    <xf numFmtId="9" fontId="6" fillId="0" borderId="0" applyFont="0" applyFill="0" applyBorder="0" applyAlignment="0" applyProtection="0"/>
  </cellStyleXfs>
  <cellXfs count="1207">
    <xf numFmtId="0" fontId="0" fillId="0" borderId="0" xfId="0"/>
    <xf numFmtId="0" fontId="1" fillId="0" borderId="0" xfId="0" applyFont="1" applyAlignment="1">
      <alignment horizontal="center" vertical="center"/>
    </xf>
    <xf numFmtId="2" fontId="1" fillId="0" borderId="0" xfId="0" applyNumberFormat="1" applyFont="1" applyAlignment="1">
      <alignment horizontal="center" vertical="center"/>
    </xf>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center" vertical="center"/>
    </xf>
    <xf numFmtId="2" fontId="1"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2" fontId="2" fillId="0" borderId="1" xfId="0" applyNumberFormat="1" applyFont="1" applyBorder="1" applyAlignment="1">
      <alignment horizontal="center" vertical="center"/>
    </xf>
    <xf numFmtId="165" fontId="1" fillId="0" borderId="1" xfId="0" applyNumberFormat="1" applyFont="1" applyBorder="1" applyAlignment="1">
      <alignment horizontal="center" vertical="center"/>
    </xf>
    <xf numFmtId="0" fontId="1" fillId="0" borderId="1" xfId="1" applyFont="1" applyBorder="1" applyAlignment="1">
      <alignment horizontal="center"/>
    </xf>
    <xf numFmtId="0" fontId="1" fillId="0" borderId="1" xfId="1" applyFont="1" applyBorder="1" applyAlignment="1">
      <alignment horizontal="left"/>
    </xf>
    <xf numFmtId="4" fontId="1" fillId="0" borderId="1" xfId="1" applyNumberFormat="1" applyFont="1" applyBorder="1" applyAlignment="1">
      <alignment horizontal="right"/>
    </xf>
    <xf numFmtId="4" fontId="1" fillId="0" borderId="1" xfId="1" applyNumberFormat="1" applyFont="1" applyBorder="1" applyAlignment="1">
      <alignment horizontal="center"/>
    </xf>
    <xf numFmtId="0" fontId="2" fillId="0" borderId="1" xfId="1" applyFont="1" applyBorder="1" applyAlignment="1">
      <alignment horizontal="center"/>
    </xf>
    <xf numFmtId="0" fontId="2" fillId="0" borderId="1" xfId="1" applyFont="1" applyBorder="1" applyAlignment="1">
      <alignment horizontal="left"/>
    </xf>
    <xf numFmtId="0" fontId="1" fillId="0" borderId="1" xfId="1" applyFont="1" applyBorder="1" applyAlignment="1">
      <alignment horizontal="left" indent="2"/>
    </xf>
    <xf numFmtId="0" fontId="1" fillId="5" borderId="1" xfId="1" applyFont="1" applyFill="1" applyBorder="1" applyAlignment="1">
      <alignment horizontal="center" vertical="center" wrapText="1"/>
    </xf>
    <xf numFmtId="4" fontId="1" fillId="5" borderId="1" xfId="1" applyNumberFormat="1" applyFont="1" applyFill="1" applyBorder="1" applyAlignment="1">
      <alignment horizontal="center" vertical="center" wrapText="1"/>
    </xf>
    <xf numFmtId="0" fontId="1" fillId="0" borderId="0" xfId="0" applyFont="1" applyAlignment="1">
      <alignment horizontal="center" vertical="center" wrapText="1"/>
    </xf>
    <xf numFmtId="166" fontId="1" fillId="0" borderId="0" xfId="0" applyNumberFormat="1" applyFont="1" applyAlignment="1">
      <alignment horizontal="center" vertical="center"/>
    </xf>
    <xf numFmtId="0" fontId="1" fillId="0" borderId="1" xfId="1" applyFont="1" applyBorder="1"/>
    <xf numFmtId="0" fontId="1" fillId="0" borderId="0" xfId="0" applyFont="1"/>
    <xf numFmtId="0" fontId="1" fillId="0" borderId="1" xfId="0" applyFont="1" applyBorder="1"/>
    <xf numFmtId="4" fontId="2" fillId="0" borderId="1" xfId="1" applyNumberFormat="1" applyFont="1" applyBorder="1" applyAlignment="1">
      <alignment horizontal="center"/>
    </xf>
    <xf numFmtId="4" fontId="2" fillId="0" borderId="1" xfId="1" applyNumberFormat="1" applyFont="1" applyBorder="1" applyAlignment="1">
      <alignment horizontal="right"/>
    </xf>
    <xf numFmtId="0" fontId="7" fillId="0" borderId="0" xfId="0" applyFont="1" applyAlignment="1">
      <alignment horizontal="center" vertical="center"/>
    </xf>
    <xf numFmtId="2" fontId="7" fillId="0" borderId="0" xfId="0" applyNumberFormat="1" applyFont="1" applyAlignment="1">
      <alignment horizontal="center" vertical="center"/>
    </xf>
    <xf numFmtId="0" fontId="7" fillId="0" borderId="0" xfId="0" applyFont="1" applyAlignment="1">
      <alignment horizontal="left" vertical="center"/>
    </xf>
    <xf numFmtId="43" fontId="1" fillId="0" borderId="0" xfId="2" applyFont="1" applyAlignment="1">
      <alignment horizontal="center"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8" fillId="0" borderId="1" xfId="0" applyFont="1" applyBorder="1" applyAlignment="1">
      <alignment horizontal="right" vertical="center"/>
    </xf>
    <xf numFmtId="43" fontId="1" fillId="0" borderId="0" xfId="2" applyFont="1"/>
    <xf numFmtId="43" fontId="1" fillId="0" borderId="0" xfId="0" applyNumberFormat="1" applyFont="1"/>
    <xf numFmtId="167" fontId="0" fillId="0" borderId="0" xfId="0" applyNumberFormat="1"/>
    <xf numFmtId="0" fontId="2" fillId="0" borderId="0" xfId="0" applyFont="1" applyAlignment="1">
      <alignment horizontal="right"/>
    </xf>
    <xf numFmtId="0" fontId="8" fillId="7" borderId="1" xfId="0" applyFont="1" applyFill="1" applyBorder="1" applyAlignment="1">
      <alignment horizontal="center" vertical="center"/>
    </xf>
    <xf numFmtId="0" fontId="2" fillId="7" borderId="1" xfId="1" applyFont="1" applyFill="1" applyBorder="1" applyAlignment="1">
      <alignment horizontal="center"/>
    </xf>
    <xf numFmtId="164" fontId="11" fillId="0" borderId="0" xfId="4" applyFont="1" applyAlignment="1">
      <alignment horizontal="right" vertical="center"/>
    </xf>
    <xf numFmtId="164" fontId="12" fillId="0" borderId="0" xfId="4" applyFont="1" applyAlignment="1">
      <alignment horizontal="right" vertical="center"/>
    </xf>
    <xf numFmtId="164" fontId="13" fillId="0" borderId="0" xfId="4" applyFont="1" applyAlignment="1">
      <alignment horizontal="right" vertical="center"/>
    </xf>
    <xf numFmtId="168" fontId="11" fillId="0" borderId="0" xfId="4" applyNumberFormat="1" applyFont="1" applyAlignment="1">
      <alignment horizontal="right" vertical="center"/>
    </xf>
    <xf numFmtId="169" fontId="11" fillId="0" borderId="0" xfId="3" applyNumberFormat="1" applyFont="1" applyAlignment="1">
      <alignment horizontal="right" vertical="center"/>
    </xf>
    <xf numFmtId="0" fontId="11" fillId="0" borderId="0" xfId="3" applyFont="1" applyAlignment="1">
      <alignment horizontal="right" vertical="center"/>
    </xf>
    <xf numFmtId="0" fontId="11" fillId="0" borderId="0" xfId="3" applyFont="1" applyAlignment="1">
      <alignment horizontal="right"/>
    </xf>
    <xf numFmtId="164" fontId="15" fillId="8" borderId="7" xfId="4" applyFont="1" applyFill="1" applyBorder="1" applyAlignment="1">
      <alignment horizontal="center" vertical="center" wrapText="1"/>
    </xf>
    <xf numFmtId="164" fontId="15" fillId="8" borderId="14" xfId="4" applyFont="1" applyFill="1" applyBorder="1" applyAlignment="1">
      <alignment horizontal="center" vertical="center" wrapText="1"/>
    </xf>
    <xf numFmtId="164" fontId="16" fillId="8" borderId="14" xfId="4" applyFont="1" applyFill="1" applyBorder="1" applyAlignment="1">
      <alignment horizontal="center" vertical="center" wrapText="1"/>
    </xf>
    <xf numFmtId="164" fontId="16" fillId="8" borderId="12" xfId="4" applyFont="1" applyFill="1" applyBorder="1" applyAlignment="1">
      <alignment horizontal="center" vertical="center" wrapText="1"/>
    </xf>
    <xf numFmtId="0" fontId="11" fillId="0" borderId="1" xfId="3" applyFont="1" applyBorder="1" applyAlignment="1">
      <alignment horizontal="right" vertical="center" wrapText="1"/>
    </xf>
    <xf numFmtId="164" fontId="17" fillId="0" borderId="1" xfId="4" applyFont="1" applyFill="1" applyBorder="1" applyAlignment="1">
      <alignment horizontal="right" vertical="center" wrapText="1"/>
    </xf>
    <xf numFmtId="164" fontId="12" fillId="0" borderId="4" xfId="4" applyFont="1" applyFill="1" applyBorder="1" applyAlignment="1">
      <alignment horizontal="right" vertical="center"/>
    </xf>
    <xf numFmtId="164" fontId="12" fillId="0" borderId="1" xfId="4" applyFont="1" applyFill="1" applyBorder="1" applyAlignment="1">
      <alignment horizontal="right" vertical="center"/>
    </xf>
    <xf numFmtId="164" fontId="18" fillId="0" borderId="4" xfId="4" applyFont="1" applyFill="1" applyBorder="1" applyAlignment="1">
      <alignment horizontal="right" vertical="center"/>
    </xf>
    <xf numFmtId="164" fontId="13" fillId="0" borderId="4" xfId="4" applyFont="1" applyFill="1" applyBorder="1" applyAlignment="1">
      <alignment horizontal="right" vertical="center"/>
    </xf>
    <xf numFmtId="164" fontId="11" fillId="0" borderId="1" xfId="4" applyFont="1" applyFill="1" applyBorder="1" applyAlignment="1">
      <alignment horizontal="right" vertical="center"/>
    </xf>
    <xf numFmtId="164" fontId="11" fillId="0" borderId="1" xfId="4" applyFont="1" applyFill="1" applyBorder="1" applyAlignment="1">
      <alignment horizontal="right" vertical="center" wrapText="1"/>
    </xf>
    <xf numFmtId="168" fontId="11" fillId="0" borderId="1" xfId="4" applyNumberFormat="1" applyFont="1" applyFill="1" applyBorder="1" applyAlignment="1">
      <alignment horizontal="right" vertical="center"/>
    </xf>
    <xf numFmtId="0" fontId="11" fillId="0" borderId="1" xfId="3" applyFont="1" applyBorder="1" applyAlignment="1">
      <alignment horizontal="right" vertical="center"/>
    </xf>
    <xf numFmtId="164" fontId="12" fillId="0" borderId="1" xfId="4" applyFont="1" applyFill="1" applyBorder="1" applyAlignment="1">
      <alignment horizontal="right" vertical="center" wrapText="1"/>
    </xf>
    <xf numFmtId="164" fontId="17" fillId="0" borderId="4" xfId="4" applyFont="1" applyFill="1" applyBorder="1" applyAlignment="1">
      <alignment horizontal="right" vertical="center"/>
    </xf>
    <xf numFmtId="164" fontId="11" fillId="0" borderId="4" xfId="4" applyFont="1" applyFill="1" applyBorder="1" applyAlignment="1">
      <alignment horizontal="right" vertical="center"/>
    </xf>
    <xf numFmtId="164" fontId="18" fillId="0" borderId="1" xfId="4" applyFont="1" applyFill="1" applyBorder="1" applyAlignment="1">
      <alignment horizontal="right" vertical="center"/>
    </xf>
    <xf numFmtId="164" fontId="18" fillId="2" borderId="4" xfId="4" applyFont="1" applyFill="1" applyBorder="1" applyAlignment="1">
      <alignment horizontal="right" vertical="center"/>
    </xf>
    <xf numFmtId="0" fontId="11" fillId="9" borderId="1" xfId="3" applyFont="1" applyFill="1" applyBorder="1" applyAlignment="1">
      <alignment horizontal="right" vertical="center" wrapText="1"/>
    </xf>
    <xf numFmtId="0" fontId="11" fillId="9" borderId="1" xfId="3" applyFont="1" applyFill="1" applyBorder="1" applyAlignment="1">
      <alignment horizontal="right" vertical="center"/>
    </xf>
    <xf numFmtId="164" fontId="11" fillId="9" borderId="4" xfId="4" applyFont="1" applyFill="1" applyBorder="1" applyAlignment="1">
      <alignment horizontal="right" vertical="center"/>
    </xf>
    <xf numFmtId="164" fontId="12" fillId="9" borderId="4" xfId="4" applyFont="1" applyFill="1" applyBorder="1" applyAlignment="1">
      <alignment horizontal="right" vertical="center"/>
    </xf>
    <xf numFmtId="164" fontId="18" fillId="9" borderId="4" xfId="4" applyFont="1" applyFill="1" applyBorder="1" applyAlignment="1">
      <alignment horizontal="right" vertical="center"/>
    </xf>
    <xf numFmtId="164" fontId="13" fillId="10" borderId="4" xfId="4" applyFont="1" applyFill="1" applyBorder="1" applyAlignment="1">
      <alignment horizontal="right" vertical="center"/>
    </xf>
    <xf numFmtId="164" fontId="11" fillId="9" borderId="1" xfId="4" applyFont="1" applyFill="1" applyBorder="1" applyAlignment="1">
      <alignment horizontal="right" vertical="center"/>
    </xf>
    <xf numFmtId="164" fontId="11" fillId="9" borderId="1" xfId="4" applyFont="1" applyFill="1" applyBorder="1" applyAlignment="1">
      <alignment horizontal="right" vertical="center" wrapText="1"/>
    </xf>
    <xf numFmtId="168" fontId="11" fillId="9" borderId="1" xfId="4" applyNumberFormat="1" applyFont="1" applyFill="1" applyBorder="1" applyAlignment="1">
      <alignment horizontal="right" vertical="center"/>
    </xf>
    <xf numFmtId="164" fontId="11" fillId="0" borderId="1" xfId="4" applyFont="1" applyBorder="1" applyAlignment="1">
      <alignment horizontal="right"/>
    </xf>
    <xf numFmtId="164" fontId="12" fillId="0" borderId="1" xfId="4" applyFont="1" applyBorder="1" applyAlignment="1">
      <alignment horizontal="right"/>
    </xf>
    <xf numFmtId="164" fontId="18" fillId="0" borderId="1" xfId="4" applyFont="1" applyBorder="1" applyAlignment="1">
      <alignment horizontal="right"/>
    </xf>
    <xf numFmtId="164" fontId="17" fillId="9" borderId="1" xfId="4" applyFont="1" applyFill="1" applyBorder="1" applyAlignment="1">
      <alignment horizontal="right" vertical="center"/>
    </xf>
    <xf numFmtId="164" fontId="12" fillId="9" borderId="1" xfId="4" applyFont="1" applyFill="1" applyBorder="1" applyAlignment="1">
      <alignment horizontal="right" vertical="center"/>
    </xf>
    <xf numFmtId="164" fontId="18" fillId="9" borderId="1" xfId="4" applyFont="1" applyFill="1" applyBorder="1" applyAlignment="1">
      <alignment horizontal="right" vertical="center"/>
    </xf>
    <xf numFmtId="164" fontId="13" fillId="10" borderId="1" xfId="4" applyFont="1" applyFill="1" applyBorder="1" applyAlignment="1">
      <alignment horizontal="right" vertical="center"/>
    </xf>
    <xf numFmtId="164" fontId="13" fillId="0" borderId="1" xfId="4" applyFont="1" applyFill="1" applyBorder="1" applyAlignment="1">
      <alignment horizontal="right" vertical="center"/>
    </xf>
    <xf numFmtId="164" fontId="10" fillId="0" borderId="14" xfId="4" applyFont="1" applyBorder="1" applyAlignment="1">
      <alignment horizontal="right" vertical="center"/>
    </xf>
    <xf numFmtId="164" fontId="15" fillId="0" borderId="14" xfId="4" applyFont="1" applyFill="1" applyBorder="1" applyAlignment="1">
      <alignment horizontal="right" vertical="center"/>
    </xf>
    <xf numFmtId="164" fontId="16" fillId="0" borderId="14" xfId="4" applyFont="1" applyBorder="1" applyAlignment="1">
      <alignment horizontal="right" vertical="center"/>
    </xf>
    <xf numFmtId="164" fontId="11" fillId="0" borderId="0" xfId="4" applyFont="1" applyAlignment="1">
      <alignment horizontal="right"/>
    </xf>
    <xf numFmtId="164" fontId="12" fillId="0" borderId="0" xfId="4" applyFont="1" applyAlignment="1">
      <alignment horizontal="right"/>
    </xf>
    <xf numFmtId="164" fontId="13" fillId="0" borderId="0" xfId="4" applyFont="1" applyAlignment="1">
      <alignment horizontal="right"/>
    </xf>
    <xf numFmtId="168" fontId="11" fillId="0" borderId="0" xfId="4" applyNumberFormat="1" applyFont="1" applyAlignment="1">
      <alignment horizontal="right"/>
    </xf>
    <xf numFmtId="0" fontId="19" fillId="8" borderId="1" xfId="5" applyFont="1" applyFill="1" applyBorder="1" applyAlignment="1">
      <alignment horizontal="center" vertical="center" wrapText="1"/>
    </xf>
    <xf numFmtId="0" fontId="11" fillId="0" borderId="1" xfId="5" applyFont="1" applyBorder="1"/>
    <xf numFmtId="3" fontId="11" fillId="0" borderId="1" xfId="5" applyNumberFormat="1" applyFont="1" applyBorder="1"/>
    <xf numFmtId="4" fontId="11" fillId="0" borderId="1" xfId="5" applyNumberFormat="1" applyFont="1" applyBorder="1"/>
    <xf numFmtId="0" fontId="10" fillId="0" borderId="1" xfId="5" applyFont="1" applyBorder="1"/>
    <xf numFmtId="0" fontId="10" fillId="11" borderId="1" xfId="5" applyFont="1" applyFill="1" applyBorder="1"/>
    <xf numFmtId="3" fontId="10" fillId="11" borderId="1" xfId="5" applyNumberFormat="1" applyFont="1" applyFill="1" applyBorder="1"/>
    <xf numFmtId="4" fontId="10" fillId="11" borderId="1" xfId="5" applyNumberFormat="1" applyFont="1" applyFill="1" applyBorder="1"/>
    <xf numFmtId="4" fontId="1" fillId="0" borderId="0" xfId="6" applyNumberFormat="1" applyFont="1" applyAlignment="1">
      <alignment horizontal="center" vertical="center"/>
    </xf>
    <xf numFmtId="4" fontId="2" fillId="5" borderId="1" xfId="6" applyNumberFormat="1" applyFont="1" applyFill="1" applyBorder="1" applyAlignment="1">
      <alignment horizontal="center" vertical="center"/>
    </xf>
    <xf numFmtId="4" fontId="1" fillId="5" borderId="1" xfId="6" applyNumberFormat="1" applyFont="1" applyFill="1" applyBorder="1" applyAlignment="1">
      <alignment horizontal="left" vertical="center"/>
    </xf>
    <xf numFmtId="4" fontId="21" fillId="5" borderId="1" xfId="6" applyNumberFormat="1" applyFont="1" applyFill="1" applyBorder="1" applyAlignment="1">
      <alignment horizontal="center" vertical="center"/>
    </xf>
    <xf numFmtId="43" fontId="21" fillId="5" borderId="1" xfId="7" applyFont="1" applyFill="1" applyBorder="1" applyAlignment="1" applyProtection="1">
      <alignment horizontal="center" vertical="center"/>
    </xf>
    <xf numFmtId="43" fontId="21" fillId="5" borderId="1" xfId="7" applyFont="1" applyFill="1" applyBorder="1" applyAlignment="1" applyProtection="1">
      <alignment horizontal="right" vertical="center"/>
    </xf>
    <xf numFmtId="4" fontId="23" fillId="5" borderId="1" xfId="6" applyNumberFormat="1" applyFont="1" applyFill="1" applyBorder="1" applyAlignment="1">
      <alignment horizontal="left" vertical="center"/>
    </xf>
    <xf numFmtId="4" fontId="23" fillId="0" borderId="1" xfId="6" applyNumberFormat="1" applyFont="1" applyBorder="1" applyAlignment="1">
      <alignment horizontal="center" vertical="center"/>
    </xf>
    <xf numFmtId="9" fontId="23" fillId="0" borderId="1" xfId="6" applyNumberFormat="1" applyFont="1" applyBorder="1" applyAlignment="1">
      <alignment horizontal="center" vertical="center"/>
    </xf>
    <xf numFmtId="43" fontId="23" fillId="0" borderId="1" xfId="7" applyFont="1" applyBorder="1" applyAlignment="1">
      <alignment horizontal="center" vertical="center"/>
    </xf>
    <xf numFmtId="43" fontId="23" fillId="0" borderId="1" xfId="7" applyFont="1" applyBorder="1" applyAlignment="1" applyProtection="1">
      <alignment horizontal="center" vertical="center"/>
    </xf>
    <xf numFmtId="43" fontId="23" fillId="0" borderId="1" xfId="7" applyFont="1" applyBorder="1" applyAlignment="1" applyProtection="1">
      <alignment horizontal="right" vertical="center"/>
    </xf>
    <xf numFmtId="170" fontId="1" fillId="0" borderId="0" xfId="6" applyNumberFormat="1" applyFont="1" applyAlignment="1">
      <alignment horizontal="center" vertical="center"/>
    </xf>
    <xf numFmtId="4" fontId="1" fillId="0" borderId="1" xfId="2" applyNumberFormat="1" applyFont="1" applyBorder="1" applyAlignment="1">
      <alignment horizontal="right" vertical="center" wrapText="1"/>
    </xf>
    <xf numFmtId="4" fontId="21" fillId="5" borderId="1" xfId="6" applyNumberFormat="1" applyFont="1" applyFill="1" applyBorder="1" applyAlignment="1">
      <alignment horizontal="left" vertical="center"/>
    </xf>
    <xf numFmtId="4" fontId="1" fillId="0" borderId="1" xfId="6" applyNumberFormat="1" applyFont="1" applyBorder="1" applyAlignment="1">
      <alignment horizontal="center" vertical="center"/>
    </xf>
    <xf numFmtId="4" fontId="23" fillId="5" borderId="18" xfId="6" applyNumberFormat="1" applyFont="1" applyFill="1" applyBorder="1" applyAlignment="1">
      <alignment horizontal="left" vertical="center"/>
    </xf>
    <xf numFmtId="4" fontId="23" fillId="0" borderId="18" xfId="6" applyNumberFormat="1" applyFont="1" applyBorder="1" applyAlignment="1">
      <alignment horizontal="center" vertical="center"/>
    </xf>
    <xf numFmtId="9" fontId="23" fillId="0" borderId="18" xfId="6" applyNumberFormat="1" applyFont="1" applyBorder="1" applyAlignment="1">
      <alignment horizontal="center" vertical="center"/>
    </xf>
    <xf numFmtId="43" fontId="23" fillId="0" borderId="18" xfId="7" applyFont="1" applyBorder="1" applyAlignment="1" applyProtection="1">
      <alignment horizontal="right" vertical="center"/>
    </xf>
    <xf numFmtId="4" fontId="21" fillId="5" borderId="1" xfId="6" applyNumberFormat="1" applyFont="1" applyFill="1" applyBorder="1" applyAlignment="1">
      <alignment horizontal="center" vertical="center" textRotation="90"/>
    </xf>
    <xf numFmtId="4" fontId="1" fillId="0" borderId="3" xfId="6" applyNumberFormat="1" applyFont="1" applyBorder="1" applyAlignment="1">
      <alignment horizontal="center" vertical="center"/>
    </xf>
    <xf numFmtId="4" fontId="23" fillId="0" borderId="20" xfId="6" applyNumberFormat="1" applyFont="1" applyBorder="1" applyAlignment="1">
      <alignment horizontal="center" vertical="center"/>
    </xf>
    <xf numFmtId="9" fontId="23" fillId="0" borderId="20" xfId="6" applyNumberFormat="1" applyFont="1" applyBorder="1" applyAlignment="1">
      <alignment horizontal="center" vertical="center"/>
    </xf>
    <xf numFmtId="43" fontId="23" fillId="0" borderId="20" xfId="7" applyFont="1" applyBorder="1" applyAlignment="1">
      <alignment horizontal="center" vertical="center"/>
    </xf>
    <xf numFmtId="43" fontId="23" fillId="0" borderId="20" xfId="7" applyFont="1" applyBorder="1" applyAlignment="1" applyProtection="1">
      <alignment horizontal="right" vertical="center"/>
    </xf>
    <xf numFmtId="4" fontId="2" fillId="0" borderId="0" xfId="6" applyNumberFormat="1" applyFont="1" applyAlignment="1">
      <alignment horizontal="center" vertical="center"/>
    </xf>
    <xf numFmtId="4" fontId="1" fillId="0" borderId="0" xfId="6" applyNumberFormat="1" applyFont="1" applyAlignment="1">
      <alignment horizontal="left" vertical="center"/>
    </xf>
    <xf numFmtId="43" fontId="1" fillId="0" borderId="0" xfId="7" applyFont="1" applyAlignment="1">
      <alignment horizontal="center" vertical="center"/>
    </xf>
    <xf numFmtId="43" fontId="1" fillId="0" borderId="0" xfId="7" applyFont="1" applyAlignment="1">
      <alignment horizontal="right" vertical="center"/>
    </xf>
    <xf numFmtId="0" fontId="21" fillId="0" borderId="0" xfId="1" applyFont="1" applyAlignment="1">
      <alignment vertical="center"/>
    </xf>
    <xf numFmtId="0" fontId="24" fillId="0" borderId="0" xfId="1" applyFont="1" applyAlignment="1">
      <alignment vertical="center"/>
    </xf>
    <xf numFmtId="0" fontId="1" fillId="0" borderId="0" xfId="1" applyFont="1" applyAlignment="1">
      <alignment vertical="center"/>
    </xf>
    <xf numFmtId="0" fontId="1" fillId="0" borderId="0" xfId="1" applyFont="1" applyAlignment="1">
      <alignment horizontal="center" vertical="center"/>
    </xf>
    <xf numFmtId="0" fontId="1" fillId="0" borderId="0" xfId="1" applyFont="1"/>
    <xf numFmtId="0" fontId="25" fillId="8" borderId="1" xfId="1" applyFont="1" applyFill="1" applyBorder="1" applyAlignment="1">
      <alignment horizontal="center" vertical="center"/>
    </xf>
    <xf numFmtId="0" fontId="25" fillId="8" borderId="1" xfId="1" applyFont="1" applyFill="1" applyBorder="1" applyAlignment="1">
      <alignment horizontal="center" vertical="center" wrapText="1"/>
    </xf>
    <xf numFmtId="168" fontId="25" fillId="8" borderId="1" xfId="1" applyNumberFormat="1" applyFont="1" applyFill="1" applyBorder="1" applyAlignment="1">
      <alignment horizontal="center" vertical="center" wrapText="1"/>
    </xf>
    <xf numFmtId="0" fontId="2" fillId="12" borderId="1" xfId="1" applyFont="1" applyFill="1" applyBorder="1" applyAlignment="1">
      <alignment horizontal="center" vertical="center"/>
    </xf>
    <xf numFmtId="0" fontId="2" fillId="12" borderId="1" xfId="1" applyFont="1" applyFill="1" applyBorder="1" applyAlignment="1">
      <alignment horizontal="left" vertical="center"/>
    </xf>
    <xf numFmtId="0" fontId="2" fillId="0" borderId="1" xfId="1" applyFont="1" applyBorder="1" applyAlignment="1">
      <alignment horizontal="center" vertical="center"/>
    </xf>
    <xf numFmtId="0" fontId="2" fillId="0" borderId="1" xfId="1" applyFont="1" applyBorder="1" applyAlignment="1">
      <alignment horizontal="center" vertical="center" wrapText="1"/>
    </xf>
    <xf numFmtId="0" fontId="1" fillId="0" borderId="1" xfId="1" applyFont="1" applyBorder="1" applyAlignment="1">
      <alignment horizontal="center" vertical="center"/>
    </xf>
    <xf numFmtId="0" fontId="26" fillId="0" borderId="1" xfId="1" applyFont="1" applyBorder="1" applyAlignment="1">
      <alignment horizontal="center" vertical="center"/>
    </xf>
    <xf numFmtId="0" fontId="27" fillId="0" borderId="1" xfId="1" applyFont="1" applyBorder="1" applyAlignment="1">
      <alignment vertical="center"/>
    </xf>
    <xf numFmtId="0" fontId="1" fillId="0" borderId="1" xfId="1" applyFont="1" applyBorder="1" applyAlignment="1">
      <alignment vertical="center"/>
    </xf>
    <xf numFmtId="3" fontId="1" fillId="0" borderId="1" xfId="1" applyNumberFormat="1" applyFont="1" applyBorder="1" applyAlignment="1">
      <alignment horizontal="center" vertical="center"/>
    </xf>
    <xf numFmtId="0" fontId="1" fillId="0" borderId="1" xfId="1" applyFont="1" applyBorder="1" applyAlignment="1">
      <alignment horizontal="left" vertical="center" wrapText="1"/>
    </xf>
    <xf numFmtId="2" fontId="1" fillId="0" borderId="1" xfId="1" applyNumberFormat="1" applyFont="1" applyBorder="1" applyAlignment="1">
      <alignment horizontal="left" vertical="center" wrapText="1"/>
    </xf>
    <xf numFmtId="2" fontId="1" fillId="0" borderId="1" xfId="1" applyNumberFormat="1" applyFont="1" applyBorder="1" applyAlignment="1">
      <alignment horizontal="center" vertical="center" wrapText="1"/>
    </xf>
    <xf numFmtId="1" fontId="1" fillId="0" borderId="1" xfId="1" applyNumberFormat="1" applyFont="1" applyBorder="1" applyAlignment="1">
      <alignment horizontal="center" vertical="center" wrapText="1"/>
    </xf>
    <xf numFmtId="0" fontId="1" fillId="0" borderId="1" xfId="1" applyFont="1" applyBorder="1" applyAlignment="1">
      <alignment horizontal="center" vertical="center" wrapText="1"/>
    </xf>
    <xf numFmtId="0" fontId="1" fillId="0" borderId="1" xfId="1" applyFont="1" applyBorder="1" applyAlignment="1">
      <alignment horizontal="left" vertical="center"/>
    </xf>
    <xf numFmtId="1" fontId="1" fillId="0" borderId="1" xfId="1" applyNumberFormat="1" applyFont="1" applyBorder="1" applyAlignment="1">
      <alignment horizontal="center" vertical="center"/>
    </xf>
    <xf numFmtId="1" fontId="26" fillId="0" borderId="1" xfId="1" applyNumberFormat="1" applyFont="1" applyBorder="1" applyAlignment="1">
      <alignment horizontal="center" vertical="center" wrapText="1"/>
    </xf>
    <xf numFmtId="1" fontId="28" fillId="0" borderId="1" xfId="1" applyNumberFormat="1" applyFont="1" applyBorder="1" applyAlignment="1">
      <alignment horizontal="center" vertical="center" wrapText="1"/>
    </xf>
    <xf numFmtId="2" fontId="1" fillId="0" borderId="1" xfId="1" applyNumberFormat="1" applyFont="1" applyBorder="1" applyAlignment="1">
      <alignment vertical="center"/>
    </xf>
    <xf numFmtId="2" fontId="1" fillId="0" borderId="1" xfId="1" applyNumberFormat="1" applyFont="1" applyBorder="1" applyAlignment="1">
      <alignment horizontal="center" vertical="center"/>
    </xf>
    <xf numFmtId="0" fontId="29" fillId="0" borderId="1" xfId="1" applyFont="1" applyBorder="1" applyAlignment="1">
      <alignment horizontal="center" vertical="center"/>
    </xf>
    <xf numFmtId="0" fontId="29" fillId="0" borderId="1" xfId="1" applyFont="1" applyBorder="1" applyAlignment="1">
      <alignment horizontal="left" vertical="center" wrapText="1"/>
    </xf>
    <xf numFmtId="0" fontId="29" fillId="0" borderId="1" xfId="1" applyFont="1" applyBorder="1" applyAlignment="1">
      <alignment horizontal="center" vertical="center" wrapText="1"/>
    </xf>
    <xf numFmtId="1" fontId="29" fillId="0" borderId="1" xfId="1" applyNumberFormat="1" applyFont="1" applyBorder="1" applyAlignment="1">
      <alignment horizontal="center" vertical="center" wrapText="1"/>
    </xf>
    <xf numFmtId="0" fontId="29" fillId="0" borderId="0" xfId="1" applyFont="1" applyAlignment="1">
      <alignment vertical="center"/>
    </xf>
    <xf numFmtId="0" fontId="29" fillId="0" borderId="0" xfId="1" applyFont="1"/>
    <xf numFmtId="0" fontId="7" fillId="0" borderId="1" xfId="1" applyFont="1" applyBorder="1" applyAlignment="1">
      <alignment horizontal="center" vertical="center"/>
    </xf>
    <xf numFmtId="0" fontId="7" fillId="0" borderId="0" xfId="1" applyFont="1" applyAlignment="1">
      <alignment vertical="center"/>
    </xf>
    <xf numFmtId="0" fontId="7" fillId="0" borderId="0" xfId="1" applyFont="1"/>
    <xf numFmtId="0" fontId="1" fillId="0" borderId="1" xfId="1" applyFont="1" applyBorder="1" applyAlignment="1">
      <alignment horizontal="left" vertical="center" wrapText="1" indent="2"/>
    </xf>
    <xf numFmtId="0" fontId="1" fillId="0" borderId="1" xfId="9" applyFont="1" applyBorder="1" applyAlignment="1">
      <alignment horizontal="center" vertical="center" wrapText="1"/>
    </xf>
    <xf numFmtId="0" fontId="1" fillId="0" borderId="1" xfId="9" applyFont="1" applyBorder="1" applyAlignment="1">
      <alignment horizontal="center" vertical="center"/>
    </xf>
    <xf numFmtId="3" fontId="1" fillId="0" borderId="1" xfId="9" applyNumberFormat="1" applyFont="1" applyBorder="1" applyAlignment="1">
      <alignment horizontal="center" vertical="center"/>
    </xf>
    <xf numFmtId="0" fontId="1" fillId="0" borderId="0" xfId="1" applyFont="1" applyAlignment="1">
      <alignment horizontal="left" vertical="center" wrapText="1" indent="2"/>
    </xf>
    <xf numFmtId="4" fontId="1" fillId="0" borderId="1" xfId="1" applyNumberFormat="1" applyFont="1" applyBorder="1" applyAlignment="1">
      <alignment horizontal="center" vertical="center" wrapText="1"/>
    </xf>
    <xf numFmtId="0" fontId="30" fillId="0" borderId="0" xfId="0" applyFont="1" applyAlignment="1">
      <alignment vertical="center" wrapText="1" readingOrder="1"/>
    </xf>
    <xf numFmtId="0" fontId="1" fillId="0" borderId="0" xfId="1" applyFont="1" applyAlignment="1">
      <alignment horizontal="center"/>
    </xf>
    <xf numFmtId="4" fontId="1" fillId="0" borderId="1" xfId="0" applyNumberFormat="1" applyFont="1" applyBorder="1"/>
    <xf numFmtId="2" fontId="2" fillId="0" borderId="1" xfId="0" applyNumberFormat="1" applyFont="1" applyBorder="1" applyAlignment="1">
      <alignment horizontal="right"/>
    </xf>
    <xf numFmtId="3" fontId="1" fillId="0" borderId="1" xfId="0" applyNumberFormat="1" applyFont="1" applyBorder="1"/>
    <xf numFmtId="43" fontId="1" fillId="0" borderId="1" xfId="2" applyFont="1" applyBorder="1"/>
    <xf numFmtId="164" fontId="11" fillId="0" borderId="0" xfId="4" applyFont="1" applyAlignment="1">
      <alignment horizontal="left" vertical="center"/>
    </xf>
    <xf numFmtId="0" fontId="2" fillId="0" borderId="20" xfId="0" applyFont="1" applyBorder="1" applyAlignment="1">
      <alignment horizontal="center" vertical="center"/>
    </xf>
    <xf numFmtId="0" fontId="2" fillId="0" borderId="20" xfId="0" applyFont="1" applyBorder="1" applyAlignment="1">
      <alignment horizontal="center" vertical="center" wrapText="1"/>
    </xf>
    <xf numFmtId="2" fontId="1" fillId="0" borderId="1" xfId="0" applyNumberFormat="1" applyFont="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0" fillId="0" borderId="0" xfId="0" applyAlignment="1">
      <alignment vertical="center"/>
    </xf>
    <xf numFmtId="0" fontId="11" fillId="0" borderId="1" xfId="5" applyFont="1" applyBorder="1" applyAlignment="1">
      <alignment vertical="center"/>
    </xf>
    <xf numFmtId="0" fontId="11" fillId="0" borderId="1" xfId="5" applyFont="1" applyBorder="1" applyAlignment="1">
      <alignment vertical="center" wrapText="1"/>
    </xf>
    <xf numFmtId="43" fontId="11" fillId="0" borderId="1" xfId="10" applyFont="1" applyBorder="1" applyAlignment="1">
      <alignment vertical="center"/>
    </xf>
    <xf numFmtId="2" fontId="11" fillId="0" borderId="1" xfId="5" applyNumberFormat="1" applyFont="1" applyBorder="1" applyAlignment="1">
      <alignment vertical="center"/>
    </xf>
    <xf numFmtId="0" fontId="1" fillId="13" borderId="1" xfId="0" applyFont="1" applyFill="1" applyBorder="1" applyAlignment="1">
      <alignment vertical="center"/>
    </xf>
    <xf numFmtId="0" fontId="2" fillId="13" borderId="1" xfId="0" applyFont="1" applyFill="1" applyBorder="1" applyAlignment="1">
      <alignment vertical="center"/>
    </xf>
    <xf numFmtId="2" fontId="2" fillId="13" borderId="1" xfId="0" applyNumberFormat="1" applyFont="1" applyFill="1" applyBorder="1" applyAlignment="1">
      <alignment vertical="center"/>
    </xf>
    <xf numFmtId="0" fontId="1" fillId="13" borderId="1" xfId="0" applyFont="1" applyFill="1" applyBorder="1" applyAlignment="1">
      <alignment horizontal="center" vertical="center"/>
    </xf>
    <xf numFmtId="43" fontId="11" fillId="0" borderId="1" xfId="2" applyFont="1" applyBorder="1" applyAlignment="1">
      <alignment vertical="center"/>
    </xf>
    <xf numFmtId="43" fontId="10" fillId="0" borderId="1" xfId="10" applyFont="1" applyBorder="1" applyAlignment="1">
      <alignment vertical="center"/>
    </xf>
    <xf numFmtId="171" fontId="1" fillId="5" borderId="1" xfId="0" applyNumberFormat="1" applyFont="1" applyFill="1" applyBorder="1" applyAlignment="1">
      <alignment horizontal="center" vertical="center" wrapText="1"/>
    </xf>
    <xf numFmtId="172" fontId="1" fillId="5" borderId="1" xfId="0" applyNumberFormat="1" applyFont="1" applyFill="1" applyBorder="1" applyAlignment="1">
      <alignment horizontal="center" vertical="center" wrapText="1"/>
    </xf>
    <xf numFmtId="173" fontId="1" fillId="0" borderId="1" xfId="0" applyNumberFormat="1" applyFont="1" applyBorder="1" applyAlignment="1">
      <alignment horizontal="center" vertical="center"/>
    </xf>
    <xf numFmtId="174" fontId="1" fillId="0" borderId="1" xfId="0" applyNumberFormat="1" applyFont="1" applyBorder="1" applyAlignment="1">
      <alignment horizontal="center" vertical="center"/>
    </xf>
    <xf numFmtId="1" fontId="1" fillId="0" borderId="1" xfId="0" applyNumberFormat="1" applyFont="1" applyBorder="1" applyAlignment="1">
      <alignment horizontal="center" vertical="center"/>
    </xf>
    <xf numFmtId="43" fontId="0" fillId="0" borderId="0" xfId="2" applyFont="1" applyAlignment="1">
      <alignment vertical="center"/>
    </xf>
    <xf numFmtId="0" fontId="25" fillId="0" borderId="1" xfId="0" applyFont="1" applyBorder="1" applyAlignment="1">
      <alignment horizontal="center" vertical="center"/>
    </xf>
    <xf numFmtId="3" fontId="7" fillId="0" borderId="0" xfId="1" applyNumberFormat="1" applyFont="1" applyAlignment="1">
      <alignment vertical="center"/>
    </xf>
    <xf numFmtId="0" fontId="11" fillId="8" borderId="1" xfId="6" applyFont="1" applyFill="1" applyBorder="1" applyAlignment="1">
      <alignment horizontal="center" vertical="top" wrapText="1"/>
    </xf>
    <xf numFmtId="4" fontId="11" fillId="8" borderId="1" xfId="6" applyNumberFormat="1" applyFont="1" applyFill="1" applyBorder="1" applyAlignment="1">
      <alignment horizontal="center" vertical="top" wrapText="1"/>
    </xf>
    <xf numFmtId="0" fontId="11" fillId="0" borderId="0" xfId="6" applyFont="1" applyAlignment="1">
      <alignment horizontal="center" vertical="top" wrapText="1"/>
    </xf>
    <xf numFmtId="0" fontId="11" fillId="0" borderId="1" xfId="6" applyFont="1" applyBorder="1" applyAlignment="1">
      <alignment horizontal="center"/>
    </xf>
    <xf numFmtId="4" fontId="11" fillId="0" borderId="1" xfId="6" applyNumberFormat="1" applyFont="1" applyBorder="1" applyAlignment="1">
      <alignment horizontal="center"/>
    </xf>
    <xf numFmtId="4" fontId="10" fillId="11" borderId="1" xfId="6" applyNumberFormat="1" applyFont="1" applyFill="1" applyBorder="1" applyAlignment="1">
      <alignment horizontal="center"/>
    </xf>
    <xf numFmtId="0" fontId="11" fillId="0" borderId="0" xfId="6" applyFont="1" applyAlignment="1">
      <alignment horizontal="center"/>
    </xf>
    <xf numFmtId="0" fontId="11" fillId="0" borderId="1" xfId="3" applyFont="1" applyBorder="1" applyAlignment="1">
      <alignment horizontal="center" vertical="center" wrapText="1"/>
    </xf>
    <xf numFmtId="0" fontId="11" fillId="9" borderId="1" xfId="3" applyFont="1" applyFill="1" applyBorder="1" applyAlignment="1">
      <alignment horizontal="center" vertical="center"/>
    </xf>
    <xf numFmtId="0" fontId="11" fillId="0" borderId="1" xfId="3" applyFont="1" applyBorder="1" applyAlignment="1">
      <alignment horizontal="center" vertical="center"/>
    </xf>
    <xf numFmtId="0" fontId="10" fillId="11" borderId="1" xfId="6" applyFont="1" applyFill="1" applyBorder="1" applyAlignment="1">
      <alignment horizontal="center"/>
    </xf>
    <xf numFmtId="4" fontId="11" fillId="0" borderId="0" xfId="6" applyNumberFormat="1" applyFont="1" applyAlignment="1">
      <alignment horizontal="center"/>
    </xf>
    <xf numFmtId="9" fontId="11" fillId="0" borderId="0" xfId="11" applyFont="1" applyAlignment="1">
      <alignment horizontal="center"/>
    </xf>
    <xf numFmtId="9" fontId="11" fillId="0" borderId="0" xfId="6" applyNumberFormat="1" applyFont="1" applyAlignment="1">
      <alignment horizontal="center"/>
    </xf>
    <xf numFmtId="0" fontId="14" fillId="4" borderId="1" xfId="6" applyFont="1" applyFill="1" applyBorder="1"/>
    <xf numFmtId="0" fontId="11" fillId="14" borderId="1" xfId="6" applyFont="1" applyFill="1" applyBorder="1" applyAlignment="1">
      <alignment horizontal="center" vertical="top" wrapText="1"/>
    </xf>
    <xf numFmtId="0" fontId="11" fillId="14" borderId="1" xfId="6" applyFont="1" applyFill="1" applyBorder="1" applyAlignment="1">
      <alignment horizontal="center"/>
    </xf>
    <xf numFmtId="0" fontId="10" fillId="14" borderId="1" xfId="6" applyFont="1" applyFill="1" applyBorder="1" applyAlignment="1">
      <alignment horizontal="center"/>
    </xf>
    <xf numFmtId="0" fontId="11" fillId="15" borderId="1" xfId="6" applyFont="1" applyFill="1" applyBorder="1" applyAlignment="1">
      <alignment horizontal="center" vertical="top" wrapText="1"/>
    </xf>
    <xf numFmtId="0" fontId="11" fillId="15" borderId="1" xfId="6" applyFont="1" applyFill="1" applyBorder="1" applyAlignment="1">
      <alignment horizontal="center"/>
    </xf>
    <xf numFmtId="0" fontId="10" fillId="15" borderId="1" xfId="6" applyFont="1" applyFill="1" applyBorder="1" applyAlignment="1">
      <alignment horizontal="center"/>
    </xf>
    <xf numFmtId="0" fontId="11" fillId="9" borderId="1" xfId="6" applyFont="1" applyFill="1" applyBorder="1" applyAlignment="1">
      <alignment horizontal="center" vertical="top" wrapText="1"/>
    </xf>
    <xf numFmtId="0" fontId="11" fillId="9" borderId="1" xfId="6" applyFont="1" applyFill="1" applyBorder="1" applyAlignment="1">
      <alignment horizontal="center"/>
    </xf>
    <xf numFmtId="0" fontId="10" fillId="9" borderId="1" xfId="6" applyFont="1" applyFill="1" applyBorder="1" applyAlignment="1">
      <alignment horizontal="center"/>
    </xf>
    <xf numFmtId="0" fontId="11" fillId="0" borderId="0" xfId="12" applyFont="1"/>
    <xf numFmtId="0" fontId="11" fillId="0" borderId="0" xfId="12" applyFont="1" applyAlignment="1">
      <alignment horizontal="center" vertical="center"/>
    </xf>
    <xf numFmtId="164" fontId="11" fillId="0" borderId="0" xfId="12" applyNumberFormat="1" applyFont="1" applyAlignment="1">
      <alignment horizontal="center" vertical="center"/>
    </xf>
    <xf numFmtId="43" fontId="11" fillId="0" borderId="0" xfId="12" applyNumberFormat="1" applyFont="1"/>
    <xf numFmtId="164" fontId="10" fillId="0" borderId="0" xfId="12" applyNumberFormat="1" applyFont="1" applyAlignment="1">
      <alignment horizontal="center" vertical="center"/>
    </xf>
    <xf numFmtId="0" fontId="15" fillId="0" borderId="0" xfId="12" applyFont="1"/>
    <xf numFmtId="164" fontId="11" fillId="0" borderId="0" xfId="12" applyNumberFormat="1" applyFont="1"/>
    <xf numFmtId="1" fontId="10" fillId="0" borderId="0" xfId="12" applyNumberFormat="1" applyFont="1" applyAlignment="1">
      <alignment horizontal="center" vertical="center"/>
    </xf>
    <xf numFmtId="3" fontId="11" fillId="0" borderId="0" xfId="12" applyNumberFormat="1" applyFont="1"/>
    <xf numFmtId="0" fontId="10" fillId="5" borderId="1" xfId="12" applyFont="1" applyFill="1" applyBorder="1" applyAlignment="1">
      <alignment horizontal="center" vertical="center" wrapText="1"/>
    </xf>
    <xf numFmtId="164" fontId="10" fillId="5" borderId="1" xfId="12" applyNumberFormat="1" applyFont="1" applyFill="1" applyBorder="1" applyAlignment="1">
      <alignment horizontal="center" vertical="center" wrapText="1"/>
    </xf>
    <xf numFmtId="0" fontId="10" fillId="5" borderId="1" xfId="12" applyFont="1" applyFill="1" applyBorder="1" applyAlignment="1">
      <alignment horizontal="center" vertical="center"/>
    </xf>
    <xf numFmtId="0" fontId="11" fillId="0" borderId="1" xfId="12" applyFont="1" applyBorder="1" applyAlignment="1">
      <alignment horizontal="center"/>
    </xf>
    <xf numFmtId="0" fontId="10" fillId="0" borderId="1" xfId="12" applyFont="1" applyBorder="1" applyAlignment="1">
      <alignment vertical="center"/>
    </xf>
    <xf numFmtId="1" fontId="11" fillId="0" borderId="1" xfId="12" applyNumberFormat="1" applyFont="1" applyBorder="1" applyAlignment="1">
      <alignment horizontal="center" vertical="center"/>
    </xf>
    <xf numFmtId="164" fontId="11" fillId="0" borderId="1" xfId="12" applyNumberFormat="1" applyFont="1" applyBorder="1" applyAlignment="1">
      <alignment horizontal="center" vertical="center"/>
    </xf>
    <xf numFmtId="0" fontId="11" fillId="0" borderId="1" xfId="12" applyFont="1" applyBorder="1"/>
    <xf numFmtId="0" fontId="11" fillId="0" borderId="1" xfId="12" applyFont="1" applyBorder="1" applyAlignment="1">
      <alignment horizontal="right" vertical="center"/>
    </xf>
    <xf numFmtId="0" fontId="10" fillId="0" borderId="1" xfId="12" applyFont="1" applyBorder="1" applyAlignment="1">
      <alignment horizontal="right" vertical="center"/>
    </xf>
    <xf numFmtId="0" fontId="11" fillId="0" borderId="1" xfId="12" applyFont="1" applyBorder="1" applyAlignment="1">
      <alignment horizontal="center" vertical="center"/>
    </xf>
    <xf numFmtId="164" fontId="10" fillId="0" borderId="1" xfId="12" applyNumberFormat="1" applyFont="1" applyBorder="1" applyAlignment="1">
      <alignment horizontal="center" vertical="center"/>
    </xf>
    <xf numFmtId="0" fontId="15" fillId="0" borderId="1" xfId="12" applyFont="1" applyBorder="1"/>
    <xf numFmtId="0" fontId="15" fillId="0" borderId="1" xfId="12" applyFont="1" applyBorder="1" applyAlignment="1">
      <alignment horizontal="right"/>
    </xf>
    <xf numFmtId="164" fontId="11" fillId="0" borderId="1" xfId="12" applyNumberFormat="1" applyFont="1" applyBorder="1"/>
    <xf numFmtId="168" fontId="10" fillId="0" borderId="1" xfId="12" applyNumberFormat="1" applyFont="1" applyBorder="1" applyAlignment="1">
      <alignment horizontal="center" vertical="center"/>
    </xf>
    <xf numFmtId="0" fontId="11" fillId="0" borderId="0" xfId="0" applyFont="1"/>
    <xf numFmtId="0" fontId="10" fillId="5" borderId="1" xfId="9" applyFont="1" applyFill="1" applyBorder="1" applyAlignment="1">
      <alignment horizontal="center" vertical="center"/>
    </xf>
    <xf numFmtId="164" fontId="10" fillId="5" borderId="1" xfId="9" applyNumberFormat="1" applyFont="1" applyFill="1" applyBorder="1" applyAlignment="1">
      <alignment horizontal="center" vertical="center"/>
    </xf>
    <xf numFmtId="0" fontId="10" fillId="0" borderId="1" xfId="9" applyFont="1" applyBorder="1" applyAlignment="1">
      <alignment horizontal="center" vertical="center"/>
    </xf>
    <xf numFmtId="2" fontId="10" fillId="0" borderId="1" xfId="9" applyNumberFormat="1" applyFont="1" applyBorder="1" applyAlignment="1">
      <alignment horizontal="center" vertical="center"/>
    </xf>
    <xf numFmtId="164" fontId="10" fillId="0" borderId="1" xfId="9" applyNumberFormat="1" applyFont="1" applyBorder="1" applyAlignment="1">
      <alignment horizontal="center" vertical="center"/>
    </xf>
    <xf numFmtId="4" fontId="32" fillId="0" borderId="1" xfId="6" applyNumberFormat="1" applyFont="1" applyBorder="1" applyAlignment="1">
      <alignment horizontal="center" vertical="center"/>
    </xf>
    <xf numFmtId="2" fontId="11" fillId="0" borderId="1" xfId="9" applyNumberFormat="1" applyFont="1" applyBorder="1" applyAlignment="1">
      <alignment horizontal="center" vertical="center"/>
    </xf>
    <xf numFmtId="0" fontId="11" fillId="0" borderId="1" xfId="0" applyFont="1" applyBorder="1"/>
    <xf numFmtId="0" fontId="11" fillId="0" borderId="1" xfId="0" applyFont="1" applyBorder="1" applyAlignment="1">
      <alignment horizontal="center"/>
    </xf>
    <xf numFmtId="0" fontId="11" fillId="0" borderId="0" xfId="0" applyFont="1" applyAlignment="1">
      <alignment horizontal="center" vertical="center"/>
    </xf>
    <xf numFmtId="0" fontId="11" fillId="0" borderId="1" xfId="9" applyFont="1" applyBorder="1" applyAlignment="1">
      <alignment horizontal="center" vertical="center"/>
    </xf>
    <xf numFmtId="0" fontId="17" fillId="0" borderId="1" xfId="9" applyFont="1" applyBorder="1" applyAlignment="1">
      <alignment horizontal="center" vertical="center"/>
    </xf>
    <xf numFmtId="164" fontId="11" fillId="0" borderId="1" xfId="9" applyNumberFormat="1" applyFont="1" applyBorder="1" applyAlignment="1">
      <alignment horizontal="center" vertical="center"/>
    </xf>
    <xf numFmtId="0" fontId="11" fillId="0" borderId="1" xfId="0" applyFont="1" applyBorder="1" applyAlignment="1">
      <alignment horizontal="center" vertical="center"/>
    </xf>
    <xf numFmtId="0" fontId="11" fillId="16" borderId="1" xfId="0" applyFont="1" applyFill="1" applyBorder="1" applyAlignment="1">
      <alignment horizontal="center" vertical="center"/>
    </xf>
    <xf numFmtId="0" fontId="33" fillId="16" borderId="22" xfId="9" applyFont="1" applyFill="1" applyBorder="1" applyAlignment="1">
      <alignment horizontal="center" vertical="center"/>
    </xf>
    <xf numFmtId="0" fontId="10" fillId="17" borderId="1" xfId="12" applyFont="1" applyFill="1" applyBorder="1" applyAlignment="1">
      <alignment vertical="center"/>
    </xf>
    <xf numFmtId="0" fontId="31" fillId="0" borderId="0" xfId="0" applyFont="1" applyAlignment="1">
      <alignment horizontal="center" vertical="center"/>
    </xf>
    <xf numFmtId="0" fontId="31" fillId="0" borderId="0" xfId="0" applyFont="1" applyAlignment="1">
      <alignment horizontal="left" vertical="center"/>
    </xf>
    <xf numFmtId="0" fontId="31" fillId="0" borderId="0" xfId="9" applyFont="1" applyAlignment="1">
      <alignment horizontal="left" vertical="center"/>
    </xf>
    <xf numFmtId="0" fontId="10" fillId="0" borderId="1" xfId="9" applyFont="1" applyBorder="1" applyAlignment="1">
      <alignment horizontal="right"/>
    </xf>
    <xf numFmtId="43" fontId="11" fillId="0" borderId="1" xfId="9" applyNumberFormat="1" applyFont="1" applyBorder="1" applyAlignment="1">
      <alignment horizontal="right"/>
    </xf>
    <xf numFmtId="0" fontId="11" fillId="16" borderId="1" xfId="0" applyFont="1" applyFill="1" applyBorder="1" applyAlignment="1">
      <alignment horizontal="right"/>
    </xf>
    <xf numFmtId="0" fontId="11" fillId="0" borderId="1" xfId="0" applyFont="1" applyBorder="1" applyAlignment="1">
      <alignment horizontal="right"/>
    </xf>
    <xf numFmtId="0" fontId="11" fillId="0" borderId="1" xfId="9" applyFont="1" applyBorder="1" applyAlignment="1">
      <alignment horizontal="right"/>
    </xf>
    <xf numFmtId="0" fontId="11" fillId="0" borderId="0" xfId="0" applyFont="1" applyAlignment="1">
      <alignment horizontal="right"/>
    </xf>
    <xf numFmtId="0" fontId="10" fillId="18" borderId="1" xfId="9" applyFont="1" applyFill="1" applyBorder="1" applyAlignment="1">
      <alignment horizontal="center" vertical="center"/>
    </xf>
    <xf numFmtId="2" fontId="10" fillId="18" borderId="1" xfId="9" applyNumberFormat="1" applyFont="1" applyFill="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right"/>
    </xf>
    <xf numFmtId="4" fontId="11" fillId="0" borderId="1" xfId="9" applyNumberFormat="1" applyFont="1" applyBorder="1"/>
    <xf numFmtId="0" fontId="31" fillId="0" borderId="1" xfId="9" applyFont="1" applyBorder="1" applyAlignment="1">
      <alignment horizontal="left" vertical="center"/>
    </xf>
    <xf numFmtId="0" fontId="31" fillId="0" borderId="1" xfId="0" applyFont="1" applyBorder="1" applyAlignment="1">
      <alignment horizontal="left" vertical="center"/>
    </xf>
    <xf numFmtId="3" fontId="11" fillId="0" borderId="1" xfId="0" applyNumberFormat="1" applyFont="1" applyBorder="1" applyAlignment="1">
      <alignment horizontal="center" vertical="center"/>
    </xf>
    <xf numFmtId="43" fontId="11" fillId="0" borderId="1" xfId="2" applyFont="1" applyBorder="1" applyAlignment="1">
      <alignment horizontal="center" vertical="center"/>
    </xf>
    <xf numFmtId="0" fontId="34" fillId="0" borderId="1" xfId="0" applyFont="1" applyBorder="1" applyAlignment="1">
      <alignment horizontal="left" vertical="center"/>
    </xf>
    <xf numFmtId="4" fontId="10" fillId="0" borderId="1" xfId="9" applyNumberFormat="1" applyFont="1" applyBorder="1"/>
    <xf numFmtId="3" fontId="10" fillId="0" borderId="1" xfId="0" applyNumberFormat="1" applyFont="1" applyBorder="1" applyAlignment="1">
      <alignment horizontal="center" vertical="center"/>
    </xf>
    <xf numFmtId="43" fontId="10" fillId="0" borderId="1" xfId="2" applyFont="1" applyBorder="1" applyAlignment="1">
      <alignment horizontal="center" vertical="center"/>
    </xf>
    <xf numFmtId="165" fontId="0" fillId="0" borderId="0" xfId="0" applyNumberFormat="1"/>
    <xf numFmtId="0" fontId="10" fillId="0" borderId="1" xfId="0" applyFont="1" applyBorder="1"/>
    <xf numFmtId="3" fontId="11" fillId="0" borderId="1" xfId="0" applyNumberFormat="1" applyFont="1" applyBorder="1"/>
    <xf numFmtId="4" fontId="11" fillId="0" borderId="1" xfId="0" applyNumberFormat="1" applyFont="1" applyBorder="1"/>
    <xf numFmtId="4" fontId="11" fillId="19" borderId="1" xfId="0" applyNumberFormat="1" applyFont="1" applyFill="1" applyBorder="1"/>
    <xf numFmtId="3" fontId="10" fillId="0" borderId="1" xfId="0" applyNumberFormat="1" applyFont="1" applyBorder="1"/>
    <xf numFmtId="4" fontId="10" fillId="0" borderId="1" xfId="0" applyNumberFormat="1" applyFont="1" applyBorder="1"/>
    <xf numFmtId="4" fontId="10" fillId="19" borderId="1" xfId="0" applyNumberFormat="1" applyFont="1" applyFill="1" applyBorder="1"/>
    <xf numFmtId="3" fontId="11" fillId="0" borderId="0" xfId="0" applyNumberFormat="1" applyFont="1"/>
    <xf numFmtId="4" fontId="11" fillId="0" borderId="0" xfId="0" applyNumberFormat="1" applyFont="1"/>
    <xf numFmtId="175" fontId="25" fillId="8" borderId="1" xfId="7" applyNumberFormat="1" applyFont="1" applyFill="1" applyBorder="1" applyAlignment="1">
      <alignment vertical="center" wrapText="1"/>
    </xf>
    <xf numFmtId="175" fontId="25" fillId="8" borderId="4" xfId="7" applyNumberFormat="1" applyFont="1" applyFill="1" applyBorder="1" applyAlignment="1">
      <alignment vertical="center" wrapText="1"/>
    </xf>
    <xf numFmtId="175" fontId="25" fillId="8" borderId="1" xfId="7" applyNumberFormat="1" applyFont="1" applyFill="1" applyBorder="1" applyAlignment="1">
      <alignment horizontal="center" vertical="center" wrapText="1"/>
    </xf>
    <xf numFmtId="0" fontId="23" fillId="0" borderId="1" xfId="13" applyFont="1" applyBorder="1" applyAlignment="1">
      <alignment horizontal="center" vertical="center"/>
    </xf>
    <xf numFmtId="0" fontId="23" fillId="0" borderId="1" xfId="13" applyFont="1" applyBorder="1" applyAlignment="1">
      <alignment vertical="center"/>
    </xf>
    <xf numFmtId="176" fontId="23" fillId="0" borderId="1" xfId="7" applyNumberFormat="1" applyFont="1" applyBorder="1" applyAlignment="1">
      <alignment horizontal="center" vertical="center"/>
    </xf>
    <xf numFmtId="177" fontId="23" fillId="0" borderId="1" xfId="7" applyNumberFormat="1" applyFont="1" applyBorder="1" applyAlignment="1">
      <alignment horizontal="center" vertical="center"/>
    </xf>
    <xf numFmtId="177" fontId="23" fillId="0" borderId="1" xfId="7" applyNumberFormat="1" applyFont="1" applyFill="1" applyBorder="1" applyAlignment="1">
      <alignment horizontal="center" vertical="center"/>
    </xf>
    <xf numFmtId="0" fontId="1" fillId="20" borderId="1" xfId="13" applyFont="1" applyFill="1" applyBorder="1" applyAlignment="1">
      <alignment horizontal="center" vertical="center"/>
    </xf>
    <xf numFmtId="0" fontId="21" fillId="20" borderId="1" xfId="13" applyFont="1" applyFill="1" applyBorder="1" applyAlignment="1">
      <alignment vertical="center"/>
    </xf>
    <xf numFmtId="176" fontId="21" fillId="20" borderId="1" xfId="7" applyNumberFormat="1" applyFont="1" applyFill="1" applyBorder="1" applyAlignment="1">
      <alignment horizontal="center" vertical="center"/>
    </xf>
    <xf numFmtId="177" fontId="21" fillId="20" borderId="1" xfId="7" applyNumberFormat="1" applyFont="1" applyFill="1" applyBorder="1" applyAlignment="1">
      <alignment horizontal="center" vertical="center"/>
    </xf>
    <xf numFmtId="0" fontId="28" fillId="0" borderId="1" xfId="13" applyFont="1" applyBorder="1" applyAlignment="1">
      <alignment vertical="center"/>
    </xf>
    <xf numFmtId="0" fontId="1" fillId="0" borderId="0" xfId="13" applyFont="1" applyAlignment="1">
      <alignment vertical="center"/>
    </xf>
    <xf numFmtId="175" fontId="1" fillId="0" borderId="0" xfId="7" applyNumberFormat="1" applyFont="1" applyAlignment="1">
      <alignment vertical="center"/>
    </xf>
    <xf numFmtId="43" fontId="1" fillId="0" borderId="0" xfId="13" applyNumberFormat="1" applyFont="1" applyAlignment="1">
      <alignment vertical="center"/>
    </xf>
    <xf numFmtId="164" fontId="1" fillId="0" borderId="0" xfId="4" applyFont="1" applyAlignment="1">
      <alignment vertical="center"/>
    </xf>
    <xf numFmtId="0" fontId="10" fillId="21" borderId="1" xfId="0" applyFont="1" applyFill="1" applyBorder="1"/>
    <xf numFmtId="0" fontId="10" fillId="0" borderId="0" xfId="3" applyFont="1" applyAlignment="1">
      <alignment horizontal="left" vertical="center"/>
    </xf>
    <xf numFmtId="0" fontId="10" fillId="0" borderId="0" xfId="12" applyFont="1" applyAlignment="1">
      <alignment vertical="center"/>
    </xf>
    <xf numFmtId="0" fontId="11" fillId="0" borderId="0" xfId="12" applyFont="1" applyAlignment="1">
      <alignment vertical="center"/>
    </xf>
    <xf numFmtId="0" fontId="11" fillId="0" borderId="0" xfId="12" applyFont="1" applyAlignment="1">
      <alignment horizontal="center" vertical="center" wrapText="1"/>
    </xf>
    <xf numFmtId="3" fontId="11" fillId="0" borderId="0" xfId="12" applyNumberFormat="1" applyFont="1" applyAlignment="1">
      <alignment horizontal="center" vertical="center"/>
    </xf>
    <xf numFmtId="4" fontId="11" fillId="0" borderId="0" xfId="12" applyNumberFormat="1" applyFont="1" applyAlignment="1">
      <alignment vertical="center"/>
    </xf>
    <xf numFmtId="3" fontId="11" fillId="0" borderId="0" xfId="12" applyNumberFormat="1" applyFont="1" applyAlignment="1">
      <alignment vertical="center"/>
    </xf>
    <xf numFmtId="43" fontId="11" fillId="0" borderId="0" xfId="7" applyFont="1" applyAlignment="1">
      <alignment horizontal="center" vertical="center"/>
    </xf>
    <xf numFmtId="164" fontId="11" fillId="0" borderId="0" xfId="4" applyFont="1" applyBorder="1" applyAlignment="1">
      <alignment vertical="center"/>
    </xf>
    <xf numFmtId="164" fontId="11" fillId="0" borderId="0" xfId="4" applyFont="1" applyAlignment="1">
      <alignment vertical="center"/>
    </xf>
    <xf numFmtId="0" fontId="10" fillId="0" borderId="1" xfId="12" applyFont="1" applyBorder="1" applyAlignment="1">
      <alignment horizontal="center" vertical="center" wrapText="1"/>
    </xf>
    <xf numFmtId="3" fontId="10" fillId="0" borderId="1" xfId="12" applyNumberFormat="1" applyFont="1" applyBorder="1" applyAlignment="1">
      <alignment horizontal="center" vertical="center" wrapText="1"/>
    </xf>
    <xf numFmtId="4" fontId="10" fillId="0" borderId="1" xfId="12" applyNumberFormat="1" applyFont="1" applyBorder="1" applyAlignment="1">
      <alignment horizontal="center" vertical="center" wrapText="1"/>
    </xf>
    <xf numFmtId="43" fontId="10" fillId="0" borderId="0" xfId="7" applyFont="1" applyAlignment="1">
      <alignment horizontal="center" vertical="center" wrapText="1"/>
    </xf>
    <xf numFmtId="0" fontId="10" fillId="0" borderId="0" xfId="12" applyFont="1" applyAlignment="1">
      <alignment horizontal="center" vertical="center" wrapText="1"/>
    </xf>
    <xf numFmtId="3" fontId="11" fillId="0" borderId="1" xfId="12" applyNumberFormat="1" applyFont="1" applyBorder="1" applyAlignment="1">
      <alignment horizontal="center" vertical="center"/>
    </xf>
    <xf numFmtId="4" fontId="11" fillId="0" borderId="1" xfId="12" applyNumberFormat="1" applyFont="1" applyBorder="1" applyAlignment="1">
      <alignment vertical="center"/>
    </xf>
    <xf numFmtId="3" fontId="11" fillId="0" borderId="1" xfId="12" applyNumberFormat="1" applyFont="1" applyBorder="1" applyAlignment="1">
      <alignment vertical="center"/>
    </xf>
    <xf numFmtId="0" fontId="2" fillId="8" borderId="1" xfId="4" applyNumberFormat="1" applyFont="1" applyFill="1" applyBorder="1" applyAlignment="1">
      <alignment horizontal="center" vertical="center"/>
    </xf>
    <xf numFmtId="164" fontId="2" fillId="8" borderId="1" xfId="4" applyFont="1" applyFill="1" applyBorder="1" applyAlignment="1">
      <alignment horizontal="center" vertical="center"/>
    </xf>
    <xf numFmtId="164" fontId="2" fillId="8" borderId="1" xfId="4" applyFont="1" applyFill="1" applyBorder="1" applyAlignment="1">
      <alignment vertical="center"/>
    </xf>
    <xf numFmtId="0" fontId="11" fillId="0" borderId="1" xfId="12" applyFont="1" applyBorder="1" applyAlignment="1">
      <alignment vertical="center" wrapText="1"/>
    </xf>
    <xf numFmtId="0" fontId="1" fillId="0" borderId="1" xfId="4" applyNumberFormat="1" applyFont="1" applyBorder="1" applyAlignment="1">
      <alignment horizontal="center" vertical="center"/>
    </xf>
    <xf numFmtId="164" fontId="1" fillId="0" borderId="1" xfId="4" applyFont="1" applyBorder="1" applyAlignment="1">
      <alignment vertical="center"/>
    </xf>
    <xf numFmtId="175" fontId="1" fillId="0" borderId="1" xfId="4" applyNumberFormat="1" applyFont="1" applyBorder="1" applyAlignment="1">
      <alignment vertical="center"/>
    </xf>
    <xf numFmtId="164" fontId="11" fillId="0" borderId="0" xfId="4" applyFont="1"/>
    <xf numFmtId="0" fontId="10" fillId="0" borderId="0" xfId="12" applyFont="1" applyAlignment="1">
      <alignment horizontal="center" vertical="center"/>
    </xf>
    <xf numFmtId="3" fontId="10" fillId="0" borderId="1" xfId="12" applyNumberFormat="1" applyFont="1" applyBorder="1" applyAlignment="1">
      <alignment horizontal="right" vertical="center"/>
    </xf>
    <xf numFmtId="4" fontId="10" fillId="0" borderId="1" xfId="12" applyNumberFormat="1" applyFont="1" applyBorder="1" applyAlignment="1">
      <alignment horizontal="right" vertical="center"/>
    </xf>
    <xf numFmtId="4" fontId="10" fillId="0" borderId="0" xfId="12" applyNumberFormat="1" applyFont="1" applyAlignment="1">
      <alignment horizontal="center" vertical="center"/>
    </xf>
    <xf numFmtId="3" fontId="10" fillId="0" borderId="0" xfId="12" applyNumberFormat="1" applyFont="1" applyAlignment="1">
      <alignment horizontal="center" vertical="center"/>
    </xf>
    <xf numFmtId="3" fontId="10" fillId="0" borderId="1" xfId="12" applyNumberFormat="1" applyFont="1" applyBorder="1" applyAlignment="1">
      <alignment horizontal="center" vertical="center"/>
    </xf>
    <xf numFmtId="4" fontId="10" fillId="0" borderId="1" xfId="12" applyNumberFormat="1" applyFont="1" applyBorder="1" applyAlignment="1">
      <alignment vertical="center"/>
    </xf>
    <xf numFmtId="3" fontId="10" fillId="0" borderId="1" xfId="12" applyNumberFormat="1" applyFont="1" applyBorder="1" applyAlignment="1">
      <alignment vertical="center"/>
    </xf>
    <xf numFmtId="0" fontId="11" fillId="0" borderId="1" xfId="12" applyFont="1" applyBorder="1" applyAlignment="1">
      <alignment horizontal="left" vertical="center"/>
    </xf>
    <xf numFmtId="0" fontId="10" fillId="15" borderId="1" xfId="12" applyFont="1" applyFill="1" applyBorder="1" applyAlignment="1">
      <alignment vertical="center"/>
    </xf>
    <xf numFmtId="0" fontId="10" fillId="15" borderId="1" xfId="12" applyFont="1" applyFill="1" applyBorder="1" applyAlignment="1">
      <alignment horizontal="left" vertical="center"/>
    </xf>
    <xf numFmtId="0" fontId="10" fillId="15" borderId="1" xfId="12" applyFont="1" applyFill="1" applyBorder="1" applyAlignment="1">
      <alignment horizontal="center" vertical="center" wrapText="1"/>
    </xf>
    <xf numFmtId="0" fontId="10" fillId="15" borderId="1" xfId="12" applyFont="1" applyFill="1" applyBorder="1" applyAlignment="1">
      <alignment horizontal="right" vertical="center" wrapText="1"/>
    </xf>
    <xf numFmtId="2" fontId="10" fillId="15" borderId="1" xfId="12" applyNumberFormat="1" applyFont="1" applyFill="1" applyBorder="1" applyAlignment="1">
      <alignment horizontal="right" vertical="center" wrapText="1"/>
    </xf>
    <xf numFmtId="43" fontId="10" fillId="0" borderId="0" xfId="7" applyFont="1" applyAlignment="1">
      <alignment horizontal="center" vertical="center"/>
    </xf>
    <xf numFmtId="0" fontId="10" fillId="0" borderId="0" xfId="12" applyFont="1"/>
    <xf numFmtId="4" fontId="11" fillId="0" borderId="0" xfId="12" applyNumberFormat="1" applyFont="1"/>
    <xf numFmtId="43" fontId="11" fillId="0" borderId="0" xfId="7" applyFont="1" applyAlignment="1">
      <alignment horizontal="center"/>
    </xf>
    <xf numFmtId="0" fontId="11" fillId="0" borderId="0" xfId="12" applyFont="1" applyAlignment="1">
      <alignment horizontal="center"/>
    </xf>
    <xf numFmtId="164" fontId="11" fillId="0" borderId="0" xfId="4" applyFont="1" applyBorder="1"/>
    <xf numFmtId="0" fontId="19" fillId="0" borderId="1" xfId="12" applyFont="1" applyBorder="1" applyAlignment="1">
      <alignment vertical="center"/>
    </xf>
    <xf numFmtId="0" fontId="6" fillId="0" borderId="0" xfId="0" applyFont="1"/>
    <xf numFmtId="164" fontId="6" fillId="0" borderId="0" xfId="4" applyFont="1"/>
    <xf numFmtId="0" fontId="22" fillId="0" borderId="0" xfId="9"/>
    <xf numFmtId="0" fontId="6" fillId="0" borderId="0" xfId="0" applyFont="1" applyAlignment="1">
      <alignment horizontal="center"/>
    </xf>
    <xf numFmtId="0" fontId="19" fillId="0" borderId="1" xfId="12" applyFont="1" applyBorder="1" applyAlignment="1">
      <alignment horizontal="center" vertical="center"/>
    </xf>
    <xf numFmtId="0" fontId="11" fillId="0" borderId="1" xfId="12" applyFont="1" applyBorder="1" applyAlignment="1">
      <alignment vertical="center"/>
    </xf>
    <xf numFmtId="0" fontId="11" fillId="15" borderId="1" xfId="12" applyFont="1" applyFill="1" applyBorder="1" applyAlignment="1">
      <alignment horizontal="center" vertical="center"/>
    </xf>
    <xf numFmtId="43" fontId="10" fillId="15" borderId="1" xfId="2" applyFont="1" applyFill="1" applyBorder="1" applyAlignment="1">
      <alignment horizontal="right" vertical="center" wrapText="1"/>
    </xf>
    <xf numFmtId="0" fontId="11" fillId="0" borderId="1" xfId="0" applyFont="1" applyBorder="1" applyAlignment="1">
      <alignment horizontal="left"/>
    </xf>
    <xf numFmtId="43" fontId="11" fillId="0" borderId="0" xfId="2" applyFont="1" applyAlignment="1">
      <alignment horizontal="center" vertical="center"/>
    </xf>
    <xf numFmtId="43" fontId="10" fillId="0" borderId="0" xfId="2" applyFont="1" applyAlignment="1">
      <alignment horizontal="center" vertical="center" wrapText="1"/>
    </xf>
    <xf numFmtId="43" fontId="11" fillId="0" borderId="0" xfId="2" applyFont="1" applyBorder="1" applyAlignment="1">
      <alignment horizontal="center" vertical="center"/>
    </xf>
    <xf numFmtId="43" fontId="11" fillId="0" borderId="0" xfId="2" applyFont="1" applyBorder="1" applyAlignment="1">
      <alignment horizontal="center"/>
    </xf>
    <xf numFmtId="43" fontId="11" fillId="0" borderId="0" xfId="2" applyFont="1" applyAlignment="1">
      <alignment horizontal="center"/>
    </xf>
    <xf numFmtId="43" fontId="10" fillId="0" borderId="1" xfId="2" applyFont="1" applyBorder="1" applyAlignment="1">
      <alignment horizontal="center" vertical="center" wrapText="1"/>
    </xf>
    <xf numFmtId="43" fontId="10" fillId="0" borderId="1" xfId="2" applyFont="1" applyBorder="1" applyAlignment="1">
      <alignment vertical="center"/>
    </xf>
    <xf numFmtId="43" fontId="11" fillId="0" borderId="0" xfId="2" applyFont="1"/>
    <xf numFmtId="43" fontId="11" fillId="0" borderId="0" xfId="2" applyFont="1" applyAlignment="1">
      <alignment vertical="center"/>
    </xf>
    <xf numFmtId="164" fontId="10" fillId="16" borderId="1" xfId="4" applyFont="1" applyFill="1" applyBorder="1" applyAlignment="1">
      <alignment vertical="center"/>
    </xf>
    <xf numFmtId="177" fontId="1" fillId="0" borderId="1" xfId="4" applyNumberFormat="1" applyFont="1" applyBorder="1" applyAlignment="1">
      <alignment vertical="center"/>
    </xf>
    <xf numFmtId="177" fontId="10" fillId="16" borderId="1" xfId="12" applyNumberFormat="1" applyFont="1" applyFill="1" applyBorder="1" applyAlignment="1">
      <alignment vertical="center"/>
    </xf>
    <xf numFmtId="43" fontId="11" fillId="0" borderId="0" xfId="12" applyNumberFormat="1" applyFont="1" applyAlignment="1">
      <alignment vertical="center"/>
    </xf>
    <xf numFmtId="0" fontId="14" fillId="0" borderId="0" xfId="12" applyFont="1" applyAlignment="1">
      <alignment horizontal="center" vertical="center"/>
    </xf>
    <xf numFmtId="178" fontId="10" fillId="0" borderId="0" xfId="3" applyNumberFormat="1" applyFont="1" applyAlignment="1">
      <alignment horizontal="right" vertical="center"/>
    </xf>
    <xf numFmtId="0" fontId="11" fillId="0" borderId="0" xfId="3" applyFont="1" applyAlignment="1">
      <alignment vertical="center"/>
    </xf>
    <xf numFmtId="3" fontId="11" fillId="0" borderId="0" xfId="3" applyNumberFormat="1" applyFont="1" applyAlignment="1">
      <alignment horizontal="right"/>
    </xf>
    <xf numFmtId="0" fontId="11" fillId="0" borderId="0" xfId="3" applyFont="1" applyAlignment="1">
      <alignment horizontal="left"/>
    </xf>
    <xf numFmtId="0" fontId="11" fillId="0" borderId="0" xfId="3" applyFont="1"/>
    <xf numFmtId="0" fontId="19" fillId="0" borderId="1" xfId="3" applyFont="1" applyBorder="1" applyAlignment="1">
      <alignment horizontal="center" vertical="center" wrapText="1"/>
    </xf>
    <xf numFmtId="0" fontId="10" fillId="0" borderId="1" xfId="3" applyFont="1" applyBorder="1" applyAlignment="1">
      <alignment horizontal="center" vertical="center" wrapText="1"/>
    </xf>
    <xf numFmtId="4" fontId="10" fillId="0" borderId="1" xfId="3" applyNumberFormat="1" applyFont="1" applyBorder="1" applyAlignment="1">
      <alignment horizontal="center" vertical="center" wrapText="1"/>
    </xf>
    <xf numFmtId="3" fontId="10" fillId="0" borderId="1" xfId="3" applyNumberFormat="1" applyFont="1" applyBorder="1" applyAlignment="1">
      <alignment horizontal="center" vertical="center" wrapText="1"/>
    </xf>
    <xf numFmtId="3" fontId="10" fillId="0" borderId="0" xfId="3" applyNumberFormat="1" applyFont="1" applyAlignment="1">
      <alignment horizontal="center" vertical="center" wrapText="1"/>
    </xf>
    <xf numFmtId="178" fontId="10" fillId="0" borderId="0" xfId="3" applyNumberFormat="1" applyFont="1" applyAlignment="1">
      <alignment horizontal="center" vertical="center"/>
    </xf>
    <xf numFmtId="0" fontId="11" fillId="0" borderId="0" xfId="3" applyFont="1" applyAlignment="1">
      <alignment horizontal="center" vertical="center" wrapText="1"/>
    </xf>
    <xf numFmtId="3" fontId="11" fillId="0" borderId="0" xfId="3" applyNumberFormat="1" applyFont="1" applyAlignment="1">
      <alignment horizontal="center" vertical="center" wrapText="1"/>
    </xf>
    <xf numFmtId="0" fontId="11" fillId="0" borderId="0" xfId="3" applyFont="1" applyAlignment="1">
      <alignment horizontal="center" vertical="center"/>
    </xf>
    <xf numFmtId="0" fontId="10" fillId="0" borderId="0" xfId="3" applyFont="1" applyAlignment="1">
      <alignment horizontal="center" vertical="center"/>
    </xf>
    <xf numFmtId="0" fontId="35" fillId="0" borderId="4" xfId="3" applyFont="1" applyBorder="1" applyAlignment="1">
      <alignment horizontal="center" vertical="center" wrapText="1"/>
    </xf>
    <xf numFmtId="3" fontId="11" fillId="0" borderId="1" xfId="3" applyNumberFormat="1" applyFont="1" applyBorder="1" applyAlignment="1">
      <alignment horizontal="center" vertical="center"/>
    </xf>
    <xf numFmtId="4" fontId="11" fillId="0" borderId="1" xfId="3" applyNumberFormat="1" applyFont="1" applyBorder="1" applyAlignment="1">
      <alignment vertical="center"/>
    </xf>
    <xf numFmtId="3" fontId="11" fillId="0" borderId="1" xfId="3" applyNumberFormat="1" applyFont="1" applyBorder="1" applyAlignment="1">
      <alignment vertical="center"/>
    </xf>
    <xf numFmtId="3" fontId="11" fillId="0" borderId="1" xfId="3" applyNumberFormat="1" applyFont="1" applyBorder="1" applyAlignment="1">
      <alignment horizontal="right"/>
    </xf>
    <xf numFmtId="0" fontId="17" fillId="0" borderId="0" xfId="3" applyFont="1" applyAlignment="1">
      <alignment vertical="center"/>
    </xf>
    <xf numFmtId="4" fontId="11" fillId="0" borderId="0" xfId="3" applyNumberFormat="1" applyFont="1" applyAlignment="1">
      <alignment horizontal="right" vertical="center"/>
    </xf>
    <xf numFmtId="3" fontId="11" fillId="0" borderId="0" xfId="3" applyNumberFormat="1" applyFont="1" applyAlignment="1">
      <alignment horizontal="right" vertical="center"/>
    </xf>
    <xf numFmtId="0" fontId="11" fillId="0" borderId="4" xfId="3" applyFont="1" applyBorder="1" applyAlignment="1">
      <alignment vertical="center" wrapText="1"/>
    </xf>
    <xf numFmtId="164" fontId="11" fillId="0" borderId="0" xfId="4" applyFont="1" applyFill="1" applyBorder="1" applyAlignment="1">
      <alignment vertical="center"/>
    </xf>
    <xf numFmtId="3" fontId="11" fillId="0" borderId="0" xfId="4" applyNumberFormat="1" applyFont="1" applyFill="1" applyBorder="1" applyAlignment="1">
      <alignment horizontal="right"/>
    </xf>
    <xf numFmtId="0" fontId="11" fillId="0" borderId="0" xfId="3" applyFont="1" applyAlignment="1">
      <alignment horizontal="left" vertical="center"/>
    </xf>
    <xf numFmtId="0" fontId="17" fillId="0" borderId="0" xfId="3" applyFont="1"/>
    <xf numFmtId="3" fontId="10" fillId="0" borderId="0" xfId="3" applyNumberFormat="1" applyFont="1" applyAlignment="1">
      <alignment horizontal="right" vertical="center"/>
    </xf>
    <xf numFmtId="0" fontId="10" fillId="0" borderId="4" xfId="3" applyFont="1" applyBorder="1" applyAlignment="1">
      <alignment horizontal="center" vertical="center" wrapText="1"/>
    </xf>
    <xf numFmtId="4" fontId="10" fillId="0" borderId="1" xfId="3" applyNumberFormat="1" applyFont="1" applyBorder="1" applyAlignment="1">
      <alignment vertical="center"/>
    </xf>
    <xf numFmtId="3" fontId="10" fillId="0" borderId="1" xfId="3" applyNumberFormat="1" applyFont="1" applyBorder="1" applyAlignment="1">
      <alignment vertical="center"/>
    </xf>
    <xf numFmtId="3" fontId="10" fillId="0" borderId="0" xfId="3" applyNumberFormat="1" applyFont="1" applyAlignment="1">
      <alignment horizontal="right"/>
    </xf>
    <xf numFmtId="0" fontId="11" fillId="0" borderId="0" xfId="9" applyFont="1"/>
    <xf numFmtId="0" fontId="22" fillId="0" borderId="0" xfId="0" applyFont="1"/>
    <xf numFmtId="3" fontId="11" fillId="0" borderId="0" xfId="3" applyNumberFormat="1" applyFont="1" applyAlignment="1">
      <alignment horizontal="center" vertical="center"/>
    </xf>
    <xf numFmtId="4" fontId="11" fillId="0" borderId="0" xfId="3" applyNumberFormat="1" applyFont="1" applyAlignment="1">
      <alignment vertical="center"/>
    </xf>
    <xf numFmtId="3" fontId="11" fillId="0" borderId="0" xfId="3" applyNumberFormat="1" applyFont="1" applyAlignment="1">
      <alignment vertical="center"/>
    </xf>
    <xf numFmtId="3" fontId="11" fillId="0" borderId="0" xfId="3" applyNumberFormat="1" applyFont="1" applyAlignment="1">
      <alignment horizontal="center"/>
    </xf>
    <xf numFmtId="4" fontId="11" fillId="0" borderId="0" xfId="3" applyNumberFormat="1" applyFont="1"/>
    <xf numFmtId="3" fontId="11" fillId="0" borderId="0" xfId="3" applyNumberFormat="1" applyFont="1"/>
    <xf numFmtId="0" fontId="14" fillId="6" borderId="0" xfId="0" applyFont="1" applyFill="1" applyAlignment="1">
      <alignment horizontal="center"/>
    </xf>
    <xf numFmtId="0" fontId="10" fillId="21" borderId="0" xfId="0" applyFont="1" applyFill="1"/>
    <xf numFmtId="0" fontId="10" fillId="0" borderId="1" xfId="3" applyFont="1" applyBorder="1" applyAlignment="1">
      <alignment horizontal="center" vertical="center"/>
    </xf>
    <xf numFmtId="0" fontId="10" fillId="0" borderId="4" xfId="3" applyFont="1" applyBorder="1" applyAlignment="1">
      <alignment vertical="center" wrapText="1"/>
    </xf>
    <xf numFmtId="3" fontId="10" fillId="0" borderId="1" xfId="3" applyNumberFormat="1" applyFont="1" applyBorder="1" applyAlignment="1">
      <alignment horizontal="center" vertical="center"/>
    </xf>
    <xf numFmtId="0" fontId="10" fillId="0" borderId="0" xfId="0" applyFont="1"/>
    <xf numFmtId="0" fontId="10" fillId="0" borderId="0" xfId="3" applyFont="1" applyAlignment="1">
      <alignment vertical="center"/>
    </xf>
    <xf numFmtId="164" fontId="10" fillId="0" borderId="0" xfId="4" applyFont="1" applyFill="1" applyBorder="1" applyAlignment="1">
      <alignment vertical="center"/>
    </xf>
    <xf numFmtId="3" fontId="10" fillId="0" borderId="0" xfId="4" applyNumberFormat="1" applyFont="1" applyFill="1" applyBorder="1" applyAlignment="1">
      <alignment horizontal="right"/>
    </xf>
    <xf numFmtId="0" fontId="10" fillId="0" borderId="0" xfId="3" applyFont="1" applyAlignment="1">
      <alignment horizontal="right"/>
    </xf>
    <xf numFmtId="0" fontId="19" fillId="0" borderId="0" xfId="3" applyFont="1"/>
    <xf numFmtId="4" fontId="10" fillId="0" borderId="0" xfId="3" applyNumberFormat="1" applyFont="1" applyAlignment="1">
      <alignment horizontal="right" vertical="center"/>
    </xf>
    <xf numFmtId="0" fontId="10" fillId="0" borderId="0" xfId="3" applyFont="1"/>
    <xf numFmtId="3" fontId="10" fillId="15" borderId="1" xfId="3" applyNumberFormat="1" applyFont="1" applyFill="1" applyBorder="1" applyAlignment="1">
      <alignment horizontal="center" vertical="center"/>
    </xf>
    <xf numFmtId="0" fontId="17" fillId="0" borderId="1" xfId="3" applyFont="1" applyBorder="1" applyAlignment="1">
      <alignment horizontal="center" vertical="center"/>
    </xf>
    <xf numFmtId="0" fontId="10" fillId="15" borderId="0" xfId="12" applyFont="1" applyFill="1" applyAlignment="1">
      <alignment horizontal="center" vertical="center"/>
    </xf>
    <xf numFmtId="0" fontId="10" fillId="15" borderId="0" xfId="12" applyFont="1" applyFill="1" applyAlignment="1">
      <alignment vertical="center"/>
    </xf>
    <xf numFmtId="0" fontId="10" fillId="15" borderId="0" xfId="3" applyFont="1" applyFill="1" applyAlignment="1">
      <alignment vertical="center"/>
    </xf>
    <xf numFmtId="3" fontId="10" fillId="15" borderId="0" xfId="3" applyNumberFormat="1" applyFont="1" applyFill="1" applyAlignment="1">
      <alignment horizontal="right"/>
    </xf>
    <xf numFmtId="3" fontId="1" fillId="0" borderId="1" xfId="6" applyNumberFormat="1" applyFont="1" applyBorder="1" applyAlignment="1">
      <alignment horizontal="center" vertical="center"/>
    </xf>
    <xf numFmtId="4" fontId="1" fillId="0" borderId="1" xfId="6" applyNumberFormat="1" applyFont="1" applyBorder="1" applyAlignment="1">
      <alignment horizontal="right" vertical="center"/>
    </xf>
    <xf numFmtId="2" fontId="11" fillId="0" borderId="1" xfId="0" applyNumberFormat="1" applyFont="1" applyBorder="1" applyAlignment="1">
      <alignment vertical="center"/>
    </xf>
    <xf numFmtId="2" fontId="11" fillId="0" borderId="25" xfId="0" applyNumberFormat="1" applyFont="1" applyBorder="1" applyAlignment="1">
      <alignment vertical="center"/>
    </xf>
    <xf numFmtId="43" fontId="11" fillId="0" borderId="0" xfId="0" applyNumberFormat="1" applyFont="1" applyAlignment="1">
      <alignment vertical="center"/>
    </xf>
    <xf numFmtId="43" fontId="11" fillId="0" borderId="25" xfId="0" applyNumberFormat="1" applyFont="1" applyBorder="1" applyAlignment="1">
      <alignment vertical="center"/>
    </xf>
    <xf numFmtId="43" fontId="11" fillId="0" borderId="25" xfId="0" applyNumberFormat="1" applyFont="1" applyBorder="1" applyAlignment="1">
      <alignment horizontal="right" vertical="center"/>
    </xf>
    <xf numFmtId="0" fontId="11" fillId="0" borderId="0" xfId="14" applyFont="1" applyAlignment="1">
      <alignment vertical="top"/>
    </xf>
    <xf numFmtId="2" fontId="11" fillId="0" borderId="0" xfId="0" applyNumberFormat="1" applyFont="1" applyAlignment="1">
      <alignment vertical="center"/>
    </xf>
    <xf numFmtId="2" fontId="11" fillId="13" borderId="0" xfId="0" applyNumberFormat="1" applyFont="1" applyFill="1" applyAlignment="1">
      <alignment vertical="center"/>
    </xf>
    <xf numFmtId="2" fontId="11" fillId="0" borderId="0" xfId="0" applyNumberFormat="1" applyFont="1"/>
    <xf numFmtId="2" fontId="10" fillId="3" borderId="1" xfId="0" applyNumberFormat="1" applyFont="1" applyFill="1" applyBorder="1" applyAlignment="1">
      <alignment horizontal="center" vertical="center" wrapText="1"/>
    </xf>
    <xf numFmtId="2" fontId="10" fillId="0" borderId="0" xfId="0" applyNumberFormat="1" applyFont="1" applyAlignment="1">
      <alignment horizontal="center" vertical="center" wrapText="1"/>
    </xf>
    <xf numFmtId="2" fontId="10" fillId="0" borderId="0" xfId="0" applyNumberFormat="1" applyFont="1" applyAlignment="1">
      <alignment horizontal="center" wrapText="1"/>
    </xf>
    <xf numFmtId="2" fontId="10" fillId="23" borderId="24" xfId="4" applyNumberFormat="1" applyFont="1" applyFill="1" applyBorder="1" applyAlignment="1">
      <alignment horizontal="center" vertical="center"/>
    </xf>
    <xf numFmtId="2" fontId="10" fillId="23" borderId="24" xfId="4" applyNumberFormat="1" applyFont="1" applyFill="1" applyBorder="1"/>
    <xf numFmtId="2" fontId="11" fillId="0" borderId="24" xfId="4" applyNumberFormat="1" applyFont="1" applyBorder="1" applyAlignment="1">
      <alignment vertical="top"/>
    </xf>
    <xf numFmtId="2" fontId="11" fillId="0" borderId="24" xfId="4" applyNumberFormat="1" applyFont="1" applyBorder="1" applyAlignment="1">
      <alignment horizontal="center"/>
    </xf>
    <xf numFmtId="2" fontId="11" fillId="0" borderId="24" xfId="4" applyNumberFormat="1" applyFont="1" applyBorder="1" applyAlignment="1">
      <alignment horizontal="left" vertical="top" wrapText="1"/>
    </xf>
    <xf numFmtId="2" fontId="11" fillId="0" borderId="24" xfId="4" applyNumberFormat="1" applyFont="1" applyBorder="1" applyAlignment="1">
      <alignment horizontal="center" vertical="top"/>
    </xf>
    <xf numFmtId="2" fontId="11" fillId="0" borderId="0" xfId="4" applyNumberFormat="1" applyFont="1" applyAlignment="1">
      <alignment horizontal="left" vertical="top"/>
    </xf>
    <xf numFmtId="2" fontId="0" fillId="0" borderId="0" xfId="4" applyNumberFormat="1" applyFont="1"/>
    <xf numFmtId="2" fontId="11" fillId="0" borderId="0" xfId="4" applyNumberFormat="1" applyFont="1" applyAlignment="1">
      <alignment vertical="top"/>
    </xf>
    <xf numFmtId="2" fontId="11" fillId="0" borderId="0" xfId="4" applyNumberFormat="1" applyFont="1"/>
    <xf numFmtId="2" fontId="15" fillId="0" borderId="25" xfId="0" applyNumberFormat="1" applyFont="1" applyBorder="1" applyAlignment="1">
      <alignment horizontal="center" vertical="center"/>
    </xf>
    <xf numFmtId="2" fontId="15" fillId="0" borderId="25" xfId="0" applyNumberFormat="1" applyFont="1" applyBorder="1" applyAlignment="1">
      <alignment vertical="center"/>
    </xf>
    <xf numFmtId="2" fontId="12" fillId="0" borderId="25" xfId="0" applyNumberFormat="1" applyFont="1" applyBorder="1" applyAlignment="1">
      <alignment vertical="center"/>
    </xf>
    <xf numFmtId="2" fontId="12" fillId="0" borderId="0" xfId="0" applyNumberFormat="1" applyFont="1" applyAlignment="1">
      <alignment vertical="center"/>
    </xf>
    <xf numFmtId="2" fontId="12" fillId="0" borderId="0" xfId="0" applyNumberFormat="1" applyFont="1"/>
    <xf numFmtId="2" fontId="11" fillId="0" borderId="0" xfId="14" applyNumberFormat="1" applyFont="1" applyAlignment="1">
      <alignment vertical="top"/>
    </xf>
    <xf numFmtId="2" fontId="11" fillId="0" borderId="25" xfId="0" applyNumberFormat="1" applyFont="1" applyBorder="1" applyAlignment="1">
      <alignment horizontal="right" vertical="center"/>
    </xf>
    <xf numFmtId="2" fontId="11" fillId="0" borderId="26" xfId="0" applyNumberFormat="1" applyFont="1" applyBorder="1" applyAlignment="1">
      <alignment vertical="center"/>
    </xf>
    <xf numFmtId="2" fontId="10" fillId="0" borderId="25" xfId="0" applyNumberFormat="1" applyFont="1" applyBorder="1" applyAlignment="1">
      <alignment vertical="center"/>
    </xf>
    <xf numFmtId="2" fontId="10" fillId="0" borderId="0" xfId="0" applyNumberFormat="1" applyFont="1" applyAlignment="1">
      <alignment vertical="center"/>
    </xf>
    <xf numFmtId="43" fontId="11" fillId="0" borderId="26" xfId="0" applyNumberFormat="1" applyFont="1" applyBorder="1" applyAlignment="1">
      <alignment vertical="center"/>
    </xf>
    <xf numFmtId="43" fontId="11" fillId="0" borderId="1" xfId="0" applyNumberFormat="1" applyFont="1" applyBorder="1" applyAlignment="1">
      <alignment vertical="center"/>
    </xf>
    <xf numFmtId="2" fontId="10" fillId="24" borderId="25" xfId="0" applyNumberFormat="1" applyFont="1" applyFill="1" applyBorder="1" applyAlignment="1">
      <alignment vertical="center"/>
    </xf>
    <xf numFmtId="2" fontId="11" fillId="24" borderId="25" xfId="0" applyNumberFormat="1" applyFont="1" applyFill="1" applyBorder="1" applyAlignment="1">
      <alignment vertical="center"/>
    </xf>
    <xf numFmtId="43" fontId="11" fillId="24" borderId="25" xfId="0" applyNumberFormat="1" applyFont="1" applyFill="1" applyBorder="1" applyAlignment="1">
      <alignment vertical="center"/>
    </xf>
    <xf numFmtId="2" fontId="10" fillId="24" borderId="0" xfId="0" applyNumberFormat="1" applyFont="1" applyFill="1" applyAlignment="1">
      <alignment vertical="center"/>
    </xf>
    <xf numFmtId="2" fontId="11" fillId="0" borderId="1" xfId="3" applyNumberFormat="1" applyFont="1" applyBorder="1" applyAlignment="1">
      <alignment horizontal="right"/>
    </xf>
    <xf numFmtId="2" fontId="11" fillId="0" borderId="1" xfId="3" applyNumberFormat="1" applyFont="1" applyBorder="1" applyAlignment="1">
      <alignment horizontal="right" vertical="center"/>
    </xf>
    <xf numFmtId="2" fontId="10" fillId="0" borderId="1" xfId="3" applyNumberFormat="1" applyFont="1" applyBorder="1" applyAlignment="1">
      <alignment horizontal="right" vertical="center"/>
    </xf>
    <xf numFmtId="2" fontId="10" fillId="2" borderId="1" xfId="3" applyNumberFormat="1" applyFont="1" applyFill="1" applyBorder="1" applyAlignment="1">
      <alignment horizontal="right" vertical="center"/>
    </xf>
    <xf numFmtId="3" fontId="10" fillId="2" borderId="1" xfId="3" applyNumberFormat="1" applyFont="1" applyFill="1" applyBorder="1" applyAlignment="1">
      <alignment horizontal="right" vertical="center"/>
    </xf>
    <xf numFmtId="3" fontId="10" fillId="2" borderId="1" xfId="12" applyNumberFormat="1" applyFont="1" applyFill="1" applyBorder="1" applyAlignment="1">
      <alignment horizontal="center" vertical="center"/>
    </xf>
    <xf numFmtId="43" fontId="10" fillId="2" borderId="1" xfId="2" applyFont="1" applyFill="1" applyBorder="1" applyAlignment="1">
      <alignment horizontal="center" vertical="center"/>
    </xf>
    <xf numFmtId="43" fontId="11" fillId="24" borderId="30" xfId="0" applyNumberFormat="1" applyFont="1" applyFill="1" applyBorder="1" applyAlignment="1">
      <alignment vertical="center"/>
    </xf>
    <xf numFmtId="43" fontId="10" fillId="24" borderId="27" xfId="0" applyNumberFormat="1" applyFont="1" applyFill="1" applyBorder="1" applyAlignment="1">
      <alignment vertical="center"/>
    </xf>
    <xf numFmtId="43" fontId="10" fillId="24" borderId="29" xfId="0" applyNumberFormat="1" applyFont="1" applyFill="1" applyBorder="1" applyAlignment="1">
      <alignment vertical="center"/>
    </xf>
    <xf numFmtId="43" fontId="11" fillId="24" borderId="28" xfId="0" applyNumberFormat="1" applyFont="1" applyFill="1" applyBorder="1" applyAlignment="1">
      <alignment vertical="center"/>
    </xf>
    <xf numFmtId="2" fontId="10" fillId="24" borderId="31" xfId="0" applyNumberFormat="1" applyFont="1" applyFill="1" applyBorder="1" applyAlignment="1">
      <alignment vertical="center"/>
    </xf>
    <xf numFmtId="43" fontId="10" fillId="24" borderId="32" xfId="0" applyNumberFormat="1" applyFont="1" applyFill="1" applyBorder="1" applyAlignment="1">
      <alignment vertical="center"/>
    </xf>
    <xf numFmtId="0" fontId="10" fillId="24" borderId="1" xfId="12" applyFont="1" applyFill="1" applyBorder="1" applyAlignment="1">
      <alignment vertical="center"/>
    </xf>
    <xf numFmtId="43" fontId="11" fillId="0" borderId="0" xfId="0" applyNumberFormat="1" applyFont="1" applyAlignment="1">
      <alignment horizontal="right" vertical="center"/>
    </xf>
    <xf numFmtId="2" fontId="36" fillId="0" borderId="25" xfId="0" applyNumberFormat="1" applyFont="1" applyBorder="1" applyAlignment="1">
      <alignment horizontal="center" vertical="center"/>
    </xf>
    <xf numFmtId="43" fontId="11" fillId="0" borderId="1" xfId="2" applyFont="1" applyFill="1" applyBorder="1" applyAlignment="1">
      <alignment vertical="center"/>
    </xf>
    <xf numFmtId="43" fontId="11" fillId="0" borderId="0" xfId="7" applyFont="1" applyFill="1" applyAlignment="1">
      <alignment horizontal="center" vertical="center"/>
    </xf>
    <xf numFmtId="43" fontId="11" fillId="0" borderId="0" xfId="2" applyFont="1" applyFill="1" applyBorder="1" applyAlignment="1">
      <alignment horizontal="center" vertical="center"/>
    </xf>
    <xf numFmtId="164" fontId="11" fillId="0" borderId="0" xfId="4" applyFont="1" applyFill="1" applyAlignment="1">
      <alignment vertical="center"/>
    </xf>
    <xf numFmtId="164" fontId="11" fillId="0" borderId="0" xfId="4" applyFont="1" applyFill="1"/>
    <xf numFmtId="43" fontId="11" fillId="0" borderId="0" xfId="2" applyFont="1" applyFill="1" applyAlignment="1">
      <alignment horizontal="center" vertical="center"/>
    </xf>
    <xf numFmtId="0" fontId="3" fillId="0" borderId="0" xfId="12"/>
    <xf numFmtId="43" fontId="10" fillId="0" borderId="1" xfId="2" applyFont="1" applyFill="1" applyBorder="1" applyAlignment="1">
      <alignment horizontal="center" vertical="center"/>
    </xf>
    <xf numFmtId="0" fontId="10" fillId="0" borderId="0" xfId="3" applyFont="1" applyAlignment="1">
      <alignment horizontal="center"/>
    </xf>
    <xf numFmtId="44" fontId="11" fillId="0" borderId="25" xfId="0" applyNumberFormat="1" applyFont="1" applyBorder="1" applyAlignment="1">
      <alignment vertical="center"/>
    </xf>
    <xf numFmtId="43" fontId="10" fillId="0" borderId="25" xfId="0" applyNumberFormat="1" applyFont="1" applyBorder="1" applyAlignment="1">
      <alignment vertical="center"/>
    </xf>
    <xf numFmtId="43" fontId="10" fillId="24" borderId="25" xfId="0" applyNumberFormat="1" applyFont="1" applyFill="1" applyBorder="1" applyAlignment="1">
      <alignment vertical="center"/>
    </xf>
    <xf numFmtId="43" fontId="10" fillId="24" borderId="31" xfId="2" applyFont="1" applyFill="1" applyBorder="1" applyAlignment="1">
      <alignment vertical="center"/>
    </xf>
    <xf numFmtId="43" fontId="10" fillId="24" borderId="19" xfId="0" applyNumberFormat="1" applyFont="1" applyFill="1" applyBorder="1" applyAlignment="1">
      <alignment vertical="center"/>
    </xf>
    <xf numFmtId="164" fontId="6" fillId="0" borderId="0" xfId="4" applyFont="1" applyFill="1"/>
    <xf numFmtId="43" fontId="11" fillId="25" borderId="25" xfId="0" applyNumberFormat="1" applyFont="1" applyFill="1" applyBorder="1" applyAlignment="1">
      <alignment vertical="center"/>
    </xf>
    <xf numFmtId="43" fontId="10" fillId="25" borderId="25" xfId="0" applyNumberFormat="1" applyFont="1" applyFill="1" applyBorder="1" applyAlignment="1">
      <alignment vertical="center"/>
    </xf>
    <xf numFmtId="43" fontId="11" fillId="0" borderId="30" xfId="0" applyNumberFormat="1" applyFont="1" applyBorder="1" applyAlignment="1">
      <alignment vertical="center"/>
    </xf>
    <xf numFmtId="43" fontId="10" fillId="25" borderId="29" xfId="0" applyNumberFormat="1" applyFont="1" applyFill="1" applyBorder="1" applyAlignment="1">
      <alignment vertical="center"/>
    </xf>
    <xf numFmtId="43" fontId="10" fillId="25" borderId="33" xfId="0" applyNumberFormat="1" applyFont="1" applyFill="1" applyBorder="1" applyAlignment="1">
      <alignment vertical="center"/>
    </xf>
    <xf numFmtId="43" fontId="10" fillId="25" borderId="32" xfId="0" applyNumberFormat="1" applyFont="1" applyFill="1" applyBorder="1" applyAlignment="1">
      <alignment vertical="center"/>
    </xf>
    <xf numFmtId="2" fontId="11" fillId="25" borderId="25" xfId="0" applyNumberFormat="1" applyFont="1" applyFill="1" applyBorder="1" applyAlignment="1">
      <alignment vertical="center"/>
    </xf>
    <xf numFmtId="2" fontId="10" fillId="25" borderId="25" xfId="0" applyNumberFormat="1" applyFont="1" applyFill="1" applyBorder="1" applyAlignment="1">
      <alignment vertical="center"/>
    </xf>
    <xf numFmtId="43" fontId="11" fillId="25" borderId="28" xfId="0" applyNumberFormat="1" applyFont="1" applyFill="1" applyBorder="1" applyAlignment="1">
      <alignment vertical="center"/>
    </xf>
    <xf numFmtId="0" fontId="10" fillId="25" borderId="1" xfId="12" applyFont="1" applyFill="1" applyBorder="1" applyAlignment="1">
      <alignment vertical="center"/>
    </xf>
    <xf numFmtId="2" fontId="10" fillId="0" borderId="1" xfId="3" applyNumberFormat="1" applyFont="1" applyBorder="1" applyAlignment="1">
      <alignment horizontal="right"/>
    </xf>
    <xf numFmtId="43" fontId="11" fillId="25" borderId="29" xfId="0" applyNumberFormat="1" applyFont="1" applyFill="1" applyBorder="1" applyAlignment="1">
      <alignment vertical="center"/>
    </xf>
    <xf numFmtId="2" fontId="10" fillId="0" borderId="0" xfId="0" applyNumberFormat="1" applyFont="1"/>
    <xf numFmtId="2" fontId="10" fillId="0" borderId="31" xfId="0" applyNumberFormat="1" applyFont="1" applyBorder="1" applyAlignment="1">
      <alignment vertical="center"/>
    </xf>
    <xf numFmtId="43" fontId="10" fillId="0" borderId="29" xfId="0" applyNumberFormat="1" applyFont="1" applyBorder="1" applyAlignment="1">
      <alignment vertical="center"/>
    </xf>
    <xf numFmtId="43" fontId="11" fillId="25" borderId="30" xfId="0" applyNumberFormat="1" applyFont="1" applyFill="1" applyBorder="1" applyAlignment="1">
      <alignment vertical="center"/>
    </xf>
    <xf numFmtId="2" fontId="10" fillId="25" borderId="29" xfId="0" applyNumberFormat="1" applyFont="1" applyFill="1" applyBorder="1" applyAlignment="1">
      <alignment vertical="center"/>
    </xf>
    <xf numFmtId="43" fontId="10" fillId="25" borderId="18" xfId="0" applyNumberFormat="1" applyFont="1" applyFill="1" applyBorder="1" applyAlignment="1">
      <alignment vertical="center"/>
    </xf>
    <xf numFmtId="2" fontId="10" fillId="25" borderId="31" xfId="0" applyNumberFormat="1" applyFont="1" applyFill="1" applyBorder="1" applyAlignment="1">
      <alignment vertical="center"/>
    </xf>
    <xf numFmtId="2" fontId="10" fillId="25" borderId="33" xfId="0" applyNumberFormat="1" applyFont="1" applyFill="1" applyBorder="1" applyAlignment="1">
      <alignment vertical="center"/>
    </xf>
    <xf numFmtId="2" fontId="10" fillId="25" borderId="34" xfId="0" applyNumberFormat="1" applyFont="1" applyFill="1" applyBorder="1" applyAlignment="1">
      <alignment vertical="center"/>
    </xf>
    <xf numFmtId="2" fontId="10" fillId="25" borderId="35" xfId="0" applyNumberFormat="1" applyFont="1" applyFill="1" applyBorder="1" applyAlignment="1">
      <alignment vertical="center"/>
    </xf>
    <xf numFmtId="43" fontId="10" fillId="25" borderId="36" xfId="0" applyNumberFormat="1" applyFont="1" applyFill="1" applyBorder="1" applyAlignment="1">
      <alignment vertical="center"/>
    </xf>
    <xf numFmtId="0" fontId="11" fillId="0" borderId="0" xfId="0" applyFont="1" applyAlignment="1">
      <alignment vertical="center"/>
    </xf>
    <xf numFmtId="43" fontId="11" fillId="0" borderId="28" xfId="0" applyNumberFormat="1" applyFont="1" applyBorder="1" applyAlignment="1">
      <alignment vertical="center"/>
    </xf>
    <xf numFmtId="2" fontId="11" fillId="25" borderId="25" xfId="0" applyNumberFormat="1" applyFont="1" applyFill="1" applyBorder="1" applyAlignment="1">
      <alignment horizontal="left" vertical="center"/>
    </xf>
    <xf numFmtId="4" fontId="11" fillId="0" borderId="0" xfId="0" applyNumberFormat="1" applyFont="1" applyAlignment="1">
      <alignment vertical="top"/>
    </xf>
    <xf numFmtId="43" fontId="10" fillId="25" borderId="30" xfId="0" applyNumberFormat="1" applyFont="1" applyFill="1" applyBorder="1" applyAlignment="1">
      <alignment vertical="center"/>
    </xf>
    <xf numFmtId="43" fontId="11" fillId="0" borderId="20" xfId="0" applyNumberFormat="1" applyFont="1" applyBorder="1" applyAlignment="1">
      <alignment vertical="center"/>
    </xf>
    <xf numFmtId="1" fontId="11" fillId="0" borderId="1" xfId="0" applyNumberFormat="1" applyFont="1" applyBorder="1" applyAlignment="1">
      <alignment horizontal="center" vertical="center"/>
    </xf>
    <xf numFmtId="2" fontId="11" fillId="0" borderId="1" xfId="14" applyNumberFormat="1" applyFont="1" applyBorder="1" applyAlignment="1">
      <alignment vertical="top"/>
    </xf>
    <xf numFmtId="0" fontId="11" fillId="0" borderId="1" xfId="14" applyFont="1" applyBorder="1" applyAlignment="1">
      <alignment vertical="top"/>
    </xf>
    <xf numFmtId="43" fontId="10" fillId="0" borderId="0" xfId="2" applyFont="1" applyAlignment="1">
      <alignment vertical="center"/>
    </xf>
    <xf numFmtId="2" fontId="7" fillId="0" borderId="1" xfId="0" applyNumberFormat="1" applyFont="1" applyBorder="1" applyAlignment="1">
      <alignment horizontal="right" vertical="center"/>
    </xf>
    <xf numFmtId="43" fontId="8" fillId="0" borderId="1" xfId="2" applyFont="1" applyBorder="1" applyAlignment="1">
      <alignment horizontal="right" vertical="center"/>
    </xf>
    <xf numFmtId="0" fontId="0" fillId="0" borderId="0" xfId="0" applyAlignment="1">
      <alignment horizontal="center" vertical="center"/>
    </xf>
    <xf numFmtId="0" fontId="37" fillId="26" borderId="1" xfId="0" applyFont="1" applyFill="1" applyBorder="1"/>
    <xf numFmtId="0" fontId="37" fillId="26" borderId="40" xfId="0" applyFont="1" applyFill="1" applyBorder="1" applyAlignment="1">
      <alignment horizontal="center" vertical="center"/>
    </xf>
    <xf numFmtId="0" fontId="37" fillId="26" borderId="41" xfId="0" applyFont="1" applyFill="1" applyBorder="1" applyAlignment="1">
      <alignment horizontal="center" vertical="center"/>
    </xf>
    <xf numFmtId="0" fontId="37" fillId="26" borderId="41" xfId="0" applyFont="1" applyFill="1" applyBorder="1" applyAlignment="1">
      <alignment horizontal="center" vertical="center" wrapText="1"/>
    </xf>
    <xf numFmtId="0" fontId="37" fillId="26" borderId="42" xfId="0" applyFont="1" applyFill="1" applyBorder="1" applyAlignment="1">
      <alignment horizontal="center" vertical="center"/>
    </xf>
    <xf numFmtId="0" fontId="37" fillId="26" borderId="1" xfId="0" applyFont="1" applyFill="1" applyBorder="1" applyAlignment="1">
      <alignment horizontal="center" vertical="center"/>
    </xf>
    <xf numFmtId="0" fontId="37" fillId="26" borderId="1" xfId="0" applyFont="1" applyFill="1" applyBorder="1" applyAlignment="1">
      <alignment horizontal="center" vertical="center" wrapText="1"/>
    </xf>
    <xf numFmtId="0" fontId="0" fillId="0" borderId="43" xfId="0" applyBorder="1" applyAlignment="1">
      <alignment horizontal="center" vertical="center"/>
    </xf>
    <xf numFmtId="0" fontId="0" fillId="0" borderId="20" xfId="0" applyBorder="1"/>
    <xf numFmtId="0" fontId="0" fillId="0" borderId="20" xfId="0" applyBorder="1" applyAlignment="1">
      <alignment horizontal="center" vertical="center"/>
    </xf>
    <xf numFmtId="175" fontId="0" fillId="0" borderId="44" xfId="4" applyNumberFormat="1" applyFont="1" applyBorder="1" applyAlignment="1">
      <alignment horizontal="center" vertical="center"/>
    </xf>
    <xf numFmtId="0" fontId="0" fillId="0" borderId="1" xfId="0" applyBorder="1" applyAlignment="1">
      <alignment horizontal="center" vertical="center"/>
    </xf>
    <xf numFmtId="0" fontId="0" fillId="2" borderId="1" xfId="0" applyFill="1" applyBorder="1"/>
    <xf numFmtId="0" fontId="0" fillId="0" borderId="1" xfId="0" applyBorder="1"/>
    <xf numFmtId="0" fontId="0" fillId="0" borderId="45" xfId="0" applyBorder="1" applyAlignment="1">
      <alignment horizontal="center" vertical="center"/>
    </xf>
    <xf numFmtId="175" fontId="0" fillId="0" borderId="46" xfId="4" applyNumberFormat="1" applyFont="1" applyBorder="1" applyAlignment="1">
      <alignment horizontal="center" vertical="center"/>
    </xf>
    <xf numFmtId="0" fontId="0" fillId="2" borderId="1" xfId="0" applyFill="1" applyBorder="1" applyAlignment="1">
      <alignment horizontal="center" vertical="center"/>
    </xf>
    <xf numFmtId="175" fontId="0" fillId="2" borderId="46" xfId="4" applyNumberFormat="1" applyFont="1" applyFill="1" applyBorder="1" applyAlignment="1">
      <alignment horizontal="center" vertical="center"/>
    </xf>
    <xf numFmtId="0" fontId="0" fillId="27" borderId="1" xfId="0" applyFill="1" applyBorder="1"/>
    <xf numFmtId="0" fontId="0" fillId="27" borderId="1" xfId="0" applyFill="1" applyBorder="1" applyAlignment="1">
      <alignment horizontal="center" vertical="center"/>
    </xf>
    <xf numFmtId="0" fontId="0" fillId="0" borderId="47" xfId="0" applyBorder="1" applyAlignment="1">
      <alignment horizontal="center" vertical="center"/>
    </xf>
    <xf numFmtId="0" fontId="0" fillId="0" borderId="48" xfId="0" applyBorder="1"/>
    <xf numFmtId="0" fontId="0" fillId="0" borderId="48" xfId="0" applyBorder="1" applyAlignment="1">
      <alignment horizontal="center" vertical="center"/>
    </xf>
    <xf numFmtId="175" fontId="0" fillId="0" borderId="49" xfId="4" applyNumberFormat="1" applyFont="1" applyBorder="1" applyAlignment="1">
      <alignment horizontal="center" vertical="center"/>
    </xf>
    <xf numFmtId="0" fontId="37" fillId="0" borderId="53" xfId="0" applyFont="1" applyBorder="1" applyAlignment="1">
      <alignment horizontal="center" vertical="center"/>
    </xf>
    <xf numFmtId="175" fontId="37" fillId="0" borderId="54" xfId="0" applyNumberFormat="1" applyFont="1" applyBorder="1" applyAlignment="1">
      <alignment horizontal="center" vertical="center"/>
    </xf>
    <xf numFmtId="0" fontId="37" fillId="0" borderId="56" xfId="0" applyFont="1" applyBorder="1" applyAlignment="1">
      <alignment horizontal="center" vertical="center"/>
    </xf>
    <xf numFmtId="175" fontId="37" fillId="0" borderId="57" xfId="0" applyNumberFormat="1" applyFont="1" applyBorder="1" applyAlignment="1">
      <alignment horizontal="center" vertical="center"/>
    </xf>
    <xf numFmtId="0" fontId="0" fillId="0" borderId="1" xfId="0" applyBorder="1" applyAlignment="1">
      <alignment horizontal="left" vertical="center"/>
    </xf>
    <xf numFmtId="0" fontId="0" fillId="0" borderId="48" xfId="0" applyBorder="1" applyAlignment="1">
      <alignment horizontal="left" vertical="center"/>
    </xf>
    <xf numFmtId="0" fontId="0" fillId="0" borderId="59" xfId="0" applyBorder="1"/>
    <xf numFmtId="0" fontId="0" fillId="0" borderId="50" xfId="0" applyBorder="1" applyAlignment="1">
      <alignment horizontal="center"/>
    </xf>
    <xf numFmtId="0" fontId="0" fillId="0" borderId="41" xfId="0" applyBorder="1" applyAlignment="1">
      <alignment horizontal="center"/>
    </xf>
    <xf numFmtId="0" fontId="0" fillId="0" borderId="52" xfId="0" applyBorder="1" applyAlignment="1">
      <alignment horizontal="center"/>
    </xf>
    <xf numFmtId="0" fontId="0" fillId="0" borderId="60" xfId="0" applyBorder="1"/>
    <xf numFmtId="0" fontId="0" fillId="0" borderId="61" xfId="0" applyBorder="1"/>
    <xf numFmtId="0" fontId="0" fillId="0" borderId="62" xfId="0" applyBorder="1"/>
    <xf numFmtId="0" fontId="0" fillId="0" borderId="63" xfId="0" applyBorder="1"/>
    <xf numFmtId="0" fontId="0" fillId="0" borderId="14" xfId="0" applyBorder="1"/>
    <xf numFmtId="0" fontId="0" fillId="0" borderId="64" xfId="0" applyBorder="1"/>
    <xf numFmtId="0" fontId="0" fillId="0" borderId="65" xfId="0" applyBorder="1"/>
    <xf numFmtId="0" fontId="0" fillId="0" borderId="66" xfId="0" applyBorder="1"/>
    <xf numFmtId="0" fontId="0" fillId="0" borderId="67" xfId="0" applyBorder="1"/>
    <xf numFmtId="0" fontId="0" fillId="0" borderId="52" xfId="0" applyBorder="1"/>
    <xf numFmtId="0" fontId="0" fillId="0" borderId="68" xfId="0" applyBorder="1"/>
    <xf numFmtId="0" fontId="37" fillId="0" borderId="1" xfId="0" applyFont="1" applyBorder="1" applyAlignment="1">
      <alignment horizontal="center" vertical="center"/>
    </xf>
    <xf numFmtId="0" fontId="37" fillId="0" borderId="1" xfId="0" applyFont="1" applyBorder="1"/>
    <xf numFmtId="0" fontId="37" fillId="0" borderId="0" xfId="0" applyFont="1"/>
    <xf numFmtId="0" fontId="0" fillId="0" borderId="69" xfId="0" applyBorder="1"/>
    <xf numFmtId="0" fontId="0" fillId="0" borderId="70" xfId="0" applyBorder="1"/>
    <xf numFmtId="0" fontId="0" fillId="0" borderId="71" xfId="0" applyBorder="1"/>
    <xf numFmtId="0" fontId="38" fillId="0" borderId="0" xfId="0" applyFont="1" applyAlignment="1">
      <alignment horizontal="center" vertical="center"/>
    </xf>
    <xf numFmtId="0" fontId="38" fillId="0" borderId="0" xfId="0" applyFont="1"/>
    <xf numFmtId="0" fontId="39" fillId="0" borderId="72" xfId="0" applyFont="1" applyBorder="1" applyAlignment="1">
      <alignment horizontal="center" vertical="center"/>
    </xf>
    <xf numFmtId="0" fontId="39" fillId="0" borderId="28" xfId="0" applyFont="1" applyBorder="1"/>
    <xf numFmtId="0" fontId="39" fillId="0" borderId="73" xfId="0" applyFont="1" applyBorder="1" applyAlignment="1" applyProtection="1">
      <alignment horizontal="center" vertical="top"/>
      <protection locked="0"/>
    </xf>
    <xf numFmtId="0" fontId="37" fillId="0" borderId="56" xfId="0" applyFont="1" applyBorder="1"/>
    <xf numFmtId="0" fontId="37" fillId="0" borderId="57" xfId="0" applyFont="1" applyBorder="1"/>
    <xf numFmtId="0" fontId="39" fillId="0" borderId="74" xfId="0" applyFont="1" applyBorder="1" applyAlignment="1">
      <alignment horizontal="center" vertical="center"/>
    </xf>
    <xf numFmtId="0" fontId="40" fillId="0" borderId="25" xfId="0" applyFont="1" applyBorder="1" applyAlignment="1">
      <alignment horizontal="center" vertical="center"/>
    </xf>
    <xf numFmtId="175" fontId="40" fillId="0" borderId="75" xfId="4" applyNumberFormat="1" applyFont="1" applyBorder="1" applyAlignment="1">
      <alignment horizontal="center" vertical="center"/>
    </xf>
    <xf numFmtId="0" fontId="39" fillId="0" borderId="74" xfId="0" applyFont="1" applyBorder="1" applyAlignment="1">
      <alignment horizontal="center" vertical="center" wrapText="1"/>
    </xf>
    <xf numFmtId="0" fontId="40" fillId="0" borderId="75" xfId="0" applyFont="1" applyBorder="1" applyAlignment="1">
      <alignment horizontal="right" vertical="center"/>
    </xf>
    <xf numFmtId="0" fontId="39" fillId="0" borderId="76" xfId="0" applyFont="1" applyBorder="1"/>
    <xf numFmtId="0" fontId="39" fillId="0" borderId="77" xfId="0" applyFont="1" applyBorder="1" applyAlignment="1">
      <alignment horizontal="center"/>
    </xf>
    <xf numFmtId="164" fontId="39" fillId="0" borderId="78" xfId="0" applyNumberFormat="1" applyFont="1" applyBorder="1" applyAlignment="1">
      <alignment horizontal="center" vertical="top"/>
    </xf>
    <xf numFmtId="179" fontId="42" fillId="0" borderId="20" xfId="0" applyNumberFormat="1" applyFont="1" applyBorder="1" applyAlignment="1">
      <alignment horizontal="left" vertical="center"/>
    </xf>
    <xf numFmtId="179" fontId="43" fillId="0" borderId="20" xfId="0" applyNumberFormat="1" applyFont="1" applyBorder="1" applyAlignment="1">
      <alignment horizontal="left" vertical="center"/>
    </xf>
    <xf numFmtId="43" fontId="0" fillId="0" borderId="0" xfId="0" applyNumberFormat="1"/>
    <xf numFmtId="0" fontId="42" fillId="0" borderId="0" xfId="0" applyFont="1" applyAlignment="1">
      <alignment horizontal="right" vertical="center" wrapText="1"/>
    </xf>
    <xf numFmtId="0" fontId="44" fillId="0" borderId="0" xfId="0" applyFont="1" applyAlignment="1">
      <alignment horizontal="right" vertical="center"/>
    </xf>
    <xf numFmtId="179" fontId="37" fillId="0" borderId="0" xfId="0" applyNumberFormat="1" applyFont="1"/>
    <xf numFmtId="0" fontId="0" fillId="0" borderId="34" xfId="0" applyBorder="1"/>
    <xf numFmtId="0" fontId="37" fillId="26" borderId="42" xfId="0" applyFont="1" applyFill="1" applyBorder="1"/>
    <xf numFmtId="0" fontId="0" fillId="0" borderId="2" xfId="0" applyBorder="1"/>
    <xf numFmtId="0" fontId="0" fillId="0" borderId="3" xfId="0" applyBorder="1"/>
    <xf numFmtId="0" fontId="45" fillId="28" borderId="14" xfId="0" applyFont="1" applyFill="1" applyBorder="1" applyAlignment="1">
      <alignment vertical="center" wrapText="1"/>
    </xf>
    <xf numFmtId="0" fontId="28" fillId="0" borderId="14" xfId="0" applyFont="1" applyBorder="1"/>
    <xf numFmtId="3" fontId="1" fillId="0" borderId="14" xfId="0" applyNumberFormat="1" applyFont="1" applyBorder="1"/>
    <xf numFmtId="175" fontId="1" fillId="0" borderId="14" xfId="4" applyNumberFormat="1" applyFont="1" applyBorder="1" applyAlignment="1">
      <alignment horizontal="right"/>
    </xf>
    <xf numFmtId="0" fontId="1" fillId="0" borderId="14" xfId="0" applyFont="1" applyBorder="1"/>
    <xf numFmtId="0" fontId="23" fillId="27" borderId="14" xfId="0" applyFont="1" applyFill="1" applyBorder="1" applyAlignment="1">
      <alignment vertical="center" wrapText="1"/>
    </xf>
    <xf numFmtId="0" fontId="28" fillId="27" borderId="14" xfId="0" applyFont="1" applyFill="1" applyBorder="1"/>
    <xf numFmtId="175" fontId="21" fillId="27" borderId="14" xfId="0" applyNumberFormat="1" applyFont="1" applyFill="1" applyBorder="1" applyAlignment="1">
      <alignment horizontal="center" vertical="center" wrapText="1"/>
    </xf>
    <xf numFmtId="0" fontId="21" fillId="27" borderId="14" xfId="0" applyFont="1" applyFill="1" applyBorder="1" applyAlignment="1">
      <alignment vertical="center" wrapText="1"/>
    </xf>
    <xf numFmtId="0" fontId="46" fillId="28" borderId="14" xfId="0" applyFont="1" applyFill="1" applyBorder="1" applyAlignment="1">
      <alignment vertical="center" wrapText="1"/>
    </xf>
    <xf numFmtId="0" fontId="1" fillId="0" borderId="14" xfId="0" applyFont="1" applyBorder="1" applyAlignment="1">
      <alignment horizontal="center" vertical="center"/>
    </xf>
    <xf numFmtId="0" fontId="28" fillId="0" borderId="14" xfId="0" applyFont="1" applyBorder="1" applyAlignment="1">
      <alignment horizontal="center" vertical="center"/>
    </xf>
    <xf numFmtId="0" fontId="28" fillId="0" borderId="14" xfId="0" applyFont="1" applyBorder="1" applyAlignment="1">
      <alignment vertical="center"/>
    </xf>
    <xf numFmtId="0" fontId="2" fillId="0" borderId="14" xfId="0" applyFont="1" applyBorder="1" applyAlignment="1">
      <alignment horizontal="center" vertical="center"/>
    </xf>
    <xf numFmtId="175" fontId="1" fillId="0" borderId="0" xfId="0" applyNumberFormat="1" applyFont="1"/>
    <xf numFmtId="0" fontId="25" fillId="0" borderId="0" xfId="0" applyFont="1" applyAlignment="1">
      <alignment vertical="center"/>
    </xf>
    <xf numFmtId="175" fontId="1" fillId="0" borderId="0" xfId="4" applyNumberFormat="1" applyFont="1" applyBorder="1" applyAlignment="1">
      <alignment horizontal="right"/>
    </xf>
    <xf numFmtId="0" fontId="25" fillId="0" borderId="0" xfId="0" applyFont="1" applyAlignment="1">
      <alignment horizontal="center"/>
    </xf>
    <xf numFmtId="0" fontId="1" fillId="0" borderId="14" xfId="0" applyFont="1" applyBorder="1" applyAlignment="1">
      <alignment horizontal="center"/>
    </xf>
    <xf numFmtId="0" fontId="25" fillId="0" borderId="0" xfId="0" applyFont="1" applyAlignment="1">
      <alignment horizontal="center" vertical="center"/>
    </xf>
    <xf numFmtId="0" fontId="28" fillId="0" borderId="0" xfId="0" applyFont="1"/>
    <xf numFmtId="175" fontId="1" fillId="0" borderId="0" xfId="4" applyNumberFormat="1" applyFont="1" applyAlignment="1">
      <alignment horizontal="right"/>
    </xf>
    <xf numFmtId="0" fontId="28" fillId="0" borderId="14" xfId="0" applyFont="1" applyBorder="1" applyAlignment="1">
      <alignment vertical="top" wrapText="1"/>
    </xf>
    <xf numFmtId="4" fontId="28" fillId="0" borderId="14" xfId="0" applyNumberFormat="1" applyFont="1" applyBorder="1" applyAlignment="1">
      <alignment horizontal="center"/>
    </xf>
    <xf numFmtId="43" fontId="28" fillId="0" borderId="14" xfId="16" applyFont="1" applyFill="1" applyBorder="1" applyAlignment="1">
      <alignment horizontal="center" vertical="center"/>
    </xf>
    <xf numFmtId="43" fontId="28" fillId="0" borderId="14" xfId="0" applyNumberFormat="1" applyFont="1" applyBorder="1" applyAlignment="1">
      <alignment horizontal="center" vertical="center"/>
    </xf>
    <xf numFmtId="1" fontId="28" fillId="0" borderId="14" xfId="0" applyNumberFormat="1" applyFont="1" applyBorder="1" applyAlignment="1">
      <alignment horizontal="center" vertical="center"/>
    </xf>
    <xf numFmtId="0" fontId="25" fillId="0" borderId="14" xfId="0" applyFont="1" applyBorder="1" applyAlignment="1">
      <alignment horizontal="left" vertical="center" wrapText="1"/>
    </xf>
    <xf numFmtId="0" fontId="28" fillId="0" borderId="14" xfId="0" applyFont="1" applyBorder="1" applyAlignment="1">
      <alignment vertical="center" wrapText="1"/>
    </xf>
    <xf numFmtId="4" fontId="28" fillId="0" borderId="14" xfId="0" applyNumberFormat="1" applyFont="1" applyBorder="1" applyAlignment="1">
      <alignment horizontal="center" vertical="center"/>
    </xf>
    <xf numFmtId="0" fontId="25" fillId="0" borderId="14" xfId="0" applyFont="1" applyBorder="1" applyAlignment="1">
      <alignment vertical="top" wrapText="1"/>
    </xf>
    <xf numFmtId="180" fontId="28" fillId="0" borderId="14" xfId="17" applyNumberFormat="1" applyFont="1" applyBorder="1" applyAlignment="1">
      <alignment horizontal="justify" vertical="center" wrapText="1"/>
    </xf>
    <xf numFmtId="180" fontId="28" fillId="27" borderId="14" xfId="17" applyNumberFormat="1" applyFont="1" applyFill="1" applyBorder="1" applyAlignment="1">
      <alignment horizontal="center" vertical="center" wrapText="1"/>
    </xf>
    <xf numFmtId="180" fontId="25" fillId="0" borderId="14" xfId="17" quotePrefix="1" applyNumberFormat="1" applyFont="1" applyBorder="1" applyAlignment="1">
      <alignment horizontal="justify" vertical="center" wrapText="1"/>
    </xf>
    <xf numFmtId="180" fontId="28" fillId="0" borderId="14" xfId="17" applyNumberFormat="1" applyFont="1" applyBorder="1" applyAlignment="1">
      <alignment horizontal="center" vertical="center" wrapText="1"/>
    </xf>
    <xf numFmtId="0" fontId="11" fillId="26" borderId="80" xfId="0" applyFont="1" applyFill="1" applyBorder="1"/>
    <xf numFmtId="0" fontId="10" fillId="26" borderId="81" xfId="0" applyFont="1" applyFill="1" applyBorder="1" applyAlignment="1">
      <alignment horizontal="center" vertical="center"/>
    </xf>
    <xf numFmtId="0" fontId="21" fillId="26" borderId="81" xfId="0" applyFont="1" applyFill="1" applyBorder="1" applyAlignment="1">
      <alignment horizontal="center" vertical="center" indent="1"/>
    </xf>
    <xf numFmtId="0" fontId="37" fillId="26" borderId="81" xfId="0" applyFont="1" applyFill="1" applyBorder="1" applyAlignment="1">
      <alignment horizontal="center" vertical="center"/>
    </xf>
    <xf numFmtId="0" fontId="37" fillId="26" borderId="82" xfId="0" applyFont="1" applyFill="1" applyBorder="1" applyAlignment="1">
      <alignment horizontal="center" vertical="center"/>
    </xf>
    <xf numFmtId="0" fontId="0" fillId="0" borderId="84" xfId="0" applyBorder="1" applyAlignment="1">
      <alignment horizontal="center" vertical="center"/>
    </xf>
    <xf numFmtId="0" fontId="23" fillId="27" borderId="85" xfId="0" applyFont="1" applyFill="1" applyBorder="1" applyAlignment="1">
      <alignment horizontal="left" vertical="top" indent="1"/>
    </xf>
    <xf numFmtId="175" fontId="0" fillId="2" borderId="86" xfId="4" applyNumberFormat="1" applyFont="1" applyFill="1" applyBorder="1" applyAlignment="1">
      <alignment horizontal="center" vertical="center"/>
    </xf>
    <xf numFmtId="1" fontId="0" fillId="0" borderId="87" xfId="0" applyNumberFormat="1" applyBorder="1"/>
    <xf numFmtId="1" fontId="0" fillId="0" borderId="0" xfId="0" applyNumberFormat="1"/>
    <xf numFmtId="0" fontId="0" fillId="0" borderId="14" xfId="0" applyBorder="1" applyAlignment="1">
      <alignment horizontal="center" vertical="center"/>
    </xf>
    <xf numFmtId="0" fontId="23" fillId="27" borderId="4" xfId="0" applyFont="1" applyFill="1" applyBorder="1" applyAlignment="1">
      <alignment horizontal="left" vertical="top" indent="1"/>
    </xf>
    <xf numFmtId="175" fontId="0" fillId="2" borderId="1" xfId="4" applyNumberFormat="1" applyFont="1" applyFill="1" applyBorder="1"/>
    <xf numFmtId="1" fontId="0" fillId="0" borderId="46" xfId="0" applyNumberFormat="1" applyBorder="1"/>
    <xf numFmtId="0" fontId="0" fillId="0" borderId="46" xfId="0" applyBorder="1"/>
    <xf numFmtId="175" fontId="0" fillId="0" borderId="1" xfId="4" applyNumberFormat="1" applyFont="1" applyBorder="1"/>
    <xf numFmtId="0" fontId="0" fillId="0" borderId="70" xfId="0" applyBorder="1" applyAlignment="1">
      <alignment horizontal="center" vertical="center"/>
    </xf>
    <xf numFmtId="0" fontId="23" fillId="27" borderId="48" xfId="0" applyFont="1" applyFill="1" applyBorder="1" applyAlignment="1">
      <alignment horizontal="left" vertical="top" indent="1"/>
    </xf>
    <xf numFmtId="175" fontId="0" fillId="2" borderId="48" xfId="4" applyNumberFormat="1" applyFont="1" applyFill="1" applyBorder="1"/>
    <xf numFmtId="1" fontId="0" fillId="0" borderId="49" xfId="0" applyNumberFormat="1" applyBorder="1"/>
    <xf numFmtId="0" fontId="0" fillId="0" borderId="61" xfId="0" applyBorder="1" applyAlignment="1">
      <alignment horizontal="center" vertical="center"/>
    </xf>
    <xf numFmtId="0" fontId="23" fillId="27" borderId="23" xfId="0" applyFont="1" applyFill="1" applyBorder="1" applyAlignment="1">
      <alignment horizontal="left" vertical="top" indent="1"/>
    </xf>
    <xf numFmtId="175" fontId="0" fillId="2" borderId="20" xfId="4" applyNumberFormat="1" applyFont="1" applyFill="1" applyBorder="1"/>
    <xf numFmtId="1" fontId="0" fillId="0" borderId="44" xfId="0" applyNumberFormat="1" applyBorder="1"/>
    <xf numFmtId="0" fontId="0" fillId="0" borderId="91" xfId="0" applyBorder="1" applyAlignment="1">
      <alignment horizontal="center" vertical="center"/>
    </xf>
    <xf numFmtId="0" fontId="23" fillId="27" borderId="92" xfId="0" applyFont="1" applyFill="1" applyBorder="1" applyAlignment="1">
      <alignment horizontal="left" vertical="top" indent="1"/>
    </xf>
    <xf numFmtId="0" fontId="28" fillId="29" borderId="23" xfId="0" applyFont="1" applyFill="1" applyBorder="1" applyAlignment="1">
      <alignment vertical="top"/>
    </xf>
    <xf numFmtId="175" fontId="0" fillId="0" borderId="20" xfId="4" applyNumberFormat="1" applyFont="1" applyBorder="1"/>
    <xf numFmtId="0" fontId="0" fillId="0" borderId="44" xfId="0" applyBorder="1"/>
    <xf numFmtId="0" fontId="28" fillId="29" borderId="4" xfId="0" applyFont="1" applyFill="1" applyBorder="1" applyAlignment="1">
      <alignment vertical="top"/>
    </xf>
    <xf numFmtId="0" fontId="37" fillId="0" borderId="93" xfId="0" applyFont="1" applyBorder="1"/>
    <xf numFmtId="0" fontId="37" fillId="0" borderId="96" xfId="0" applyFont="1" applyBorder="1"/>
    <xf numFmtId="0" fontId="37" fillId="0" borderId="97" xfId="0" applyFont="1" applyBorder="1"/>
    <xf numFmtId="0" fontId="37" fillId="0" borderId="98" xfId="0" applyFont="1" applyBorder="1" applyAlignment="1">
      <alignment horizontal="center" vertical="center"/>
    </xf>
    <xf numFmtId="1" fontId="37" fillId="0" borderId="99" xfId="0" applyNumberFormat="1" applyFont="1" applyBorder="1"/>
    <xf numFmtId="1" fontId="37" fillId="0" borderId="100" xfId="0" applyNumberFormat="1" applyFont="1" applyBorder="1"/>
    <xf numFmtId="1" fontId="37" fillId="0" borderId="101" xfId="0" applyNumberFormat="1" applyFont="1" applyBorder="1" applyAlignment="1">
      <alignment horizontal="center" vertical="center"/>
    </xf>
    <xf numFmtId="0" fontId="37" fillId="0" borderId="52" xfId="0" applyFont="1" applyBorder="1" applyAlignment="1">
      <alignment horizontal="center" vertical="center"/>
    </xf>
    <xf numFmtId="0" fontId="37" fillId="0" borderId="102" xfId="0" applyFont="1" applyBorder="1"/>
    <xf numFmtId="175" fontId="28" fillId="0" borderId="64" xfId="4" applyNumberFormat="1" applyFont="1" applyBorder="1" applyAlignment="1">
      <alignment horizontal="right"/>
    </xf>
    <xf numFmtId="175" fontId="25" fillId="0" borderId="64" xfId="4" applyNumberFormat="1" applyFont="1" applyFill="1" applyBorder="1" applyAlignment="1">
      <alignment horizontal="right" vertical="center"/>
    </xf>
    <xf numFmtId="175" fontId="25" fillId="0" borderId="64" xfId="4" applyNumberFormat="1" applyFont="1" applyBorder="1" applyAlignment="1">
      <alignment horizontal="right" vertical="center"/>
    </xf>
    <xf numFmtId="175" fontId="28" fillId="0" borderId="64" xfId="4" applyNumberFormat="1" applyFont="1" applyBorder="1" applyAlignment="1">
      <alignment horizontal="right" vertical="center"/>
    </xf>
    <xf numFmtId="0" fontId="28" fillId="0" borderId="63" xfId="0" applyFont="1" applyBorder="1" applyAlignment="1">
      <alignment vertical="center"/>
    </xf>
    <xf numFmtId="0" fontId="1" fillId="0" borderId="63" xfId="0" applyFont="1" applyBorder="1" applyAlignment="1">
      <alignment horizontal="center" vertical="center"/>
    </xf>
    <xf numFmtId="0" fontId="1" fillId="0" borderId="63" xfId="0" applyFont="1" applyBorder="1"/>
    <xf numFmtId="0" fontId="1" fillId="0" borderId="65" xfId="0" applyFont="1" applyBorder="1"/>
    <xf numFmtId="175" fontId="25" fillId="0" borderId="106" xfId="4" applyNumberFormat="1" applyFont="1" applyBorder="1" applyAlignment="1">
      <alignment horizontal="right"/>
    </xf>
    <xf numFmtId="0" fontId="1" fillId="0" borderId="109" xfId="0" applyFont="1" applyBorder="1"/>
    <xf numFmtId="0" fontId="2" fillId="0" borderId="102" xfId="0" applyFont="1" applyBorder="1" applyAlignment="1">
      <alignment horizontal="center" vertical="center"/>
    </xf>
    <xf numFmtId="0" fontId="25" fillId="0" borderId="105" xfId="0" applyFont="1" applyBorder="1" applyAlignment="1">
      <alignment horizontal="center"/>
    </xf>
    <xf numFmtId="0" fontId="25" fillId="0" borderId="105" xfId="0" applyFont="1" applyBorder="1" applyAlignment="1">
      <alignment horizontal="center" vertical="center" wrapText="1"/>
    </xf>
    <xf numFmtId="0" fontId="28" fillId="0" borderId="61" xfId="0" applyFont="1" applyBorder="1"/>
    <xf numFmtId="175" fontId="28" fillId="0" borderId="62" xfId="4" applyNumberFormat="1" applyFont="1" applyBorder="1" applyAlignment="1">
      <alignment horizontal="right"/>
    </xf>
    <xf numFmtId="0" fontId="28" fillId="0" borderId="63" xfId="0" applyFont="1" applyBorder="1" applyAlignment="1">
      <alignment horizontal="center" vertical="center"/>
    </xf>
    <xf numFmtId="175" fontId="1" fillId="0" borderId="64" xfId="4" applyNumberFormat="1" applyFont="1" applyBorder="1"/>
    <xf numFmtId="0" fontId="25" fillId="0" borderId="102" xfId="0" applyFont="1" applyBorder="1" applyAlignment="1">
      <alignment horizontal="center" vertical="center"/>
    </xf>
    <xf numFmtId="0" fontId="2" fillId="0" borderId="105" xfId="0" applyFont="1" applyBorder="1" applyAlignment="1">
      <alignment horizontal="center" vertical="center"/>
    </xf>
    <xf numFmtId="0" fontId="2" fillId="0" borderId="106" xfId="0" applyFont="1" applyBorder="1" applyAlignment="1">
      <alignment horizontal="center" vertical="center"/>
    </xf>
    <xf numFmtId="0" fontId="28" fillId="0" borderId="60" xfId="0" applyFont="1" applyBorder="1" applyAlignment="1">
      <alignment horizontal="center" vertical="center"/>
    </xf>
    <xf numFmtId="0" fontId="1" fillId="0" borderId="61" xfId="0" applyFont="1" applyBorder="1"/>
    <xf numFmtId="0" fontId="1" fillId="0" borderId="61" xfId="0" applyFont="1" applyBorder="1" applyAlignment="1">
      <alignment horizontal="center" vertical="center"/>
    </xf>
    <xf numFmtId="0" fontId="1" fillId="0" borderId="61" xfId="0" applyFont="1" applyBorder="1" applyAlignment="1">
      <alignment horizontal="right" vertical="center"/>
    </xf>
    <xf numFmtId="175" fontId="1" fillId="0" borderId="62" xfId="4" applyNumberFormat="1" applyFont="1" applyBorder="1"/>
    <xf numFmtId="0" fontId="1" fillId="0" borderId="64" xfId="0" applyFont="1" applyBorder="1"/>
    <xf numFmtId="0" fontId="1" fillId="0" borderId="91" xfId="0" applyFont="1" applyBorder="1"/>
    <xf numFmtId="0" fontId="28" fillId="0" borderId="63" xfId="0" applyFont="1" applyBorder="1" applyAlignment="1">
      <alignment horizontal="center"/>
    </xf>
    <xf numFmtId="0" fontId="25" fillId="0" borderId="102" xfId="0" applyFont="1" applyBorder="1" applyAlignment="1">
      <alignment horizontal="center"/>
    </xf>
    <xf numFmtId="0" fontId="2" fillId="26" borderId="105" xfId="0" applyFont="1" applyFill="1" applyBorder="1" applyAlignment="1">
      <alignment horizontal="center" vertical="center"/>
    </xf>
    <xf numFmtId="175" fontId="2" fillId="26" borderId="105" xfId="4" applyNumberFormat="1" applyFont="1" applyFill="1" applyBorder="1" applyAlignment="1">
      <alignment horizontal="center" vertical="center"/>
    </xf>
    <xf numFmtId="0" fontId="2" fillId="26" borderId="106" xfId="0" applyFont="1" applyFill="1" applyBorder="1" applyAlignment="1">
      <alignment horizontal="center" vertical="center"/>
    </xf>
    <xf numFmtId="0" fontId="28" fillId="0" borderId="60" xfId="0" applyFont="1" applyBorder="1" applyAlignment="1">
      <alignment horizontal="center"/>
    </xf>
    <xf numFmtId="1" fontId="1" fillId="0" borderId="61" xfId="0" applyNumberFormat="1" applyFont="1" applyBorder="1"/>
    <xf numFmtId="175" fontId="1" fillId="0" borderId="61" xfId="4" applyNumberFormat="1" applyFont="1" applyBorder="1" applyAlignment="1">
      <alignment horizontal="right"/>
    </xf>
    <xf numFmtId="0" fontId="1" fillId="0" borderId="62" xfId="0" applyFont="1" applyBorder="1"/>
    <xf numFmtId="175" fontId="2" fillId="2" borderId="105" xfId="4" applyNumberFormat="1" applyFont="1" applyFill="1" applyBorder="1" applyAlignment="1">
      <alignment horizontal="right"/>
    </xf>
    <xf numFmtId="0" fontId="1" fillId="0" borderId="105" xfId="0" applyFont="1" applyBorder="1"/>
    <xf numFmtId="0" fontId="2" fillId="2" borderId="106" xfId="0" applyFont="1" applyFill="1" applyBorder="1"/>
    <xf numFmtId="0" fontId="28" fillId="0" borderId="65" xfId="0" applyFont="1" applyBorder="1" applyAlignment="1">
      <alignment horizontal="center"/>
    </xf>
    <xf numFmtId="0" fontId="1" fillId="0" borderId="7" xfId="0" applyFont="1" applyBorder="1"/>
    <xf numFmtId="0" fontId="1" fillId="0" borderId="7" xfId="0" applyFont="1" applyBorder="1" applyAlignment="1">
      <alignment horizontal="center"/>
    </xf>
    <xf numFmtId="175" fontId="1" fillId="0" borderId="7" xfId="4" applyNumberFormat="1" applyFont="1" applyBorder="1" applyAlignment="1">
      <alignment horizontal="right"/>
    </xf>
    <xf numFmtId="0" fontId="1" fillId="0" borderId="107" xfId="0" applyFont="1" applyBorder="1"/>
    <xf numFmtId="175" fontId="2" fillId="0" borderId="106" xfId="4" applyNumberFormat="1" applyFont="1" applyBorder="1"/>
    <xf numFmtId="0" fontId="28" fillId="0" borderId="65" xfId="0" applyFont="1" applyBorder="1" applyAlignment="1">
      <alignment horizontal="center" vertical="center"/>
    </xf>
    <xf numFmtId="0" fontId="1" fillId="0" borderId="7" xfId="0" applyFont="1" applyBorder="1" applyAlignment="1">
      <alignment horizontal="center" vertical="center"/>
    </xf>
    <xf numFmtId="175" fontId="1" fillId="0" borderId="107" xfId="4" applyNumberFormat="1" applyFont="1" applyBorder="1"/>
    <xf numFmtId="0" fontId="25" fillId="0" borderId="60" xfId="0" applyFont="1" applyBorder="1" applyAlignment="1">
      <alignment horizontal="center"/>
    </xf>
    <xf numFmtId="0" fontId="2" fillId="0" borderId="61" xfId="0" applyFont="1" applyBorder="1"/>
    <xf numFmtId="0" fontId="1" fillId="0" borderId="61" xfId="0" applyFont="1" applyBorder="1" applyAlignment="1">
      <alignment horizontal="center"/>
    </xf>
    <xf numFmtId="0" fontId="45" fillId="28" borderId="63" xfId="0" applyFont="1" applyFill="1" applyBorder="1" applyAlignment="1">
      <alignment horizontal="center" vertical="center" wrapText="1"/>
    </xf>
    <xf numFmtId="175" fontId="1" fillId="0" borderId="64" xfId="4" applyNumberFormat="1" applyFont="1" applyBorder="1" applyAlignment="1">
      <alignment horizontal="right"/>
    </xf>
    <xf numFmtId="175" fontId="45" fillId="28" borderId="64" xfId="4" applyNumberFormat="1" applyFont="1" applyFill="1" applyBorder="1" applyAlignment="1">
      <alignment horizontal="right" vertical="center" wrapText="1"/>
    </xf>
    <xf numFmtId="0" fontId="21" fillId="27" borderId="63" xfId="0" applyFont="1" applyFill="1" applyBorder="1" applyAlignment="1">
      <alignment horizontal="center" vertical="center" wrapText="1"/>
    </xf>
    <xf numFmtId="175" fontId="25" fillId="2" borderId="64" xfId="4" applyNumberFormat="1" applyFont="1" applyFill="1" applyBorder="1" applyAlignment="1">
      <alignment horizontal="right"/>
    </xf>
    <xf numFmtId="175" fontId="28" fillId="27" borderId="64" xfId="4" applyNumberFormat="1" applyFont="1" applyFill="1" applyBorder="1" applyAlignment="1">
      <alignment horizontal="right"/>
    </xf>
    <xf numFmtId="175" fontId="2" fillId="2" borderId="64" xfId="4" applyNumberFormat="1" applyFont="1" applyFill="1" applyBorder="1" applyAlignment="1">
      <alignment horizontal="right"/>
    </xf>
    <xf numFmtId="0" fontId="28" fillId="0" borderId="94" xfId="0" applyFont="1" applyBorder="1" applyAlignment="1">
      <alignment horizontal="center" vertical="center"/>
    </xf>
    <xf numFmtId="175" fontId="2" fillId="2" borderId="95" xfId="4" applyNumberFormat="1" applyFont="1" applyFill="1" applyBorder="1" applyAlignment="1">
      <alignment horizontal="right"/>
    </xf>
    <xf numFmtId="0" fontId="25" fillId="26" borderId="102" xfId="0" applyFont="1" applyFill="1" applyBorder="1" applyAlignment="1">
      <alignment horizontal="center"/>
    </xf>
    <xf numFmtId="0" fontId="25" fillId="26" borderId="105" xfId="0" applyFont="1" applyFill="1" applyBorder="1" applyAlignment="1">
      <alignment horizontal="center"/>
    </xf>
    <xf numFmtId="175" fontId="25" fillId="26" borderId="106" xfId="4" applyNumberFormat="1" applyFont="1" applyFill="1" applyBorder="1" applyAlignment="1">
      <alignment horizontal="center" vertical="center"/>
    </xf>
    <xf numFmtId="0" fontId="45" fillId="28" borderId="60" xfId="0" applyFont="1" applyFill="1" applyBorder="1" applyAlignment="1">
      <alignment horizontal="center" vertical="center" wrapText="1"/>
    </xf>
    <xf numFmtId="0" fontId="45" fillId="28" borderId="61" xfId="0" applyFont="1" applyFill="1" applyBorder="1" applyAlignment="1">
      <alignment vertical="center" wrapText="1"/>
    </xf>
    <xf numFmtId="3" fontId="1" fillId="0" borderId="61" xfId="0" applyNumberFormat="1" applyFont="1" applyBorder="1"/>
    <xf numFmtId="0" fontId="2" fillId="0" borderId="105" xfId="0" applyFont="1" applyBorder="1" applyAlignment="1">
      <alignment horizontal="center"/>
    </xf>
    <xf numFmtId="0" fontId="1" fillId="0" borderId="62" xfId="0" applyFont="1" applyBorder="1" applyAlignment="1">
      <alignment horizontal="center" vertical="center"/>
    </xf>
    <xf numFmtId="0" fontId="1" fillId="0" borderId="64" xfId="0" applyFont="1" applyBorder="1" applyAlignment="1">
      <alignment horizontal="center" vertical="center"/>
    </xf>
    <xf numFmtId="175" fontId="2" fillId="0" borderId="111" xfId="4" applyNumberFormat="1" applyFont="1" applyBorder="1" applyAlignment="1">
      <alignment horizontal="right"/>
    </xf>
    <xf numFmtId="175" fontId="1" fillId="0" borderId="112" xfId="4" applyNumberFormat="1" applyFont="1" applyBorder="1" applyAlignment="1">
      <alignment horizontal="right"/>
    </xf>
    <xf numFmtId="175" fontId="1" fillId="0" borderId="97" xfId="4" applyNumberFormat="1" applyFont="1" applyBorder="1" applyAlignment="1">
      <alignment horizontal="right"/>
    </xf>
    <xf numFmtId="175" fontId="2" fillId="26" borderId="98" xfId="4" applyNumberFormat="1" applyFont="1" applyFill="1" applyBorder="1" applyAlignment="1">
      <alignment horizontal="right"/>
    </xf>
    <xf numFmtId="0" fontId="1" fillId="0" borderId="110" xfId="0" applyFont="1" applyBorder="1" applyAlignment="1">
      <alignment horizontal="center"/>
    </xf>
    <xf numFmtId="0" fontId="25" fillId="0" borderId="50" xfId="0" applyFont="1" applyBorder="1" applyAlignment="1">
      <alignment horizontal="center"/>
    </xf>
    <xf numFmtId="0" fontId="28" fillId="0" borderId="108" xfId="0" applyFont="1" applyBorder="1" applyAlignment="1">
      <alignment horizontal="center"/>
    </xf>
    <xf numFmtId="175" fontId="2" fillId="0" borderId="96" xfId="4" applyNumberFormat="1" applyFont="1" applyBorder="1" applyAlignment="1">
      <alignment horizontal="right"/>
    </xf>
    <xf numFmtId="175" fontId="1" fillId="0" borderId="98" xfId="4" applyNumberFormat="1" applyFont="1" applyBorder="1" applyAlignment="1">
      <alignment horizontal="right"/>
    </xf>
    <xf numFmtId="0" fontId="2" fillId="0" borderId="93" xfId="0" applyFont="1" applyBorder="1"/>
    <xf numFmtId="1" fontId="37" fillId="0" borderId="113" xfId="0" applyNumberFormat="1" applyFont="1" applyBorder="1"/>
    <xf numFmtId="0" fontId="2" fillId="0" borderId="94" xfId="0" applyFont="1" applyBorder="1"/>
    <xf numFmtId="1" fontId="37" fillId="0" borderId="49" xfId="0" applyNumberFormat="1" applyFont="1" applyBorder="1"/>
    <xf numFmtId="0" fontId="43" fillId="0" borderId="43" xfId="0" applyFont="1" applyBorder="1" applyAlignment="1">
      <alignment horizontal="center" vertical="center"/>
    </xf>
    <xf numFmtId="179" fontId="43" fillId="0" borderId="44" xfId="0" applyNumberFormat="1" applyFont="1" applyBorder="1" applyAlignment="1">
      <alignment horizontal="right" vertical="center"/>
    </xf>
    <xf numFmtId="0" fontId="43" fillId="0" borderId="45" xfId="0" applyFont="1" applyBorder="1" applyAlignment="1">
      <alignment horizontal="center" vertical="center"/>
    </xf>
    <xf numFmtId="179" fontId="37" fillId="26" borderId="49" xfId="0" applyNumberFormat="1" applyFont="1" applyFill="1" applyBorder="1"/>
    <xf numFmtId="0" fontId="23" fillId="27" borderId="121" xfId="0" applyFont="1" applyFill="1" applyBorder="1" applyAlignment="1">
      <alignment vertical="top"/>
    </xf>
    <xf numFmtId="0" fontId="23" fillId="27" borderId="86" xfId="0" applyFont="1" applyFill="1" applyBorder="1" applyAlignment="1">
      <alignment vertical="top"/>
    </xf>
    <xf numFmtId="0" fontId="0" fillId="0" borderId="87" xfId="0" applyBorder="1"/>
    <xf numFmtId="0" fontId="0" fillId="0" borderId="45" xfId="0" applyBorder="1"/>
    <xf numFmtId="0" fontId="0" fillId="0" borderId="122" xfId="0" applyBorder="1"/>
    <xf numFmtId="0" fontId="0" fillId="0" borderId="123" xfId="0" applyBorder="1"/>
    <xf numFmtId="0" fontId="0" fillId="0" borderId="37" xfId="0" applyBorder="1"/>
    <xf numFmtId="0" fontId="0" fillId="0" borderId="38" xfId="0" applyBorder="1"/>
    <xf numFmtId="0" fontId="37" fillId="0" borderId="39" xfId="0" applyFont="1" applyBorder="1" applyAlignment="1">
      <alignment horizontal="center" vertical="center"/>
    </xf>
    <xf numFmtId="0" fontId="37" fillId="0" borderId="94" xfId="0" applyFont="1" applyBorder="1"/>
    <xf numFmtId="0" fontId="39" fillId="26" borderId="130" xfId="0" applyFont="1" applyFill="1" applyBorder="1" applyAlignment="1">
      <alignment vertical="center"/>
    </xf>
    <xf numFmtId="0" fontId="0" fillId="0" borderId="7" xfId="0" applyBorder="1" applyAlignment="1">
      <alignment horizontal="center" vertical="center"/>
    </xf>
    <xf numFmtId="0" fontId="0" fillId="0" borderId="67" xfId="0" applyBorder="1" applyAlignment="1">
      <alignment horizontal="center" vertical="center"/>
    </xf>
    <xf numFmtId="0" fontId="37" fillId="0" borderId="40" xfId="0" applyFont="1" applyBorder="1" applyAlignment="1">
      <alignment horizontal="center" vertical="center"/>
    </xf>
    <xf numFmtId="0" fontId="37" fillId="0" borderId="41" xfId="0" applyFont="1" applyBorder="1" applyAlignment="1">
      <alignment horizontal="center" vertical="center"/>
    </xf>
    <xf numFmtId="0" fontId="0" fillId="0" borderId="20" xfId="0" applyBorder="1" applyAlignment="1">
      <alignment horizontal="left" vertical="center"/>
    </xf>
    <xf numFmtId="0" fontId="51" fillId="0" borderId="0" xfId="0" applyFont="1" applyAlignment="1">
      <alignment horizontal="center" vertical="center"/>
    </xf>
    <xf numFmtId="0" fontId="1" fillId="0" borderId="60" xfId="0" applyFont="1" applyBorder="1"/>
    <xf numFmtId="0" fontId="1" fillId="0" borderId="94" xfId="0" applyFont="1" applyBorder="1"/>
    <xf numFmtId="175" fontId="0" fillId="0" borderId="0" xfId="0" applyNumberFormat="1"/>
    <xf numFmtId="0" fontId="25" fillId="27" borderId="14" xfId="0" applyFont="1" applyFill="1" applyBorder="1" applyAlignment="1">
      <alignment horizontal="center"/>
    </xf>
    <xf numFmtId="0" fontId="25" fillId="0" borderId="14" xfId="0" applyFont="1" applyBorder="1" applyAlignment="1">
      <alignment horizontal="center" vertical="center"/>
    </xf>
    <xf numFmtId="0" fontId="28" fillId="29" borderId="14" xfId="0" applyFont="1" applyFill="1" applyBorder="1" applyAlignment="1">
      <alignment vertical="top"/>
    </xf>
    <xf numFmtId="175" fontId="0" fillId="2" borderId="14" xfId="4" applyNumberFormat="1" applyFont="1" applyFill="1" applyBorder="1"/>
    <xf numFmtId="0" fontId="28" fillId="29" borderId="35" xfId="0" applyFont="1" applyFill="1" applyBorder="1" applyAlignment="1">
      <alignment vertical="top"/>
    </xf>
    <xf numFmtId="175" fontId="0" fillId="2" borderId="18" xfId="4" applyNumberFormat="1" applyFont="1" applyFill="1" applyBorder="1"/>
    <xf numFmtId="0" fontId="28" fillId="29" borderId="136" xfId="0" applyFont="1" applyFill="1" applyBorder="1" applyAlignment="1">
      <alignment vertical="top"/>
    </xf>
    <xf numFmtId="175" fontId="0" fillId="2" borderId="137" xfId="4" applyNumberFormat="1" applyFont="1" applyFill="1" applyBorder="1"/>
    <xf numFmtId="0" fontId="0" fillId="0" borderId="138" xfId="0" applyBorder="1"/>
    <xf numFmtId="0" fontId="1" fillId="0" borderId="107" xfId="0" applyFont="1" applyBorder="1" applyAlignment="1">
      <alignment horizontal="center" vertical="center"/>
    </xf>
    <xf numFmtId="43" fontId="23" fillId="0" borderId="18" xfId="7" applyFont="1" applyBorder="1" applyAlignment="1" applyProtection="1">
      <alignment horizontal="center" vertical="center"/>
    </xf>
    <xf numFmtId="43" fontId="23" fillId="0" borderId="20" xfId="7" applyFont="1" applyBorder="1" applyAlignment="1" applyProtection="1">
      <alignment horizontal="center" vertical="center"/>
    </xf>
    <xf numFmtId="175" fontId="25" fillId="27" borderId="64" xfId="4" applyNumberFormat="1" applyFont="1" applyFill="1" applyBorder="1" applyAlignment="1">
      <alignment horizontal="right"/>
    </xf>
    <xf numFmtId="175" fontId="25" fillId="0" borderId="64" xfId="4" applyNumberFormat="1" applyFont="1" applyBorder="1" applyAlignment="1">
      <alignment horizontal="right"/>
    </xf>
    <xf numFmtId="0" fontId="28" fillId="0" borderId="91" xfId="0" applyFont="1" applyBorder="1"/>
    <xf numFmtId="175" fontId="28" fillId="0" borderId="95" xfId="4" applyNumberFormat="1" applyFont="1" applyBorder="1" applyAlignment="1">
      <alignment horizontal="right"/>
    </xf>
    <xf numFmtId="164" fontId="52" fillId="0" borderId="64" xfId="0" applyNumberFormat="1" applyFont="1" applyBorder="1" applyAlignment="1">
      <alignment horizontal="center" vertical="center"/>
    </xf>
    <xf numFmtId="164" fontId="2" fillId="0" borderId="106" xfId="0" applyNumberFormat="1" applyFont="1" applyBorder="1" applyAlignment="1">
      <alignment horizontal="center" vertical="center"/>
    </xf>
    <xf numFmtId="164" fontId="52" fillId="0" borderId="107" xfId="0" applyNumberFormat="1" applyFont="1" applyBorder="1" applyAlignment="1">
      <alignment horizontal="center" vertical="center"/>
    </xf>
    <xf numFmtId="0" fontId="2" fillId="0" borderId="102" xfId="0" applyFont="1" applyBorder="1" applyAlignment="1">
      <alignment horizontal="center"/>
    </xf>
    <xf numFmtId="164" fontId="52" fillId="0" borderId="62" xfId="0" applyNumberFormat="1" applyFont="1" applyBorder="1" applyAlignment="1">
      <alignment horizontal="center" vertical="center"/>
    </xf>
    <xf numFmtId="0" fontId="1" fillId="0" borderId="0" xfId="0" applyFont="1" applyAlignment="1">
      <alignment vertical="center" wrapText="1"/>
    </xf>
    <xf numFmtId="0" fontId="25" fillId="30" borderId="1" xfId="0" applyFont="1" applyFill="1" applyBorder="1" applyAlignment="1">
      <alignment horizontal="center" vertical="center" wrapText="1"/>
    </xf>
    <xf numFmtId="0" fontId="2" fillId="30" borderId="1" xfId="0" applyFont="1" applyFill="1" applyBorder="1" applyAlignment="1">
      <alignment horizontal="justify" vertical="center" wrapText="1"/>
    </xf>
    <xf numFmtId="0" fontId="2" fillId="30" borderId="1" xfId="0" applyFont="1" applyFill="1" applyBorder="1" applyAlignment="1">
      <alignment horizontal="center" vertical="center" wrapText="1"/>
    </xf>
    <xf numFmtId="4" fontId="2" fillId="30" borderId="1" xfId="2"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1" borderId="1" xfId="0" applyFont="1" applyFill="1" applyBorder="1" applyAlignment="1">
      <alignment horizontal="justify" vertical="center" wrapText="1"/>
    </xf>
    <xf numFmtId="43" fontId="1" fillId="11" borderId="1" xfId="0" applyNumberFormat="1" applyFont="1" applyFill="1" applyBorder="1" applyAlignment="1">
      <alignment horizontal="center" vertical="center" wrapText="1"/>
    </xf>
    <xf numFmtId="4" fontId="1" fillId="11" borderId="1" xfId="0" applyNumberFormat="1" applyFont="1" applyFill="1" applyBorder="1" applyAlignment="1">
      <alignment horizontal="center" vertical="center" wrapText="1"/>
    </xf>
    <xf numFmtId="0" fontId="28" fillId="0" borderId="1" xfId="19" applyNumberFormat="1" applyFont="1" applyFill="1" applyBorder="1" applyAlignment="1" applyProtection="1">
      <alignment horizontal="justify" vertical="center" wrapText="1"/>
    </xf>
    <xf numFmtId="43" fontId="1" fillId="0" borderId="1" xfId="0" applyNumberFormat="1" applyFont="1" applyBorder="1" applyAlignment="1">
      <alignment horizontal="center" vertical="center" wrapText="1"/>
    </xf>
    <xf numFmtId="4" fontId="1" fillId="0" borderId="1" xfId="2" applyNumberFormat="1" applyFont="1" applyBorder="1" applyAlignment="1">
      <alignment horizontal="center" vertical="center" wrapText="1"/>
    </xf>
    <xf numFmtId="0" fontId="28" fillId="0" borderId="1" xfId="0" applyFont="1" applyBorder="1" applyAlignment="1">
      <alignment horizontal="justify" vertical="center" wrapText="1"/>
    </xf>
    <xf numFmtId="0" fontId="1" fillId="0" borderId="1" xfId="0" applyFont="1" applyBorder="1" applyAlignment="1">
      <alignment horizontal="justify" vertical="center" wrapText="1"/>
    </xf>
    <xf numFmtId="0" fontId="1" fillId="27" borderId="1" xfId="0" applyFont="1" applyFill="1" applyBorder="1" applyAlignment="1">
      <alignment horizontal="center" vertical="center" wrapText="1"/>
    </xf>
    <xf numFmtId="0" fontId="1" fillId="27" borderId="1" xfId="0" applyFont="1" applyFill="1" applyBorder="1" applyAlignment="1">
      <alignment horizontal="justify" vertical="center" wrapText="1"/>
    </xf>
    <xf numFmtId="43" fontId="1" fillId="27" borderId="1" xfId="0" applyNumberFormat="1" applyFont="1" applyFill="1" applyBorder="1" applyAlignment="1">
      <alignment horizontal="center" vertical="center" wrapText="1"/>
    </xf>
    <xf numFmtId="0" fontId="2" fillId="0" borderId="1" xfId="0" applyFont="1" applyBorder="1" applyAlignment="1">
      <alignment horizontal="justify" vertical="center" wrapText="1"/>
    </xf>
    <xf numFmtId="0" fontId="25" fillId="0" borderId="1" xfId="0" applyFont="1" applyBorder="1" applyAlignment="1">
      <alignment horizontal="center" vertical="center" wrapText="1"/>
    </xf>
    <xf numFmtId="0" fontId="25" fillId="0" borderId="1" xfId="0" applyFont="1" applyBorder="1" applyAlignment="1">
      <alignment horizontal="justify" vertical="center" wrapText="1"/>
    </xf>
    <xf numFmtId="0" fontId="28" fillId="0" borderId="1" xfId="0" applyFont="1" applyBorder="1" applyAlignment="1">
      <alignment horizontal="center" vertical="center" wrapText="1"/>
    </xf>
    <xf numFmtId="0" fontId="28" fillId="0" borderId="1" xfId="0" applyFont="1" applyBorder="1" applyAlignment="1">
      <alignment horizontal="left" vertical="top" wrapText="1"/>
    </xf>
    <xf numFmtId="4" fontId="1" fillId="0" borderId="1" xfId="2" applyNumberFormat="1" applyFont="1" applyFill="1" applyBorder="1" applyAlignment="1">
      <alignment horizontal="center" vertical="center" wrapText="1"/>
    </xf>
    <xf numFmtId="4" fontId="1" fillId="0" borderId="1" xfId="0" applyNumberFormat="1" applyFont="1" applyBorder="1" applyAlignment="1">
      <alignment horizontal="center" vertical="center" wrapText="1"/>
    </xf>
    <xf numFmtId="0" fontId="28" fillId="0" borderId="1" xfId="20" applyFont="1" applyBorder="1" applyAlignment="1" applyProtection="1">
      <alignment horizontal="justify" vertical="center" wrapText="1"/>
      <protection hidden="1"/>
    </xf>
    <xf numFmtId="0" fontId="28" fillId="0" borderId="1" xfId="21" applyNumberFormat="1" applyFont="1" applyFill="1" applyBorder="1" applyAlignment="1" applyProtection="1">
      <alignment horizontal="justify" vertical="center" wrapText="1"/>
    </xf>
    <xf numFmtId="2" fontId="1" fillId="0" borderId="1" xfId="0" applyNumberFormat="1" applyFont="1" applyBorder="1" applyAlignment="1">
      <alignment horizontal="center" vertical="center" wrapText="1"/>
    </xf>
    <xf numFmtId="173" fontId="28"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3" fontId="1" fillId="0" borderId="0" xfId="0" applyNumberFormat="1" applyFont="1" applyAlignment="1">
      <alignment vertical="center" wrapText="1"/>
    </xf>
    <xf numFmtId="4" fontId="1" fillId="27" borderId="1" xfId="2" applyNumberFormat="1" applyFont="1" applyFill="1" applyBorder="1" applyAlignment="1">
      <alignment horizontal="center" vertical="center" wrapText="1"/>
    </xf>
    <xf numFmtId="181" fontId="1" fillId="0" borderId="1" xfId="0" applyNumberFormat="1" applyFont="1" applyBorder="1" applyAlignment="1">
      <alignment horizontal="center" vertical="center" wrapText="1"/>
    </xf>
    <xf numFmtId="43" fontId="1" fillId="0" borderId="1" xfId="0" applyNumberFormat="1" applyFont="1" applyBorder="1" applyAlignment="1">
      <alignment horizontal="justify" vertical="center" wrapText="1"/>
    </xf>
    <xf numFmtId="0" fontId="1" fillId="0" borderId="1" xfId="0" quotePrefix="1" applyFont="1" applyBorder="1" applyAlignment="1">
      <alignment horizontal="center" vertical="center" wrapText="1"/>
    </xf>
    <xf numFmtId="43" fontId="1" fillId="0" borderId="1" xfId="2" applyFont="1" applyBorder="1" applyAlignment="1">
      <alignment horizontal="justify" vertical="center" wrapText="1"/>
    </xf>
    <xf numFmtId="0" fontId="28" fillId="0" borderId="1" xfId="22" applyNumberFormat="1" applyFont="1" applyFill="1" applyBorder="1" applyAlignment="1">
      <alignment horizontal="justify" vertical="center" wrapText="1"/>
    </xf>
    <xf numFmtId="0" fontId="1" fillId="0" borderId="0" xfId="0" applyFont="1" applyAlignment="1">
      <alignment horizontal="justify" vertical="center" wrapText="1"/>
    </xf>
    <xf numFmtId="4" fontId="1" fillId="0" borderId="0" xfId="2" applyNumberFormat="1" applyFont="1" applyAlignment="1">
      <alignment horizontal="center" vertical="center" wrapText="1"/>
    </xf>
    <xf numFmtId="3" fontId="1" fillId="0" borderId="0" xfId="0" applyNumberFormat="1" applyFont="1" applyAlignment="1">
      <alignment horizontal="right" vertical="center" wrapText="1"/>
    </xf>
    <xf numFmtId="0" fontId="10" fillId="27" borderId="1" xfId="5" applyFont="1" applyFill="1" applyBorder="1"/>
    <xf numFmtId="3" fontId="10" fillId="27" borderId="1" xfId="5" applyNumberFormat="1" applyFont="1" applyFill="1" applyBorder="1"/>
    <xf numFmtId="4" fontId="10" fillId="27" borderId="1" xfId="5" applyNumberFormat="1" applyFont="1" applyFill="1" applyBorder="1"/>
    <xf numFmtId="2" fontId="2" fillId="7" borderId="1" xfId="0" applyNumberFormat="1" applyFont="1" applyFill="1" applyBorder="1"/>
    <xf numFmtId="4" fontId="2" fillId="7" borderId="1" xfId="0" applyNumberFormat="1" applyFont="1" applyFill="1" applyBorder="1"/>
    <xf numFmtId="43" fontId="7" fillId="0" borderId="0" xfId="0" applyNumberFormat="1" applyFont="1" applyAlignment="1">
      <alignment horizontal="center" vertical="center"/>
    </xf>
    <xf numFmtId="0" fontId="2" fillId="0" borderId="1" xfId="0" applyFont="1" applyBorder="1"/>
    <xf numFmtId="4" fontId="1" fillId="27" borderId="1" xfId="1" applyNumberFormat="1" applyFont="1" applyFill="1" applyBorder="1" applyAlignment="1">
      <alignment horizontal="right"/>
    </xf>
    <xf numFmtId="4" fontId="1" fillId="0" borderId="0" xfId="0" applyNumberFormat="1" applyFont="1" applyAlignment="1">
      <alignment vertical="center" wrapText="1"/>
    </xf>
    <xf numFmtId="175" fontId="1" fillId="0" borderId="0" xfId="2" applyNumberFormat="1" applyFont="1"/>
    <xf numFmtId="43" fontId="11" fillId="0" borderId="0" xfId="3" applyNumberFormat="1" applyFont="1" applyAlignment="1">
      <alignment horizontal="right" vertical="center"/>
    </xf>
    <xf numFmtId="43" fontId="7" fillId="0" borderId="0" xfId="2" applyFont="1" applyAlignment="1">
      <alignment horizontal="center" vertical="center"/>
    </xf>
    <xf numFmtId="43" fontId="11" fillId="0" borderId="0" xfId="2" applyFont="1" applyAlignment="1">
      <alignment horizontal="right" vertical="center"/>
    </xf>
    <xf numFmtId="0" fontId="37" fillId="0" borderId="139" xfId="0" applyFont="1" applyBorder="1"/>
    <xf numFmtId="0" fontId="37" fillId="0" borderId="95" xfId="0" applyFont="1" applyBorder="1"/>
    <xf numFmtId="1" fontId="37" fillId="0" borderId="139" xfId="0" applyNumberFormat="1" applyFont="1" applyBorder="1"/>
    <xf numFmtId="1" fontId="37" fillId="0" borderId="95" xfId="0" applyNumberFormat="1" applyFont="1" applyBorder="1"/>
    <xf numFmtId="0" fontId="37" fillId="0" borderId="106" xfId="0" applyFont="1" applyBorder="1"/>
    <xf numFmtId="0" fontId="1" fillId="0" borderId="1" xfId="2" applyNumberFormat="1" applyFont="1" applyBorder="1" applyAlignment="1">
      <alignment horizontal="justify" vertical="center" wrapText="1"/>
    </xf>
    <xf numFmtId="41" fontId="2" fillId="11" borderId="1" xfId="0" applyNumberFormat="1" applyFont="1" applyFill="1" applyBorder="1" applyAlignment="1">
      <alignment horizontal="right" vertical="center" wrapText="1"/>
    </xf>
    <xf numFmtId="41" fontId="1" fillId="0" borderId="1" xfId="2" applyNumberFormat="1" applyFont="1" applyBorder="1" applyAlignment="1">
      <alignment horizontal="right" vertical="center" wrapText="1"/>
    </xf>
    <xf numFmtId="41" fontId="1" fillId="0" borderId="1" xfId="2" applyNumberFormat="1" applyFont="1" applyFill="1" applyBorder="1" applyAlignment="1">
      <alignment horizontal="right" vertical="center" wrapText="1"/>
    </xf>
    <xf numFmtId="41" fontId="1" fillId="0" borderId="1" xfId="0" applyNumberFormat="1" applyFont="1" applyBorder="1" applyAlignment="1">
      <alignment horizontal="right" vertical="center" wrapText="1"/>
    </xf>
    <xf numFmtId="0" fontId="50" fillId="3" borderId="1" xfId="0" applyFont="1" applyFill="1" applyBorder="1" applyAlignment="1">
      <alignment horizontal="centerContinuous" vertical="center"/>
    </xf>
    <xf numFmtId="0" fontId="50" fillId="0" borderId="1" xfId="0" applyFont="1" applyBorder="1" applyAlignment="1">
      <alignment horizontal="center" vertical="center"/>
    </xf>
    <xf numFmtId="0" fontId="50" fillId="0" borderId="1" xfId="0" applyFont="1" applyBorder="1" applyAlignment="1">
      <alignment horizontal="center" vertical="center" wrapText="1"/>
    </xf>
    <xf numFmtId="0" fontId="10" fillId="27" borderId="1" xfId="12" applyFont="1" applyFill="1" applyBorder="1" applyAlignment="1">
      <alignment vertical="center"/>
    </xf>
    <xf numFmtId="0" fontId="11" fillId="27" borderId="1" xfId="12" applyFont="1" applyFill="1" applyBorder="1"/>
    <xf numFmtId="0" fontId="11" fillId="27" borderId="1" xfId="12" applyFont="1" applyFill="1" applyBorder="1" applyAlignment="1">
      <alignment horizontal="center" vertical="center"/>
    </xf>
    <xf numFmtId="0" fontId="10" fillId="27" borderId="1" xfId="12" applyFont="1" applyFill="1" applyBorder="1" applyAlignment="1">
      <alignment horizontal="center" vertical="center" wrapText="1"/>
    </xf>
    <xf numFmtId="3" fontId="11" fillId="27" borderId="1" xfId="12" applyNumberFormat="1" applyFont="1" applyFill="1" applyBorder="1" applyAlignment="1">
      <alignment horizontal="center" vertical="center"/>
    </xf>
    <xf numFmtId="4" fontId="11" fillId="27" borderId="1" xfId="12" applyNumberFormat="1" applyFont="1" applyFill="1" applyBorder="1" applyAlignment="1">
      <alignment vertical="center"/>
    </xf>
    <xf numFmtId="43" fontId="11" fillId="27" borderId="1" xfId="2" applyFont="1" applyFill="1" applyBorder="1" applyAlignment="1">
      <alignment vertical="center"/>
    </xf>
    <xf numFmtId="43" fontId="11" fillId="27" borderId="0" xfId="7" applyFont="1" applyFill="1" applyAlignment="1">
      <alignment horizontal="center" vertical="center"/>
    </xf>
    <xf numFmtId="43" fontId="11" fillId="27" borderId="0" xfId="2" applyFont="1" applyFill="1" applyAlignment="1">
      <alignment horizontal="center" vertical="center"/>
    </xf>
    <xf numFmtId="0" fontId="11" fillId="27" borderId="0" xfId="12" applyFont="1" applyFill="1" applyAlignment="1">
      <alignment horizontal="center" vertical="center"/>
    </xf>
    <xf numFmtId="0" fontId="11" fillId="27" borderId="0" xfId="12" applyFont="1" applyFill="1" applyAlignment="1">
      <alignment vertical="center"/>
    </xf>
    <xf numFmtId="164" fontId="11" fillId="27" borderId="0" xfId="4" applyFont="1" applyFill="1" applyBorder="1" applyAlignment="1">
      <alignment vertical="center"/>
    </xf>
    <xf numFmtId="0" fontId="6" fillId="27" borderId="0" xfId="0" applyFont="1" applyFill="1"/>
    <xf numFmtId="164" fontId="11" fillId="27" borderId="0" xfId="4" applyFont="1" applyFill="1" applyAlignment="1">
      <alignment vertical="center"/>
    </xf>
    <xf numFmtId="0" fontId="11" fillId="27" borderId="0" xfId="12" applyFont="1" applyFill="1"/>
    <xf numFmtId="0" fontId="10" fillId="27" borderId="1" xfId="12" applyFont="1" applyFill="1" applyBorder="1" applyAlignment="1">
      <alignment horizontal="right" vertical="center"/>
    </xf>
    <xf numFmtId="3" fontId="10" fillId="27" borderId="1" xfId="12" applyNumberFormat="1" applyFont="1" applyFill="1" applyBorder="1" applyAlignment="1">
      <alignment horizontal="center" vertical="center"/>
    </xf>
    <xf numFmtId="4" fontId="10" fillId="27" borderId="1" xfId="12" applyNumberFormat="1" applyFont="1" applyFill="1" applyBorder="1" applyAlignment="1">
      <alignment vertical="center"/>
    </xf>
    <xf numFmtId="3" fontId="10" fillId="27" borderId="1" xfId="12" applyNumberFormat="1" applyFont="1" applyFill="1" applyBorder="1" applyAlignment="1">
      <alignment vertical="center"/>
    </xf>
    <xf numFmtId="43" fontId="10" fillId="27" borderId="1" xfId="2" applyFont="1" applyFill="1" applyBorder="1" applyAlignment="1">
      <alignment horizontal="center" vertical="center"/>
    </xf>
    <xf numFmtId="3" fontId="10" fillId="27" borderId="0" xfId="12" applyNumberFormat="1" applyFont="1" applyFill="1" applyAlignment="1">
      <alignment horizontal="center" vertical="center"/>
    </xf>
    <xf numFmtId="43" fontId="10" fillId="27" borderId="0" xfId="2" applyFont="1" applyFill="1" applyBorder="1" applyAlignment="1">
      <alignment horizontal="center" vertical="center"/>
    </xf>
    <xf numFmtId="43" fontId="11" fillId="0" borderId="0" xfId="3" applyNumberFormat="1" applyFont="1" applyAlignment="1">
      <alignment horizontal="right"/>
    </xf>
    <xf numFmtId="43" fontId="11" fillId="0" borderId="0" xfId="2" applyFont="1" applyAlignment="1">
      <alignment horizontal="right"/>
    </xf>
    <xf numFmtId="43" fontId="11" fillId="0" borderId="0" xfId="0" applyNumberFormat="1" applyFont="1" applyAlignment="1">
      <alignment horizontal="center" vertical="center"/>
    </xf>
    <xf numFmtId="0" fontId="11" fillId="0" borderId="1" xfId="0" applyFont="1" applyBorder="1" applyAlignment="1">
      <alignment horizontal="left" indent="2"/>
    </xf>
    <xf numFmtId="43" fontId="1" fillId="0" borderId="0" xfId="2" applyFont="1" applyAlignment="1">
      <alignment vertical="center" wrapText="1"/>
    </xf>
    <xf numFmtId="2" fontId="17" fillId="0" borderId="0" xfId="0" applyNumberFormat="1" applyFont="1" applyAlignment="1">
      <alignment vertical="center"/>
    </xf>
    <xf numFmtId="43" fontId="0" fillId="0" borderId="1" xfId="2" applyFont="1" applyBorder="1"/>
    <xf numFmtId="4" fontId="21" fillId="11" borderId="20" xfId="6" applyNumberFormat="1" applyFont="1" applyFill="1" applyBorder="1" applyAlignment="1">
      <alignment horizontal="center" vertical="center"/>
    </xf>
    <xf numFmtId="4" fontId="21" fillId="11" borderId="20" xfId="6" applyNumberFormat="1" applyFont="1" applyFill="1" applyBorder="1" applyAlignment="1">
      <alignment horizontal="left" vertical="center"/>
    </xf>
    <xf numFmtId="4" fontId="21" fillId="11" borderId="20" xfId="8" applyNumberFormat="1" applyFont="1" applyFill="1" applyBorder="1" applyAlignment="1" applyProtection="1">
      <alignment horizontal="center" vertical="center"/>
    </xf>
    <xf numFmtId="43" fontId="21" fillId="11" borderId="20" xfId="7" applyFont="1" applyFill="1" applyBorder="1" applyAlignment="1">
      <alignment horizontal="center" vertical="center"/>
    </xf>
    <xf numFmtId="43" fontId="21" fillId="11" borderId="20" xfId="7" applyFont="1" applyFill="1" applyBorder="1" applyAlignment="1" applyProtection="1">
      <alignment horizontal="center" vertical="center"/>
    </xf>
    <xf numFmtId="43" fontId="21" fillId="11" borderId="20" xfId="7" applyFont="1" applyFill="1" applyBorder="1" applyAlignment="1" applyProtection="1">
      <alignment horizontal="right" vertical="center"/>
    </xf>
    <xf numFmtId="4" fontId="21" fillId="5" borderId="20" xfId="6" applyNumberFormat="1" applyFont="1" applyFill="1" applyBorder="1" applyAlignment="1">
      <alignment horizontal="left" vertical="center"/>
    </xf>
    <xf numFmtId="4" fontId="21" fillId="5" borderId="29" xfId="6" applyNumberFormat="1" applyFont="1" applyFill="1" applyBorder="1" applyAlignment="1">
      <alignment horizontal="center" vertical="center"/>
    </xf>
    <xf numFmtId="4" fontId="21" fillId="5" borderId="29" xfId="6" applyNumberFormat="1" applyFont="1" applyFill="1" applyBorder="1" applyAlignment="1">
      <alignment horizontal="center" vertical="center" wrapText="1"/>
    </xf>
    <xf numFmtId="43" fontId="21" fillId="5" borderId="29" xfId="7" applyFont="1" applyFill="1" applyBorder="1" applyAlignment="1">
      <alignment horizontal="center" vertical="center"/>
    </xf>
    <xf numFmtId="43" fontId="21" fillId="5" borderId="29" xfId="7" applyFont="1" applyFill="1" applyBorder="1" applyAlignment="1" applyProtection="1">
      <alignment horizontal="center" vertical="center"/>
    </xf>
    <xf numFmtId="4" fontId="21" fillId="5" borderId="18" xfId="6" applyNumberFormat="1" applyFont="1" applyFill="1" applyBorder="1" applyAlignment="1">
      <alignment horizontal="center" vertical="center"/>
    </xf>
    <xf numFmtId="43" fontId="0" fillId="0" borderId="1" xfId="0" applyNumberFormat="1" applyBorder="1"/>
    <xf numFmtId="0" fontId="1" fillId="0" borderId="1" xfId="0" applyFont="1" applyBorder="1" applyAlignment="1">
      <alignment horizontal="left" vertical="center"/>
    </xf>
    <xf numFmtId="43" fontId="1" fillId="0" borderId="1" xfId="2" applyFont="1" applyBorder="1" applyAlignment="1">
      <alignment horizontal="center" vertical="center"/>
    </xf>
    <xf numFmtId="0" fontId="2" fillId="0" borderId="1" xfId="0" applyFont="1" applyBorder="1" applyAlignment="1">
      <alignment horizontal="left" vertical="center"/>
    </xf>
    <xf numFmtId="43" fontId="2" fillId="0" borderId="1" xfId="0" applyNumberFormat="1" applyFont="1" applyBorder="1" applyAlignment="1">
      <alignment horizontal="center" vertical="center"/>
    </xf>
    <xf numFmtId="0" fontId="1" fillId="0" borderId="0" xfId="0" applyFont="1" applyAlignment="1">
      <alignment horizontal="left" vertical="center"/>
    </xf>
    <xf numFmtId="0" fontId="2" fillId="7" borderId="1" xfId="0" applyFont="1" applyFill="1" applyBorder="1" applyAlignment="1">
      <alignment horizontal="center" vertical="center"/>
    </xf>
    <xf numFmtId="0" fontId="10" fillId="8" borderId="14" xfId="23" applyFont="1" applyFill="1" applyBorder="1" applyAlignment="1">
      <alignment horizontal="center" vertical="center"/>
    </xf>
    <xf numFmtId="0" fontId="10" fillId="8" borderId="11" xfId="23" applyFont="1" applyFill="1" applyBorder="1" applyAlignment="1">
      <alignment horizontal="center" vertical="center"/>
    </xf>
    <xf numFmtId="4" fontId="10" fillId="8" borderId="11" xfId="23" applyNumberFormat="1" applyFont="1" applyFill="1" applyBorder="1" applyAlignment="1">
      <alignment horizontal="center" vertical="center"/>
    </xf>
    <xf numFmtId="3" fontId="10" fillId="8" borderId="11" xfId="23" applyNumberFormat="1" applyFont="1" applyFill="1" applyBorder="1" applyAlignment="1">
      <alignment horizontal="center" vertical="center"/>
    </xf>
    <xf numFmtId="3" fontId="10" fillId="8" borderId="14" xfId="23" applyNumberFormat="1" applyFont="1" applyFill="1" applyBorder="1" applyAlignment="1">
      <alignment horizontal="right" vertical="center"/>
    </xf>
    <xf numFmtId="0" fontId="11" fillId="0" borderId="22" xfId="23" applyFont="1" applyBorder="1" applyAlignment="1">
      <alignment vertical="top"/>
    </xf>
    <xf numFmtId="0" fontId="11" fillId="0" borderId="22" xfId="23" applyFont="1" applyBorder="1" applyAlignment="1">
      <alignment horizontal="left" vertical="top"/>
    </xf>
    <xf numFmtId="0" fontId="11" fillId="0" borderId="22" xfId="23" applyFont="1" applyBorder="1" applyAlignment="1">
      <alignment horizontal="center" vertical="top"/>
    </xf>
    <xf numFmtId="4" fontId="11" fillId="0" borderId="22" xfId="23" applyNumberFormat="1" applyFont="1" applyBorder="1" applyAlignment="1">
      <alignment horizontal="center" vertical="top"/>
    </xf>
    <xf numFmtId="3" fontId="11" fillId="0" borderId="22" xfId="23" applyNumberFormat="1" applyFont="1" applyBorder="1" applyAlignment="1">
      <alignment horizontal="center" vertical="top"/>
    </xf>
    <xf numFmtId="3" fontId="11" fillId="0" borderId="22" xfId="23" applyNumberFormat="1" applyFont="1" applyBorder="1" applyAlignment="1">
      <alignment horizontal="right" vertical="top"/>
    </xf>
    <xf numFmtId="0" fontId="15" fillId="0" borderId="22" xfId="23" applyFont="1" applyBorder="1" applyAlignment="1">
      <alignment horizontal="center" vertical="center"/>
    </xf>
    <xf numFmtId="0" fontId="15" fillId="0" borderId="22" xfId="23" applyFont="1" applyBorder="1"/>
    <xf numFmtId="0" fontId="15" fillId="0" borderId="22" xfId="23" applyFont="1" applyBorder="1" applyAlignment="1">
      <alignment horizontal="center"/>
    </xf>
    <xf numFmtId="4" fontId="15" fillId="0" borderId="22" xfId="23" applyNumberFormat="1" applyFont="1" applyBorder="1" applyAlignment="1">
      <alignment horizontal="center"/>
    </xf>
    <xf numFmtId="3" fontId="15" fillId="0" borderId="22" xfId="23" applyNumberFormat="1" applyFont="1" applyBorder="1" applyAlignment="1">
      <alignment horizontal="center"/>
    </xf>
    <xf numFmtId="0" fontId="10" fillId="31" borderId="22" xfId="23" applyFont="1" applyFill="1" applyBorder="1" applyAlignment="1">
      <alignment vertical="top"/>
    </xf>
    <xf numFmtId="0" fontId="10" fillId="31" borderId="22" xfId="23" applyFont="1" applyFill="1" applyBorder="1" applyAlignment="1">
      <alignment horizontal="left" vertical="center" wrapText="1"/>
    </xf>
    <xf numFmtId="0" fontId="10" fillId="31" borderId="22" xfId="23" applyFont="1" applyFill="1" applyBorder="1" applyAlignment="1">
      <alignment horizontal="center" vertical="center" wrapText="1"/>
    </xf>
    <xf numFmtId="4" fontId="10" fillId="31" borderId="22" xfId="23" applyNumberFormat="1" applyFont="1" applyFill="1" applyBorder="1" applyAlignment="1">
      <alignment horizontal="center" vertical="center" wrapText="1"/>
    </xf>
    <xf numFmtId="3" fontId="10" fillId="31" borderId="22" xfId="23" applyNumberFormat="1" applyFont="1" applyFill="1" applyBorder="1" applyAlignment="1">
      <alignment horizontal="center" vertical="center" wrapText="1"/>
    </xf>
    <xf numFmtId="3" fontId="10" fillId="31" borderId="22" xfId="23" applyNumberFormat="1" applyFont="1" applyFill="1" applyBorder="1" applyAlignment="1">
      <alignment horizontal="right" vertical="top"/>
    </xf>
    <xf numFmtId="0" fontId="15" fillId="0" borderId="22" xfId="23" applyFont="1" applyBorder="1" applyAlignment="1">
      <alignment wrapText="1"/>
    </xf>
    <xf numFmtId="4" fontId="21" fillId="5" borderId="1" xfId="6" applyNumberFormat="1" applyFont="1" applyFill="1" applyBorder="1" applyAlignment="1">
      <alignment horizontal="center" vertical="center" wrapText="1"/>
    </xf>
    <xf numFmtId="43" fontId="21" fillId="5" borderId="1" xfId="7" applyFont="1" applyFill="1" applyBorder="1" applyAlignment="1">
      <alignment horizontal="center" vertical="center"/>
    </xf>
    <xf numFmtId="4" fontId="21" fillId="5" borderId="1" xfId="6" applyNumberFormat="1" applyFont="1" applyFill="1" applyBorder="1" applyAlignment="1">
      <alignment vertical="center" textRotation="90"/>
    </xf>
    <xf numFmtId="4" fontId="21" fillId="11" borderId="1" xfId="6" applyNumberFormat="1" applyFont="1" applyFill="1" applyBorder="1" applyAlignment="1">
      <alignment horizontal="center" vertical="center"/>
    </xf>
    <xf numFmtId="4" fontId="21" fillId="11" borderId="1" xfId="6" applyNumberFormat="1" applyFont="1" applyFill="1" applyBorder="1" applyAlignment="1">
      <alignment horizontal="left" vertical="center"/>
    </xf>
    <xf numFmtId="4" fontId="21" fillId="11" borderId="1" xfId="8" applyNumberFormat="1" applyFont="1" applyFill="1" applyBorder="1" applyAlignment="1" applyProtection="1">
      <alignment horizontal="center" vertical="center"/>
    </xf>
    <xf numFmtId="43" fontId="21" fillId="11" borderId="1" xfId="7" applyFont="1" applyFill="1" applyBorder="1" applyAlignment="1">
      <alignment horizontal="center" vertical="center"/>
    </xf>
    <xf numFmtId="43" fontId="21" fillId="11" borderId="1" xfId="7" applyFont="1" applyFill="1" applyBorder="1" applyAlignment="1" applyProtection="1">
      <alignment horizontal="center" vertical="center"/>
    </xf>
    <xf numFmtId="43" fontId="21" fillId="11" borderId="1" xfId="7" applyFont="1" applyFill="1" applyBorder="1" applyAlignment="1" applyProtection="1">
      <alignment horizontal="right" vertical="center"/>
    </xf>
    <xf numFmtId="177" fontId="0" fillId="0" borderId="0" xfId="0" applyNumberFormat="1"/>
    <xf numFmtId="0" fontId="2" fillId="0" borderId="0" xfId="24" applyFont="1"/>
    <xf numFmtId="0" fontId="1" fillId="0" borderId="1" xfId="24" applyFont="1" applyBorder="1"/>
    <xf numFmtId="0" fontId="1" fillId="0" borderId="0" xfId="24" applyFont="1"/>
    <xf numFmtId="43" fontId="1" fillId="0" borderId="1" xfId="25" applyFont="1" applyBorder="1" applyAlignment="1">
      <alignment horizontal="right"/>
    </xf>
    <xf numFmtId="0" fontId="11" fillId="0" borderId="0" xfId="13" applyFont="1"/>
    <xf numFmtId="2" fontId="11" fillId="0" borderId="0" xfId="13" applyNumberFormat="1" applyFont="1"/>
    <xf numFmtId="43" fontId="1" fillId="0" borderId="1" xfId="25" applyFont="1" applyBorder="1"/>
    <xf numFmtId="0" fontId="1" fillId="0" borderId="1" xfId="24" applyFont="1" applyBorder="1" applyAlignment="1">
      <alignment horizontal="left" indent="2"/>
    </xf>
    <xf numFmtId="43" fontId="1" fillId="0" borderId="0" xfId="26" applyFont="1" applyBorder="1"/>
    <xf numFmtId="0" fontId="2" fillId="7" borderId="1" xfId="24" applyFont="1" applyFill="1" applyBorder="1" applyAlignment="1">
      <alignment horizontal="center"/>
    </xf>
    <xf numFmtId="0" fontId="1" fillId="0" borderId="1" xfId="24" applyFont="1" applyBorder="1" applyAlignment="1">
      <alignment horizontal="left" indent="1"/>
    </xf>
    <xf numFmtId="0" fontId="11" fillId="0" borderId="1" xfId="0" applyFont="1" applyBorder="1" applyAlignment="1">
      <alignment wrapText="1"/>
    </xf>
    <xf numFmtId="182" fontId="1" fillId="0" borderId="0" xfId="0" applyNumberFormat="1" applyFont="1"/>
    <xf numFmtId="9" fontId="1" fillId="0" borderId="0" xfId="27" applyFont="1"/>
    <xf numFmtId="164" fontId="0" fillId="0" borderId="0" xfId="0" applyNumberFormat="1"/>
    <xf numFmtId="176" fontId="23" fillId="0" borderId="1" xfId="7" applyNumberFormat="1" applyFont="1" applyFill="1" applyBorder="1" applyAlignment="1">
      <alignment horizontal="center" vertical="center"/>
    </xf>
    <xf numFmtId="176" fontId="21" fillId="32" borderId="1" xfId="7" applyNumberFormat="1" applyFont="1" applyFill="1" applyBorder="1" applyAlignment="1">
      <alignment horizontal="center" vertical="center"/>
    </xf>
    <xf numFmtId="177" fontId="21" fillId="32" borderId="1" xfId="7" applyNumberFormat="1" applyFont="1" applyFill="1" applyBorder="1" applyAlignment="1">
      <alignment horizontal="center" vertical="center"/>
    </xf>
    <xf numFmtId="0" fontId="1" fillId="2" borderId="1" xfId="1" applyFont="1" applyFill="1" applyBorder="1" applyAlignment="1">
      <alignment horizontal="center" vertical="center"/>
    </xf>
    <xf numFmtId="1" fontId="1" fillId="2" borderId="1" xfId="1" applyNumberFormat="1" applyFont="1" applyFill="1" applyBorder="1" applyAlignment="1">
      <alignment horizontal="center" vertical="center" wrapText="1"/>
    </xf>
    <xf numFmtId="3" fontId="1" fillId="2" borderId="1" xfId="1" applyNumberFormat="1" applyFont="1" applyFill="1" applyBorder="1" applyAlignment="1">
      <alignment horizontal="center" vertical="center"/>
    </xf>
    <xf numFmtId="164" fontId="11" fillId="0" borderId="0" xfId="3" applyNumberFormat="1" applyFont="1" applyAlignment="1">
      <alignment horizontal="right" vertical="center"/>
    </xf>
    <xf numFmtId="168" fontId="11" fillId="0" borderId="0" xfId="3" applyNumberFormat="1" applyFont="1" applyAlignment="1">
      <alignment horizontal="right" vertical="center"/>
    </xf>
    <xf numFmtId="168" fontId="11" fillId="0" borderId="0" xfId="3" applyNumberFormat="1" applyFont="1" applyAlignment="1">
      <alignment horizontal="right"/>
    </xf>
    <xf numFmtId="43" fontId="37" fillId="0" borderId="0" xfId="0" applyNumberFormat="1" applyFont="1"/>
    <xf numFmtId="43" fontId="0" fillId="0" borderId="0" xfId="2" applyFont="1"/>
    <xf numFmtId="175" fontId="1" fillId="0" borderId="0" xfId="2" applyNumberFormat="1" applyFont="1" applyAlignment="1">
      <alignment vertical="center"/>
    </xf>
    <xf numFmtId="175" fontId="23" fillId="0" borderId="1" xfId="2" applyNumberFormat="1" applyFont="1" applyFill="1" applyBorder="1" applyAlignment="1">
      <alignment horizontal="center" vertical="center"/>
    </xf>
    <xf numFmtId="2" fontId="1" fillId="9"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0" fontId="4" fillId="0" borderId="0" xfId="1" applyFont="1" applyAlignment="1">
      <alignment horizontal="center"/>
    </xf>
    <xf numFmtId="4" fontId="1" fillId="0" borderId="0" xfId="1" applyNumberFormat="1" applyFont="1" applyAlignment="1">
      <alignment horizontal="center" vertical="center" wrapText="1"/>
    </xf>
    <xf numFmtId="4" fontId="1" fillId="0" borderId="0" xfId="0" applyNumberFormat="1" applyFont="1"/>
    <xf numFmtId="2" fontId="2" fillId="0" borderId="0" xfId="0" applyNumberFormat="1" applyFont="1" applyAlignment="1">
      <alignment horizontal="right"/>
    </xf>
    <xf numFmtId="167" fontId="1" fillId="9" borderId="1" xfId="0" applyNumberFormat="1" applyFont="1" applyFill="1" applyBorder="1" applyAlignment="1">
      <alignment horizontal="center" vertical="center"/>
    </xf>
    <xf numFmtId="4" fontId="1" fillId="9" borderId="1" xfId="0" applyNumberFormat="1" applyFont="1" applyFill="1" applyBorder="1" applyAlignment="1">
      <alignment horizontal="center" vertical="center"/>
    </xf>
    <xf numFmtId="175" fontId="1" fillId="0" borderId="1" xfId="2" applyNumberFormat="1" applyFont="1" applyBorder="1"/>
    <xf numFmtId="175" fontId="2" fillId="9" borderId="1" xfId="0" applyNumberFormat="1" applyFont="1" applyFill="1" applyBorder="1"/>
    <xf numFmtId="0" fontId="2" fillId="3" borderId="1" xfId="0" applyFont="1" applyFill="1" applyBorder="1" applyAlignment="1">
      <alignment horizontal="center"/>
    </xf>
    <xf numFmtId="0" fontId="1" fillId="0" borderId="1" xfId="0" applyFont="1" applyBorder="1" applyAlignment="1">
      <alignment horizontal="center"/>
    </xf>
    <xf numFmtId="176" fontId="1" fillId="0" borderId="1" xfId="2" applyNumberFormat="1" applyFont="1" applyBorder="1"/>
    <xf numFmtId="175" fontId="11" fillId="0" borderId="0" xfId="2" applyNumberFormat="1" applyFont="1" applyAlignment="1">
      <alignment horizontal="right"/>
    </xf>
    <xf numFmtId="43" fontId="1" fillId="0" borderId="0" xfId="2" applyFont="1" applyAlignment="1">
      <alignment vertical="center"/>
    </xf>
    <xf numFmtId="2" fontId="1" fillId="0" borderId="1" xfId="0" applyNumberFormat="1" applyFont="1" applyBorder="1"/>
    <xf numFmtId="2" fontId="11" fillId="2" borderId="25" xfId="0" applyNumberFormat="1" applyFont="1" applyFill="1" applyBorder="1" applyAlignment="1">
      <alignment vertical="center"/>
    </xf>
    <xf numFmtId="43" fontId="11" fillId="2" borderId="25" xfId="0" applyNumberFormat="1" applyFont="1" applyFill="1" applyBorder="1" applyAlignment="1">
      <alignment vertical="center"/>
    </xf>
    <xf numFmtId="2" fontId="11" fillId="2" borderId="0" xfId="0" applyNumberFormat="1" applyFont="1" applyFill="1" applyAlignment="1">
      <alignment vertical="center"/>
    </xf>
    <xf numFmtId="43" fontId="11" fillId="2" borderId="0" xfId="0" applyNumberFormat="1" applyFont="1" applyFill="1" applyAlignment="1">
      <alignment vertical="center"/>
    </xf>
    <xf numFmtId="0" fontId="11" fillId="2" borderId="0" xfId="14" applyFont="1" applyFill="1" applyAlignment="1">
      <alignment vertical="top"/>
    </xf>
    <xf numFmtId="2" fontId="11" fillId="2" borderId="0" xfId="0" applyNumberFormat="1" applyFont="1" applyFill="1"/>
    <xf numFmtId="177" fontId="1" fillId="0" borderId="0" xfId="13" applyNumberFormat="1" applyFont="1" applyAlignment="1">
      <alignment vertical="center"/>
    </xf>
    <xf numFmtId="4" fontId="21" fillId="5" borderId="1" xfId="6" applyNumberFormat="1" applyFont="1" applyFill="1" applyBorder="1" applyAlignment="1">
      <alignment horizontal="center" vertical="center" textRotation="90"/>
    </xf>
    <xf numFmtId="4" fontId="20" fillId="4" borderId="1" xfId="6" applyNumberFormat="1" applyFont="1" applyFill="1" applyBorder="1" applyAlignment="1">
      <alignment horizontal="center" vertical="center"/>
    </xf>
    <xf numFmtId="4" fontId="21" fillId="5" borderId="18" xfId="6" applyNumberFormat="1" applyFont="1" applyFill="1" applyBorder="1" applyAlignment="1">
      <alignment horizontal="center" vertical="center" textRotation="90"/>
    </xf>
    <xf numFmtId="4" fontId="21" fillId="5" borderId="19" xfId="6" applyNumberFormat="1" applyFont="1" applyFill="1" applyBorder="1" applyAlignment="1">
      <alignment horizontal="center" vertical="center" textRotation="90"/>
    </xf>
    <xf numFmtId="4" fontId="21" fillId="5" borderId="20" xfId="6" applyNumberFormat="1" applyFont="1" applyFill="1" applyBorder="1" applyAlignment="1">
      <alignment horizontal="center" vertical="center" textRotation="90"/>
    </xf>
    <xf numFmtId="0" fontId="4" fillId="4" borderId="1" xfId="0" applyFont="1" applyFill="1" applyBorder="1" applyAlignment="1">
      <alignment horizontal="center" vertical="center" wrapText="1"/>
    </xf>
    <xf numFmtId="0" fontId="14" fillId="4" borderId="0" xfId="5" applyFont="1" applyFill="1" applyAlignment="1">
      <alignment horizontal="center"/>
    </xf>
    <xf numFmtId="0" fontId="2" fillId="7" borderId="2" xfId="0" applyFont="1" applyFill="1" applyBorder="1" applyAlignment="1">
      <alignment horizontal="right"/>
    </xf>
    <xf numFmtId="0" fontId="2" fillId="7" borderId="3" xfId="0" applyFont="1" applyFill="1" applyBorder="1" applyAlignment="1">
      <alignment horizontal="right"/>
    </xf>
    <xf numFmtId="0" fontId="2" fillId="7" borderId="4" xfId="0" applyFont="1" applyFill="1" applyBorder="1" applyAlignment="1">
      <alignment horizontal="right"/>
    </xf>
    <xf numFmtId="164" fontId="10" fillId="8" borderId="7" xfId="4" applyFont="1" applyFill="1" applyBorder="1" applyAlignment="1">
      <alignment horizontal="center" vertical="center" wrapText="1"/>
    </xf>
    <xf numFmtId="164" fontId="10" fillId="8" borderId="12" xfId="4" applyFont="1" applyFill="1" applyBorder="1" applyAlignment="1">
      <alignment horizontal="center" vertical="center" wrapText="1"/>
    </xf>
    <xf numFmtId="168" fontId="10" fillId="8" borderId="7" xfId="4" applyNumberFormat="1" applyFont="1" applyFill="1" applyBorder="1" applyAlignment="1">
      <alignment horizontal="center" vertical="center" wrapText="1"/>
    </xf>
    <xf numFmtId="168" fontId="10" fillId="8" borderId="12" xfId="4" applyNumberFormat="1" applyFont="1" applyFill="1" applyBorder="1" applyAlignment="1">
      <alignment horizontal="center" vertical="center" wrapText="1"/>
    </xf>
    <xf numFmtId="0" fontId="10" fillId="0" borderId="15" xfId="3" applyFont="1" applyBorder="1" applyAlignment="1">
      <alignment horizontal="right" vertical="center"/>
    </xf>
    <xf numFmtId="0" fontId="10" fillId="0" borderId="16" xfId="3" applyFont="1" applyBorder="1" applyAlignment="1">
      <alignment horizontal="right" vertical="center"/>
    </xf>
    <xf numFmtId="0" fontId="10" fillId="0" borderId="0" xfId="3" applyFont="1" applyAlignment="1">
      <alignment horizontal="left" vertical="center"/>
    </xf>
    <xf numFmtId="0" fontId="14" fillId="4" borderId="6" xfId="3" applyFont="1" applyFill="1" applyBorder="1" applyAlignment="1">
      <alignment horizontal="center" vertical="center" wrapText="1"/>
    </xf>
    <xf numFmtId="0" fontId="10" fillId="8" borderId="7" xfId="3" applyFont="1" applyFill="1" applyBorder="1" applyAlignment="1">
      <alignment horizontal="center" vertical="center" wrapText="1"/>
    </xf>
    <xf numFmtId="0" fontId="17" fillId="8" borderId="12" xfId="3" applyFont="1" applyFill="1" applyBorder="1" applyAlignment="1">
      <alignment horizontal="center" wrapText="1"/>
    </xf>
    <xf numFmtId="0" fontId="10" fillId="8" borderId="8" xfId="3" applyFont="1" applyFill="1" applyBorder="1" applyAlignment="1">
      <alignment horizontal="center" vertical="center"/>
    </xf>
    <xf numFmtId="0" fontId="17" fillId="8" borderId="13" xfId="3" applyFont="1" applyFill="1" applyBorder="1" applyAlignment="1">
      <alignment horizontal="center"/>
    </xf>
    <xf numFmtId="164" fontId="17" fillId="8" borderId="12" xfId="4" applyFont="1" applyFill="1" applyBorder="1" applyAlignment="1">
      <alignment horizontal="center"/>
    </xf>
    <xf numFmtId="164" fontId="15" fillId="8" borderId="9" xfId="4" applyFont="1" applyFill="1" applyBorder="1" applyAlignment="1">
      <alignment horizontal="center" vertical="center"/>
    </xf>
    <xf numFmtId="164" fontId="16" fillId="8" borderId="10" xfId="4" applyFont="1" applyFill="1" applyBorder="1" applyAlignment="1">
      <alignment horizontal="center" vertical="center"/>
    </xf>
    <xf numFmtId="164" fontId="16" fillId="8" borderId="11" xfId="4" applyFont="1" applyFill="1" applyBorder="1" applyAlignment="1">
      <alignment horizontal="center" vertical="center"/>
    </xf>
    <xf numFmtId="0" fontId="4" fillId="4" borderId="2" xfId="13" applyFont="1" applyFill="1" applyBorder="1" applyAlignment="1">
      <alignment horizontal="center" vertical="center"/>
    </xf>
    <xf numFmtId="0" fontId="4" fillId="4" borderId="3" xfId="13" applyFont="1" applyFill="1" applyBorder="1" applyAlignment="1">
      <alignment horizontal="center" vertical="center"/>
    </xf>
    <xf numFmtId="0" fontId="4" fillId="4" borderId="4" xfId="13" applyFont="1" applyFill="1" applyBorder="1" applyAlignment="1">
      <alignment horizontal="center" vertical="center"/>
    </xf>
    <xf numFmtId="0" fontId="25" fillId="8" borderId="18" xfId="13" applyFont="1" applyFill="1" applyBorder="1" applyAlignment="1">
      <alignment horizontal="center" vertical="center"/>
    </xf>
    <xf numFmtId="0" fontId="25" fillId="8" borderId="19" xfId="13" applyFont="1" applyFill="1" applyBorder="1" applyAlignment="1">
      <alignment horizontal="center" vertical="center"/>
    </xf>
    <xf numFmtId="0" fontId="25" fillId="8" borderId="20" xfId="13" applyFont="1" applyFill="1" applyBorder="1" applyAlignment="1">
      <alignment horizontal="center" vertical="center"/>
    </xf>
    <xf numFmtId="175" fontId="25" fillId="8" borderId="2" xfId="7" applyNumberFormat="1" applyFont="1" applyFill="1" applyBorder="1" applyAlignment="1">
      <alignment horizontal="center" vertical="center" wrapText="1"/>
    </xf>
    <xf numFmtId="175" fontId="25" fillId="8" borderId="3" xfId="7" applyNumberFormat="1" applyFont="1" applyFill="1" applyBorder="1" applyAlignment="1">
      <alignment horizontal="center" vertical="center" wrapText="1"/>
    </xf>
    <xf numFmtId="175" fontId="25" fillId="8" borderId="4" xfId="7" applyNumberFormat="1" applyFont="1" applyFill="1" applyBorder="1" applyAlignment="1">
      <alignment horizontal="center" vertical="center" wrapText="1"/>
    </xf>
    <xf numFmtId="4" fontId="20" fillId="4" borderId="17" xfId="6" applyNumberFormat="1" applyFont="1" applyFill="1" applyBorder="1" applyAlignment="1">
      <alignment horizontal="center" vertical="center"/>
    </xf>
    <xf numFmtId="4" fontId="20" fillId="4" borderId="5" xfId="6" applyNumberFormat="1" applyFont="1" applyFill="1" applyBorder="1" applyAlignment="1">
      <alignment horizontal="center" vertical="center"/>
    </xf>
    <xf numFmtId="0" fontId="10" fillId="9" borderId="2" xfId="6" applyFont="1" applyFill="1" applyBorder="1" applyAlignment="1">
      <alignment horizontal="center"/>
    </xf>
    <xf numFmtId="0" fontId="10" fillId="9" borderId="3" xfId="6" applyFont="1" applyFill="1" applyBorder="1" applyAlignment="1">
      <alignment horizontal="center"/>
    </xf>
    <xf numFmtId="0" fontId="10" fillId="9" borderId="4" xfId="6" applyFont="1" applyFill="1" applyBorder="1" applyAlignment="1">
      <alignment horizontal="center"/>
    </xf>
    <xf numFmtId="0" fontId="10" fillId="15" borderId="2" xfId="6" applyFont="1" applyFill="1" applyBorder="1" applyAlignment="1">
      <alignment horizontal="center"/>
    </xf>
    <xf numFmtId="0" fontId="10" fillId="15" borderId="3" xfId="6" applyFont="1" applyFill="1" applyBorder="1" applyAlignment="1">
      <alignment horizontal="center"/>
    </xf>
    <xf numFmtId="0" fontId="10" fillId="15" borderId="4" xfId="6" applyFont="1" applyFill="1" applyBorder="1" applyAlignment="1">
      <alignment horizontal="center"/>
    </xf>
    <xf numFmtId="0" fontId="10" fillId="14" borderId="2" xfId="6" applyFont="1" applyFill="1" applyBorder="1" applyAlignment="1">
      <alignment horizontal="center"/>
    </xf>
    <xf numFmtId="0" fontId="10" fillId="14" borderId="3" xfId="6" applyFont="1" applyFill="1" applyBorder="1" applyAlignment="1">
      <alignment horizontal="center"/>
    </xf>
    <xf numFmtId="0" fontId="10" fillId="14" borderId="4" xfId="6" applyFont="1" applyFill="1" applyBorder="1" applyAlignment="1">
      <alignment horizontal="center"/>
    </xf>
    <xf numFmtId="0" fontId="9" fillId="4" borderId="2" xfId="12" applyFont="1" applyFill="1" applyBorder="1" applyAlignment="1">
      <alignment horizontal="center" vertical="center"/>
    </xf>
    <xf numFmtId="0" fontId="9" fillId="4" borderId="3" xfId="12" applyFont="1" applyFill="1" applyBorder="1" applyAlignment="1">
      <alignment horizontal="center" vertical="center"/>
    </xf>
    <xf numFmtId="0" fontId="9" fillId="4" borderId="4" xfId="12" applyFont="1" applyFill="1" applyBorder="1" applyAlignment="1">
      <alignment horizontal="center" vertical="center"/>
    </xf>
    <xf numFmtId="0" fontId="14" fillId="4" borderId="1" xfId="9" applyFont="1" applyFill="1" applyBorder="1" applyAlignment="1">
      <alignment horizontal="center"/>
    </xf>
    <xf numFmtId="0" fontId="14" fillId="4" borderId="1" xfId="9" applyFont="1" applyFill="1" applyBorder="1" applyAlignment="1">
      <alignment horizontal="center" vertical="center"/>
    </xf>
    <xf numFmtId="0" fontId="10" fillId="5" borderId="1" xfId="9" applyFont="1" applyFill="1" applyBorder="1" applyAlignment="1">
      <alignment horizontal="center" vertical="center"/>
    </xf>
    <xf numFmtId="0" fontId="17" fillId="5" borderId="1" xfId="9" applyFont="1" applyFill="1" applyBorder="1" applyAlignment="1">
      <alignment horizontal="center" vertical="center"/>
    </xf>
    <xf numFmtId="2" fontId="10" fillId="5" borderId="1" xfId="9" applyNumberFormat="1" applyFont="1" applyFill="1" applyBorder="1" applyAlignment="1">
      <alignment horizontal="center" vertical="center"/>
    </xf>
    <xf numFmtId="2" fontId="10" fillId="5" borderId="1" xfId="9" applyNumberFormat="1" applyFont="1" applyFill="1" applyBorder="1" applyAlignment="1">
      <alignment horizontal="center" vertical="center" wrapText="1"/>
    </xf>
    <xf numFmtId="0" fontId="17" fillId="5" borderId="1" xfId="9" applyFont="1" applyFill="1" applyBorder="1" applyAlignment="1">
      <alignment horizontal="center" vertical="center" wrapText="1"/>
    </xf>
    <xf numFmtId="164" fontId="10" fillId="5" borderId="1" xfId="9" applyNumberFormat="1" applyFont="1" applyFill="1" applyBorder="1" applyAlignment="1">
      <alignment horizontal="center" vertical="center"/>
    </xf>
    <xf numFmtId="164" fontId="10" fillId="5" borderId="1" xfId="9" applyNumberFormat="1" applyFont="1" applyFill="1" applyBorder="1" applyAlignment="1">
      <alignment horizontal="center" vertical="center" wrapText="1"/>
    </xf>
    <xf numFmtId="0" fontId="10" fillId="5" borderId="1" xfId="9" applyFont="1" applyFill="1" applyBorder="1" applyAlignment="1">
      <alignment horizontal="right" wrapText="1"/>
    </xf>
    <xf numFmtId="0" fontId="17" fillId="5" borderId="1" xfId="9" applyFont="1" applyFill="1" applyBorder="1" applyAlignment="1">
      <alignment horizontal="right"/>
    </xf>
    <xf numFmtId="0" fontId="4" fillId="4" borderId="1" xfId="24" applyFont="1" applyFill="1" applyBorder="1" applyAlignment="1">
      <alignment horizontal="center"/>
    </xf>
    <xf numFmtId="0" fontId="1" fillId="0" borderId="34" xfId="24" applyFont="1" applyBorder="1" applyAlignment="1">
      <alignment horizontal="right"/>
    </xf>
    <xf numFmtId="0" fontId="54" fillId="4" borderId="6" xfId="23" applyFont="1" applyFill="1" applyBorder="1" applyAlignment="1">
      <alignment horizontal="center"/>
    </xf>
    <xf numFmtId="0" fontId="4" fillId="4" borderId="1" xfId="0" applyFont="1" applyFill="1" applyBorder="1" applyAlignment="1">
      <alignment horizontal="center" vertical="center"/>
    </xf>
    <xf numFmtId="0" fontId="4" fillId="4" borderId="1" xfId="1" applyFont="1" applyFill="1" applyBorder="1" applyAlignment="1">
      <alignment horizontal="center" vertical="center"/>
    </xf>
    <xf numFmtId="0" fontId="4" fillId="22" borderId="5" xfId="12" applyFont="1" applyFill="1" applyBorder="1" applyAlignment="1">
      <alignment horizontal="center" vertical="center"/>
    </xf>
    <xf numFmtId="164" fontId="4" fillId="4" borderId="1" xfId="4" applyFont="1" applyFill="1" applyBorder="1" applyAlignment="1">
      <alignment horizontal="center" vertical="center" wrapText="1"/>
    </xf>
    <xf numFmtId="164" fontId="10" fillId="16" borderId="1" xfId="4" applyFont="1" applyFill="1" applyBorder="1" applyAlignment="1">
      <alignment horizontal="right" vertical="center"/>
    </xf>
    <xf numFmtId="0" fontId="14" fillId="0" borderId="0" xfId="3" applyFont="1" applyAlignment="1">
      <alignment horizontal="center" vertical="center"/>
    </xf>
    <xf numFmtId="0" fontId="14" fillId="22" borderId="5" xfId="12" applyFont="1" applyFill="1" applyBorder="1" applyAlignment="1">
      <alignment horizontal="center" vertical="center"/>
    </xf>
    <xf numFmtId="0" fontId="14" fillId="22" borderId="23" xfId="12" applyFont="1" applyFill="1" applyBorder="1" applyAlignment="1">
      <alignment horizontal="center" vertical="center"/>
    </xf>
    <xf numFmtId="0" fontId="14" fillId="6" borderId="5" xfId="0" applyFont="1" applyFill="1" applyBorder="1" applyAlignment="1">
      <alignment horizontal="center"/>
    </xf>
    <xf numFmtId="0" fontId="9" fillId="6" borderId="5" xfId="0" applyFont="1" applyFill="1" applyBorder="1" applyAlignment="1">
      <alignment horizontal="center" vertical="center"/>
    </xf>
    <xf numFmtId="0" fontId="14" fillId="4" borderId="1" xfId="5" applyFont="1" applyFill="1" applyBorder="1" applyAlignment="1">
      <alignment horizontal="center" vertical="center"/>
    </xf>
    <xf numFmtId="0" fontId="2" fillId="5" borderId="1" xfId="0" applyFont="1" applyFill="1" applyBorder="1" applyAlignment="1">
      <alignment horizontal="center" vertic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1" fillId="5" borderId="1" xfId="0" applyFont="1" applyFill="1" applyBorder="1" applyAlignment="1">
      <alignment horizontal="center" vertical="center" wrapText="1"/>
    </xf>
    <xf numFmtId="2" fontId="8" fillId="13" borderId="1" xfId="0" applyNumberFormat="1" applyFont="1" applyFill="1" applyBorder="1" applyAlignment="1">
      <alignment horizontal="center" vertical="center"/>
    </xf>
    <xf numFmtId="0" fontId="2" fillId="0" borderId="1" xfId="0" applyFont="1" applyBorder="1" applyAlignment="1">
      <alignment horizontal="right" vertical="center"/>
    </xf>
    <xf numFmtId="0" fontId="8" fillId="13" borderId="1" xfId="0" applyFont="1" applyFill="1" applyBorder="1" applyAlignment="1">
      <alignment horizontal="right" vertical="center"/>
    </xf>
    <xf numFmtId="0" fontId="4" fillId="4" borderId="5" xfId="0" applyFont="1" applyFill="1" applyBorder="1" applyAlignment="1">
      <alignment horizontal="center"/>
    </xf>
    <xf numFmtId="0" fontId="4" fillId="4" borderId="1" xfId="0" applyFont="1" applyFill="1" applyBorder="1" applyAlignment="1">
      <alignment horizontal="center"/>
    </xf>
    <xf numFmtId="0" fontId="2" fillId="26" borderId="50" xfId="18" applyFont="1" applyFill="1" applyBorder="1" applyAlignment="1">
      <alignment horizontal="center" vertical="center"/>
    </xf>
    <xf numFmtId="0" fontId="2" fillId="26" borderId="51" xfId="18" applyFont="1" applyFill="1" applyBorder="1" applyAlignment="1">
      <alignment horizontal="center" vertical="center"/>
    </xf>
    <xf numFmtId="0" fontId="2" fillId="26" borderId="52" xfId="18" applyFont="1" applyFill="1" applyBorder="1" applyAlignment="1">
      <alignment horizontal="center" vertical="center"/>
    </xf>
    <xf numFmtId="0" fontId="21" fillId="27" borderId="83" xfId="0" applyFont="1" applyFill="1" applyBorder="1" applyAlignment="1">
      <alignment horizontal="center" vertical="center" textRotation="90"/>
    </xf>
    <xf numFmtId="0" fontId="21" fillId="27" borderId="88" xfId="0" applyFont="1" applyFill="1" applyBorder="1" applyAlignment="1">
      <alignment horizontal="center" vertical="center" textRotation="90"/>
    </xf>
    <xf numFmtId="0" fontId="21" fillId="27" borderId="47" xfId="0" applyFont="1" applyFill="1" applyBorder="1" applyAlignment="1">
      <alignment horizontal="center" vertical="center" textRotation="90"/>
    </xf>
    <xf numFmtId="0" fontId="2" fillId="27" borderId="89" xfId="0" applyFont="1" applyFill="1" applyBorder="1" applyAlignment="1">
      <alignment horizontal="center" vertical="center" textRotation="90"/>
    </xf>
    <xf numFmtId="0" fontId="2" fillId="27" borderId="88" xfId="0" applyFont="1" applyFill="1" applyBorder="1" applyAlignment="1">
      <alignment horizontal="center" vertical="center" textRotation="90"/>
    </xf>
    <xf numFmtId="0" fontId="2" fillId="27" borderId="90" xfId="0" applyFont="1" applyFill="1" applyBorder="1" applyAlignment="1">
      <alignment horizontal="center" vertical="center" textRotation="90"/>
    </xf>
    <xf numFmtId="0" fontId="21" fillId="29" borderId="80" xfId="0" applyFont="1" applyFill="1" applyBorder="1" applyAlignment="1">
      <alignment horizontal="center" vertical="center" textRotation="90"/>
    </xf>
    <xf numFmtId="0" fontId="21" fillId="29" borderId="134" xfId="0" applyFont="1" applyFill="1" applyBorder="1" applyAlignment="1">
      <alignment horizontal="center" vertical="center" textRotation="90"/>
    </xf>
    <xf numFmtId="0" fontId="21" fillId="29" borderId="109" xfId="0" applyFont="1" applyFill="1" applyBorder="1" applyAlignment="1">
      <alignment horizontal="center" vertical="center" textRotation="90"/>
    </xf>
    <xf numFmtId="0" fontId="25" fillId="26" borderId="37" xfId="0" applyFont="1" applyFill="1" applyBorder="1" applyAlignment="1">
      <alignment horizontal="center"/>
    </xf>
    <xf numFmtId="0" fontId="25" fillId="26" borderId="38" xfId="0" applyFont="1" applyFill="1" applyBorder="1" applyAlignment="1">
      <alignment horizontal="center"/>
    </xf>
    <xf numFmtId="0" fontId="25" fillId="26" borderId="39" xfId="0" applyFont="1" applyFill="1" applyBorder="1" applyAlignment="1">
      <alignment horizontal="center"/>
    </xf>
    <xf numFmtId="0" fontId="2" fillId="0" borderId="103" xfId="0" applyFont="1" applyBorder="1" applyAlignment="1">
      <alignment horizontal="center"/>
    </xf>
    <xf numFmtId="0" fontId="2" fillId="0" borderId="51" xfId="0" applyFont="1" applyBorder="1" applyAlignment="1">
      <alignment horizontal="center"/>
    </xf>
    <xf numFmtId="0" fontId="2" fillId="0" borderId="104" xfId="0" applyFont="1" applyBorder="1" applyAlignment="1">
      <alignment horizontal="center"/>
    </xf>
    <xf numFmtId="0" fontId="2" fillId="0" borderId="103" xfId="0" applyFont="1" applyBorder="1" applyAlignment="1">
      <alignment horizontal="center" vertical="center"/>
    </xf>
    <xf numFmtId="0" fontId="2" fillId="0" borderId="51" xfId="0" applyFont="1" applyBorder="1" applyAlignment="1">
      <alignment horizontal="center" vertical="center"/>
    </xf>
    <xf numFmtId="0" fontId="2" fillId="0" borderId="104" xfId="0" applyFont="1" applyBorder="1" applyAlignment="1">
      <alignment horizontal="center" vertical="center"/>
    </xf>
    <xf numFmtId="0" fontId="25" fillId="0" borderId="10" xfId="0" applyFont="1" applyBorder="1" applyAlignment="1">
      <alignment horizontal="center"/>
    </xf>
    <xf numFmtId="0" fontId="25" fillId="0" borderId="11" xfId="0" applyFont="1" applyBorder="1" applyAlignment="1">
      <alignment horizontal="center"/>
    </xf>
    <xf numFmtId="0" fontId="25" fillId="0" borderId="135" xfId="0" applyFont="1" applyBorder="1" applyAlignment="1">
      <alignment horizontal="center"/>
    </xf>
    <xf numFmtId="0" fontId="25" fillId="27" borderId="10" xfId="0" applyFont="1" applyFill="1" applyBorder="1" applyAlignment="1">
      <alignment horizontal="center" vertical="center"/>
    </xf>
    <xf numFmtId="0" fontId="25" fillId="27" borderId="11" xfId="0" applyFont="1" applyFill="1" applyBorder="1" applyAlignment="1">
      <alignment horizontal="center" vertical="center"/>
    </xf>
    <xf numFmtId="0" fontId="25" fillId="27" borderId="135" xfId="0" applyFont="1" applyFill="1" applyBorder="1" applyAlignment="1">
      <alignment horizontal="center" vertical="center"/>
    </xf>
    <xf numFmtId="0" fontId="25" fillId="0" borderId="13" xfId="0" applyFont="1" applyBorder="1" applyAlignment="1">
      <alignment horizontal="center" vertical="center" wrapText="1"/>
    </xf>
    <xf numFmtId="0" fontId="25" fillId="0" borderId="132"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33" xfId="0" applyFont="1" applyBorder="1" applyAlignment="1">
      <alignment horizontal="center" vertical="center" wrapText="1"/>
    </xf>
    <xf numFmtId="0" fontId="28" fillId="0" borderId="12" xfId="0" applyFont="1" applyBorder="1" applyAlignment="1">
      <alignment vertical="top" wrapText="1"/>
    </xf>
    <xf numFmtId="0" fontId="28" fillId="0" borderId="61" xfId="0" applyFont="1" applyBorder="1" applyAlignment="1">
      <alignment vertical="top" wrapText="1"/>
    </xf>
    <xf numFmtId="0" fontId="1" fillId="0" borderId="60" xfId="0" applyFont="1" applyBorder="1" applyAlignment="1">
      <alignment horizontal="center" vertical="center"/>
    </xf>
    <xf numFmtId="0" fontId="1" fillId="0" borderId="63" xfId="0" applyFont="1" applyBorder="1" applyAlignment="1">
      <alignment horizontal="center" vertical="center"/>
    </xf>
    <xf numFmtId="0" fontId="37" fillId="26" borderId="50" xfId="0" applyFont="1" applyFill="1" applyBorder="1" applyAlignment="1">
      <alignment horizontal="center"/>
    </xf>
    <xf numFmtId="0" fontId="37" fillId="26" borderId="67" xfId="0" applyFont="1" applyFill="1" applyBorder="1" applyAlignment="1">
      <alignment horizontal="center"/>
    </xf>
    <xf numFmtId="0" fontId="41" fillId="26" borderId="114" xfId="0" applyFont="1" applyFill="1" applyBorder="1" applyAlignment="1">
      <alignment horizontal="center" vertical="center"/>
    </xf>
    <xf numFmtId="0" fontId="41" fillId="26" borderId="115" xfId="0" applyFont="1" applyFill="1" applyBorder="1" applyAlignment="1">
      <alignment horizontal="center" vertical="center"/>
    </xf>
    <xf numFmtId="0" fontId="41" fillId="26" borderId="116" xfId="0" applyFont="1" applyFill="1" applyBorder="1" applyAlignment="1">
      <alignment horizontal="center" vertical="center"/>
    </xf>
    <xf numFmtId="0" fontId="42" fillId="0" borderId="117" xfId="0" applyFont="1" applyBorder="1" applyAlignment="1">
      <alignment horizontal="center" vertical="center" wrapText="1"/>
    </xf>
    <xf numFmtId="0" fontId="42" fillId="0" borderId="119" xfId="0" applyFont="1" applyBorder="1" applyAlignment="1">
      <alignment horizontal="center" vertical="center" wrapText="1"/>
    </xf>
    <xf numFmtId="0" fontId="42" fillId="0" borderId="79" xfId="0" applyFont="1" applyBorder="1" applyAlignment="1">
      <alignment horizontal="center" vertical="center"/>
    </xf>
    <xf numFmtId="0" fontId="42" fillId="0" borderId="29" xfId="0" applyFont="1" applyBorder="1" applyAlignment="1">
      <alignment horizontal="center" vertical="center"/>
    </xf>
    <xf numFmtId="0" fontId="42" fillId="0" borderId="118" xfId="0" applyFont="1" applyBorder="1" applyAlignment="1">
      <alignment horizontal="center" vertical="center"/>
    </xf>
    <xf numFmtId="0" fontId="42" fillId="0" borderId="120" xfId="0" applyFont="1" applyBorder="1" applyAlignment="1">
      <alignment horizontal="center" vertical="center"/>
    </xf>
    <xf numFmtId="0" fontId="42" fillId="26" borderId="47" xfId="0" applyFont="1" applyFill="1" applyBorder="1" applyAlignment="1">
      <alignment horizontal="center" vertical="center" wrapText="1"/>
    </xf>
    <xf numFmtId="0" fontId="44" fillId="26" borderId="48" xfId="0" applyFont="1" applyFill="1" applyBorder="1" applyAlignment="1">
      <alignment horizontal="center" vertical="center"/>
    </xf>
    <xf numFmtId="0" fontId="39" fillId="26" borderId="37" xfId="0" applyFont="1" applyFill="1" applyBorder="1" applyAlignment="1">
      <alignment horizontal="center" vertical="center"/>
    </xf>
    <xf numFmtId="0" fontId="39" fillId="26" borderId="38" xfId="0" applyFont="1" applyFill="1" applyBorder="1" applyAlignment="1">
      <alignment horizontal="center" vertical="center"/>
    </xf>
    <xf numFmtId="0" fontId="39" fillId="26" borderId="124" xfId="0" applyFont="1" applyFill="1" applyBorder="1" applyAlignment="1">
      <alignment horizontal="center" vertical="center"/>
    </xf>
    <xf numFmtId="0" fontId="39" fillId="26" borderId="127" xfId="0" applyFont="1" applyFill="1" applyBorder="1" applyAlignment="1">
      <alignment horizontal="center" vertical="center"/>
    </xf>
    <xf numFmtId="0" fontId="39" fillId="26" borderId="125" xfId="0" applyFont="1" applyFill="1" applyBorder="1" applyAlignment="1">
      <alignment horizontal="center" vertical="center"/>
    </xf>
    <xf numFmtId="0" fontId="39" fillId="26" borderId="128" xfId="0" applyFont="1" applyFill="1" applyBorder="1" applyAlignment="1">
      <alignment horizontal="center" vertical="center"/>
    </xf>
    <xf numFmtId="0" fontId="39" fillId="26" borderId="126" xfId="0" applyFont="1" applyFill="1" applyBorder="1" applyAlignment="1">
      <alignment horizontal="center" vertical="center"/>
    </xf>
    <xf numFmtId="0" fontId="39" fillId="26" borderId="129" xfId="0" applyFont="1" applyFill="1" applyBorder="1" applyAlignment="1">
      <alignment horizontal="center" vertical="center"/>
    </xf>
    <xf numFmtId="0" fontId="37" fillId="0" borderId="37" xfId="0" applyFont="1" applyBorder="1" applyAlignment="1">
      <alignment horizontal="center"/>
    </xf>
    <xf numFmtId="0" fontId="37" fillId="0" borderId="38" xfId="0" applyFont="1" applyBorder="1" applyAlignment="1">
      <alignment horizontal="center"/>
    </xf>
    <xf numFmtId="0" fontId="37" fillId="0" borderId="39" xfId="0" applyFont="1" applyBorder="1" applyAlignment="1">
      <alignment horizontal="center"/>
    </xf>
    <xf numFmtId="0" fontId="37" fillId="26" borderId="37" xfId="0" applyFont="1" applyFill="1" applyBorder="1" applyAlignment="1">
      <alignment horizontal="center"/>
    </xf>
    <xf numFmtId="0" fontId="37" fillId="26" borderId="38" xfId="0" applyFont="1" applyFill="1" applyBorder="1" applyAlignment="1">
      <alignment horizontal="center"/>
    </xf>
    <xf numFmtId="0" fontId="37" fillId="26" borderId="39" xfId="0" applyFont="1" applyFill="1" applyBorder="1" applyAlignment="1">
      <alignment horizontal="center"/>
    </xf>
    <xf numFmtId="0" fontId="37" fillId="26" borderId="17" xfId="0" applyFont="1" applyFill="1" applyBorder="1" applyAlignment="1">
      <alignment horizontal="center"/>
    </xf>
    <xf numFmtId="0" fontId="37" fillId="26" borderId="5" xfId="0" applyFont="1" applyFill="1" applyBorder="1" applyAlignment="1">
      <alignment horizontal="center"/>
    </xf>
    <xf numFmtId="0" fontId="37" fillId="0" borderId="131" xfId="0" applyFont="1" applyBorder="1" applyAlignment="1">
      <alignment horizontal="center"/>
    </xf>
    <xf numFmtId="0" fontId="37" fillId="0" borderId="52" xfId="0" applyFont="1" applyBorder="1" applyAlignment="1">
      <alignment horizontal="center"/>
    </xf>
    <xf numFmtId="0" fontId="0" fillId="0" borderId="17" xfId="0" applyBorder="1" applyAlignment="1">
      <alignment horizontal="left"/>
    </xf>
    <xf numFmtId="0" fontId="0" fillId="0" borderId="55" xfId="0" applyBorder="1" applyAlignment="1">
      <alignment horizontal="left"/>
    </xf>
    <xf numFmtId="0" fontId="0" fillId="0" borderId="2" xfId="0" applyBorder="1" applyAlignment="1">
      <alignment horizontal="left"/>
    </xf>
    <xf numFmtId="0" fontId="0" fillId="0" borderId="58" xfId="0" applyBorder="1" applyAlignment="1">
      <alignment horizontal="left"/>
    </xf>
    <xf numFmtId="0" fontId="0" fillId="0" borderId="2" xfId="0" applyBorder="1" applyAlignment="1">
      <alignment horizontal="left" vertical="center"/>
    </xf>
    <xf numFmtId="0" fontId="0" fillId="0" borderId="58" xfId="0" applyBorder="1" applyAlignment="1">
      <alignment horizontal="left" vertical="center"/>
    </xf>
    <xf numFmtId="0" fontId="0" fillId="0" borderId="48" xfId="0" applyBorder="1" applyAlignment="1">
      <alignment horizontal="left" vertical="center" wrapText="1"/>
    </xf>
    <xf numFmtId="0" fontId="0" fillId="0" borderId="49" xfId="0" applyBorder="1" applyAlignment="1">
      <alignment horizontal="left" vertical="center" wrapText="1"/>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 xfId="0" applyFont="1" applyFill="1" applyBorder="1" applyAlignment="1">
      <alignment horizontal="center" vertical="center"/>
    </xf>
    <xf numFmtId="0" fontId="2" fillId="0" borderId="2" xfId="0" applyFont="1" applyBorder="1" applyAlignment="1">
      <alignment horizontal="right" vertical="center"/>
    </xf>
    <xf numFmtId="0" fontId="2" fillId="0" borderId="3" xfId="0" applyFont="1" applyBorder="1" applyAlignment="1">
      <alignment horizontal="right" vertical="center"/>
    </xf>
    <xf numFmtId="0" fontId="2" fillId="0" borderId="4" xfId="0" applyFont="1" applyBorder="1" applyAlignment="1">
      <alignment horizontal="right" vertical="center"/>
    </xf>
    <xf numFmtId="0" fontId="1" fillId="0" borderId="2" xfId="0" applyFont="1" applyBorder="1" applyAlignment="1">
      <alignment horizontal="right" vertical="center"/>
    </xf>
    <xf numFmtId="0" fontId="1" fillId="0" borderId="3" xfId="0" applyFont="1" applyBorder="1" applyAlignment="1">
      <alignment horizontal="right" vertical="center"/>
    </xf>
    <xf numFmtId="0" fontId="1" fillId="0" borderId="4" xfId="0" applyFont="1" applyBorder="1" applyAlignment="1">
      <alignment horizontal="right" vertical="center"/>
    </xf>
    <xf numFmtId="0" fontId="4" fillId="6" borderId="1" xfId="1" applyFont="1" applyFill="1" applyBorder="1" applyAlignment="1">
      <alignment horizontal="center"/>
    </xf>
    <xf numFmtId="0" fontId="4" fillId="4" borderId="21" xfId="1" applyFont="1" applyFill="1" applyBorder="1" applyAlignment="1">
      <alignment horizontal="center"/>
    </xf>
    <xf numFmtId="0" fontId="4" fillId="4" borderId="0" xfId="1" applyFont="1" applyFill="1" applyAlignment="1">
      <alignment horizontal="center"/>
    </xf>
    <xf numFmtId="0" fontId="2" fillId="0" borderId="1" xfId="0" applyFont="1" applyBorder="1" applyAlignment="1">
      <alignment horizontal="center"/>
    </xf>
    <xf numFmtId="0" fontId="1" fillId="0" borderId="1" xfId="0" applyFont="1" applyBorder="1" applyAlignment="1">
      <alignment horizontal="center"/>
    </xf>
    <xf numFmtId="0" fontId="2" fillId="9" borderId="1" xfId="0" applyFont="1" applyFill="1" applyBorder="1" applyAlignment="1">
      <alignment horizontal="right"/>
    </xf>
  </cellXfs>
  <cellStyles count="28">
    <cellStyle name="Comma" xfId="2" builtinId="3"/>
    <cellStyle name="Comma 10 14 2" xfId="19" xr:uid="{4FB1A4EE-C6AD-4740-B319-B206E14CC8FB}"/>
    <cellStyle name="Comma 10 2" xfId="16" xr:uid="{E41E5941-002C-4DA0-8582-7B67A3011CC5}"/>
    <cellStyle name="Comma 2" xfId="4" xr:uid="{00E34F2B-D6E0-4666-B9CF-B004F2A7F2C1}"/>
    <cellStyle name="Comma 2 2 10 2 2" xfId="22" xr:uid="{104A43EF-79F0-4624-AD76-088E673DF3B1}"/>
    <cellStyle name="Comma 2 2 2 2" xfId="21" xr:uid="{5E2BE90A-F6DA-43B1-A013-D23A012466B7}"/>
    <cellStyle name="Comma 3" xfId="8" xr:uid="{8BDD98BD-C532-44D9-B819-A77D3AE52AAB}"/>
    <cellStyle name="Comma 4" xfId="7" xr:uid="{95D90082-BF8B-456B-ACBD-126EB7ED9A85}"/>
    <cellStyle name="Comma 5" xfId="26" xr:uid="{629E693D-B7AF-4E0F-A7A3-71A52B0519F9}"/>
    <cellStyle name="Comma 6" xfId="10" xr:uid="{0AFC7B44-640C-477D-A18B-91131CCFE5DB}"/>
    <cellStyle name="Comma 7" xfId="25" xr:uid="{13DF1859-53E7-4B83-B647-A30FF3E62F99}"/>
    <cellStyle name="Normal" xfId="0" builtinId="0"/>
    <cellStyle name="Normal 10" xfId="13" xr:uid="{D53134D5-5BDD-410A-96AA-9C1663899EB1}"/>
    <cellStyle name="Normal 12" xfId="24" xr:uid="{9E0F08A0-5979-4413-B16C-0A1F94FA3F68}"/>
    <cellStyle name="Normal 16" xfId="18" xr:uid="{7F18D8DE-1092-4CBD-89A3-FE3F0AA6385A}"/>
    <cellStyle name="Normal 2" xfId="15" xr:uid="{F4097607-AFA4-4096-9418-0358AD8485CF}"/>
    <cellStyle name="Normal 3" xfId="12" xr:uid="{349E1CDD-6C62-4C92-BBF8-77E78F23D049}"/>
    <cellStyle name="Normal 4" xfId="3" xr:uid="{C04DB1C2-4AD5-43A3-B859-BA9B2717001B}"/>
    <cellStyle name="Normal 5" xfId="9" xr:uid="{E6F4D6F6-A187-4D10-847B-2E4A7F8A4A5C}"/>
    <cellStyle name="Normal 5 2" xfId="23" xr:uid="{FD4B2480-46EE-4DC8-9691-505800F00A81}"/>
    <cellStyle name="Normal 6" xfId="6" xr:uid="{0DB6ADF8-2AC3-4070-96FA-17223DDA4D6C}"/>
    <cellStyle name="Normal 7" xfId="1" xr:uid="{EA6197CE-9EEF-41C9-AB68-9FBB197A085F}"/>
    <cellStyle name="Normal 8" xfId="14" xr:uid="{9AC86972-27F1-48F1-9A8C-3AE757B216D0}"/>
    <cellStyle name="Normal 9 2 2" xfId="5" xr:uid="{B75BEC25-DD81-4C61-9F38-6EEBBB1B2E77}"/>
    <cellStyle name="Normal_Sheet1" xfId="17" xr:uid="{5075E85E-A448-48BA-AA78-360E77B835E1}"/>
    <cellStyle name="Percent" xfId="27" builtinId="5"/>
    <cellStyle name="Percent 2" xfId="11" xr:uid="{F54BA416-82DE-4408-A068-E5B137E93685}"/>
    <cellStyle name="Style 1" xfId="20" xr:uid="{CF760259-454E-456B-B54A-1CDC4507E6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sharedStrings" Target="sharedString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38</xdr:row>
      <xdr:rowOff>9525</xdr:rowOff>
    </xdr:from>
    <xdr:to>
      <xdr:col>1</xdr:col>
      <xdr:colOff>1504950</xdr:colOff>
      <xdr:row>49</xdr:row>
      <xdr:rowOff>38100</xdr:rowOff>
    </xdr:to>
    <xdr:pic>
      <xdr:nvPicPr>
        <xdr:cNvPr id="2" name="Picture 1">
          <a:extLst>
            <a:ext uri="{FF2B5EF4-FFF2-40B4-BE49-F238E27FC236}">
              <a16:creationId xmlns:a16="http://schemas.microsoft.com/office/drawing/2014/main" id="{DF3E643E-CA13-4BE8-B936-767744C47AEC}"/>
            </a:ext>
            <a:ext uri="{147F2762-F138-4A5C-976F-8EAC2B608ADB}">
              <a16:predDERef xmlns:a16="http://schemas.microsoft.com/office/drawing/2014/main" pred="{0ECD119F-2606-4502-982E-DBF0ED409FD1}"/>
            </a:ext>
          </a:extLst>
        </xdr:cNvPr>
        <xdr:cNvPicPr>
          <a:picLocks noChangeAspect="1"/>
        </xdr:cNvPicPr>
      </xdr:nvPicPr>
      <xdr:blipFill>
        <a:blip xmlns:r="http://schemas.openxmlformats.org/officeDocument/2006/relationships" r:embed="rId1"/>
        <a:stretch>
          <a:fillRect/>
        </a:stretch>
      </xdr:blipFill>
      <xdr:spPr>
        <a:xfrm>
          <a:off x="38100" y="7448550"/>
          <a:ext cx="2076450" cy="2124075"/>
        </a:xfrm>
        <a:prstGeom prst="rect">
          <a:avLst/>
        </a:prstGeom>
      </xdr:spPr>
    </xdr:pic>
    <xdr:clientData/>
  </xdr:twoCellAnchor>
  <xdr:twoCellAnchor editAs="oneCell">
    <xdr:from>
      <xdr:col>5</xdr:col>
      <xdr:colOff>57150</xdr:colOff>
      <xdr:row>23</xdr:row>
      <xdr:rowOff>133350</xdr:rowOff>
    </xdr:from>
    <xdr:to>
      <xdr:col>5</xdr:col>
      <xdr:colOff>613410</xdr:colOff>
      <xdr:row>26</xdr:row>
      <xdr:rowOff>112395</xdr:rowOff>
    </xdr:to>
    <xdr:pic>
      <xdr:nvPicPr>
        <xdr:cNvPr id="3" name="Picture 2">
          <a:extLst>
            <a:ext uri="{FF2B5EF4-FFF2-40B4-BE49-F238E27FC236}">
              <a16:creationId xmlns:a16="http://schemas.microsoft.com/office/drawing/2014/main" id="{CD9D79AC-ABB0-4B9F-945C-AFA4F3DFAD74}"/>
            </a:ext>
            <a:ext uri="{147F2762-F138-4A5C-976F-8EAC2B608ADB}">
              <a16:predDERef xmlns:a16="http://schemas.microsoft.com/office/drawing/2014/main" pred="{DF3E643E-CA13-4BE8-B936-767744C47AEC}"/>
            </a:ext>
          </a:extLst>
        </xdr:cNvPr>
        <xdr:cNvPicPr>
          <a:picLocks noChangeAspect="1"/>
        </xdr:cNvPicPr>
      </xdr:nvPicPr>
      <xdr:blipFill>
        <a:blip xmlns:r="http://schemas.openxmlformats.org/officeDocument/2006/relationships" r:embed="rId2"/>
        <a:stretch>
          <a:fillRect/>
        </a:stretch>
      </xdr:blipFill>
      <xdr:spPr>
        <a:xfrm>
          <a:off x="4991100" y="4714875"/>
          <a:ext cx="556260" cy="5505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botrealty.sharepoint.com/sites/DBOTgroup/Shared%20Documents/Active%20Projects/PMC/20240115%20AVS%20Mulund%20-%20Rudraksha%20Towers/QS%20&amp;%20%20Budget/A%20&amp;%20B%20Wing%20Budget/20240131%20-%20AVS%20Budget%20R0%20-%20Discussion%20-%20A%20Wing.xlsx" TargetMode="External"/><Relationship Id="rId1" Type="http://schemas.openxmlformats.org/officeDocument/2006/relationships/externalLinkPath" Target="20240131%20-%20AVS%20Budget%20R0%20-%20Discussion%20-%20A%20Wing.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botrealty.sharepoint.com/sites/DBOTgroup/Shared%20Documents/Active%20Projects/PMC/20240115%20AVS%20Mulund%20-%20Rudraksha%20Towers/QS%20&amp;%20%20Budget/A%20&amp;%20B%20Wing%20Budget/20240131%20-%20AVS%20Budget%20R0%20-%20Discussion%20-%20B%20Wing.xlsx" TargetMode="External"/><Relationship Id="rId1" Type="http://schemas.openxmlformats.org/officeDocument/2006/relationships/externalLinkPath" Target="20240131%20-%20AVS%20Budget%20R0%20-%20Discussion%20-%20B%20W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WXDJagloTESOpU0gA9WNTseS-r4ik4NJmeZHI8v5MCJLrqb25O50QZxD0XHaXyeL" itemId="01BW4B7KMI6MJ3E3VNRJCZL5QJCG6NQJEP">
      <xxl21:absoluteUrl r:id="rId2"/>
    </xxl21:alternateUrls>
    <sheetNames>
      <sheetName val="Civil BOQ (LD Patel R1)"/>
      <sheetName val="Civil BOQ (Punit Rates R2)"/>
      <sheetName val="Excavation Qty for BOQ"/>
      <sheetName val="Construction Area"/>
      <sheetName val="Summary"/>
      <sheetName val="Cost Sheet Tower"/>
      <sheetName val="Cost Sheet office"/>
      <sheetName val="Room Conf"/>
      <sheetName val="Flat Sizes"/>
      <sheetName val="Office Sizes"/>
      <sheetName val="Waterproofing"/>
      <sheetName val="Infra"/>
      <sheetName val="Amenities"/>
      <sheetName val="Preliminary"/>
      <sheetName val="Internal Finishes Offices"/>
      <sheetName val="Rate List - Office"/>
      <sheetName val="Internal Finishes Flats"/>
      <sheetName val="Sheet1"/>
      <sheetName val="Rate List - Flats"/>
      <sheetName val="Doors"/>
      <sheetName val="Windows"/>
      <sheetName val="D&amp;W Schedule"/>
      <sheetName val="Shuttering Summary"/>
      <sheetName val="Excavation"/>
      <sheetName val="Shore Pile"/>
      <sheetName val="Tremix"/>
      <sheetName val="Blockwork &amp; Plaster &amp; Painting"/>
      <sheetName val="MEP Summary"/>
      <sheetName val="Electrical"/>
      <sheetName val="Plumbing"/>
      <sheetName val="Fire Fighting"/>
      <sheetName val="Lifts"/>
      <sheetName val="Measurement Sheet"/>
      <sheetName val="Concrete &amp; Steel Summary"/>
      <sheetName val="Sheet2"/>
    </sheetNames>
    <sheetDataSet>
      <sheetData sheetId="0"/>
      <sheetData sheetId="1"/>
      <sheetData sheetId="2"/>
      <sheetData sheetId="3"/>
      <sheetData sheetId="4">
        <row r="47">
          <cell r="D47">
            <v>7.0398765328319998E-2</v>
          </cell>
        </row>
        <row r="48">
          <cell r="D48">
            <v>1.9836770858912005</v>
          </cell>
        </row>
        <row r="55">
          <cell r="D55">
            <v>2.0540758512195203</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WXDJagloTESOpU0gA9WNTseS-r4ik4NJmeZHI8v5MCJLrqb25O50QZxD0XHaXyeL" itemId="01BW4B7KIT45A4BUMDF5AZRXAFQAQPJJCO">
      <xxl21:absoluteUrl r:id="rId2"/>
    </xxl21:alternateUrls>
    <sheetNames>
      <sheetName val="Civil BOQ (LD Patel R1)"/>
      <sheetName val="Civil BOQ (Punit Rates R2)"/>
      <sheetName val="Excavation Qty for BOQ"/>
      <sheetName val="Construction Area - B"/>
      <sheetName val="Summary"/>
      <sheetName val="Cost Sheet Tower"/>
      <sheetName val="Cost Sheet office"/>
      <sheetName val="Room Conf"/>
      <sheetName val="Flat Sizes"/>
      <sheetName val="Office Sizes"/>
      <sheetName val="Waterproofing"/>
      <sheetName val="Infra"/>
      <sheetName val="Amenities"/>
      <sheetName val="Preliminary"/>
      <sheetName val="Internal Finishes Offices"/>
      <sheetName val="Rate List - Office"/>
      <sheetName val="Internal Finishes Flats"/>
      <sheetName val="Sheet1"/>
      <sheetName val="Rate List - Flats"/>
      <sheetName val="Doors"/>
      <sheetName val="Windows"/>
      <sheetName val="D&amp;W Schedule"/>
      <sheetName val="Shuttering Summary"/>
      <sheetName val="Excavation"/>
      <sheetName val="Shore Pile"/>
      <sheetName val="Tremix"/>
      <sheetName val="Blockwork &amp; Plaster &amp; Painting"/>
      <sheetName val="MEP Summary"/>
      <sheetName val="Electrical"/>
      <sheetName val="Plumbing"/>
      <sheetName val="Fire Fighting"/>
      <sheetName val="Lifts"/>
      <sheetName val="Measurement Sheet"/>
      <sheetName val="Concrete &amp; Steel Summary"/>
      <sheetName val="CA"/>
      <sheetName val="Construction Area - A"/>
      <sheetName val="Sheet2"/>
    </sheetNames>
    <sheetDataSet>
      <sheetData sheetId="0" refreshError="1"/>
      <sheetData sheetId="1" refreshError="1"/>
      <sheetData sheetId="2" refreshError="1"/>
      <sheetData sheetId="3" refreshError="1"/>
      <sheetData sheetId="4">
        <row r="6">
          <cell r="D6">
            <v>0.61596126710365839</v>
          </cell>
        </row>
        <row r="49">
          <cell r="D49">
            <v>7.0398765328319998E-2</v>
          </cell>
        </row>
        <row r="50">
          <cell r="D50">
            <v>1.9836770858912005</v>
          </cell>
        </row>
        <row r="57">
          <cell r="D57">
            <v>2.0540758512195203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7B6C-7A53-4AC8-87A1-11022A4B89E9}">
  <sheetPr>
    <tabColor rgb="FFFF0000"/>
    <pageSetUpPr fitToPage="1"/>
  </sheetPr>
  <dimension ref="A1:BL154"/>
  <sheetViews>
    <sheetView zoomScale="90" zoomScaleNormal="107" zoomScaleSheetLayoutView="85" workbookViewId="0">
      <pane xSplit="1" ySplit="2" topLeftCell="B140" activePane="bottomRight" state="frozen"/>
      <selection pane="topRight" activeCell="E72" sqref="E72"/>
      <selection pane="bottomLeft" activeCell="E72" sqref="E72"/>
      <selection pane="bottomRight" activeCell="F151" sqref="F151"/>
    </sheetView>
  </sheetViews>
  <sheetFormatPr defaultColWidth="8.88671875" defaultRowHeight="13.8"/>
  <cols>
    <col min="1" max="1" width="7.44140625" style="20" customWidth="1"/>
    <col min="2" max="2" width="91.5546875" style="872" customWidth="1"/>
    <col min="3" max="3" width="8.109375" style="20" customWidth="1"/>
    <col min="4" max="4" width="14.33203125" style="873" bestFit="1" customWidth="1"/>
    <col min="5" max="5" width="13.88671875" style="20" bestFit="1" customWidth="1"/>
    <col min="6" max="6" width="23.5546875" style="874" bestFit="1" customWidth="1"/>
    <col min="7" max="7" width="13.5546875" style="835" bestFit="1" customWidth="1"/>
    <col min="8" max="8" width="10.5546875" style="835" bestFit="1" customWidth="1"/>
    <col min="9" max="9" width="12.6640625" style="835" bestFit="1" customWidth="1"/>
    <col min="10" max="42" width="8.88671875" style="835"/>
    <col min="43" max="44" width="9.109375" style="835" bestFit="1" customWidth="1"/>
    <col min="45" max="47" width="8.88671875" style="835"/>
    <col min="48" max="50" width="9.109375" style="835" bestFit="1" customWidth="1"/>
    <col min="51" max="63" width="8.88671875" style="835"/>
    <col min="64" max="64" width="9.109375" style="835" bestFit="1" customWidth="1"/>
    <col min="65" max="16384" width="8.88671875" style="835"/>
  </cols>
  <sheetData>
    <row r="1" spans="1:6">
      <c r="A1" s="1038" t="s">
        <v>0</v>
      </c>
      <c r="B1" s="1038"/>
      <c r="C1" s="1038"/>
      <c r="D1" s="1038"/>
      <c r="E1" s="1038"/>
      <c r="F1" s="1038"/>
    </row>
    <row r="2" spans="1:6">
      <c r="A2" s="836" t="s">
        <v>1</v>
      </c>
      <c r="B2" s="837" t="s">
        <v>2</v>
      </c>
      <c r="C2" s="838" t="s">
        <v>3</v>
      </c>
      <c r="D2" s="839" t="s">
        <v>4</v>
      </c>
      <c r="E2" s="838" t="s">
        <v>5</v>
      </c>
      <c r="F2" s="840" t="s">
        <v>6</v>
      </c>
    </row>
    <row r="3" spans="1:6">
      <c r="A3" s="841">
        <v>1</v>
      </c>
      <c r="B3" s="842" t="s">
        <v>7</v>
      </c>
      <c r="C3" s="843"/>
      <c r="D3" s="844"/>
      <c r="E3" s="843"/>
      <c r="F3" s="894"/>
    </row>
    <row r="4" spans="1:6" ht="185.4" customHeight="1">
      <c r="A4" s="8"/>
      <c r="B4" s="845" t="s">
        <v>8</v>
      </c>
      <c r="C4" s="846"/>
      <c r="D4" s="847"/>
      <c r="E4" s="846"/>
      <c r="F4" s="895">
        <f t="shared" ref="F4" si="0">D4*E4</f>
        <v>0</v>
      </c>
    </row>
    <row r="5" spans="1:6" ht="132" customHeight="1">
      <c r="A5" s="8"/>
      <c r="B5" s="845" t="s">
        <v>9</v>
      </c>
      <c r="C5" s="846"/>
      <c r="D5" s="847"/>
      <c r="E5" s="846"/>
      <c r="F5" s="895">
        <f t="shared" ref="F5:F7" si="1">IF(D5="QRO",0,D5*E5)</f>
        <v>0</v>
      </c>
    </row>
    <row r="6" spans="1:6" ht="17.399999999999999" customHeight="1">
      <c r="A6" s="8">
        <v>1.1000000000000001</v>
      </c>
      <c r="B6" s="848" t="s">
        <v>10</v>
      </c>
      <c r="C6" s="846" t="s">
        <v>11</v>
      </c>
      <c r="D6" s="847">
        <f>'Excavation Qty for BOQ'!I11</f>
        <v>20000.884050000001</v>
      </c>
      <c r="E6" s="846">
        <v>495</v>
      </c>
      <c r="F6" s="895">
        <f t="shared" si="1"/>
        <v>9900437.6047499999</v>
      </c>
    </row>
    <row r="7" spans="1:6" ht="82.8">
      <c r="A7" s="8"/>
      <c r="B7" s="848" t="s">
        <v>12</v>
      </c>
      <c r="C7" s="846"/>
      <c r="D7" s="847"/>
      <c r="E7" s="846"/>
      <c r="F7" s="895">
        <f t="shared" si="1"/>
        <v>0</v>
      </c>
    </row>
    <row r="8" spans="1:6">
      <c r="A8" s="8">
        <v>1.2</v>
      </c>
      <c r="B8" s="848" t="s">
        <v>13</v>
      </c>
      <c r="C8" s="846" t="s">
        <v>11</v>
      </c>
      <c r="D8" s="847">
        <f>'Excavation Qty for BOQ'!I12</f>
        <v>2222.3204499999993</v>
      </c>
      <c r="E8" s="846">
        <v>750</v>
      </c>
      <c r="F8" s="895">
        <f>IF(D8="QRO",0,D8*E8)</f>
        <v>1666740.3374999994</v>
      </c>
    </row>
    <row r="9" spans="1:6">
      <c r="A9" s="8">
        <v>1.3</v>
      </c>
      <c r="B9" s="848" t="s">
        <v>14</v>
      </c>
      <c r="C9" s="846" t="s">
        <v>11</v>
      </c>
      <c r="D9" s="847" t="s">
        <v>15</v>
      </c>
      <c r="E9" s="846">
        <v>945</v>
      </c>
      <c r="F9" s="895">
        <f t="shared" ref="F9:F17" si="2">IF(D9="QRO",0,D9*E9)</f>
        <v>0</v>
      </c>
    </row>
    <row r="10" spans="1:6" ht="303.60000000000002">
      <c r="A10" s="8"/>
      <c r="B10" s="849" t="s">
        <v>16</v>
      </c>
      <c r="C10" s="846"/>
      <c r="D10" s="847"/>
      <c r="E10" s="846"/>
      <c r="F10" s="895">
        <f t="shared" si="2"/>
        <v>0</v>
      </c>
    </row>
    <row r="11" spans="1:6">
      <c r="A11" s="850">
        <v>1.5</v>
      </c>
      <c r="B11" s="851" t="s">
        <v>17</v>
      </c>
      <c r="C11" s="852" t="s">
        <v>11</v>
      </c>
      <c r="D11" s="847">
        <f>'Excavation Qty for BOQ'!I17</f>
        <v>9621.0709999999999</v>
      </c>
      <c r="E11" s="846">
        <v>425</v>
      </c>
      <c r="F11" s="895">
        <f t="shared" si="2"/>
        <v>4088955.1749999998</v>
      </c>
    </row>
    <row r="12" spans="1:6">
      <c r="A12" s="850">
        <v>1.6</v>
      </c>
      <c r="B12" s="851" t="s">
        <v>18</v>
      </c>
      <c r="C12" s="852" t="s">
        <v>11</v>
      </c>
      <c r="D12" s="847" t="s">
        <v>15</v>
      </c>
      <c r="E12" s="846">
        <v>460</v>
      </c>
      <c r="F12" s="895">
        <f t="shared" si="2"/>
        <v>0</v>
      </c>
    </row>
    <row r="13" spans="1:6" ht="157.94999999999999" customHeight="1">
      <c r="A13" s="8"/>
      <c r="B13" s="849" t="s">
        <v>19</v>
      </c>
      <c r="C13" s="846"/>
      <c r="D13" s="847"/>
      <c r="E13" s="846"/>
      <c r="F13" s="895">
        <f t="shared" si="2"/>
        <v>0</v>
      </c>
    </row>
    <row r="14" spans="1:6">
      <c r="A14" s="8">
        <v>1.7</v>
      </c>
      <c r="B14" s="849" t="s">
        <v>20</v>
      </c>
      <c r="C14" s="846" t="s">
        <v>21</v>
      </c>
      <c r="D14" s="847">
        <f>Excavation!I14</f>
        <v>2077.2399999999998</v>
      </c>
      <c r="E14" s="846">
        <v>130</v>
      </c>
      <c r="F14" s="895">
        <f t="shared" si="2"/>
        <v>270041.19999999995</v>
      </c>
    </row>
    <row r="15" spans="1:6" ht="55.2">
      <c r="A15" s="8">
        <v>1.8</v>
      </c>
      <c r="B15" s="848" t="s">
        <v>22</v>
      </c>
      <c r="C15" s="846" t="s">
        <v>21</v>
      </c>
      <c r="D15" s="847" t="s">
        <v>15</v>
      </c>
      <c r="E15" s="846"/>
      <c r="F15" s="895">
        <f t="shared" si="2"/>
        <v>0</v>
      </c>
    </row>
    <row r="16" spans="1:6" ht="151.80000000000001">
      <c r="A16" s="8"/>
      <c r="B16" s="848" t="s">
        <v>23</v>
      </c>
      <c r="C16" s="846"/>
      <c r="D16" s="847"/>
      <c r="E16" s="846"/>
      <c r="F16" s="895">
        <f t="shared" si="2"/>
        <v>0</v>
      </c>
    </row>
    <row r="17" spans="1:8">
      <c r="A17" s="8">
        <v>1.9</v>
      </c>
      <c r="B17" s="849" t="s">
        <v>24</v>
      </c>
      <c r="C17" s="846" t="s">
        <v>11</v>
      </c>
      <c r="D17" s="847" t="s">
        <v>15</v>
      </c>
      <c r="E17" s="846">
        <v>500.4</v>
      </c>
      <c r="F17" s="895">
        <f t="shared" si="2"/>
        <v>0</v>
      </c>
    </row>
    <row r="18" spans="1:8">
      <c r="A18" s="841"/>
      <c r="B18" s="842" t="s">
        <v>25</v>
      </c>
      <c r="C18" s="843"/>
      <c r="D18" s="844"/>
      <c r="E18" s="843"/>
      <c r="F18" s="894">
        <f>SUM(F4:F17)</f>
        <v>15926174.317249998</v>
      </c>
    </row>
    <row r="19" spans="1:8">
      <c r="A19" s="5"/>
      <c r="B19" s="853"/>
      <c r="C19" s="846"/>
      <c r="D19" s="847"/>
      <c r="E19" s="846"/>
      <c r="F19" s="895">
        <f>IF(D19="QRO",0,D19*E19)</f>
        <v>0</v>
      </c>
    </row>
    <row r="20" spans="1:8">
      <c r="A20" s="841">
        <v>2</v>
      </c>
      <c r="B20" s="842" t="s">
        <v>26</v>
      </c>
      <c r="C20" s="843"/>
      <c r="D20" s="844"/>
      <c r="E20" s="843"/>
      <c r="F20" s="894"/>
    </row>
    <row r="21" spans="1:8">
      <c r="A21" s="854">
        <v>2.1</v>
      </c>
      <c r="B21" s="855" t="s">
        <v>27</v>
      </c>
      <c r="C21" s="846"/>
      <c r="D21" s="847"/>
      <c r="E21" s="846"/>
      <c r="F21" s="895">
        <f t="shared" ref="F21:F66" si="3">IF(D21="QRO",0,D21*E21)</f>
        <v>0</v>
      </c>
    </row>
    <row r="22" spans="1:8" ht="175.5" customHeight="1">
      <c r="A22" s="856"/>
      <c r="B22" s="857" t="s">
        <v>28</v>
      </c>
      <c r="C22" s="846"/>
      <c r="D22" s="858"/>
      <c r="E22" s="846"/>
      <c r="F22" s="896">
        <f t="shared" si="3"/>
        <v>0</v>
      </c>
    </row>
    <row r="23" spans="1:8">
      <c r="A23" s="856"/>
      <c r="B23" s="848" t="s">
        <v>29</v>
      </c>
      <c r="C23" s="846"/>
      <c r="D23" s="858"/>
      <c r="E23" s="846"/>
      <c r="F23" s="896">
        <f t="shared" si="3"/>
        <v>0</v>
      </c>
    </row>
    <row r="24" spans="1:8">
      <c r="A24" s="856"/>
      <c r="B24" s="848" t="s">
        <v>30</v>
      </c>
      <c r="C24" s="846"/>
      <c r="D24" s="858"/>
      <c r="E24" s="846"/>
      <c r="F24" s="896">
        <f t="shared" si="3"/>
        <v>0</v>
      </c>
    </row>
    <row r="25" spans="1:8" ht="41.4">
      <c r="A25" s="856"/>
      <c r="B25" s="848" t="s">
        <v>31</v>
      </c>
      <c r="C25" s="846"/>
      <c r="D25" s="858"/>
      <c r="E25" s="846"/>
      <c r="F25" s="896">
        <f t="shared" si="3"/>
        <v>0</v>
      </c>
    </row>
    <row r="26" spans="1:8">
      <c r="A26" s="856" t="s">
        <v>32</v>
      </c>
      <c r="B26" s="848" t="s">
        <v>33</v>
      </c>
      <c r="C26" s="846" t="s">
        <v>11</v>
      </c>
      <c r="D26" s="858">
        <f ca="1">'Concrete &amp; Steel Summary'!D84</f>
        <v>683.61400000000003</v>
      </c>
      <c r="E26" s="846">
        <v>7146.1</v>
      </c>
      <c r="F26" s="896">
        <f ca="1">IF(D26="QRO",0,D26*E26)</f>
        <v>4885174.0054000001</v>
      </c>
    </row>
    <row r="27" spans="1:8">
      <c r="A27" s="856" t="s">
        <v>34</v>
      </c>
      <c r="B27" s="848" t="s">
        <v>35</v>
      </c>
      <c r="C27" s="846" t="s">
        <v>11</v>
      </c>
      <c r="D27" s="858" t="s">
        <v>15</v>
      </c>
      <c r="E27" s="846">
        <v>7515.25</v>
      </c>
      <c r="F27" s="896">
        <f t="shared" si="3"/>
        <v>0</v>
      </c>
    </row>
    <row r="28" spans="1:8">
      <c r="A28" s="856" t="s">
        <v>36</v>
      </c>
      <c r="B28" s="848" t="s">
        <v>37</v>
      </c>
      <c r="C28" s="846" t="s">
        <v>11</v>
      </c>
      <c r="D28" s="858" t="s">
        <v>15</v>
      </c>
      <c r="E28" s="846">
        <v>6776.95</v>
      </c>
      <c r="F28" s="896">
        <f t="shared" si="3"/>
        <v>0</v>
      </c>
      <c r="H28" s="883"/>
    </row>
    <row r="29" spans="1:8" ht="69">
      <c r="A29" s="856"/>
      <c r="B29" s="848" t="s">
        <v>38</v>
      </c>
      <c r="C29" s="846"/>
      <c r="D29" s="858"/>
      <c r="E29" s="846"/>
      <c r="F29" s="896">
        <f t="shared" si="3"/>
        <v>0</v>
      </c>
    </row>
    <row r="30" spans="1:8">
      <c r="A30" s="856" t="s">
        <v>39</v>
      </c>
      <c r="B30" s="848" t="s">
        <v>40</v>
      </c>
      <c r="C30" s="846" t="s">
        <v>11</v>
      </c>
      <c r="D30" s="858">
        <f>'Excavation Qty for BOQ'!I20</f>
        <v>108.08320000000002</v>
      </c>
      <c r="E30" s="846">
        <v>5520.69</v>
      </c>
      <c r="F30" s="896">
        <f>IF(D30="QRO",0,D30*E30)</f>
        <v>596693.84140800009</v>
      </c>
    </row>
    <row r="31" spans="1:8" ht="262.2">
      <c r="A31" s="856"/>
      <c r="B31" s="848" t="s">
        <v>41</v>
      </c>
      <c r="C31" s="846"/>
      <c r="D31" s="858"/>
      <c r="E31" s="846"/>
      <c r="F31" s="896"/>
    </row>
    <row r="32" spans="1:8">
      <c r="A32" s="856" t="s">
        <v>42</v>
      </c>
      <c r="B32" s="848" t="s">
        <v>43</v>
      </c>
      <c r="C32" s="846" t="s">
        <v>11</v>
      </c>
      <c r="D32" s="858">
        <f ca="1">'Concrete &amp; Steel Summary'!D66</f>
        <v>6165.6049999999996</v>
      </c>
      <c r="E32" s="846">
        <v>10238.450000000001</v>
      </c>
      <c r="F32" s="896">
        <f ca="1">IF(D32="QRO",0,D32*E32)</f>
        <v>63126238.512249999</v>
      </c>
    </row>
    <row r="33" spans="1:6">
      <c r="A33" s="856"/>
      <c r="B33" s="848"/>
      <c r="C33" s="846"/>
      <c r="D33" s="858"/>
      <c r="E33" s="846"/>
      <c r="F33" s="896"/>
    </row>
    <row r="34" spans="1:6" ht="303.60000000000002">
      <c r="A34" s="856"/>
      <c r="B34" s="848" t="s">
        <v>44</v>
      </c>
      <c r="C34" s="846"/>
      <c r="D34" s="858"/>
      <c r="E34" s="846"/>
      <c r="F34" s="896"/>
    </row>
    <row r="35" spans="1:6">
      <c r="A35" s="856" t="s">
        <v>42</v>
      </c>
      <c r="B35" s="848" t="s">
        <v>45</v>
      </c>
      <c r="C35" s="846"/>
      <c r="D35" s="858"/>
      <c r="E35" s="846"/>
      <c r="F35" s="896">
        <f t="shared" si="3"/>
        <v>0</v>
      </c>
    </row>
    <row r="36" spans="1:6">
      <c r="A36" s="856"/>
      <c r="B36" s="261" t="s">
        <v>46</v>
      </c>
      <c r="C36" s="846" t="s">
        <v>11</v>
      </c>
      <c r="D36" s="858" t="s">
        <v>15</v>
      </c>
      <c r="E36" s="846">
        <v>10584.6</v>
      </c>
      <c r="F36" s="896">
        <f>IF(D36="QRO",0,D36*E36)</f>
        <v>0</v>
      </c>
    </row>
    <row r="37" spans="1:6">
      <c r="A37" s="856"/>
      <c r="B37" s="261" t="s">
        <v>47</v>
      </c>
      <c r="C37" s="846" t="s">
        <v>11</v>
      </c>
      <c r="D37" s="858">
        <f ca="1">'Concrete &amp; Steel Summary'!D70</f>
        <v>9560.3720000000012</v>
      </c>
      <c r="E37" s="846">
        <f>E32</f>
        <v>10238.450000000001</v>
      </c>
      <c r="F37" s="896">
        <f t="shared" ca="1" si="3"/>
        <v>97883390.703400016</v>
      </c>
    </row>
    <row r="38" spans="1:6">
      <c r="A38" s="856"/>
      <c r="B38" s="261" t="s">
        <v>48</v>
      </c>
      <c r="C38" s="846" t="s">
        <v>11</v>
      </c>
      <c r="D38" s="858" t="s">
        <v>15</v>
      </c>
      <c r="E38" s="846">
        <v>9600.2000000000007</v>
      </c>
      <c r="F38" s="896">
        <f t="shared" si="3"/>
        <v>0</v>
      </c>
    </row>
    <row r="39" spans="1:6">
      <c r="A39" s="8" t="s">
        <v>49</v>
      </c>
      <c r="B39" s="261" t="s">
        <v>50</v>
      </c>
      <c r="C39" s="846"/>
      <c r="D39" s="858"/>
      <c r="E39" s="846"/>
      <c r="F39" s="896"/>
    </row>
    <row r="40" spans="1:6">
      <c r="A40" s="8"/>
      <c r="B40" s="261" t="s">
        <v>47</v>
      </c>
      <c r="C40" s="846" t="s">
        <v>11</v>
      </c>
      <c r="D40" s="858">
        <f ca="1">'Concrete &amp; Steel Summary'!D67</f>
        <v>336.45480000000003</v>
      </c>
      <c r="E40" s="846">
        <f>E37</f>
        <v>10238.450000000001</v>
      </c>
      <c r="F40" s="896">
        <f ca="1">IF(D40="QRO",0,D40*E40)</f>
        <v>3444775.6470600008</v>
      </c>
    </row>
    <row r="41" spans="1:6">
      <c r="A41" s="8" t="s">
        <v>51</v>
      </c>
      <c r="B41" s="261" t="s">
        <v>52</v>
      </c>
      <c r="C41" s="846"/>
      <c r="D41" s="858"/>
      <c r="E41" s="846"/>
      <c r="F41" s="896"/>
    </row>
    <row r="42" spans="1:6">
      <c r="A42" s="8"/>
      <c r="B42" s="261" t="s">
        <v>53</v>
      </c>
      <c r="C42" s="846" t="s">
        <v>11</v>
      </c>
      <c r="D42" s="858" t="s">
        <v>15</v>
      </c>
      <c r="E42" s="846">
        <v>8956.2000000000007</v>
      </c>
      <c r="F42" s="896">
        <f t="shared" ref="F42" si="4">IF(D42="QRO",0,D42*E42)</f>
        <v>0</v>
      </c>
    </row>
    <row r="43" spans="1:6">
      <c r="A43" s="8"/>
      <c r="B43" s="261" t="s">
        <v>48</v>
      </c>
      <c r="C43" s="846" t="s">
        <v>11</v>
      </c>
      <c r="D43" s="858" t="s">
        <v>15</v>
      </c>
      <c r="E43" s="846">
        <f>E38</f>
        <v>9600.2000000000007</v>
      </c>
      <c r="F43" s="896"/>
    </row>
    <row r="44" spans="1:6">
      <c r="A44" s="8"/>
      <c r="B44" s="261" t="s">
        <v>47</v>
      </c>
      <c r="C44" s="846" t="s">
        <v>11</v>
      </c>
      <c r="D44" s="858">
        <f ca="1">'Concrete &amp; Steel Summary'!D68+'Concrete &amp; Steel Summary'!D74+'Concrete &amp; Steel Summary'!D75+'Concrete &amp; Steel Summary'!D76+'Concrete &amp; Steel Summary'!D77+'Concrete &amp; Steel Summary'!D78</f>
        <v>1001.9177999999999</v>
      </c>
      <c r="E44" s="846">
        <f>E37</f>
        <v>10238.450000000001</v>
      </c>
      <c r="F44" s="896"/>
    </row>
    <row r="45" spans="1:6">
      <c r="A45" s="8" t="s">
        <v>54</v>
      </c>
      <c r="B45" s="849" t="s">
        <v>55</v>
      </c>
      <c r="C45" s="846"/>
      <c r="D45" s="858"/>
      <c r="E45" s="846"/>
      <c r="F45" s="896"/>
    </row>
    <row r="46" spans="1:6">
      <c r="A46" s="8"/>
      <c r="B46" s="849" t="s">
        <v>56</v>
      </c>
      <c r="C46" s="846" t="s">
        <v>11</v>
      </c>
      <c r="D46" s="858">
        <f ca="1">'Concrete &amp; Steel Summary'!D69</f>
        <v>631.37944000000005</v>
      </c>
      <c r="E46" s="846">
        <f>E42</f>
        <v>8956.2000000000007</v>
      </c>
      <c r="F46" s="896">
        <f t="shared" ref="F46:F47" ca="1" si="5">IF(D46="QRO",0,D46*E46)</f>
        <v>5654760.5405280013</v>
      </c>
    </row>
    <row r="47" spans="1:6">
      <c r="A47" s="8"/>
      <c r="B47" s="849" t="s">
        <v>48</v>
      </c>
      <c r="C47" s="846" t="s">
        <v>11</v>
      </c>
      <c r="D47" s="858">
        <f ca="1">'Concrete &amp; Steel Summary'!D73</f>
        <v>7613.6441249999989</v>
      </c>
      <c r="E47" s="846">
        <f>E43</f>
        <v>9600.2000000000007</v>
      </c>
      <c r="F47" s="896">
        <f t="shared" ca="1" si="5"/>
        <v>73092506.328824997</v>
      </c>
    </row>
    <row r="48" spans="1:6">
      <c r="A48" s="8"/>
      <c r="B48" s="849" t="s">
        <v>47</v>
      </c>
      <c r="C48" s="846" t="s">
        <v>11</v>
      </c>
      <c r="D48" s="858" t="s">
        <v>15</v>
      </c>
      <c r="E48" s="846">
        <f>E37</f>
        <v>10238.450000000001</v>
      </c>
      <c r="F48" s="896"/>
    </row>
    <row r="49" spans="1:9">
      <c r="A49" s="8" t="s">
        <v>57</v>
      </c>
      <c r="B49" s="849" t="s">
        <v>58</v>
      </c>
      <c r="C49" s="846"/>
      <c r="D49" s="859"/>
      <c r="E49" s="846"/>
      <c r="F49" s="896"/>
    </row>
    <row r="50" spans="1:9">
      <c r="A50" s="8"/>
      <c r="B50" s="849" t="s">
        <v>53</v>
      </c>
      <c r="C50" s="846" t="s">
        <v>11</v>
      </c>
      <c r="D50" s="859" t="s">
        <v>15</v>
      </c>
      <c r="E50" s="846">
        <f>E42</f>
        <v>8956.2000000000007</v>
      </c>
      <c r="F50" s="896">
        <f t="shared" ref="F50:F62" si="6">IF(D50="QRO",0,D50*E50)</f>
        <v>0</v>
      </c>
    </row>
    <row r="51" spans="1:9">
      <c r="A51" s="8"/>
      <c r="B51" s="849" t="s">
        <v>48</v>
      </c>
      <c r="C51" s="846" t="s">
        <v>11</v>
      </c>
      <c r="D51" s="859">
        <f ca="1">'Concrete &amp; Steel Summary'!D72</f>
        <v>3946.5936999999994</v>
      </c>
      <c r="E51" s="846">
        <f>E47</f>
        <v>9600.2000000000007</v>
      </c>
      <c r="F51" s="896">
        <f t="shared" ca="1" si="6"/>
        <v>37888088.838739999</v>
      </c>
    </row>
    <row r="52" spans="1:9">
      <c r="A52" s="8"/>
      <c r="B52" s="849" t="s">
        <v>47</v>
      </c>
      <c r="C52" s="846" t="s">
        <v>11</v>
      </c>
      <c r="D52" s="859" t="s">
        <v>15</v>
      </c>
      <c r="E52" s="846">
        <f>E48</f>
        <v>10238.450000000001</v>
      </c>
      <c r="F52" s="896">
        <f t="shared" si="6"/>
        <v>0</v>
      </c>
      <c r="I52" s="883"/>
    </row>
    <row r="53" spans="1:9">
      <c r="A53" s="8" t="s">
        <v>59</v>
      </c>
      <c r="B53" s="849" t="s">
        <v>60</v>
      </c>
      <c r="C53" s="846" t="s">
        <v>11</v>
      </c>
      <c r="D53" s="858"/>
      <c r="E53" s="846"/>
      <c r="F53" s="896">
        <f t="shared" si="6"/>
        <v>0</v>
      </c>
      <c r="I53" s="883"/>
    </row>
    <row r="54" spans="1:9">
      <c r="A54" s="8"/>
      <c r="B54" s="849" t="s">
        <v>53</v>
      </c>
      <c r="C54" s="846" t="s">
        <v>11</v>
      </c>
      <c r="D54" s="859" t="s">
        <v>15</v>
      </c>
      <c r="E54" s="846">
        <f>E50</f>
        <v>8956.2000000000007</v>
      </c>
      <c r="F54" s="896">
        <f t="shared" si="6"/>
        <v>0</v>
      </c>
    </row>
    <row r="55" spans="1:9">
      <c r="A55" s="8"/>
      <c r="B55" s="849" t="s">
        <v>48</v>
      </c>
      <c r="C55" s="846" t="s">
        <v>11</v>
      </c>
      <c r="D55" s="859">
        <f ca="1">'Concrete &amp; Steel Summary'!D71+'Concrete &amp; Steel Summary'!D79</f>
        <v>2118.9888000000001</v>
      </c>
      <c r="E55" s="846">
        <f>E51</f>
        <v>9600.2000000000007</v>
      </c>
      <c r="F55" s="896">
        <f t="shared" ca="1" si="6"/>
        <v>20342716.277760003</v>
      </c>
    </row>
    <row r="56" spans="1:9">
      <c r="A56" s="8"/>
      <c r="B56" s="849" t="s">
        <v>47</v>
      </c>
      <c r="C56" s="846" t="s">
        <v>11</v>
      </c>
      <c r="D56" s="859" t="s">
        <v>15</v>
      </c>
      <c r="E56" s="846">
        <f>E52</f>
        <v>10238.450000000001</v>
      </c>
      <c r="F56" s="896">
        <f t="shared" si="6"/>
        <v>0</v>
      </c>
    </row>
    <row r="57" spans="1:9">
      <c r="A57" s="8" t="s">
        <v>61</v>
      </c>
      <c r="B57" s="849" t="s">
        <v>62</v>
      </c>
      <c r="C57" s="846" t="s">
        <v>11</v>
      </c>
      <c r="D57" s="859" t="s">
        <v>15</v>
      </c>
      <c r="E57" s="846"/>
      <c r="F57" s="896">
        <f t="shared" si="6"/>
        <v>0</v>
      </c>
    </row>
    <row r="58" spans="1:9">
      <c r="A58" s="8" t="s">
        <v>63</v>
      </c>
      <c r="B58" s="849" t="s">
        <v>64</v>
      </c>
      <c r="C58" s="846" t="s">
        <v>11</v>
      </c>
      <c r="D58" s="859" t="s">
        <v>15</v>
      </c>
      <c r="E58" s="846"/>
      <c r="F58" s="896">
        <f t="shared" si="6"/>
        <v>0</v>
      </c>
    </row>
    <row r="59" spans="1:9">
      <c r="A59" s="8" t="s">
        <v>65</v>
      </c>
      <c r="B59" s="849" t="s">
        <v>66</v>
      </c>
      <c r="C59" s="846" t="s">
        <v>11</v>
      </c>
      <c r="D59" s="859" t="s">
        <v>15</v>
      </c>
      <c r="E59" s="846"/>
      <c r="F59" s="896">
        <f t="shared" si="6"/>
        <v>0</v>
      </c>
    </row>
    <row r="60" spans="1:9">
      <c r="A60" s="8" t="s">
        <v>67</v>
      </c>
      <c r="B60" s="849" t="s">
        <v>68</v>
      </c>
      <c r="C60" s="846" t="s">
        <v>11</v>
      </c>
      <c r="D60" s="859" t="s">
        <v>15</v>
      </c>
      <c r="E60" s="846"/>
      <c r="F60" s="896">
        <f t="shared" si="6"/>
        <v>0</v>
      </c>
    </row>
    <row r="61" spans="1:9">
      <c r="A61" s="8" t="s">
        <v>69</v>
      </c>
      <c r="B61" s="849" t="s">
        <v>70</v>
      </c>
      <c r="C61" s="846" t="s">
        <v>11</v>
      </c>
      <c r="D61" s="859" t="s">
        <v>15</v>
      </c>
      <c r="E61" s="846"/>
      <c r="F61" s="896">
        <f t="shared" si="6"/>
        <v>0</v>
      </c>
    </row>
    <row r="62" spans="1:9">
      <c r="A62" s="8" t="s">
        <v>71</v>
      </c>
      <c r="B62" s="849" t="s">
        <v>72</v>
      </c>
      <c r="C62" s="846" t="s">
        <v>11</v>
      </c>
      <c r="D62" s="859" t="s">
        <v>15</v>
      </c>
      <c r="E62" s="846"/>
      <c r="F62" s="896">
        <f t="shared" si="6"/>
        <v>0</v>
      </c>
    </row>
    <row r="63" spans="1:9" ht="220.8">
      <c r="A63" s="856">
        <v>2.2000000000000002</v>
      </c>
      <c r="B63" s="860" t="s">
        <v>73</v>
      </c>
      <c r="C63" s="846" t="s">
        <v>21</v>
      </c>
      <c r="D63" s="858">
        <f>Tremix!E7</f>
        <v>8722.5999999999985</v>
      </c>
      <c r="E63" s="846">
        <v>1204.8399999999999</v>
      </c>
      <c r="F63" s="896">
        <f t="shared" si="3"/>
        <v>10509337.383999998</v>
      </c>
    </row>
    <row r="64" spans="1:9">
      <c r="A64" s="5">
        <v>2.2999999999999998</v>
      </c>
      <c r="B64" s="853" t="s">
        <v>74</v>
      </c>
      <c r="C64" s="846"/>
      <c r="D64" s="859"/>
      <c r="E64" s="846"/>
      <c r="F64" s="896">
        <f t="shared" si="3"/>
        <v>0</v>
      </c>
    </row>
    <row r="65" spans="1:7" ht="124.2">
      <c r="A65" s="8"/>
      <c r="B65" s="848" t="s">
        <v>75</v>
      </c>
      <c r="C65" s="846"/>
      <c r="D65" s="858"/>
      <c r="E65" s="846"/>
      <c r="F65" s="896">
        <f t="shared" si="3"/>
        <v>0</v>
      </c>
    </row>
    <row r="66" spans="1:7" ht="96.6">
      <c r="A66" s="8"/>
      <c r="B66" s="861" t="s">
        <v>76</v>
      </c>
      <c r="C66" s="846"/>
      <c r="D66" s="858"/>
      <c r="E66" s="846"/>
      <c r="F66" s="896">
        <f t="shared" si="3"/>
        <v>0</v>
      </c>
    </row>
    <row r="67" spans="1:7">
      <c r="A67" s="8" t="s">
        <v>77</v>
      </c>
      <c r="B67" s="849" t="s">
        <v>78</v>
      </c>
      <c r="C67" s="846" t="s">
        <v>21</v>
      </c>
      <c r="D67" s="858">
        <f>'Shuttering Summary'!C4</f>
        <v>119624.04345181159</v>
      </c>
      <c r="E67" s="846">
        <v>640</v>
      </c>
      <c r="F67" s="896">
        <f>IF(D67="QRO",0,D67*E67)</f>
        <v>76559387.809159428</v>
      </c>
    </row>
    <row r="68" spans="1:7">
      <c r="A68" s="8" t="s">
        <v>79</v>
      </c>
      <c r="B68" s="849" t="s">
        <v>80</v>
      </c>
      <c r="C68" s="846" t="s">
        <v>21</v>
      </c>
      <c r="D68" s="858" t="s">
        <v>15</v>
      </c>
      <c r="E68" s="846">
        <v>1150</v>
      </c>
      <c r="F68" s="896">
        <f>IF(D68="QRO",0,D68*E68)</f>
        <v>0</v>
      </c>
    </row>
    <row r="69" spans="1:7" ht="246.6" customHeight="1">
      <c r="A69" s="8" t="s">
        <v>81</v>
      </c>
      <c r="B69" s="848" t="s">
        <v>82</v>
      </c>
      <c r="C69" s="8" t="s">
        <v>21</v>
      </c>
      <c r="D69" s="858">
        <f>'Shuttering Summary'!C3</f>
        <v>51310.247407246366</v>
      </c>
      <c r="E69" s="846">
        <v>750</v>
      </c>
      <c r="F69" s="896">
        <f>IF(D69="QRO",0,D69*E69)</f>
        <v>38482685.555434778</v>
      </c>
    </row>
    <row r="70" spans="1:7">
      <c r="A70" s="841">
        <v>2.4</v>
      </c>
      <c r="B70" s="842" t="s">
        <v>83</v>
      </c>
      <c r="C70" s="843"/>
      <c r="D70" s="844"/>
      <c r="E70" s="843"/>
      <c r="F70" s="894"/>
    </row>
    <row r="71" spans="1:7" ht="96.6">
      <c r="A71" s="8"/>
      <c r="B71" s="849" t="s">
        <v>84</v>
      </c>
      <c r="C71" s="846"/>
      <c r="D71" s="858"/>
      <c r="E71" s="846"/>
      <c r="F71" s="896">
        <f t="shared" ref="F71:F78" si="7">IF(D71="QRO",0,D71*E71)</f>
        <v>0</v>
      </c>
    </row>
    <row r="72" spans="1:7" ht="110.4">
      <c r="A72" s="8"/>
      <c r="B72" s="849" t="s">
        <v>85</v>
      </c>
      <c r="C72" s="846"/>
      <c r="D72" s="858"/>
      <c r="E72" s="846"/>
      <c r="F72" s="896">
        <f>IF(D72="QRO",0,D72*E72)</f>
        <v>0</v>
      </c>
    </row>
    <row r="73" spans="1:7">
      <c r="A73" s="8" t="s">
        <v>86</v>
      </c>
      <c r="B73" s="849" t="s">
        <v>83</v>
      </c>
      <c r="C73" s="846" t="s">
        <v>87</v>
      </c>
      <c r="D73" s="858">
        <f>'Concrete &amp; Steel Summary'!I60</f>
        <v>4042.0086581</v>
      </c>
      <c r="E73" s="846">
        <v>73999.649999999994</v>
      </c>
      <c r="F73" s="896">
        <f>IF(D73="QRO",0,D73*E73)</f>
        <v>299107225.99636966</v>
      </c>
    </row>
    <row r="74" spans="1:7" ht="110.4">
      <c r="A74" s="862"/>
      <c r="B74" s="849" t="s">
        <v>88</v>
      </c>
      <c r="C74" s="846"/>
      <c r="D74" s="858"/>
      <c r="E74" s="846"/>
      <c r="F74" s="896">
        <f t="shared" si="7"/>
        <v>0</v>
      </c>
    </row>
    <row r="75" spans="1:7">
      <c r="A75" s="863" t="s">
        <v>89</v>
      </c>
      <c r="B75" s="848" t="s">
        <v>90</v>
      </c>
      <c r="C75" s="846" t="s">
        <v>91</v>
      </c>
      <c r="D75" s="858" t="s">
        <v>15</v>
      </c>
      <c r="E75" s="846">
        <v>220</v>
      </c>
      <c r="F75" s="896">
        <f t="shared" si="7"/>
        <v>0</v>
      </c>
    </row>
    <row r="76" spans="1:7">
      <c r="A76" s="863" t="s">
        <v>92</v>
      </c>
      <c r="B76" s="848" t="s">
        <v>93</v>
      </c>
      <c r="C76" s="846" t="s">
        <v>91</v>
      </c>
      <c r="D76" s="858" t="s">
        <v>15</v>
      </c>
      <c r="E76" s="846">
        <v>160</v>
      </c>
      <c r="F76" s="896">
        <f t="shared" si="7"/>
        <v>0</v>
      </c>
    </row>
    <row r="77" spans="1:7">
      <c r="A77" s="863" t="s">
        <v>94</v>
      </c>
      <c r="B77" s="848" t="s">
        <v>95</v>
      </c>
      <c r="C77" s="846" t="s">
        <v>91</v>
      </c>
      <c r="D77" s="858" t="s">
        <v>15</v>
      </c>
      <c r="E77" s="846">
        <v>105</v>
      </c>
      <c r="F77" s="896">
        <f t="shared" si="7"/>
        <v>0</v>
      </c>
    </row>
    <row r="78" spans="1:7">
      <c r="A78" s="863" t="s">
        <v>96</v>
      </c>
      <c r="B78" s="848" t="s">
        <v>97</v>
      </c>
      <c r="C78" s="846" t="s">
        <v>91</v>
      </c>
      <c r="D78" s="858" t="s">
        <v>15</v>
      </c>
      <c r="E78" s="846">
        <v>80</v>
      </c>
      <c r="F78" s="896">
        <f t="shared" si="7"/>
        <v>0</v>
      </c>
    </row>
    <row r="79" spans="1:7">
      <c r="A79" s="841"/>
      <c r="B79" s="842" t="s">
        <v>98</v>
      </c>
      <c r="C79" s="843"/>
      <c r="D79" s="844"/>
      <c r="E79" s="843"/>
      <c r="F79" s="894">
        <f ca="1">SUM(F21:F78)</f>
        <v>731572981.44033492</v>
      </c>
      <c r="G79" s="865"/>
    </row>
    <row r="80" spans="1:7">
      <c r="A80" s="5"/>
      <c r="B80" s="853"/>
      <c r="C80" s="846"/>
      <c r="D80" s="847"/>
      <c r="E80" s="846"/>
      <c r="F80" s="897"/>
    </row>
    <row r="81" spans="1:6">
      <c r="A81" s="841">
        <v>3</v>
      </c>
      <c r="B81" s="842" t="s">
        <v>99</v>
      </c>
      <c r="C81" s="843"/>
      <c r="D81" s="844"/>
      <c r="E81" s="843"/>
      <c r="F81" s="894"/>
    </row>
    <row r="82" spans="1:6" ht="358.8">
      <c r="A82" s="8"/>
      <c r="B82" s="849" t="s">
        <v>100</v>
      </c>
      <c r="C82" s="846"/>
      <c r="D82" s="847"/>
      <c r="E82" s="846"/>
      <c r="F82" s="895">
        <f t="shared" ref="F82:F86" si="8">IF(D82="QRO",0,D82*E82)</f>
        <v>0</v>
      </c>
    </row>
    <row r="83" spans="1:6">
      <c r="A83" s="8">
        <v>3.1</v>
      </c>
      <c r="B83" s="849" t="s">
        <v>101</v>
      </c>
      <c r="C83" s="846" t="s">
        <v>21</v>
      </c>
      <c r="D83" s="847" t="s">
        <v>15</v>
      </c>
      <c r="E83" s="846"/>
      <c r="F83" s="895">
        <f t="shared" si="8"/>
        <v>0</v>
      </c>
    </row>
    <row r="84" spans="1:6">
      <c r="A84" s="8">
        <f>A83+0.1</f>
        <v>3.2</v>
      </c>
      <c r="B84" s="849" t="s">
        <v>102</v>
      </c>
      <c r="C84" s="846" t="s">
        <v>21</v>
      </c>
      <c r="D84" s="847" t="s">
        <v>15</v>
      </c>
      <c r="E84" s="846"/>
      <c r="F84" s="895">
        <f t="shared" si="8"/>
        <v>0</v>
      </c>
    </row>
    <row r="85" spans="1:6">
      <c r="A85" s="8">
        <f>A84+0.1</f>
        <v>3.3000000000000003</v>
      </c>
      <c r="B85" s="849" t="s">
        <v>103</v>
      </c>
      <c r="C85" s="846" t="s">
        <v>21</v>
      </c>
      <c r="D85" s="847">
        <f>'Blockwork &amp; Plaster &amp; Painting'!G3</f>
        <v>13162.24</v>
      </c>
      <c r="E85" s="846">
        <v>1728.32</v>
      </c>
      <c r="F85" s="895">
        <f t="shared" si="8"/>
        <v>22748562.636799999</v>
      </c>
    </row>
    <row r="86" spans="1:6">
      <c r="A86" s="8">
        <f>A85+0.1</f>
        <v>3.4000000000000004</v>
      </c>
      <c r="B86" s="849" t="s">
        <v>104</v>
      </c>
      <c r="C86" s="846" t="s">
        <v>21</v>
      </c>
      <c r="D86" s="847" t="s">
        <v>15</v>
      </c>
      <c r="E86" s="846"/>
      <c r="F86" s="895">
        <f t="shared" si="8"/>
        <v>0</v>
      </c>
    </row>
    <row r="87" spans="1:6">
      <c r="A87" s="841"/>
      <c r="B87" s="842" t="s">
        <v>105</v>
      </c>
      <c r="C87" s="843"/>
      <c r="D87" s="844"/>
      <c r="E87" s="843"/>
      <c r="F87" s="894">
        <f>SUM(F82:F86)</f>
        <v>22748562.636799999</v>
      </c>
    </row>
    <row r="88" spans="1:6">
      <c r="A88" s="5"/>
      <c r="B88" s="853"/>
      <c r="C88" s="846"/>
      <c r="D88" s="847"/>
      <c r="E88" s="846"/>
      <c r="F88" s="897"/>
    </row>
    <row r="89" spans="1:6">
      <c r="A89" s="841">
        <v>4</v>
      </c>
      <c r="B89" s="842" t="s">
        <v>106</v>
      </c>
      <c r="C89" s="843"/>
      <c r="D89" s="844"/>
      <c r="E89" s="843"/>
      <c r="F89" s="894"/>
    </row>
    <row r="90" spans="1:6" ht="299.39999999999998" customHeight="1">
      <c r="A90" s="8"/>
      <c r="B90" s="849" t="s">
        <v>107</v>
      </c>
      <c r="C90" s="846"/>
      <c r="D90" s="847"/>
      <c r="E90" s="846"/>
      <c r="F90" s="895">
        <f t="shared" ref="F90:F100" si="9">IF(D90="QRO",0,D90*E90)</f>
        <v>0</v>
      </c>
    </row>
    <row r="91" spans="1:6">
      <c r="A91" s="8">
        <v>4.0999999999999996</v>
      </c>
      <c r="B91" s="849" t="s">
        <v>108</v>
      </c>
      <c r="C91" s="846" t="s">
        <v>21</v>
      </c>
      <c r="D91" s="847">
        <f>'Cost Sheet Tower'!G19</f>
        <v>23086.989000000005</v>
      </c>
      <c r="E91" s="846">
        <v>569</v>
      </c>
      <c r="F91" s="895">
        <f t="shared" si="9"/>
        <v>13136496.741000002</v>
      </c>
    </row>
    <row r="92" spans="1:6">
      <c r="A92" s="8">
        <f>+A91+0.1</f>
        <v>4.1999999999999993</v>
      </c>
      <c r="B92" s="849" t="s">
        <v>109</v>
      </c>
      <c r="C92" s="846" t="s">
        <v>21</v>
      </c>
      <c r="D92" s="847" t="s">
        <v>15</v>
      </c>
      <c r="E92" s="846">
        <v>552</v>
      </c>
      <c r="F92" s="895">
        <f t="shared" si="9"/>
        <v>0</v>
      </c>
    </row>
    <row r="93" spans="1:6" ht="200.4" customHeight="1">
      <c r="A93" s="8"/>
      <c r="B93" s="849" t="s">
        <v>110</v>
      </c>
      <c r="C93" s="846"/>
      <c r="D93" s="847"/>
      <c r="E93" s="846"/>
      <c r="F93" s="895">
        <f t="shared" si="9"/>
        <v>0</v>
      </c>
    </row>
    <row r="94" spans="1:6">
      <c r="A94" s="8">
        <v>4.2</v>
      </c>
      <c r="B94" s="849" t="s">
        <v>111</v>
      </c>
      <c r="C94" s="846" t="s">
        <v>21</v>
      </c>
      <c r="D94" s="847">
        <f>'Cost Sheet Tower'!G17</f>
        <v>5229.2880000000014</v>
      </c>
      <c r="E94" s="846">
        <v>599</v>
      </c>
      <c r="F94" s="895">
        <f t="shared" si="9"/>
        <v>3132343.512000001</v>
      </c>
    </row>
    <row r="95" spans="1:6">
      <c r="A95" s="8">
        <v>4.3</v>
      </c>
      <c r="B95" s="849" t="s">
        <v>112</v>
      </c>
      <c r="C95" s="846" t="s">
        <v>21</v>
      </c>
      <c r="D95" s="847" t="s">
        <v>15</v>
      </c>
      <c r="E95" s="846">
        <v>607</v>
      </c>
      <c r="F95" s="895">
        <f t="shared" si="9"/>
        <v>0</v>
      </c>
    </row>
    <row r="96" spans="1:6">
      <c r="A96" s="8">
        <v>4.4000000000000004</v>
      </c>
      <c r="B96" s="849" t="s">
        <v>113</v>
      </c>
      <c r="C96" s="846" t="s">
        <v>21</v>
      </c>
      <c r="D96" s="847" t="s">
        <v>15</v>
      </c>
      <c r="E96" s="846">
        <v>641</v>
      </c>
      <c r="F96" s="895">
        <f t="shared" si="9"/>
        <v>0</v>
      </c>
    </row>
    <row r="97" spans="1:6" ht="151.80000000000001">
      <c r="A97" s="8"/>
      <c r="B97" s="849" t="s">
        <v>114</v>
      </c>
      <c r="C97" s="846"/>
      <c r="D97" s="847"/>
      <c r="E97" s="846"/>
      <c r="F97" s="895">
        <f t="shared" si="9"/>
        <v>0</v>
      </c>
    </row>
    <row r="98" spans="1:6" ht="27.6">
      <c r="A98" s="8">
        <v>4.5</v>
      </c>
      <c r="B98" s="849" t="s">
        <v>115</v>
      </c>
      <c r="C98" s="846" t="s">
        <v>21</v>
      </c>
      <c r="D98" s="866" t="s">
        <v>15</v>
      </c>
      <c r="E98" s="846">
        <v>400.42</v>
      </c>
      <c r="F98" s="895">
        <f t="shared" si="9"/>
        <v>0</v>
      </c>
    </row>
    <row r="99" spans="1:6">
      <c r="A99" s="8">
        <v>4.5999999999999996</v>
      </c>
      <c r="B99" s="849" t="s">
        <v>116</v>
      </c>
      <c r="C99" s="846" t="s">
        <v>21</v>
      </c>
      <c r="D99" s="866">
        <f>'Cost Sheet Tower'!G35</f>
        <v>51990.327000000012</v>
      </c>
      <c r="E99" s="846">
        <v>452.09</v>
      </c>
      <c r="F99" s="895">
        <f t="shared" si="9"/>
        <v>23504306.933430005</v>
      </c>
    </row>
    <row r="100" spans="1:6">
      <c r="A100" s="8">
        <v>4.7</v>
      </c>
      <c r="B100" s="849" t="s">
        <v>117</v>
      </c>
      <c r="C100" s="846" t="s">
        <v>21</v>
      </c>
      <c r="D100" s="866">
        <f>'Cost Sheet Tower'!G36</f>
        <v>22443.659999999993</v>
      </c>
      <c r="E100" s="846">
        <v>413.34</v>
      </c>
      <c r="F100" s="895">
        <f t="shared" si="9"/>
        <v>9276862.4243999962</v>
      </c>
    </row>
    <row r="101" spans="1:6">
      <c r="A101" s="841"/>
      <c r="B101" s="842" t="s">
        <v>118</v>
      </c>
      <c r="C101" s="843"/>
      <c r="D101" s="844"/>
      <c r="E101" s="843"/>
      <c r="F101" s="894">
        <f>SUM(F90:F100)</f>
        <v>49050009.610830002</v>
      </c>
    </row>
    <row r="102" spans="1:6">
      <c r="A102" s="5"/>
      <c r="B102" s="853"/>
      <c r="C102" s="846"/>
      <c r="D102" s="847"/>
      <c r="E102" s="846"/>
      <c r="F102" s="897"/>
    </row>
    <row r="103" spans="1:6">
      <c r="A103" s="841">
        <v>5</v>
      </c>
      <c r="B103" s="842" t="s">
        <v>119</v>
      </c>
      <c r="C103" s="843"/>
      <c r="D103" s="844"/>
      <c r="E103" s="843"/>
      <c r="F103" s="894"/>
    </row>
    <row r="104" spans="1:6" ht="399.6" customHeight="1">
      <c r="A104" s="8"/>
      <c r="B104" s="849" t="s">
        <v>120</v>
      </c>
      <c r="C104" s="846"/>
      <c r="D104" s="847"/>
      <c r="E104" s="846"/>
      <c r="F104" s="895">
        <f t="shared" ref="F104:F107" si="10">IF(D104="QRO",0,D104*E104)</f>
        <v>0</v>
      </c>
    </row>
    <row r="105" spans="1:6">
      <c r="A105" s="8">
        <v>5.0999999999999996</v>
      </c>
      <c r="B105" s="849" t="s">
        <v>121</v>
      </c>
      <c r="C105" s="846" t="s">
        <v>21</v>
      </c>
      <c r="D105" s="847">
        <f>'Cost Sheet Tower'!G21</f>
        <v>7211.8340000000017</v>
      </c>
      <c r="E105" s="846">
        <v>996</v>
      </c>
      <c r="F105" s="895">
        <f t="shared" si="10"/>
        <v>7182986.6640000017</v>
      </c>
    </row>
    <row r="106" spans="1:6" ht="358.8">
      <c r="A106" s="8"/>
      <c r="B106" s="849" t="s">
        <v>122</v>
      </c>
      <c r="C106" s="846"/>
      <c r="D106" s="847"/>
      <c r="E106" s="846"/>
      <c r="F106" s="895">
        <f t="shared" si="10"/>
        <v>0</v>
      </c>
    </row>
    <row r="107" spans="1:6">
      <c r="A107" s="8">
        <v>5.2</v>
      </c>
      <c r="B107" s="849" t="s">
        <v>123</v>
      </c>
      <c r="C107" s="846" t="str">
        <f>C105</f>
        <v>Sqm</v>
      </c>
      <c r="D107" s="858">
        <f>'Cost Sheet Tower'!G22</f>
        <v>3846.0849999999987</v>
      </c>
      <c r="E107" s="846">
        <v>996</v>
      </c>
      <c r="F107" s="895">
        <f t="shared" si="10"/>
        <v>3830700.6599999988</v>
      </c>
    </row>
    <row r="108" spans="1:6">
      <c r="A108" s="841"/>
      <c r="B108" s="842" t="s">
        <v>124</v>
      </c>
      <c r="C108" s="843"/>
      <c r="D108" s="844"/>
      <c r="E108" s="843"/>
      <c r="F108" s="894">
        <f>SUM(F104:F107)</f>
        <v>11013687.324000001</v>
      </c>
    </row>
    <row r="109" spans="1:6">
      <c r="A109" s="5"/>
      <c r="B109" s="853"/>
      <c r="C109" s="846"/>
      <c r="D109" s="847"/>
      <c r="E109" s="846"/>
      <c r="F109" s="897"/>
    </row>
    <row r="110" spans="1:6">
      <c r="A110" s="841">
        <v>6</v>
      </c>
      <c r="B110" s="842" t="s">
        <v>125</v>
      </c>
      <c r="C110" s="843"/>
      <c r="D110" s="844"/>
      <c r="E110" s="843"/>
      <c r="F110" s="894"/>
    </row>
    <row r="111" spans="1:6">
      <c r="A111" s="5">
        <v>6.1</v>
      </c>
      <c r="B111" s="853" t="s">
        <v>126</v>
      </c>
      <c r="C111" s="846"/>
      <c r="D111" s="847"/>
      <c r="E111" s="846"/>
      <c r="F111" s="897"/>
    </row>
    <row r="112" spans="1:6" ht="406.2" customHeight="1">
      <c r="A112" s="8"/>
      <c r="B112" s="849" t="s">
        <v>127</v>
      </c>
      <c r="C112" s="846"/>
      <c r="D112" s="847"/>
      <c r="E112" s="846"/>
      <c r="F112" s="895">
        <f t="shared" ref="F112:F135" si="11">IF(D112="QRO",0,D112*E112)</f>
        <v>0</v>
      </c>
    </row>
    <row r="113" spans="1:7" ht="142.19999999999999" customHeight="1">
      <c r="A113" s="8"/>
      <c r="B113" s="849" t="s">
        <v>128</v>
      </c>
      <c r="C113" s="846"/>
      <c r="D113" s="847"/>
      <c r="E113" s="846"/>
      <c r="F113" s="895"/>
    </row>
    <row r="114" spans="1:7" ht="14.4" customHeight="1">
      <c r="A114" s="8" t="s">
        <v>129</v>
      </c>
      <c r="B114" s="853" t="s">
        <v>130</v>
      </c>
      <c r="C114" s="846" t="s">
        <v>21</v>
      </c>
      <c r="D114" s="847">
        <f ca="1">Waterproofing!D148</f>
        <v>1083.32</v>
      </c>
      <c r="E114" s="846">
        <v>3849</v>
      </c>
      <c r="F114" s="895">
        <f t="shared" ca="1" si="11"/>
        <v>4169698.6799999997</v>
      </c>
    </row>
    <row r="115" spans="1:7" ht="14.4" customHeight="1">
      <c r="A115" s="8"/>
      <c r="B115" s="853"/>
      <c r="C115" s="846"/>
      <c r="D115" s="847"/>
      <c r="E115" s="846"/>
      <c r="F115" s="895"/>
    </row>
    <row r="116" spans="1:7">
      <c r="A116" s="5">
        <v>6.2</v>
      </c>
      <c r="B116" s="853" t="s">
        <v>131</v>
      </c>
      <c r="C116" s="846"/>
      <c r="D116" s="847"/>
      <c r="E116" s="846"/>
      <c r="F116" s="897">
        <f>IF(D116="QRO",0,D116*E116)</f>
        <v>0</v>
      </c>
    </row>
    <row r="117" spans="1:7" ht="363" customHeight="1">
      <c r="A117" s="8"/>
      <c r="B117" s="849" t="s">
        <v>132</v>
      </c>
      <c r="C117" s="846"/>
      <c r="D117" s="847"/>
      <c r="E117" s="846"/>
      <c r="F117" s="895"/>
    </row>
    <row r="118" spans="1:7" ht="151.80000000000001">
      <c r="A118" s="8"/>
      <c r="B118" s="849" t="s">
        <v>133</v>
      </c>
      <c r="C118" s="846"/>
      <c r="D118" s="847"/>
      <c r="E118" s="846"/>
      <c r="F118" s="895"/>
    </row>
    <row r="119" spans="1:7">
      <c r="A119" s="867" t="s">
        <v>134</v>
      </c>
      <c r="B119" s="868" t="s">
        <v>131</v>
      </c>
      <c r="C119" s="846" t="s">
        <v>21</v>
      </c>
      <c r="D119" s="847">
        <f ca="1">Waterproofing!D149</f>
        <v>1357.88</v>
      </c>
      <c r="E119" s="846">
        <v>2665</v>
      </c>
      <c r="F119" s="895">
        <f t="shared" ca="1" si="11"/>
        <v>3618750.2</v>
      </c>
    </row>
    <row r="120" spans="1:7" ht="151.80000000000001">
      <c r="A120" s="867"/>
      <c r="B120" s="849" t="s">
        <v>135</v>
      </c>
      <c r="C120" s="846"/>
      <c r="D120" s="847"/>
      <c r="E120" s="846"/>
      <c r="F120" s="895"/>
    </row>
    <row r="121" spans="1:7">
      <c r="A121" s="867" t="s">
        <v>136</v>
      </c>
      <c r="B121" s="849" t="s">
        <v>137</v>
      </c>
      <c r="C121" s="846" t="s">
        <v>21</v>
      </c>
      <c r="D121" s="847">
        <f>Waterproofing!D155</f>
        <v>133.07999999999998</v>
      </c>
      <c r="E121" s="846">
        <v>800</v>
      </c>
      <c r="F121" s="895">
        <f t="shared" si="11"/>
        <v>106463.99999999999</v>
      </c>
      <c r="G121" s="835" t="s">
        <v>138</v>
      </c>
    </row>
    <row r="122" spans="1:7">
      <c r="A122" s="867"/>
      <c r="B122" s="849"/>
      <c r="C122" s="846"/>
      <c r="D122" s="847"/>
      <c r="E122" s="846"/>
      <c r="F122" s="895"/>
    </row>
    <row r="123" spans="1:7" ht="27.6">
      <c r="A123" s="5">
        <v>6.3</v>
      </c>
      <c r="B123" s="853" t="s">
        <v>139</v>
      </c>
      <c r="C123" s="846"/>
      <c r="D123" s="847"/>
      <c r="E123" s="846"/>
      <c r="F123" s="897">
        <f t="shared" si="11"/>
        <v>0</v>
      </c>
    </row>
    <row r="124" spans="1:7" ht="179.4">
      <c r="A124" s="869"/>
      <c r="B124" s="849" t="s">
        <v>140</v>
      </c>
      <c r="C124" s="846"/>
      <c r="D124" s="847"/>
      <c r="E124" s="846"/>
      <c r="F124" s="895">
        <f t="shared" si="11"/>
        <v>0</v>
      </c>
    </row>
    <row r="125" spans="1:7" ht="96.6">
      <c r="A125" s="869"/>
      <c r="B125" s="848" t="s">
        <v>141</v>
      </c>
      <c r="C125" s="846"/>
      <c r="D125" s="847"/>
      <c r="E125" s="846"/>
      <c r="F125" s="895">
        <f t="shared" si="11"/>
        <v>0</v>
      </c>
    </row>
    <row r="126" spans="1:7">
      <c r="A126" s="867" t="s">
        <v>142</v>
      </c>
      <c r="B126" s="868" t="s">
        <v>143</v>
      </c>
      <c r="C126" s="846" t="s">
        <v>21</v>
      </c>
      <c r="D126" s="847">
        <f ca="1">Waterproofing!D116+Waterproofing!D117+Waterproofing!D118+Waterproofing!D119+Waterproofing!D120+Waterproofing!D123+Waterproofing!D124+Waterproofing!D125+Waterproofing!D126+Waterproofing!D128+Waterproofing!D129+Waterproofing!D130</f>
        <v>21779.901999999998</v>
      </c>
      <c r="E126" s="852">
        <v>1245</v>
      </c>
      <c r="F126" s="895">
        <f t="shared" ca="1" si="11"/>
        <v>27115977.989999998</v>
      </c>
    </row>
    <row r="127" spans="1:7" ht="82.8">
      <c r="A127" s="867"/>
      <c r="B127" s="893" t="s">
        <v>144</v>
      </c>
      <c r="C127" s="846"/>
      <c r="D127" s="847"/>
      <c r="E127" s="852"/>
      <c r="F127" s="895">
        <f t="shared" si="11"/>
        <v>0</v>
      </c>
    </row>
    <row r="128" spans="1:7">
      <c r="A128" s="867" t="s">
        <v>145</v>
      </c>
      <c r="B128" s="870" t="s">
        <v>146</v>
      </c>
      <c r="C128" s="846" t="s">
        <v>11</v>
      </c>
      <c r="D128" s="847">
        <f>SUM(Waterproofing!D131:D138)</f>
        <v>1361.4570000000001</v>
      </c>
      <c r="E128" s="852">
        <v>9301.6</v>
      </c>
      <c r="F128" s="895">
        <f t="shared" si="11"/>
        <v>12663728.431200001</v>
      </c>
    </row>
    <row r="129" spans="1:64">
      <c r="A129" s="867"/>
      <c r="B129" s="870"/>
      <c r="C129" s="846"/>
      <c r="D129" s="847"/>
      <c r="E129" s="852"/>
      <c r="F129" s="895"/>
    </row>
    <row r="130" spans="1:64">
      <c r="A130" s="5">
        <v>6.4</v>
      </c>
      <c r="B130" s="853" t="s">
        <v>147</v>
      </c>
      <c r="C130" s="846"/>
      <c r="D130" s="847"/>
      <c r="E130" s="846"/>
      <c r="F130" s="897">
        <f t="shared" si="11"/>
        <v>0</v>
      </c>
    </row>
    <row r="131" spans="1:64" ht="179.4">
      <c r="A131" s="846"/>
      <c r="B131" s="849" t="s">
        <v>148</v>
      </c>
      <c r="C131" s="846"/>
      <c r="D131" s="847"/>
      <c r="E131" s="846"/>
      <c r="F131" s="895">
        <f t="shared" si="11"/>
        <v>0</v>
      </c>
    </row>
    <row r="132" spans="1:64">
      <c r="A132" s="867" t="s">
        <v>149</v>
      </c>
      <c r="B132" s="849" t="s">
        <v>147</v>
      </c>
      <c r="C132" s="846" t="s">
        <v>21</v>
      </c>
      <c r="D132" s="847">
        <f ca="1">Waterproofing!D127</f>
        <v>4128.9560000000001</v>
      </c>
      <c r="E132" s="846">
        <v>1125</v>
      </c>
      <c r="F132" s="895">
        <f t="shared" ca="1" si="11"/>
        <v>4645075.5</v>
      </c>
    </row>
    <row r="133" spans="1:64">
      <c r="A133" s="5">
        <v>6.5</v>
      </c>
      <c r="B133" s="853" t="s">
        <v>150</v>
      </c>
      <c r="C133" s="846"/>
      <c r="D133" s="847"/>
      <c r="E133" s="846"/>
      <c r="F133" s="897"/>
    </row>
    <row r="134" spans="1:64" ht="41.4">
      <c r="A134" s="846"/>
      <c r="B134" s="849" t="s">
        <v>151</v>
      </c>
      <c r="C134" s="846"/>
      <c r="D134" s="847"/>
      <c r="E134" s="846"/>
      <c r="F134" s="895">
        <f t="shared" si="11"/>
        <v>0</v>
      </c>
    </row>
    <row r="135" spans="1:64">
      <c r="A135" s="867" t="s">
        <v>152</v>
      </c>
      <c r="B135" s="871" t="s">
        <v>50</v>
      </c>
      <c r="C135" s="846" t="s">
        <v>21</v>
      </c>
      <c r="D135" s="847">
        <f>Waterproofing!I104</f>
        <v>1631.296</v>
      </c>
      <c r="E135" s="846">
        <v>1042</v>
      </c>
      <c r="F135" s="895">
        <f t="shared" si="11"/>
        <v>1699810.432</v>
      </c>
    </row>
    <row r="136" spans="1:64">
      <c r="A136" s="841"/>
      <c r="B136" s="842" t="s">
        <v>153</v>
      </c>
      <c r="C136" s="843"/>
      <c r="D136" s="844"/>
      <c r="E136" s="843"/>
      <c r="F136" s="894">
        <f ca="1">SUM(F111:F135)</f>
        <v>54019505.233199999</v>
      </c>
    </row>
    <row r="137" spans="1:64">
      <c r="A137" s="841"/>
      <c r="B137" s="842" t="s">
        <v>154</v>
      </c>
      <c r="C137" s="843"/>
      <c r="D137" s="844"/>
      <c r="E137" s="843"/>
      <c r="F137" s="894"/>
    </row>
    <row r="138" spans="1:64">
      <c r="A138" s="867">
        <v>7</v>
      </c>
      <c r="B138" s="849" t="s">
        <v>154</v>
      </c>
      <c r="C138" s="846"/>
      <c r="D138" s="847"/>
      <c r="E138" s="846"/>
      <c r="F138" s="895">
        <f t="shared" ref="F138:F149" si="12">IF(D138="QRO",0,D138*E138)</f>
        <v>0</v>
      </c>
      <c r="AQ138" s="835">
        <v>0</v>
      </c>
      <c r="AR138" s="835" t="b">
        <v>1</v>
      </c>
      <c r="AV138" s="835">
        <v>0</v>
      </c>
      <c r="AW138" s="835" t="b">
        <v>1</v>
      </c>
    </row>
    <row r="139" spans="1:64">
      <c r="A139" s="867">
        <v>7.1</v>
      </c>
      <c r="B139" s="849" t="s">
        <v>155</v>
      </c>
      <c r="C139" s="846"/>
      <c r="D139" s="847"/>
      <c r="E139" s="846"/>
      <c r="F139" s="895">
        <f t="shared" si="12"/>
        <v>0</v>
      </c>
      <c r="AQ139" s="835">
        <v>0</v>
      </c>
      <c r="AR139" s="835" t="b">
        <v>1</v>
      </c>
      <c r="AV139" s="835">
        <v>0</v>
      </c>
      <c r="AW139" s="835" t="b">
        <v>1</v>
      </c>
    </row>
    <row r="140" spans="1:64">
      <c r="A140" s="867" t="s">
        <v>89</v>
      </c>
      <c r="B140" s="849" t="s">
        <v>156</v>
      </c>
      <c r="C140" s="846" t="s">
        <v>91</v>
      </c>
      <c r="D140" s="847">
        <f>14+14</f>
        <v>28</v>
      </c>
      <c r="E140" s="846">
        <v>1500</v>
      </c>
      <c r="F140" s="895">
        <f t="shared" si="12"/>
        <v>42000</v>
      </c>
      <c r="AQ140" s="835">
        <v>4900</v>
      </c>
      <c r="AR140" s="835" t="b">
        <v>1</v>
      </c>
      <c r="AV140" s="835">
        <v>4900</v>
      </c>
      <c r="AW140" s="835" t="b">
        <v>1</v>
      </c>
      <c r="AX140" s="835" t="b">
        <v>1</v>
      </c>
      <c r="BL140" s="835">
        <v>5820</v>
      </c>
    </row>
    <row r="141" spans="1:64">
      <c r="A141" s="867" t="s">
        <v>92</v>
      </c>
      <c r="B141" s="849" t="s">
        <v>157</v>
      </c>
      <c r="C141" s="846" t="s">
        <v>91</v>
      </c>
      <c r="D141" s="847">
        <v>12</v>
      </c>
      <c r="E141" s="846">
        <v>2100</v>
      </c>
      <c r="F141" s="895">
        <f t="shared" si="12"/>
        <v>25200</v>
      </c>
      <c r="AQ141" s="835">
        <v>12000</v>
      </c>
      <c r="AR141" s="835" t="b">
        <v>1</v>
      </c>
      <c r="AV141" s="835">
        <v>12000</v>
      </c>
      <c r="AW141" s="835" t="b">
        <v>1</v>
      </c>
      <c r="AX141" s="835" t="b">
        <v>1</v>
      </c>
      <c r="BL141" s="835">
        <v>15640</v>
      </c>
    </row>
    <row r="142" spans="1:64">
      <c r="A142" s="867" t="s">
        <v>94</v>
      </c>
      <c r="B142" s="849" t="s">
        <v>158</v>
      </c>
      <c r="C142" s="846" t="s">
        <v>91</v>
      </c>
      <c r="D142" s="847">
        <f>6+6</f>
        <v>12</v>
      </c>
      <c r="E142" s="846">
        <v>2500</v>
      </c>
      <c r="F142" s="895">
        <f t="shared" si="12"/>
        <v>30000</v>
      </c>
      <c r="AQ142" s="835">
        <v>20748</v>
      </c>
      <c r="AR142" s="835" t="b">
        <v>1</v>
      </c>
      <c r="AV142" s="835">
        <v>20748</v>
      </c>
      <c r="AW142" s="835" t="b">
        <v>1</v>
      </c>
      <c r="AX142" s="835" t="b">
        <v>1</v>
      </c>
      <c r="BL142" s="835">
        <v>30720</v>
      </c>
    </row>
    <row r="143" spans="1:64">
      <c r="A143" s="867" t="s">
        <v>96</v>
      </c>
      <c r="B143" s="849" t="s">
        <v>159</v>
      </c>
      <c r="C143" s="846" t="s">
        <v>91</v>
      </c>
      <c r="D143" s="847">
        <f>7+7</f>
        <v>14</v>
      </c>
      <c r="E143" s="846">
        <v>3000</v>
      </c>
      <c r="F143" s="895">
        <f t="shared" si="12"/>
        <v>42000</v>
      </c>
      <c r="AQ143" s="835">
        <v>37050</v>
      </c>
      <c r="AR143" s="835" t="b">
        <v>1</v>
      </c>
      <c r="AV143" s="835">
        <v>37050</v>
      </c>
      <c r="AW143" s="835" t="b">
        <v>1</v>
      </c>
      <c r="AX143" s="835" t="b">
        <v>1</v>
      </c>
      <c r="BL143" s="835">
        <v>69000</v>
      </c>
    </row>
    <row r="144" spans="1:64">
      <c r="A144" s="867" t="s">
        <v>160</v>
      </c>
      <c r="B144" s="849" t="s">
        <v>161</v>
      </c>
      <c r="C144" s="846" t="s">
        <v>91</v>
      </c>
      <c r="D144" s="847">
        <f>8+2</f>
        <v>10</v>
      </c>
      <c r="E144" s="846">
        <v>3700</v>
      </c>
      <c r="F144" s="895">
        <f t="shared" si="12"/>
        <v>37000</v>
      </c>
      <c r="AQ144" s="835">
        <v>33348</v>
      </c>
      <c r="AR144" s="835" t="b">
        <v>1</v>
      </c>
      <c r="AV144" s="835">
        <v>33348</v>
      </c>
      <c r="AW144" s="835" t="b">
        <v>1</v>
      </c>
      <c r="AX144" s="835" t="b">
        <v>1</v>
      </c>
      <c r="BL144" s="835">
        <v>54300</v>
      </c>
    </row>
    <row r="145" spans="1:64" ht="29.25" customHeight="1">
      <c r="A145" s="867">
        <v>7.2</v>
      </c>
      <c r="B145" s="849" t="s">
        <v>162</v>
      </c>
      <c r="C145" s="846"/>
      <c r="D145" s="847"/>
      <c r="E145" s="846"/>
      <c r="F145" s="895">
        <f t="shared" si="12"/>
        <v>0</v>
      </c>
      <c r="AQ145" s="835" t="e">
        <v>#REF!</v>
      </c>
      <c r="AR145" s="835" t="e">
        <v>#REF!</v>
      </c>
      <c r="AV145" s="835" t="e">
        <v>#REF!</v>
      </c>
      <c r="AW145" s="835" t="e">
        <v>#REF!</v>
      </c>
      <c r="BL145" s="835">
        <v>0</v>
      </c>
    </row>
    <row r="146" spans="1:64">
      <c r="A146" s="867" t="s">
        <v>89</v>
      </c>
      <c r="B146" s="849" t="s">
        <v>163</v>
      </c>
      <c r="C146" s="846" t="s">
        <v>91</v>
      </c>
      <c r="D146" s="847">
        <f>(50*20)+(16*50)+(8*50)</f>
        <v>2200</v>
      </c>
      <c r="E146" s="846">
        <v>166.2</v>
      </c>
      <c r="F146" s="895">
        <f t="shared" si="12"/>
        <v>365640</v>
      </c>
      <c r="AQ146" s="835">
        <v>239020</v>
      </c>
      <c r="AR146" s="835" t="b">
        <v>1</v>
      </c>
      <c r="AV146" s="835">
        <v>239020</v>
      </c>
      <c r="AW146" s="835" t="b">
        <v>1</v>
      </c>
      <c r="BL146" s="835">
        <v>100640</v>
      </c>
    </row>
    <row r="147" spans="1:64">
      <c r="A147" s="867" t="s">
        <v>92</v>
      </c>
      <c r="B147" s="849" t="s">
        <v>164</v>
      </c>
      <c r="C147" s="846" t="s">
        <v>91</v>
      </c>
      <c r="D147" s="847">
        <f>4*50+(4*50)</f>
        <v>400</v>
      </c>
      <c r="E147" s="846">
        <v>180.05</v>
      </c>
      <c r="F147" s="895">
        <f t="shared" si="12"/>
        <v>72020</v>
      </c>
      <c r="AQ147" s="835">
        <v>200906</v>
      </c>
      <c r="AR147" s="835" t="b">
        <v>1</v>
      </c>
      <c r="AV147" s="835">
        <v>200906</v>
      </c>
      <c r="AW147" s="835" t="b">
        <v>1</v>
      </c>
      <c r="BL147" s="835">
        <v>65310</v>
      </c>
    </row>
    <row r="148" spans="1:64">
      <c r="A148" s="867" t="s">
        <v>96</v>
      </c>
      <c r="B148" s="849" t="s">
        <v>165</v>
      </c>
      <c r="C148" s="846" t="s">
        <v>91</v>
      </c>
      <c r="D148" s="847">
        <f>16*50+(50)</f>
        <v>850</v>
      </c>
      <c r="E148" s="846">
        <v>256.23</v>
      </c>
      <c r="F148" s="895">
        <f t="shared" si="12"/>
        <v>217795.50000000003</v>
      </c>
      <c r="AQ148" s="835">
        <v>290700</v>
      </c>
      <c r="AR148" s="835" t="b">
        <v>1</v>
      </c>
      <c r="AV148" s="835">
        <v>290700</v>
      </c>
      <c r="AW148" s="835" t="b">
        <v>1</v>
      </c>
      <c r="BL148" s="835">
        <v>95200</v>
      </c>
    </row>
    <row r="149" spans="1:64">
      <c r="A149" s="867" t="s">
        <v>160</v>
      </c>
      <c r="B149" s="849" t="s">
        <v>166</v>
      </c>
      <c r="C149" s="846" t="s">
        <v>91</v>
      </c>
      <c r="D149" s="847">
        <f>50+(16*50)</f>
        <v>850</v>
      </c>
      <c r="E149" s="846">
        <v>304.7</v>
      </c>
      <c r="F149" s="895">
        <f t="shared" si="12"/>
        <v>258995</v>
      </c>
      <c r="AQ149" s="835">
        <v>355300</v>
      </c>
      <c r="AR149" s="835" t="b">
        <v>1</v>
      </c>
      <c r="AV149" s="835">
        <v>355300</v>
      </c>
      <c r="AW149" s="835" t="b">
        <v>1</v>
      </c>
      <c r="BL149" s="835">
        <v>170000</v>
      </c>
    </row>
    <row r="150" spans="1:64">
      <c r="A150" s="841"/>
      <c r="B150" s="842" t="s">
        <v>167</v>
      </c>
      <c r="C150" s="843"/>
      <c r="D150" s="844"/>
      <c r="E150" s="843"/>
      <c r="F150" s="894">
        <f>SUM(F140:F149)</f>
        <v>1090650.5</v>
      </c>
    </row>
    <row r="151" spans="1:64">
      <c r="A151" s="841"/>
      <c r="B151" s="842" t="s">
        <v>168</v>
      </c>
      <c r="C151" s="843"/>
      <c r="D151" s="844"/>
      <c r="E151" s="843"/>
      <c r="F151" s="894">
        <f ca="1">F136+F108+F101+F87+F79+F18+F150</f>
        <v>885421571.06241488</v>
      </c>
    </row>
    <row r="152" spans="1:64">
      <c r="A152" s="8"/>
      <c r="B152" s="864" t="s">
        <v>169</v>
      </c>
      <c r="C152" s="8"/>
      <c r="D152" s="847"/>
      <c r="E152" s="8"/>
      <c r="F152" s="897">
        <f ca="1">F151*9%</f>
        <v>79687941.395617336</v>
      </c>
    </row>
    <row r="153" spans="1:64">
      <c r="A153" s="8"/>
      <c r="B153" s="864" t="s">
        <v>170</v>
      </c>
      <c r="C153" s="8"/>
      <c r="D153" s="847"/>
      <c r="E153" s="8"/>
      <c r="F153" s="897">
        <f ca="1">F151*9%</f>
        <v>79687941.395617336</v>
      </c>
    </row>
    <row r="154" spans="1:64">
      <c r="A154" s="841"/>
      <c r="B154" s="842" t="s">
        <v>171</v>
      </c>
      <c r="C154" s="843"/>
      <c r="D154" s="844"/>
      <c r="E154" s="843"/>
      <c r="F154" s="894">
        <f ca="1">SUM(F151:F153)</f>
        <v>1044797453.8536496</v>
      </c>
    </row>
  </sheetData>
  <mergeCells count="1">
    <mergeCell ref="A1:F1"/>
  </mergeCells>
  <printOptions horizontalCentered="1"/>
  <pageMargins left="0.51181102362204722" right="0.51181102362204722" top="0.55118110236220474" bottom="0.78740157480314965" header="0.31496062992125984" footer="0.31496062992125984"/>
  <pageSetup paperSize="9" scale="13" fitToHeight="0" orientation="portrait" r:id="rId1"/>
  <headerFooter>
    <oddFooter>&amp;L  TENDER NO-: KURLA-136/ RCC, MASONARY &amp; WATERPROOFING WORK /2023 &amp;RPage &amp;P of &amp;N</oddFooter>
  </headerFooter>
  <rowBreaks count="5" manualBreakCount="5">
    <brk id="14" max="16383" man="1"/>
    <brk id="63" max="5" man="1"/>
    <brk id="73" max="5" man="1"/>
    <brk id="93" max="5" man="1"/>
    <brk id="136"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82453-98D0-4DBF-B2C6-3CB090DE2640}">
  <sheetPr>
    <tabColor rgb="FFFF0000"/>
    <pageSetUpPr fitToPage="1"/>
  </sheetPr>
  <dimension ref="A1:BL168"/>
  <sheetViews>
    <sheetView zoomScale="90" zoomScaleNormal="107" zoomScaleSheetLayoutView="85" workbookViewId="0">
      <pane xSplit="1" ySplit="2" topLeftCell="B5" activePane="bottomRight" state="frozen"/>
      <selection pane="topRight" activeCell="E72" sqref="E72"/>
      <selection pane="bottomLeft" activeCell="E72" sqref="E72"/>
      <selection pane="bottomRight" activeCell="G7" sqref="G7"/>
    </sheetView>
  </sheetViews>
  <sheetFormatPr defaultColWidth="8.88671875" defaultRowHeight="13.8"/>
  <cols>
    <col min="1" max="1" width="7.44140625" style="20" customWidth="1"/>
    <col min="2" max="2" width="91.5546875" style="872" customWidth="1"/>
    <col min="3" max="3" width="8.109375" style="20" customWidth="1"/>
    <col min="4" max="4" width="14.33203125" style="873" bestFit="1" customWidth="1"/>
    <col min="5" max="5" width="13.88671875" style="20" bestFit="1" customWidth="1"/>
    <col min="6" max="6" width="23.5546875" style="874" bestFit="1" customWidth="1"/>
    <col min="7" max="7" width="24.6640625" style="835" customWidth="1"/>
    <col min="8" max="8" width="10.5546875" style="835" bestFit="1" customWidth="1"/>
    <col min="9" max="9" width="12.6640625" style="835" bestFit="1" customWidth="1"/>
    <col min="10" max="42" width="8.88671875" style="835"/>
    <col min="43" max="44" width="9.109375" style="835" bestFit="1" customWidth="1"/>
    <col min="45" max="47" width="8.88671875" style="835"/>
    <col min="48" max="50" width="9.109375" style="835" bestFit="1" customWidth="1"/>
    <col min="51" max="63" width="8.88671875" style="835"/>
    <col min="64" max="64" width="9.109375" style="835" bestFit="1" customWidth="1"/>
    <col min="65" max="16384" width="8.88671875" style="835"/>
  </cols>
  <sheetData>
    <row r="1" spans="1:6">
      <c r="A1" s="1038" t="s">
        <v>0</v>
      </c>
      <c r="B1" s="1038"/>
      <c r="C1" s="1038"/>
      <c r="D1" s="1038"/>
      <c r="E1" s="1038"/>
      <c r="F1" s="1038"/>
    </row>
    <row r="2" spans="1:6">
      <c r="A2" s="836" t="s">
        <v>1</v>
      </c>
      <c r="B2" s="837" t="s">
        <v>2</v>
      </c>
      <c r="C2" s="838" t="s">
        <v>3</v>
      </c>
      <c r="D2" s="839" t="s">
        <v>4</v>
      </c>
      <c r="E2" s="838" t="s">
        <v>5</v>
      </c>
      <c r="F2" s="840" t="s">
        <v>6</v>
      </c>
    </row>
    <row r="3" spans="1:6">
      <c r="A3" s="841">
        <v>1</v>
      </c>
      <c r="B3" s="842" t="s">
        <v>7</v>
      </c>
      <c r="C3" s="843"/>
      <c r="D3" s="844"/>
      <c r="E3" s="843"/>
      <c r="F3" s="894"/>
    </row>
    <row r="4" spans="1:6" ht="185.4" customHeight="1">
      <c r="A4" s="8"/>
      <c r="B4" s="845" t="s">
        <v>8</v>
      </c>
      <c r="C4" s="846"/>
      <c r="D4" s="847"/>
      <c r="E4" s="846"/>
      <c r="F4" s="895">
        <f t="shared" ref="F4" si="0">D4*E4</f>
        <v>0</v>
      </c>
    </row>
    <row r="5" spans="1:6" ht="132" customHeight="1">
      <c r="A5" s="8"/>
      <c r="B5" s="845" t="s">
        <v>9</v>
      </c>
      <c r="C5" s="846"/>
      <c r="D5" s="847"/>
      <c r="E5" s="846"/>
      <c r="F5" s="895">
        <f t="shared" ref="F5:F8" si="1">IF(D5="QRO",0,D5*E5)</f>
        <v>0</v>
      </c>
    </row>
    <row r="6" spans="1:6" ht="17.399999999999999" customHeight="1">
      <c r="A6" s="8">
        <v>1.1000000000000001</v>
      </c>
      <c r="B6" s="848" t="s">
        <v>172</v>
      </c>
      <c r="C6" s="846" t="s">
        <v>11</v>
      </c>
      <c r="D6" s="847">
        <f>D12</f>
        <v>9621.0709999999999</v>
      </c>
      <c r="E6" s="846">
        <v>250</v>
      </c>
      <c r="F6" s="895">
        <f t="shared" si="1"/>
        <v>2405267.75</v>
      </c>
    </row>
    <row r="7" spans="1:6" ht="17.399999999999999" customHeight="1">
      <c r="A7" s="8"/>
      <c r="B7" s="848" t="s">
        <v>173</v>
      </c>
      <c r="C7" s="846" t="s">
        <v>11</v>
      </c>
      <c r="D7" s="847">
        <f>'Excavation Qty for BOQ'!I11-D6</f>
        <v>10379.813050000001</v>
      </c>
      <c r="E7" s="846">
        <v>752.27</v>
      </c>
      <c r="F7" s="895">
        <f t="shared" si="1"/>
        <v>7808421.9631235003</v>
      </c>
    </row>
    <row r="8" spans="1:6" ht="82.8">
      <c r="A8" s="8"/>
      <c r="B8" s="848" t="s">
        <v>12</v>
      </c>
      <c r="C8" s="846"/>
      <c r="D8" s="847"/>
      <c r="E8" s="846"/>
      <c r="F8" s="895">
        <f t="shared" si="1"/>
        <v>0</v>
      </c>
    </row>
    <row r="9" spans="1:6">
      <c r="A9" s="8">
        <v>1.2</v>
      </c>
      <c r="B9" s="848" t="s">
        <v>13</v>
      </c>
      <c r="C9" s="846" t="s">
        <v>11</v>
      </c>
      <c r="D9" s="847">
        <f>'Excavation Qty for BOQ'!I12</f>
        <v>2222.3204499999993</v>
      </c>
      <c r="E9" s="846">
        <v>1069.22</v>
      </c>
      <c r="F9" s="895">
        <f>IF(D9="QRO",0,D9*E9)</f>
        <v>2376149.4715489992</v>
      </c>
    </row>
    <row r="10" spans="1:6">
      <c r="A10" s="8">
        <v>1.3</v>
      </c>
      <c r="B10" s="848" t="s">
        <v>14</v>
      </c>
      <c r="C10" s="846" t="s">
        <v>11</v>
      </c>
      <c r="D10" s="847" t="s">
        <v>15</v>
      </c>
      <c r="E10" s="846">
        <v>2770</v>
      </c>
      <c r="F10" s="895">
        <f t="shared" ref="F10:F18" si="2">IF(D10="QRO",0,D10*E10)</f>
        <v>0</v>
      </c>
    </row>
    <row r="11" spans="1:6" ht="303.60000000000002">
      <c r="A11" s="8"/>
      <c r="B11" s="849" t="s">
        <v>16</v>
      </c>
      <c r="C11" s="846"/>
      <c r="D11" s="847"/>
      <c r="E11" s="846"/>
      <c r="F11" s="895">
        <f t="shared" si="2"/>
        <v>0</v>
      </c>
    </row>
    <row r="12" spans="1:6">
      <c r="A12" s="850">
        <v>1.5</v>
      </c>
      <c r="B12" s="851" t="s">
        <v>17</v>
      </c>
      <c r="C12" s="852" t="s">
        <v>11</v>
      </c>
      <c r="D12" s="847">
        <f>'Excavation Qty for BOQ'!I17</f>
        <v>9621.0709999999999</v>
      </c>
      <c r="E12" s="846">
        <v>166.2</v>
      </c>
      <c r="F12" s="895">
        <f t="shared" si="2"/>
        <v>1599022.0001999999</v>
      </c>
    </row>
    <row r="13" spans="1:6">
      <c r="A13" s="850">
        <v>1.6</v>
      </c>
      <c r="B13" s="851" t="s">
        <v>18</v>
      </c>
      <c r="C13" s="852" t="s">
        <v>11</v>
      </c>
      <c r="D13" s="847" t="s">
        <v>15</v>
      </c>
      <c r="E13" s="846">
        <v>770.06</v>
      </c>
      <c r="F13" s="895">
        <f t="shared" si="2"/>
        <v>0</v>
      </c>
    </row>
    <row r="14" spans="1:6" ht="157.94999999999999" customHeight="1">
      <c r="A14" s="8"/>
      <c r="B14" s="849" t="s">
        <v>19</v>
      </c>
      <c r="C14" s="846"/>
      <c r="D14" s="847"/>
      <c r="E14" s="846"/>
      <c r="F14" s="895">
        <f t="shared" si="2"/>
        <v>0</v>
      </c>
    </row>
    <row r="15" spans="1:6">
      <c r="A15" s="8">
        <v>1.7</v>
      </c>
      <c r="B15" s="849" t="s">
        <v>20</v>
      </c>
      <c r="C15" s="846" t="s">
        <v>21</v>
      </c>
      <c r="D15" s="847">
        <f>Excavation!I14</f>
        <v>2077.2399999999998</v>
      </c>
      <c r="E15" s="846">
        <v>96.95</v>
      </c>
      <c r="F15" s="895">
        <f t="shared" si="2"/>
        <v>201388.41799999998</v>
      </c>
    </row>
    <row r="16" spans="1:6" ht="55.2">
      <c r="A16" s="8">
        <v>1.8</v>
      </c>
      <c r="B16" s="848" t="s">
        <v>22</v>
      </c>
      <c r="C16" s="846" t="s">
        <v>21</v>
      </c>
      <c r="D16" s="847" t="s">
        <v>15</v>
      </c>
      <c r="E16" s="846"/>
      <c r="F16" s="895">
        <f t="shared" si="2"/>
        <v>0</v>
      </c>
    </row>
    <row r="17" spans="1:8" ht="151.80000000000001">
      <c r="A17" s="8"/>
      <c r="B17" s="848" t="s">
        <v>23</v>
      </c>
      <c r="C17" s="846"/>
      <c r="D17" s="847"/>
      <c r="E17" s="846"/>
      <c r="F17" s="895">
        <f t="shared" si="2"/>
        <v>0</v>
      </c>
    </row>
    <row r="18" spans="1:8">
      <c r="A18" s="8">
        <v>1.9</v>
      </c>
      <c r="B18" s="849" t="s">
        <v>24</v>
      </c>
      <c r="C18" s="846" t="s">
        <v>11</v>
      </c>
      <c r="D18" s="847">
        <f ca="1">(D53/0.2)*0.23</f>
        <v>726.08635600000002</v>
      </c>
      <c r="E18" s="846">
        <v>2491.62</v>
      </c>
      <c r="F18" s="895">
        <f t="shared" ca="1" si="2"/>
        <v>1809131.28633672</v>
      </c>
    </row>
    <row r="19" spans="1:8">
      <c r="A19" s="841"/>
      <c r="B19" s="842" t="s">
        <v>25</v>
      </c>
      <c r="C19" s="843"/>
      <c r="D19" s="844"/>
      <c r="E19" s="843"/>
      <c r="F19" s="894">
        <f ca="1">SUM(F4:F18)</f>
        <v>16199380.889209218</v>
      </c>
    </row>
    <row r="20" spans="1:8">
      <c r="A20" s="5"/>
      <c r="B20" s="853"/>
      <c r="C20" s="846"/>
      <c r="D20" s="847"/>
      <c r="E20" s="846"/>
      <c r="F20" s="895">
        <f>IF(D20="QRO",0,D20*E20)</f>
        <v>0</v>
      </c>
    </row>
    <row r="21" spans="1:8">
      <c r="A21" s="841">
        <v>2</v>
      </c>
      <c r="B21" s="842" t="s">
        <v>26</v>
      </c>
      <c r="C21" s="843"/>
      <c r="D21" s="844"/>
      <c r="E21" s="843"/>
      <c r="F21" s="894"/>
    </row>
    <row r="22" spans="1:8">
      <c r="A22" s="854">
        <v>2.1</v>
      </c>
      <c r="B22" s="855" t="s">
        <v>27</v>
      </c>
      <c r="C22" s="846"/>
      <c r="D22" s="847"/>
      <c r="E22" s="846"/>
      <c r="F22" s="895">
        <f t="shared" ref="F22:F76" si="3">IF(D22="QRO",0,D22*E22)</f>
        <v>0</v>
      </c>
    </row>
    <row r="23" spans="1:8" ht="175.5" customHeight="1">
      <c r="A23" s="856"/>
      <c r="B23" s="857" t="s">
        <v>28</v>
      </c>
      <c r="C23" s="846"/>
      <c r="D23" s="858"/>
      <c r="E23" s="846"/>
      <c r="F23" s="896">
        <f t="shared" si="3"/>
        <v>0</v>
      </c>
    </row>
    <row r="24" spans="1:8">
      <c r="A24" s="856"/>
      <c r="B24" s="848" t="s">
        <v>29</v>
      </c>
      <c r="C24" s="846"/>
      <c r="D24" s="858"/>
      <c r="E24" s="846"/>
      <c r="F24" s="896">
        <f t="shared" si="3"/>
        <v>0</v>
      </c>
    </row>
    <row r="25" spans="1:8" ht="41.4">
      <c r="A25" s="856"/>
      <c r="B25" s="848" t="s">
        <v>31</v>
      </c>
      <c r="C25" s="846"/>
      <c r="D25" s="858"/>
      <c r="E25" s="846"/>
      <c r="F25" s="896">
        <f t="shared" si="3"/>
        <v>0</v>
      </c>
    </row>
    <row r="26" spans="1:8">
      <c r="A26" s="856" t="s">
        <v>32</v>
      </c>
      <c r="B26" s="848" t="s">
        <v>174</v>
      </c>
      <c r="C26" s="846" t="s">
        <v>11</v>
      </c>
      <c r="D26" s="858">
        <f ca="1">'Concrete &amp; Steel Summary'!D84</f>
        <v>683.61400000000003</v>
      </c>
      <c r="E26" s="846">
        <v>8939.31</v>
      </c>
      <c r="F26" s="896">
        <f ca="1">IF(D26="QRO",0,D26*E26)</f>
        <v>6111037.4663399998</v>
      </c>
    </row>
    <row r="27" spans="1:8">
      <c r="A27" s="856" t="s">
        <v>34</v>
      </c>
      <c r="B27" s="848" t="s">
        <v>175</v>
      </c>
      <c r="C27" s="846" t="s">
        <v>11</v>
      </c>
      <c r="D27" s="858" t="s">
        <v>15</v>
      </c>
      <c r="E27" s="846">
        <v>10175.44</v>
      </c>
      <c r="F27" s="896">
        <f t="shared" si="3"/>
        <v>0</v>
      </c>
    </row>
    <row r="28" spans="1:8">
      <c r="A28" s="856" t="s">
        <v>36</v>
      </c>
      <c r="B28" s="848" t="s">
        <v>176</v>
      </c>
      <c r="C28" s="846" t="s">
        <v>11</v>
      </c>
      <c r="D28" s="858" t="s">
        <v>15</v>
      </c>
      <c r="E28" s="846">
        <v>8033</v>
      </c>
      <c r="F28" s="896">
        <f t="shared" si="3"/>
        <v>0</v>
      </c>
      <c r="H28" s="883"/>
    </row>
    <row r="29" spans="1:8" ht="69">
      <c r="A29" s="856"/>
      <c r="B29" s="848" t="s">
        <v>38</v>
      </c>
      <c r="C29" s="846"/>
      <c r="D29" s="858"/>
      <c r="E29" s="846"/>
      <c r="F29" s="896">
        <f t="shared" si="3"/>
        <v>0</v>
      </c>
    </row>
    <row r="30" spans="1:8">
      <c r="A30" s="856" t="s">
        <v>39</v>
      </c>
      <c r="B30" s="848" t="s">
        <v>177</v>
      </c>
      <c r="C30" s="846" t="s">
        <v>11</v>
      </c>
      <c r="D30" s="858">
        <f>'Excavation Qty for BOQ'!I20</f>
        <v>108.08320000000002</v>
      </c>
      <c r="E30" s="846">
        <v>7509.02</v>
      </c>
      <c r="F30" s="896">
        <f>IF(D30="QRO",0,D30*E30)</f>
        <v>811598.91046400019</v>
      </c>
    </row>
    <row r="31" spans="1:8" ht="266.39999999999998" customHeight="1">
      <c r="A31" s="856"/>
      <c r="B31" s="848" t="s">
        <v>41</v>
      </c>
      <c r="C31" s="846"/>
      <c r="D31" s="858"/>
      <c r="E31" s="846"/>
      <c r="F31" s="896"/>
    </row>
    <row r="32" spans="1:8">
      <c r="A32" s="856" t="s">
        <v>42</v>
      </c>
      <c r="B32" s="848" t="s">
        <v>178</v>
      </c>
      <c r="C32" s="846" t="s">
        <v>11</v>
      </c>
      <c r="D32" s="858">
        <f ca="1">'Concrete &amp; Steel Summary'!D66</f>
        <v>6165.6049999999996</v>
      </c>
      <c r="E32" s="846">
        <f>11531.51-300</f>
        <v>11231.51</v>
      </c>
      <c r="F32" s="896">
        <f ca="1">IF(D32="QRO",0,D32*E32)</f>
        <v>69249054.213550001</v>
      </c>
    </row>
    <row r="33" spans="1:7">
      <c r="A33" s="856" t="s">
        <v>49</v>
      </c>
      <c r="B33" s="848" t="s">
        <v>179</v>
      </c>
      <c r="C33" s="846" t="s">
        <v>11</v>
      </c>
      <c r="D33" s="858" t="s">
        <v>15</v>
      </c>
      <c r="E33" s="846">
        <v>11531.51</v>
      </c>
      <c r="F33" s="896"/>
      <c r="G33" s="835" t="s">
        <v>180</v>
      </c>
    </row>
    <row r="34" spans="1:7" ht="315" customHeight="1">
      <c r="A34" s="856"/>
      <c r="B34" s="848" t="s">
        <v>44</v>
      </c>
      <c r="C34" s="846"/>
      <c r="D34" s="858"/>
      <c r="E34" s="846"/>
      <c r="F34" s="896"/>
    </row>
    <row r="35" spans="1:7">
      <c r="A35" s="856" t="s">
        <v>42</v>
      </c>
      <c r="B35" s="848" t="s">
        <v>45</v>
      </c>
      <c r="C35" s="846"/>
      <c r="D35" s="858"/>
      <c r="E35" s="846"/>
      <c r="F35" s="896">
        <f t="shared" si="3"/>
        <v>0</v>
      </c>
    </row>
    <row r="36" spans="1:7">
      <c r="A36" s="856"/>
      <c r="B36" s="261" t="s">
        <v>181</v>
      </c>
      <c r="C36" s="846" t="s">
        <v>11</v>
      </c>
      <c r="D36" s="858" t="s">
        <v>15</v>
      </c>
      <c r="E36" s="846"/>
      <c r="F36" s="896">
        <f>IF(D36="QRO",0,D36*E36)</f>
        <v>0</v>
      </c>
    </row>
    <row r="37" spans="1:7">
      <c r="A37" s="856"/>
      <c r="B37" s="261" t="s">
        <v>182</v>
      </c>
      <c r="C37" s="846" t="s">
        <v>11</v>
      </c>
      <c r="D37" s="858" t="s">
        <v>15</v>
      </c>
      <c r="E37" s="846"/>
      <c r="F37" s="896">
        <f>IF(D37="QRO",0,D37*E37)</f>
        <v>0</v>
      </c>
    </row>
    <row r="38" spans="1:7">
      <c r="A38" s="856"/>
      <c r="B38" s="261" t="s">
        <v>183</v>
      </c>
      <c r="C38" s="846" t="s">
        <v>11</v>
      </c>
      <c r="D38" s="858">
        <f ca="1">'Concrete &amp; Steel Summary'!D70</f>
        <v>9560.3720000000012</v>
      </c>
      <c r="E38" s="846">
        <f>11531.51-300</f>
        <v>11231.51</v>
      </c>
      <c r="F38" s="896">
        <f t="shared" ca="1" si="3"/>
        <v>107377413.72172001</v>
      </c>
    </row>
    <row r="39" spans="1:7">
      <c r="A39" s="856"/>
      <c r="B39" s="261" t="s">
        <v>184</v>
      </c>
      <c r="C39" s="846" t="s">
        <v>11</v>
      </c>
      <c r="D39" s="858" t="s">
        <v>15</v>
      </c>
      <c r="E39" s="846">
        <f>11531.51</f>
        <v>11531.51</v>
      </c>
      <c r="F39" s="896"/>
    </row>
    <row r="40" spans="1:7">
      <c r="A40" s="856"/>
      <c r="B40" s="261" t="s">
        <v>185</v>
      </c>
      <c r="C40" s="846" t="s">
        <v>11</v>
      </c>
      <c r="D40" s="858" t="s">
        <v>15</v>
      </c>
      <c r="E40" s="846">
        <f>E41-300</f>
        <v>10404.48</v>
      </c>
      <c r="F40" s="896">
        <f t="shared" si="3"/>
        <v>0</v>
      </c>
    </row>
    <row r="41" spans="1:7">
      <c r="A41" s="856"/>
      <c r="B41" s="261" t="s">
        <v>186</v>
      </c>
      <c r="C41" s="846" t="s">
        <v>11</v>
      </c>
      <c r="D41" s="858" t="s">
        <v>15</v>
      </c>
      <c r="E41" s="846">
        <v>10704.48</v>
      </c>
      <c r="F41" s="896"/>
    </row>
    <row r="42" spans="1:7">
      <c r="A42" s="8" t="s">
        <v>49</v>
      </c>
      <c r="B42" s="261" t="s">
        <v>50</v>
      </c>
      <c r="C42" s="846"/>
      <c r="D42" s="858"/>
      <c r="E42" s="846"/>
      <c r="F42" s="896"/>
    </row>
    <row r="43" spans="1:7">
      <c r="A43" s="8"/>
      <c r="B43" s="261" t="s">
        <v>183</v>
      </c>
      <c r="C43" s="846" t="s">
        <v>11</v>
      </c>
      <c r="D43" s="858">
        <f ca="1">'Concrete &amp; Steel Summary'!D67</f>
        <v>336.45480000000003</v>
      </c>
      <c r="E43" s="846">
        <f>E38</f>
        <v>11231.51</v>
      </c>
      <c r="F43" s="896">
        <f ca="1">IF(D43="QRO",0,D43*E43)</f>
        <v>3778895.4507480003</v>
      </c>
    </row>
    <row r="44" spans="1:7">
      <c r="A44" s="8"/>
      <c r="B44" s="261" t="s">
        <v>184</v>
      </c>
      <c r="C44" s="846" t="s">
        <v>11</v>
      </c>
      <c r="D44" s="858" t="s">
        <v>15</v>
      </c>
      <c r="E44" s="846">
        <f>E43</f>
        <v>11231.51</v>
      </c>
      <c r="F44" s="896"/>
    </row>
    <row r="45" spans="1:7">
      <c r="A45" s="8" t="s">
        <v>51</v>
      </c>
      <c r="B45" s="261" t="s">
        <v>52</v>
      </c>
      <c r="C45" s="846"/>
      <c r="D45" s="858"/>
      <c r="E45" s="846"/>
      <c r="F45" s="896"/>
    </row>
    <row r="46" spans="1:7">
      <c r="A46" s="8"/>
      <c r="B46" s="261" t="s">
        <v>187</v>
      </c>
      <c r="C46" s="846" t="s">
        <v>11</v>
      </c>
      <c r="D46" s="858" t="s">
        <v>15</v>
      </c>
      <c r="E46" s="846">
        <f>E47-300</f>
        <v>9676.8700000000008</v>
      </c>
      <c r="F46" s="896">
        <f t="shared" ref="F46" si="4">IF(D46="QRO",0,D46*E46)</f>
        <v>0</v>
      </c>
    </row>
    <row r="47" spans="1:7">
      <c r="A47" s="8"/>
      <c r="B47" s="261" t="s">
        <v>188</v>
      </c>
      <c r="C47" s="846" t="s">
        <v>11</v>
      </c>
      <c r="D47" s="858" t="s">
        <v>15</v>
      </c>
      <c r="E47" s="846">
        <v>9976.8700000000008</v>
      </c>
      <c r="F47" s="896"/>
    </row>
    <row r="48" spans="1:7">
      <c r="A48" s="8"/>
      <c r="B48" s="261" t="s">
        <v>185</v>
      </c>
      <c r="C48" s="846" t="s">
        <v>11</v>
      </c>
      <c r="D48" s="858" t="s">
        <v>15</v>
      </c>
      <c r="E48" s="846">
        <f>E40</f>
        <v>10404.48</v>
      </c>
      <c r="F48" s="896"/>
    </row>
    <row r="49" spans="1:9">
      <c r="A49" s="8"/>
      <c r="B49" s="261" t="s">
        <v>186</v>
      </c>
      <c r="C49" s="846" t="s">
        <v>11</v>
      </c>
      <c r="D49" s="858" t="s">
        <v>15</v>
      </c>
      <c r="E49" s="846">
        <f>E41</f>
        <v>10704.48</v>
      </c>
      <c r="F49" s="896"/>
    </row>
    <row r="50" spans="1:9">
      <c r="A50" s="8"/>
      <c r="B50" s="261" t="s">
        <v>183</v>
      </c>
      <c r="C50" s="846" t="s">
        <v>11</v>
      </c>
      <c r="D50" s="858">
        <f ca="1">'Concrete &amp; Steel Summary'!D68+'Concrete &amp; Steel Summary'!D74+'Concrete &amp; Steel Summary'!D75+'Concrete &amp; Steel Summary'!D76+'Concrete &amp; Steel Summary'!D77+'Concrete &amp; Steel Summary'!D78</f>
        <v>1001.9177999999999</v>
      </c>
      <c r="E50" s="846">
        <f>E38</f>
        <v>11231.51</v>
      </c>
      <c r="F50" s="896"/>
    </row>
    <row r="51" spans="1:9">
      <c r="A51" s="8"/>
      <c r="B51" s="261" t="s">
        <v>184</v>
      </c>
      <c r="C51" s="846" t="s">
        <v>11</v>
      </c>
      <c r="D51" s="858" t="s">
        <v>15</v>
      </c>
      <c r="E51" s="846">
        <f>E39</f>
        <v>11531.51</v>
      </c>
      <c r="F51" s="896"/>
    </row>
    <row r="52" spans="1:9">
      <c r="A52" s="8" t="s">
        <v>54</v>
      </c>
      <c r="B52" s="849" t="s">
        <v>55</v>
      </c>
      <c r="C52" s="846"/>
      <c r="D52" s="858"/>
      <c r="E52" s="846"/>
      <c r="F52" s="896"/>
    </row>
    <row r="53" spans="1:9">
      <c r="A53" s="8"/>
      <c r="B53" s="849" t="s">
        <v>189</v>
      </c>
      <c r="C53" s="846" t="s">
        <v>11</v>
      </c>
      <c r="D53" s="858">
        <f ca="1">'Concrete &amp; Steel Summary'!D69</f>
        <v>631.37944000000005</v>
      </c>
      <c r="E53" s="846">
        <f>E46</f>
        <v>9676.8700000000008</v>
      </c>
      <c r="F53" s="896">
        <f t="shared" ref="F53:F55" ca="1" si="5">IF(D53="QRO",0,D53*E53)</f>
        <v>6109776.7615528014</v>
      </c>
    </row>
    <row r="54" spans="1:9">
      <c r="A54" s="8"/>
      <c r="B54" s="849" t="s">
        <v>190</v>
      </c>
      <c r="C54" s="846" t="s">
        <v>11</v>
      </c>
      <c r="D54" s="858" t="s">
        <v>15</v>
      </c>
      <c r="E54" s="846">
        <f>E47</f>
        <v>9976.8700000000008</v>
      </c>
      <c r="F54" s="896"/>
    </row>
    <row r="55" spans="1:9">
      <c r="A55" s="8"/>
      <c r="B55" s="849" t="s">
        <v>185</v>
      </c>
      <c r="C55" s="846" t="s">
        <v>11</v>
      </c>
      <c r="D55" s="858">
        <f ca="1">'Concrete &amp; Steel Summary'!D73</f>
        <v>7613.6441249999989</v>
      </c>
      <c r="E55" s="846">
        <f>E48</f>
        <v>10404.48</v>
      </c>
      <c r="F55" s="896">
        <f t="shared" ca="1" si="5"/>
        <v>79216008.025679991</v>
      </c>
    </row>
    <row r="56" spans="1:9">
      <c r="A56" s="8"/>
      <c r="B56" s="849" t="s">
        <v>186</v>
      </c>
      <c r="C56" s="846" t="s">
        <v>11</v>
      </c>
      <c r="D56" s="858" t="s">
        <v>15</v>
      </c>
      <c r="E56" s="846">
        <f>E49</f>
        <v>10704.48</v>
      </c>
      <c r="F56" s="896"/>
    </row>
    <row r="57" spans="1:9">
      <c r="A57" s="8"/>
      <c r="B57" s="849" t="s">
        <v>183</v>
      </c>
      <c r="C57" s="846" t="s">
        <v>11</v>
      </c>
      <c r="D57" s="858" t="s">
        <v>15</v>
      </c>
      <c r="E57" s="846">
        <f>E38</f>
        <v>11231.51</v>
      </c>
      <c r="F57" s="896"/>
    </row>
    <row r="58" spans="1:9">
      <c r="A58" s="8"/>
      <c r="B58" s="849" t="s">
        <v>184</v>
      </c>
      <c r="C58" s="846" t="s">
        <v>11</v>
      </c>
      <c r="D58" s="858" t="s">
        <v>15</v>
      </c>
      <c r="E58" s="846">
        <f>E51</f>
        <v>11531.51</v>
      </c>
      <c r="F58" s="896"/>
    </row>
    <row r="59" spans="1:9">
      <c r="A59" s="8" t="s">
        <v>57</v>
      </c>
      <c r="B59" s="849" t="s">
        <v>58</v>
      </c>
      <c r="C59" s="846"/>
      <c r="D59" s="859"/>
      <c r="E59" s="846"/>
      <c r="F59" s="896"/>
    </row>
    <row r="60" spans="1:9">
      <c r="A60" s="8"/>
      <c r="B60" s="849" t="s">
        <v>187</v>
      </c>
      <c r="C60" s="846" t="s">
        <v>11</v>
      </c>
      <c r="D60" s="859" t="s">
        <v>15</v>
      </c>
      <c r="E60" s="846">
        <f>E46</f>
        <v>9676.8700000000008</v>
      </c>
      <c r="F60" s="896">
        <f t="shared" ref="F60:F71" si="6">IF(D60="QRO",0,D60*E60)</f>
        <v>0</v>
      </c>
    </row>
    <row r="61" spans="1:9">
      <c r="A61" s="8"/>
      <c r="B61" s="849" t="s">
        <v>188</v>
      </c>
      <c r="C61" s="846" t="s">
        <v>11</v>
      </c>
      <c r="D61" s="859" t="s">
        <v>15</v>
      </c>
      <c r="E61" s="846">
        <f>E47</f>
        <v>9976.8700000000008</v>
      </c>
      <c r="F61" s="896"/>
    </row>
    <row r="62" spans="1:9">
      <c r="A62" s="8"/>
      <c r="B62" s="849" t="s">
        <v>185</v>
      </c>
      <c r="C62" s="846" t="s">
        <v>11</v>
      </c>
      <c r="D62" s="859">
        <f ca="1">'Concrete &amp; Steel Summary'!D72</f>
        <v>3946.5936999999994</v>
      </c>
      <c r="E62" s="846">
        <f>E55</f>
        <v>10404.48</v>
      </c>
      <c r="F62" s="896">
        <f t="shared" ca="1" si="6"/>
        <v>41062255.21977599</v>
      </c>
    </row>
    <row r="63" spans="1:9">
      <c r="A63" s="8"/>
      <c r="B63" s="849" t="s">
        <v>186</v>
      </c>
      <c r="C63" s="846" t="s">
        <v>11</v>
      </c>
      <c r="D63" s="859" t="s">
        <v>15</v>
      </c>
      <c r="E63" s="846">
        <f>E56</f>
        <v>10704.48</v>
      </c>
      <c r="F63" s="896"/>
    </row>
    <row r="64" spans="1:9">
      <c r="A64" s="8"/>
      <c r="B64" s="849" t="s">
        <v>183</v>
      </c>
      <c r="C64" s="846" t="s">
        <v>11</v>
      </c>
      <c r="D64" s="859" t="s">
        <v>15</v>
      </c>
      <c r="E64" s="846">
        <f>E57</f>
        <v>11231.51</v>
      </c>
      <c r="F64" s="896">
        <f t="shared" si="6"/>
        <v>0</v>
      </c>
      <c r="I64" s="883"/>
    </row>
    <row r="65" spans="1:9">
      <c r="A65" s="8"/>
      <c r="B65" s="849" t="s">
        <v>184</v>
      </c>
      <c r="C65" s="846" t="s">
        <v>11</v>
      </c>
      <c r="D65" s="859" t="s">
        <v>15</v>
      </c>
      <c r="E65" s="846">
        <f>E58</f>
        <v>11531.51</v>
      </c>
      <c r="F65" s="896"/>
      <c r="I65" s="883"/>
    </row>
    <row r="66" spans="1:9">
      <c r="A66" s="8" t="s">
        <v>59</v>
      </c>
      <c r="B66" s="849" t="s">
        <v>60</v>
      </c>
      <c r="C66" s="846" t="s">
        <v>11</v>
      </c>
      <c r="D66" s="858"/>
      <c r="E66" s="846"/>
      <c r="F66" s="896">
        <f t="shared" si="6"/>
        <v>0</v>
      </c>
      <c r="I66" s="883"/>
    </row>
    <row r="67" spans="1:9">
      <c r="A67" s="8"/>
      <c r="B67" s="849" t="s">
        <v>187</v>
      </c>
      <c r="C67" s="846" t="s">
        <v>11</v>
      </c>
      <c r="D67" s="859" t="s">
        <v>15</v>
      </c>
      <c r="E67" s="846">
        <f>E60</f>
        <v>9676.8700000000008</v>
      </c>
      <c r="F67" s="896">
        <f t="shared" si="6"/>
        <v>0</v>
      </c>
    </row>
    <row r="68" spans="1:9">
      <c r="A68" s="8"/>
      <c r="B68" s="849" t="s">
        <v>188</v>
      </c>
      <c r="C68" s="846" t="s">
        <v>11</v>
      </c>
      <c r="D68" s="859" t="s">
        <v>15</v>
      </c>
      <c r="E68" s="846">
        <f>E61</f>
        <v>9976.8700000000008</v>
      </c>
      <c r="F68" s="896"/>
    </row>
    <row r="69" spans="1:9">
      <c r="A69" s="8"/>
      <c r="B69" s="849" t="s">
        <v>185</v>
      </c>
      <c r="C69" s="846" t="s">
        <v>11</v>
      </c>
      <c r="D69" s="859">
        <f ca="1">'Concrete &amp; Steel Summary'!D71+'Concrete &amp; Steel Summary'!D79</f>
        <v>2118.9888000000001</v>
      </c>
      <c r="E69" s="846">
        <f>E62</f>
        <v>10404.48</v>
      </c>
      <c r="F69" s="896">
        <f t="shared" ca="1" si="6"/>
        <v>22046976.589823999</v>
      </c>
    </row>
    <row r="70" spans="1:9">
      <c r="A70" s="8"/>
      <c r="B70" s="849" t="s">
        <v>186</v>
      </c>
      <c r="C70" s="846" t="s">
        <v>11</v>
      </c>
      <c r="D70" s="859" t="s">
        <v>15</v>
      </c>
      <c r="E70" s="846">
        <f>E63</f>
        <v>10704.48</v>
      </c>
      <c r="F70" s="896"/>
    </row>
    <row r="71" spans="1:9" ht="13.2" customHeight="1">
      <c r="A71" s="8"/>
      <c r="B71" s="849" t="s">
        <v>183</v>
      </c>
      <c r="C71" s="846" t="s">
        <v>11</v>
      </c>
      <c r="D71" s="859" t="s">
        <v>15</v>
      </c>
      <c r="E71" s="846">
        <f>E64</f>
        <v>11231.51</v>
      </c>
      <c r="F71" s="896">
        <f t="shared" si="6"/>
        <v>0</v>
      </c>
    </row>
    <row r="72" spans="1:9" ht="13.2" customHeight="1">
      <c r="A72" s="8"/>
      <c r="B72" s="849" t="s">
        <v>184</v>
      </c>
      <c r="C72" s="846"/>
      <c r="D72" s="859"/>
      <c r="E72" s="846"/>
      <c r="F72" s="896"/>
    </row>
    <row r="73" spans="1:9" ht="225" customHeight="1">
      <c r="A73" s="856">
        <v>2.2000000000000002</v>
      </c>
      <c r="B73" s="860" t="s">
        <v>73</v>
      </c>
      <c r="C73" s="846" t="s">
        <v>21</v>
      </c>
      <c r="D73" s="858">
        <f>Tremix!E7</f>
        <v>8722.5999999999985</v>
      </c>
      <c r="E73" s="846">
        <f>1429.61</f>
        <v>1429.61</v>
      </c>
      <c r="F73" s="896">
        <f t="shared" si="3"/>
        <v>12469916.185999997</v>
      </c>
    </row>
    <row r="74" spans="1:9">
      <c r="A74" s="5">
        <v>2.2999999999999998</v>
      </c>
      <c r="B74" s="853" t="s">
        <v>74</v>
      </c>
      <c r="C74" s="846"/>
      <c r="D74" s="859"/>
      <c r="E74" s="846"/>
      <c r="F74" s="896">
        <f t="shared" si="3"/>
        <v>0</v>
      </c>
    </row>
    <row r="75" spans="1:9" ht="124.2">
      <c r="A75" s="8"/>
      <c r="B75" s="848" t="s">
        <v>75</v>
      </c>
      <c r="C75" s="846"/>
      <c r="D75" s="858"/>
      <c r="E75" s="846"/>
      <c r="F75" s="896">
        <f t="shared" si="3"/>
        <v>0</v>
      </c>
    </row>
    <row r="76" spans="1:9" ht="96.6">
      <c r="A76" s="8"/>
      <c r="B76" s="861" t="s">
        <v>76</v>
      </c>
      <c r="C76" s="846"/>
      <c r="D76" s="858"/>
      <c r="E76" s="846"/>
      <c r="F76" s="896">
        <f t="shared" si="3"/>
        <v>0</v>
      </c>
    </row>
    <row r="77" spans="1:9">
      <c r="A77" s="8" t="s">
        <v>77</v>
      </c>
      <c r="B77" s="849" t="s">
        <v>78</v>
      </c>
      <c r="C77" s="846" t="s">
        <v>21</v>
      </c>
      <c r="D77" s="858">
        <f>'Shuttering Summary'!C4</f>
        <v>119624.04345181159</v>
      </c>
      <c r="E77" s="846">
        <v>705.96</v>
      </c>
      <c r="F77" s="896">
        <f>IF(D77="QRO",0,D77*E77)</f>
        <v>84449789.715240911</v>
      </c>
    </row>
    <row r="78" spans="1:9">
      <c r="A78" s="8" t="s">
        <v>79</v>
      </c>
      <c r="B78" s="849" t="s">
        <v>80</v>
      </c>
      <c r="C78" s="846" t="s">
        <v>21</v>
      </c>
      <c r="D78" s="858" t="s">
        <v>15</v>
      </c>
      <c r="E78" s="846">
        <v>1385</v>
      </c>
      <c r="F78" s="896">
        <f>IF(D78="QRO",0,D78*E78)</f>
        <v>0</v>
      </c>
    </row>
    <row r="79" spans="1:9" ht="246.6" customHeight="1">
      <c r="A79" s="8" t="s">
        <v>81</v>
      </c>
      <c r="B79" s="848" t="s">
        <v>82</v>
      </c>
      <c r="C79" s="8" t="s">
        <v>21</v>
      </c>
      <c r="D79" s="858">
        <f>'Shuttering Summary'!C3</f>
        <v>51310.247407246366</v>
      </c>
      <c r="E79" s="846">
        <v>832.39</v>
      </c>
      <c r="F79" s="896">
        <f>IF(D79="QRO",0,D79*E79)</f>
        <v>42710136.839317799</v>
      </c>
    </row>
    <row r="80" spans="1:9">
      <c r="A80" s="841">
        <v>2.4</v>
      </c>
      <c r="B80" s="842" t="s">
        <v>83</v>
      </c>
      <c r="C80" s="843"/>
      <c r="D80" s="844"/>
      <c r="E80" s="843"/>
      <c r="F80" s="894"/>
    </row>
    <row r="81" spans="1:7" ht="96.6">
      <c r="A81" s="8"/>
      <c r="B81" s="849" t="s">
        <v>84</v>
      </c>
      <c r="C81" s="846"/>
      <c r="D81" s="858"/>
      <c r="E81" s="846"/>
      <c r="F81" s="896">
        <f t="shared" ref="F81:F88" si="7">IF(D81="QRO",0,D81*E81)</f>
        <v>0</v>
      </c>
    </row>
    <row r="82" spans="1:7" ht="110.4">
      <c r="A82" s="8"/>
      <c r="B82" s="849" t="s">
        <v>85</v>
      </c>
      <c r="C82" s="846"/>
      <c r="D82" s="858"/>
      <c r="E82" s="846"/>
      <c r="F82" s="896">
        <f>IF(D82="QRO",0,D82*E82)</f>
        <v>0</v>
      </c>
    </row>
    <row r="83" spans="1:7">
      <c r="A83" s="8" t="s">
        <v>86</v>
      </c>
      <c r="B83" s="849" t="s">
        <v>83</v>
      </c>
      <c r="C83" s="846" t="s">
        <v>87</v>
      </c>
      <c r="D83" s="858">
        <f>'Concrete &amp; Steel Summary'!I60</f>
        <v>4042.0086581</v>
      </c>
      <c r="E83" s="846">
        <v>89912.86</v>
      </c>
      <c r="F83" s="896">
        <f>IF(D83="QRO",0,D83*E83)</f>
        <v>363428558.59453315</v>
      </c>
    </row>
    <row r="84" spans="1:7" ht="110.4">
      <c r="A84" s="862"/>
      <c r="B84" s="849" t="s">
        <v>88</v>
      </c>
      <c r="C84" s="846"/>
      <c r="D84" s="858"/>
      <c r="E84" s="846"/>
      <c r="F84" s="896">
        <f t="shared" si="7"/>
        <v>0</v>
      </c>
    </row>
    <row r="85" spans="1:7">
      <c r="A85" s="863" t="s">
        <v>89</v>
      </c>
      <c r="B85" s="848" t="s">
        <v>90</v>
      </c>
      <c r="C85" s="846" t="s">
        <v>91</v>
      </c>
      <c r="D85" s="858" t="s">
        <v>15</v>
      </c>
      <c r="E85" s="846">
        <v>380.88</v>
      </c>
      <c r="F85" s="896">
        <f t="shared" si="7"/>
        <v>0</v>
      </c>
    </row>
    <row r="86" spans="1:7">
      <c r="A86" s="863" t="s">
        <v>92</v>
      </c>
      <c r="B86" s="848" t="s">
        <v>93</v>
      </c>
      <c r="C86" s="846" t="s">
        <v>91</v>
      </c>
      <c r="D86" s="858" t="s">
        <v>15</v>
      </c>
      <c r="E86" s="846">
        <v>325.48</v>
      </c>
      <c r="F86" s="896">
        <f t="shared" si="7"/>
        <v>0</v>
      </c>
    </row>
    <row r="87" spans="1:7">
      <c r="A87" s="863" t="s">
        <v>94</v>
      </c>
      <c r="B87" s="848" t="s">
        <v>95</v>
      </c>
      <c r="C87" s="846" t="s">
        <v>91</v>
      </c>
      <c r="D87" s="858" t="s">
        <v>15</v>
      </c>
      <c r="E87" s="846">
        <v>242.38</v>
      </c>
      <c r="F87" s="896">
        <f t="shared" si="7"/>
        <v>0</v>
      </c>
    </row>
    <row r="88" spans="1:7">
      <c r="A88" s="863" t="s">
        <v>96</v>
      </c>
      <c r="B88" s="848" t="s">
        <v>97</v>
      </c>
      <c r="C88" s="846" t="s">
        <v>91</v>
      </c>
      <c r="D88" s="858" t="s">
        <v>15</v>
      </c>
      <c r="E88" s="846">
        <v>207.75</v>
      </c>
      <c r="F88" s="896">
        <f t="shared" si="7"/>
        <v>0</v>
      </c>
    </row>
    <row r="89" spans="1:7">
      <c r="A89" s="841"/>
      <c r="B89" s="842" t="s">
        <v>98</v>
      </c>
      <c r="C89" s="843"/>
      <c r="D89" s="844"/>
      <c r="E89" s="843"/>
      <c r="F89" s="894">
        <f ca="1">SUM(F22:F88)</f>
        <v>838821417.69474661</v>
      </c>
      <c r="G89" s="865"/>
    </row>
    <row r="90" spans="1:7">
      <c r="A90" s="5"/>
      <c r="B90" s="853"/>
      <c r="C90" s="846"/>
      <c r="D90" s="847"/>
      <c r="E90" s="846"/>
      <c r="F90" s="897"/>
    </row>
    <row r="91" spans="1:7">
      <c r="A91" s="841">
        <v>3</v>
      </c>
      <c r="B91" s="842" t="s">
        <v>99</v>
      </c>
      <c r="C91" s="843"/>
      <c r="D91" s="844"/>
      <c r="E91" s="843"/>
      <c r="F91" s="894"/>
    </row>
    <row r="92" spans="1:7" ht="358.8">
      <c r="A92" s="8"/>
      <c r="B92" s="849" t="s">
        <v>100</v>
      </c>
      <c r="C92" s="846"/>
      <c r="D92" s="847"/>
      <c r="E92" s="846"/>
      <c r="F92" s="895">
        <f t="shared" ref="F92:F96" si="8">IF(D92="QRO",0,D92*E92)</f>
        <v>0</v>
      </c>
    </row>
    <row r="93" spans="1:7">
      <c r="A93" s="8">
        <v>3.1</v>
      </c>
      <c r="B93" s="849" t="s">
        <v>101</v>
      </c>
      <c r="C93" s="846" t="s">
        <v>21</v>
      </c>
      <c r="D93" s="847" t="s">
        <v>15</v>
      </c>
      <c r="E93" s="846"/>
      <c r="F93" s="895">
        <f t="shared" si="8"/>
        <v>0</v>
      </c>
    </row>
    <row r="94" spans="1:7">
      <c r="A94" s="8">
        <f>A93+0.1</f>
        <v>3.2</v>
      </c>
      <c r="B94" s="849" t="s">
        <v>102</v>
      </c>
      <c r="C94" s="846" t="s">
        <v>21</v>
      </c>
      <c r="D94" s="847" t="s">
        <v>15</v>
      </c>
      <c r="E94" s="846"/>
      <c r="F94" s="895">
        <f t="shared" si="8"/>
        <v>0</v>
      </c>
    </row>
    <row r="95" spans="1:7">
      <c r="A95" s="8">
        <f>A94+0.1</f>
        <v>3.3000000000000003</v>
      </c>
      <c r="B95" s="849" t="s">
        <v>103</v>
      </c>
      <c r="C95" s="846" t="s">
        <v>21</v>
      </c>
      <c r="D95" s="847">
        <f>'Blockwork &amp; Plaster &amp; Painting'!G3</f>
        <v>13162.24</v>
      </c>
      <c r="E95" s="846">
        <v>1685.49</v>
      </c>
      <c r="F95" s="895">
        <f t="shared" si="8"/>
        <v>22184823.897599999</v>
      </c>
    </row>
    <row r="96" spans="1:7">
      <c r="A96" s="8">
        <f>A95+0.1</f>
        <v>3.4000000000000004</v>
      </c>
      <c r="B96" s="849" t="s">
        <v>104</v>
      </c>
      <c r="C96" s="846" t="s">
        <v>21</v>
      </c>
      <c r="D96" s="847">
        <v>200</v>
      </c>
      <c r="E96" s="846"/>
      <c r="F96" s="895">
        <f t="shared" si="8"/>
        <v>0</v>
      </c>
    </row>
    <row r="97" spans="1:6">
      <c r="A97" s="841"/>
      <c r="B97" s="842" t="s">
        <v>105</v>
      </c>
      <c r="C97" s="843"/>
      <c r="D97" s="844"/>
      <c r="E97" s="843"/>
      <c r="F97" s="894">
        <f>SUM(F92:F96)</f>
        <v>22184823.897599999</v>
      </c>
    </row>
    <row r="98" spans="1:6">
      <c r="A98" s="5"/>
      <c r="B98" s="853"/>
      <c r="C98" s="846"/>
      <c r="D98" s="847"/>
      <c r="E98" s="846"/>
      <c r="F98" s="897"/>
    </row>
    <row r="99" spans="1:6">
      <c r="A99" s="841">
        <v>4</v>
      </c>
      <c r="B99" s="842" t="s">
        <v>106</v>
      </c>
      <c r="C99" s="843"/>
      <c r="D99" s="844"/>
      <c r="E99" s="843"/>
      <c r="F99" s="894"/>
    </row>
    <row r="100" spans="1:6" ht="299.39999999999998" customHeight="1">
      <c r="A100" s="8"/>
      <c r="B100" s="849" t="s">
        <v>107</v>
      </c>
      <c r="C100" s="846"/>
      <c r="D100" s="847"/>
      <c r="E100" s="846"/>
      <c r="F100" s="895">
        <f t="shared" ref="F100:F110" si="9">IF(D100="QRO",0,D100*E100)</f>
        <v>0</v>
      </c>
    </row>
    <row r="101" spans="1:6">
      <c r="A101" s="8">
        <v>4.0999999999999996</v>
      </c>
      <c r="B101" s="849" t="s">
        <v>108</v>
      </c>
      <c r="C101" s="846" t="s">
        <v>21</v>
      </c>
      <c r="D101" s="847">
        <f>'Cost Sheet Tower'!G19</f>
        <v>23086.989000000005</v>
      </c>
      <c r="E101" s="846">
        <v>552.62</v>
      </c>
      <c r="F101" s="895">
        <f t="shared" si="9"/>
        <v>12758331.861180004</v>
      </c>
    </row>
    <row r="102" spans="1:6">
      <c r="A102" s="8">
        <f>+A101+0.1</f>
        <v>4.1999999999999993</v>
      </c>
      <c r="B102" s="849" t="s">
        <v>109</v>
      </c>
      <c r="C102" s="846" t="s">
        <v>21</v>
      </c>
      <c r="D102" s="847" t="s">
        <v>15</v>
      </c>
      <c r="E102" s="846">
        <v>513.84</v>
      </c>
      <c r="F102" s="895">
        <f t="shared" si="9"/>
        <v>0</v>
      </c>
    </row>
    <row r="103" spans="1:6" ht="193.95" customHeight="1">
      <c r="A103" s="8"/>
      <c r="B103" s="849" t="s">
        <v>110</v>
      </c>
      <c r="C103" s="846"/>
      <c r="D103" s="847"/>
      <c r="E103" s="846"/>
      <c r="F103" s="895">
        <f t="shared" si="9"/>
        <v>0</v>
      </c>
    </row>
    <row r="104" spans="1:6">
      <c r="A104" s="8">
        <v>4.2</v>
      </c>
      <c r="B104" s="849" t="s">
        <v>111</v>
      </c>
      <c r="C104" s="846" t="s">
        <v>21</v>
      </c>
      <c r="D104" s="847">
        <f>'Cost Sheet Tower'!G17</f>
        <v>5229.2880000000014</v>
      </c>
      <c r="E104" s="846">
        <v>513.84</v>
      </c>
      <c r="F104" s="895">
        <f t="shared" si="9"/>
        <v>2687017.3459200007</v>
      </c>
    </row>
    <row r="105" spans="1:6">
      <c r="A105" s="8">
        <v>4.3</v>
      </c>
      <c r="B105" s="849" t="s">
        <v>112</v>
      </c>
      <c r="C105" s="846" t="s">
        <v>21</v>
      </c>
      <c r="D105" s="847" t="s">
        <v>15</v>
      </c>
      <c r="E105" s="846">
        <v>595.54999999999995</v>
      </c>
      <c r="F105" s="895">
        <f t="shared" si="9"/>
        <v>0</v>
      </c>
    </row>
    <row r="106" spans="1:6">
      <c r="A106" s="8">
        <v>4.4000000000000004</v>
      </c>
      <c r="B106" s="849" t="s">
        <v>113</v>
      </c>
      <c r="C106" s="846" t="s">
        <v>21</v>
      </c>
      <c r="D106" s="847" t="s">
        <v>15</v>
      </c>
      <c r="E106" s="846">
        <v>567.85</v>
      </c>
      <c r="F106" s="895">
        <f t="shared" si="9"/>
        <v>0</v>
      </c>
    </row>
    <row r="107" spans="1:6" ht="151.80000000000001">
      <c r="A107" s="8"/>
      <c r="B107" s="849" t="s">
        <v>114</v>
      </c>
      <c r="C107" s="846"/>
      <c r="D107" s="847"/>
      <c r="E107" s="846"/>
      <c r="F107" s="895">
        <f t="shared" si="9"/>
        <v>0</v>
      </c>
    </row>
    <row r="108" spans="1:6" ht="27.6">
      <c r="A108" s="8">
        <v>4.5</v>
      </c>
      <c r="B108" s="849" t="s">
        <v>115</v>
      </c>
      <c r="C108" s="846" t="s">
        <v>21</v>
      </c>
      <c r="D108" s="866" t="s">
        <v>15</v>
      </c>
      <c r="E108" s="846">
        <v>347.64</v>
      </c>
      <c r="F108" s="895">
        <f t="shared" si="9"/>
        <v>0</v>
      </c>
    </row>
    <row r="109" spans="1:6">
      <c r="A109" s="8">
        <v>4.5999999999999996</v>
      </c>
      <c r="B109" s="849" t="s">
        <v>116</v>
      </c>
      <c r="C109" s="846" t="s">
        <v>21</v>
      </c>
      <c r="D109" s="866">
        <f>'Cost Sheet Tower'!G35*1.15</f>
        <v>59788.876050000006</v>
      </c>
      <c r="E109" s="846">
        <v>415.5</v>
      </c>
      <c r="F109" s="895">
        <f t="shared" si="9"/>
        <v>24842277.998775002</v>
      </c>
    </row>
    <row r="110" spans="1:6">
      <c r="A110" s="8">
        <v>4.7</v>
      </c>
      <c r="B110" s="849" t="s">
        <v>117</v>
      </c>
      <c r="C110" s="846" t="s">
        <v>21</v>
      </c>
      <c r="D110" s="866">
        <f>'Cost Sheet Tower'!G36*1.15</f>
        <v>25810.208999999988</v>
      </c>
      <c r="E110" s="846">
        <v>347.64</v>
      </c>
      <c r="F110" s="895">
        <f t="shared" si="9"/>
        <v>8972661.0567599963</v>
      </c>
    </row>
    <row r="111" spans="1:6">
      <c r="A111" s="841"/>
      <c r="B111" s="842" t="s">
        <v>118</v>
      </c>
      <c r="C111" s="843"/>
      <c r="D111" s="844"/>
      <c r="E111" s="843"/>
      <c r="F111" s="894">
        <f>SUM(F100:F110)</f>
        <v>49260288.262635008</v>
      </c>
    </row>
    <row r="112" spans="1:6">
      <c r="A112" s="5"/>
      <c r="B112" s="853"/>
      <c r="C112" s="846"/>
      <c r="D112" s="847"/>
      <c r="E112" s="846"/>
      <c r="F112" s="897"/>
    </row>
    <row r="113" spans="1:6">
      <c r="A113" s="841">
        <v>5</v>
      </c>
      <c r="B113" s="842" t="s">
        <v>119</v>
      </c>
      <c r="C113" s="843"/>
      <c r="D113" s="844"/>
      <c r="E113" s="843"/>
      <c r="F113" s="894"/>
    </row>
    <row r="114" spans="1:6" ht="399.6" customHeight="1">
      <c r="A114" s="8"/>
      <c r="B114" s="849" t="s">
        <v>120</v>
      </c>
      <c r="C114" s="846"/>
      <c r="D114" s="847"/>
      <c r="E114" s="846"/>
      <c r="F114" s="895">
        <f t="shared" ref="F114:F117" si="10">IF(D114="QRO",0,D114*E114)</f>
        <v>0</v>
      </c>
    </row>
    <row r="115" spans="1:6">
      <c r="A115" s="8">
        <v>5.0999999999999996</v>
      </c>
      <c r="B115" s="849" t="s">
        <v>121</v>
      </c>
      <c r="C115" s="846" t="s">
        <v>21</v>
      </c>
      <c r="D115" s="847">
        <f>'Cost Sheet Tower'!G21</f>
        <v>7211.8340000000017</v>
      </c>
      <c r="E115" s="846">
        <v>963.96</v>
      </c>
      <c r="F115" s="895">
        <f t="shared" si="10"/>
        <v>6951919.5026400015</v>
      </c>
    </row>
    <row r="116" spans="1:6" ht="358.8">
      <c r="A116" s="8"/>
      <c r="B116" s="849" t="s">
        <v>122</v>
      </c>
      <c r="C116" s="846"/>
      <c r="D116" s="847"/>
      <c r="E116" s="846"/>
      <c r="F116" s="895">
        <f t="shared" si="10"/>
        <v>0</v>
      </c>
    </row>
    <row r="117" spans="1:6">
      <c r="A117" s="8">
        <v>5.2</v>
      </c>
      <c r="B117" s="849" t="s">
        <v>123</v>
      </c>
      <c r="C117" s="846" t="str">
        <f>C115</f>
        <v>Sqm</v>
      </c>
      <c r="D117" s="858">
        <f>'Cost Sheet Tower'!G22</f>
        <v>3846.0849999999987</v>
      </c>
      <c r="E117" s="846">
        <v>963.96</v>
      </c>
      <c r="F117" s="895">
        <f t="shared" si="10"/>
        <v>3707472.0965999989</v>
      </c>
    </row>
    <row r="118" spans="1:6">
      <c r="A118" s="841"/>
      <c r="B118" s="842" t="s">
        <v>124</v>
      </c>
      <c r="C118" s="843"/>
      <c r="D118" s="844"/>
      <c r="E118" s="843"/>
      <c r="F118" s="894">
        <f>SUM(F114:F117)</f>
        <v>10659391.599240001</v>
      </c>
    </row>
    <row r="119" spans="1:6">
      <c r="A119" s="5"/>
      <c r="B119" s="853"/>
      <c r="C119" s="846"/>
      <c r="D119" s="847"/>
      <c r="E119" s="846"/>
      <c r="F119" s="897"/>
    </row>
    <row r="120" spans="1:6">
      <c r="A120" s="841">
        <v>6</v>
      </c>
      <c r="B120" s="842" t="s">
        <v>125</v>
      </c>
      <c r="C120" s="843"/>
      <c r="D120" s="844"/>
      <c r="E120" s="843"/>
      <c r="F120" s="894"/>
    </row>
    <row r="121" spans="1:6">
      <c r="A121" s="5">
        <v>6.1</v>
      </c>
      <c r="B121" s="853" t="s">
        <v>126</v>
      </c>
      <c r="C121" s="846"/>
      <c r="D121" s="847"/>
      <c r="E121" s="846"/>
      <c r="F121" s="897"/>
    </row>
    <row r="122" spans="1:6" ht="406.2" customHeight="1">
      <c r="A122" s="8"/>
      <c r="B122" s="849" t="s">
        <v>127</v>
      </c>
      <c r="C122" s="846"/>
      <c r="D122" s="847"/>
      <c r="E122" s="846"/>
      <c r="F122" s="895">
        <f t="shared" ref="F122:F149" si="11">IF(D122="QRO",0,D122*E122)</f>
        <v>0</v>
      </c>
    </row>
    <row r="123" spans="1:6" ht="142.19999999999999" customHeight="1">
      <c r="A123" s="8"/>
      <c r="B123" s="849" t="s">
        <v>128</v>
      </c>
      <c r="C123" s="846"/>
      <c r="D123" s="847"/>
      <c r="E123" s="846"/>
      <c r="F123" s="895"/>
    </row>
    <row r="124" spans="1:6" ht="14.4" customHeight="1">
      <c r="A124" s="8" t="s">
        <v>129</v>
      </c>
      <c r="B124" s="853" t="s">
        <v>130</v>
      </c>
      <c r="C124" s="846" t="s">
        <v>21</v>
      </c>
      <c r="D124" s="847">
        <f ca="1">Waterproofing!D148</f>
        <v>1083.32</v>
      </c>
      <c r="E124" s="846">
        <v>2245.33</v>
      </c>
      <c r="F124" s="895">
        <f t="shared" ca="1" si="11"/>
        <v>2432410.8955999999</v>
      </c>
    </row>
    <row r="125" spans="1:6" ht="14.4" customHeight="1">
      <c r="A125" s="8"/>
      <c r="B125" s="853"/>
      <c r="C125" s="846"/>
      <c r="D125" s="847"/>
      <c r="E125" s="846"/>
      <c r="F125" s="895"/>
    </row>
    <row r="126" spans="1:6">
      <c r="A126" s="5">
        <v>6.2</v>
      </c>
      <c r="B126" s="853" t="s">
        <v>131</v>
      </c>
      <c r="C126" s="846"/>
      <c r="D126" s="847"/>
      <c r="E126" s="846"/>
      <c r="F126" s="897">
        <f>IF(D126="QRO",0,D126*E126)</f>
        <v>0</v>
      </c>
    </row>
    <row r="127" spans="1:6" ht="363" customHeight="1">
      <c r="A127" s="8"/>
      <c r="B127" s="849" t="s">
        <v>132</v>
      </c>
      <c r="C127" s="846"/>
      <c r="D127" s="847"/>
      <c r="E127" s="846"/>
      <c r="F127" s="895"/>
    </row>
    <row r="128" spans="1:6" ht="151.80000000000001">
      <c r="A128" s="8"/>
      <c r="B128" s="849" t="s">
        <v>133</v>
      </c>
      <c r="C128" s="846"/>
      <c r="D128" s="847"/>
      <c r="E128" s="846"/>
      <c r="F128" s="895"/>
    </row>
    <row r="129" spans="1:6">
      <c r="A129" s="867" t="s">
        <v>134</v>
      </c>
      <c r="B129" s="868" t="s">
        <v>131</v>
      </c>
      <c r="C129" s="846" t="s">
        <v>21</v>
      </c>
      <c r="D129" s="847">
        <f ca="1">Waterproofing!D149</f>
        <v>1357.88</v>
      </c>
      <c r="E129" s="846">
        <v>2216</v>
      </c>
      <c r="F129" s="895">
        <f t="shared" ca="1" si="11"/>
        <v>3009062.08</v>
      </c>
    </row>
    <row r="130" spans="1:6" ht="151.80000000000001">
      <c r="A130" s="867"/>
      <c r="B130" s="849" t="s">
        <v>135</v>
      </c>
      <c r="C130" s="846"/>
      <c r="D130" s="847"/>
      <c r="E130" s="846"/>
      <c r="F130" s="895"/>
    </row>
    <row r="131" spans="1:6">
      <c r="A131" s="867" t="s">
        <v>136</v>
      </c>
      <c r="B131" s="849" t="s">
        <v>137</v>
      </c>
      <c r="C131" s="846" t="s">
        <v>21</v>
      </c>
      <c r="D131" s="847">
        <f>Waterproofing!D155</f>
        <v>133.07999999999998</v>
      </c>
      <c r="E131" s="846">
        <v>800</v>
      </c>
      <c r="F131" s="895">
        <f t="shared" si="11"/>
        <v>106463.99999999999</v>
      </c>
    </row>
    <row r="132" spans="1:6">
      <c r="A132" s="867"/>
      <c r="B132" s="849"/>
      <c r="C132" s="846"/>
      <c r="D132" s="847"/>
      <c r="E132" s="846"/>
      <c r="F132" s="895"/>
    </row>
    <row r="133" spans="1:6" ht="27.6">
      <c r="A133" s="5">
        <v>6.3</v>
      </c>
      <c r="B133" s="853" t="s">
        <v>139</v>
      </c>
      <c r="C133" s="846"/>
      <c r="D133" s="847"/>
      <c r="E133" s="846"/>
      <c r="F133" s="897">
        <f t="shared" si="11"/>
        <v>0</v>
      </c>
    </row>
    <row r="134" spans="1:6" ht="179.4">
      <c r="A134" s="869"/>
      <c r="B134" s="849" t="s">
        <v>140</v>
      </c>
      <c r="C134" s="846"/>
      <c r="D134" s="847"/>
      <c r="E134" s="846"/>
      <c r="F134" s="895">
        <f t="shared" si="11"/>
        <v>0</v>
      </c>
    </row>
    <row r="135" spans="1:6" ht="96.6">
      <c r="A135" s="869"/>
      <c r="B135" s="848" t="s">
        <v>141</v>
      </c>
      <c r="C135" s="846"/>
      <c r="D135" s="847"/>
      <c r="E135" s="846"/>
      <c r="F135" s="895">
        <f t="shared" si="11"/>
        <v>0</v>
      </c>
    </row>
    <row r="136" spans="1:6">
      <c r="A136" s="867" t="s">
        <v>142</v>
      </c>
      <c r="B136" s="868" t="s">
        <v>143</v>
      </c>
      <c r="C136" s="846" t="s">
        <v>21</v>
      </c>
      <c r="D136" s="847">
        <f ca="1">Waterproofing!D116+Waterproofing!D117+Waterproofing!D118+Waterproofing!D119+Waterproofing!D120+Waterproofing!D123+Waterproofing!D124+Waterproofing!D126+Waterproofing!D128+Waterproofing!D129+Waterproofing!D130</f>
        <v>19051.151999999998</v>
      </c>
      <c r="E136" s="852">
        <v>900.25</v>
      </c>
      <c r="F136" s="895">
        <f t="shared" ca="1" si="11"/>
        <v>17150799.588</v>
      </c>
    </row>
    <row r="137" spans="1:6" ht="82.8">
      <c r="A137" s="867"/>
      <c r="B137" s="893" t="s">
        <v>144</v>
      </c>
      <c r="C137" s="846"/>
      <c r="D137" s="847"/>
      <c r="E137" s="852"/>
      <c r="F137" s="895">
        <f t="shared" si="11"/>
        <v>0</v>
      </c>
    </row>
    <row r="138" spans="1:6">
      <c r="A138" s="867" t="s">
        <v>145</v>
      </c>
      <c r="B138" s="870" t="s">
        <v>146</v>
      </c>
      <c r="C138" s="846" t="s">
        <v>11</v>
      </c>
      <c r="D138" s="847">
        <f>SUM(Waterproofing!D131:D138)</f>
        <v>1361.4570000000001</v>
      </c>
      <c r="E138" s="852">
        <v>9002.5</v>
      </c>
      <c r="F138" s="895">
        <f t="shared" si="11"/>
        <v>12256516.6425</v>
      </c>
    </row>
    <row r="139" spans="1:6">
      <c r="A139" s="867"/>
      <c r="B139" s="870"/>
      <c r="C139" s="846"/>
      <c r="D139" s="847"/>
      <c r="E139" s="852"/>
      <c r="F139" s="895"/>
    </row>
    <row r="140" spans="1:6">
      <c r="A140" s="5">
        <v>6.4</v>
      </c>
      <c r="B140" s="853" t="s">
        <v>191</v>
      </c>
      <c r="C140" s="846"/>
      <c r="D140" s="847"/>
      <c r="E140" s="846"/>
      <c r="F140" s="897"/>
    </row>
    <row r="141" spans="1:6" ht="179.4">
      <c r="A141" s="867"/>
      <c r="B141" s="893" t="s">
        <v>140</v>
      </c>
      <c r="C141" s="846"/>
      <c r="D141" s="847"/>
      <c r="E141" s="852"/>
      <c r="F141" s="895"/>
    </row>
    <row r="142" spans="1:6" ht="110.4">
      <c r="A142" s="867"/>
      <c r="B142" s="893" t="s">
        <v>192</v>
      </c>
      <c r="C142" s="846"/>
      <c r="D142" s="847"/>
      <c r="E142" s="852"/>
      <c r="F142" s="895"/>
    </row>
    <row r="143" spans="1:6">
      <c r="A143" s="867" t="s">
        <v>149</v>
      </c>
      <c r="B143" s="870" t="s">
        <v>193</v>
      </c>
      <c r="C143" s="846" t="s">
        <v>21</v>
      </c>
      <c r="D143" s="847">
        <f ca="1">Waterproofing!D125</f>
        <v>2728.7499999999995</v>
      </c>
      <c r="E143" s="852"/>
      <c r="F143" s="895"/>
    </row>
    <row r="144" spans="1:6">
      <c r="A144" s="5">
        <v>6.5</v>
      </c>
      <c r="B144" s="853" t="s">
        <v>147</v>
      </c>
      <c r="C144" s="846"/>
      <c r="D144" s="847"/>
      <c r="E144" s="846"/>
      <c r="F144" s="897"/>
    </row>
    <row r="145" spans="1:64" ht="179.4">
      <c r="A145" s="846"/>
      <c r="B145" s="849" t="s">
        <v>148</v>
      </c>
      <c r="C145" s="846"/>
      <c r="D145" s="847"/>
      <c r="E145" s="846"/>
      <c r="F145" s="895"/>
    </row>
    <row r="146" spans="1:64">
      <c r="A146" s="867" t="s">
        <v>152</v>
      </c>
      <c r="B146" s="849" t="s">
        <v>194</v>
      </c>
      <c r="C146" s="846" t="s">
        <v>21</v>
      </c>
      <c r="D146" s="847">
        <f ca="1">Waterproofing!D127</f>
        <v>4128.9560000000001</v>
      </c>
      <c r="E146" s="846">
        <v>1177.25</v>
      </c>
      <c r="F146" s="895">
        <f t="shared" ca="1" si="11"/>
        <v>4860813.4510000004</v>
      </c>
    </row>
    <row r="147" spans="1:64">
      <c r="A147" s="5">
        <v>6.6</v>
      </c>
      <c r="B147" s="853" t="s">
        <v>150</v>
      </c>
      <c r="C147" s="846"/>
      <c r="D147" s="847"/>
      <c r="E147" s="846"/>
      <c r="F147" s="897"/>
    </row>
    <row r="148" spans="1:64" ht="41.4">
      <c r="A148" s="846"/>
      <c r="B148" s="849" t="s">
        <v>151</v>
      </c>
      <c r="C148" s="846"/>
      <c r="D148" s="847"/>
      <c r="E148" s="846"/>
      <c r="F148" s="895"/>
    </row>
    <row r="149" spans="1:64">
      <c r="A149" s="867" t="s">
        <v>195</v>
      </c>
      <c r="B149" s="871" t="s">
        <v>50</v>
      </c>
      <c r="C149" s="846" t="s">
        <v>21</v>
      </c>
      <c r="D149" s="847">
        <f>Waterproofing!I105</f>
        <v>2051.7159999999999</v>
      </c>
      <c r="E149" s="846">
        <v>623.25</v>
      </c>
      <c r="F149" s="895">
        <f t="shared" si="11"/>
        <v>1278731.997</v>
      </c>
    </row>
    <row r="150" spans="1:64">
      <c r="A150" s="841"/>
      <c r="B150" s="842" t="s">
        <v>153</v>
      </c>
      <c r="C150" s="843"/>
      <c r="D150" s="844"/>
      <c r="E150" s="843"/>
      <c r="F150" s="894">
        <f ca="1">SUM(F121:F149)</f>
        <v>41094798.654100001</v>
      </c>
    </row>
    <row r="151" spans="1:64">
      <c r="A151" s="841"/>
      <c r="B151" s="842" t="s">
        <v>154</v>
      </c>
      <c r="C151" s="843"/>
      <c r="D151" s="844"/>
      <c r="E151" s="843"/>
      <c r="F151" s="894"/>
    </row>
    <row r="152" spans="1:64">
      <c r="A152" s="867">
        <v>7</v>
      </c>
      <c r="B152" s="849" t="s">
        <v>154</v>
      </c>
      <c r="C152" s="846"/>
      <c r="D152" s="847"/>
      <c r="E152" s="846"/>
      <c r="F152" s="895"/>
      <c r="AQ152" s="835">
        <v>0</v>
      </c>
      <c r="AR152" s="835" t="b">
        <v>1</v>
      </c>
      <c r="AV152" s="835">
        <v>0</v>
      </c>
      <c r="AW152" s="835" t="b">
        <v>1</v>
      </c>
    </row>
    <row r="153" spans="1:64">
      <c r="A153" s="867">
        <v>7.1</v>
      </c>
      <c r="B153" s="849" t="s">
        <v>155</v>
      </c>
      <c r="C153" s="846"/>
      <c r="D153" s="847"/>
      <c r="E153" s="846"/>
      <c r="F153" s="895"/>
      <c r="AQ153" s="835">
        <v>0</v>
      </c>
      <c r="AR153" s="835" t="b">
        <v>1</v>
      </c>
      <c r="AV153" s="835">
        <v>0</v>
      </c>
      <c r="AW153" s="835" t="b">
        <v>1</v>
      </c>
    </row>
    <row r="154" spans="1:64">
      <c r="A154" s="867" t="s">
        <v>89</v>
      </c>
      <c r="B154" s="849" t="s">
        <v>156</v>
      </c>
      <c r="C154" s="846" t="s">
        <v>91</v>
      </c>
      <c r="D154" s="847">
        <f>14+14</f>
        <v>28</v>
      </c>
      <c r="E154" s="846">
        <v>1523.5</v>
      </c>
      <c r="F154" s="895">
        <f t="shared" ref="F154:F163" si="12">IF(D154="QRO",0,D154*E154)</f>
        <v>42658</v>
      </c>
      <c r="AQ154" s="835">
        <v>4900</v>
      </c>
      <c r="AR154" s="835" t="b">
        <v>1</v>
      </c>
      <c r="AV154" s="835">
        <v>4900</v>
      </c>
      <c r="AW154" s="835" t="b">
        <v>1</v>
      </c>
      <c r="AX154" s="835" t="b">
        <v>1</v>
      </c>
      <c r="BL154" s="835">
        <v>5820</v>
      </c>
    </row>
    <row r="155" spans="1:64">
      <c r="A155" s="867" t="s">
        <v>92</v>
      </c>
      <c r="B155" s="849" t="s">
        <v>157</v>
      </c>
      <c r="C155" s="846" t="s">
        <v>91</v>
      </c>
      <c r="D155" s="847">
        <v>12</v>
      </c>
      <c r="E155" s="846">
        <v>1662</v>
      </c>
      <c r="F155" s="895">
        <f t="shared" si="12"/>
        <v>19944</v>
      </c>
      <c r="AQ155" s="835">
        <v>12000</v>
      </c>
      <c r="AR155" s="835" t="b">
        <v>1</v>
      </c>
      <c r="AV155" s="835">
        <v>12000</v>
      </c>
      <c r="AW155" s="835" t="b">
        <v>1</v>
      </c>
      <c r="AX155" s="835" t="b">
        <v>1</v>
      </c>
      <c r="BL155" s="835">
        <v>15640</v>
      </c>
    </row>
    <row r="156" spans="1:64">
      <c r="A156" s="867" t="s">
        <v>94</v>
      </c>
      <c r="B156" s="849" t="s">
        <v>158</v>
      </c>
      <c r="C156" s="846" t="s">
        <v>91</v>
      </c>
      <c r="D156" s="847">
        <f>6+6</f>
        <v>12</v>
      </c>
      <c r="E156" s="846">
        <v>2216</v>
      </c>
      <c r="F156" s="895">
        <f t="shared" si="12"/>
        <v>26592</v>
      </c>
      <c r="AQ156" s="835">
        <v>20748</v>
      </c>
      <c r="AR156" s="835" t="b">
        <v>1</v>
      </c>
      <c r="AV156" s="835">
        <v>20748</v>
      </c>
      <c r="AW156" s="835" t="b">
        <v>1</v>
      </c>
      <c r="AX156" s="835" t="b">
        <v>1</v>
      </c>
      <c r="BL156" s="835">
        <v>30720</v>
      </c>
    </row>
    <row r="157" spans="1:64">
      <c r="A157" s="867" t="s">
        <v>96</v>
      </c>
      <c r="B157" s="849" t="s">
        <v>159</v>
      </c>
      <c r="C157" s="846" t="s">
        <v>91</v>
      </c>
      <c r="D157" s="847">
        <f>7+7</f>
        <v>14</v>
      </c>
      <c r="E157" s="846">
        <v>2908.5</v>
      </c>
      <c r="F157" s="895">
        <f t="shared" si="12"/>
        <v>40719</v>
      </c>
      <c r="AQ157" s="835">
        <v>37050</v>
      </c>
      <c r="AR157" s="835" t="b">
        <v>1</v>
      </c>
      <c r="AV157" s="835">
        <v>37050</v>
      </c>
      <c r="AW157" s="835" t="b">
        <v>1</v>
      </c>
      <c r="AX157" s="835" t="b">
        <v>1</v>
      </c>
      <c r="BL157" s="835">
        <v>69000</v>
      </c>
    </row>
    <row r="158" spans="1:64">
      <c r="A158" s="867" t="s">
        <v>160</v>
      </c>
      <c r="B158" s="849" t="s">
        <v>161</v>
      </c>
      <c r="C158" s="846" t="s">
        <v>91</v>
      </c>
      <c r="D158" s="847">
        <f>8+2</f>
        <v>10</v>
      </c>
      <c r="E158" s="846">
        <v>3878</v>
      </c>
      <c r="F158" s="895">
        <f t="shared" si="12"/>
        <v>38780</v>
      </c>
      <c r="AQ158" s="835">
        <v>33348</v>
      </c>
      <c r="AR158" s="835" t="b">
        <v>1</v>
      </c>
      <c r="AV158" s="835">
        <v>33348</v>
      </c>
      <c r="AW158" s="835" t="b">
        <v>1</v>
      </c>
      <c r="AX158" s="835" t="b">
        <v>1</v>
      </c>
      <c r="BL158" s="835">
        <v>54300</v>
      </c>
    </row>
    <row r="159" spans="1:64" ht="31.5" customHeight="1">
      <c r="A159" s="867">
        <v>7.2</v>
      </c>
      <c r="B159" s="849" t="s">
        <v>162</v>
      </c>
      <c r="C159" s="846"/>
      <c r="D159" s="847"/>
      <c r="E159" s="846"/>
      <c r="F159" s="895"/>
      <c r="AQ159" s="835" t="e">
        <v>#REF!</v>
      </c>
      <c r="AR159" s="835" t="e">
        <v>#REF!</v>
      </c>
      <c r="AV159" s="835" t="e">
        <v>#REF!</v>
      </c>
      <c r="AW159" s="835" t="e">
        <v>#REF!</v>
      </c>
      <c r="BL159" s="835">
        <v>0</v>
      </c>
    </row>
    <row r="160" spans="1:64">
      <c r="A160" s="867" t="s">
        <v>89</v>
      </c>
      <c r="B160" s="849" t="s">
        <v>163</v>
      </c>
      <c r="C160" s="846" t="s">
        <v>91</v>
      </c>
      <c r="D160" s="847">
        <f>(50*20)+(16*50)+(8*50)</f>
        <v>2200</v>
      </c>
      <c r="E160" s="846">
        <v>166.2</v>
      </c>
      <c r="F160" s="895">
        <f t="shared" si="12"/>
        <v>365640</v>
      </c>
      <c r="AQ160" s="835">
        <v>239020</v>
      </c>
      <c r="AR160" s="835" t="b">
        <v>1</v>
      </c>
      <c r="AV160" s="835">
        <v>239020</v>
      </c>
      <c r="AW160" s="835" t="b">
        <v>1</v>
      </c>
      <c r="BL160" s="835">
        <v>100640</v>
      </c>
    </row>
    <row r="161" spans="1:64">
      <c r="A161" s="867" t="s">
        <v>92</v>
      </c>
      <c r="B161" s="849" t="s">
        <v>164</v>
      </c>
      <c r="C161" s="846" t="s">
        <v>91</v>
      </c>
      <c r="D161" s="847">
        <f>4*50+(4*50)</f>
        <v>400</v>
      </c>
      <c r="E161" s="846">
        <v>180.05</v>
      </c>
      <c r="F161" s="895">
        <f t="shared" si="12"/>
        <v>72020</v>
      </c>
      <c r="AQ161" s="835">
        <v>200906</v>
      </c>
      <c r="AR161" s="835" t="b">
        <v>1</v>
      </c>
      <c r="AV161" s="835">
        <v>200906</v>
      </c>
      <c r="AW161" s="835" t="b">
        <v>1</v>
      </c>
      <c r="BL161" s="835">
        <v>65310</v>
      </c>
    </row>
    <row r="162" spans="1:64">
      <c r="A162" s="867" t="s">
        <v>96</v>
      </c>
      <c r="B162" s="849" t="s">
        <v>165</v>
      </c>
      <c r="C162" s="846" t="s">
        <v>91</v>
      </c>
      <c r="D162" s="847">
        <f>16*50+(50)</f>
        <v>850</v>
      </c>
      <c r="E162" s="846">
        <v>256.23</v>
      </c>
      <c r="F162" s="895">
        <f t="shared" si="12"/>
        <v>217795.50000000003</v>
      </c>
      <c r="AQ162" s="835">
        <v>290700</v>
      </c>
      <c r="AR162" s="835" t="b">
        <v>1</v>
      </c>
      <c r="AV162" s="835">
        <v>290700</v>
      </c>
      <c r="AW162" s="835" t="b">
        <v>1</v>
      </c>
      <c r="BL162" s="835">
        <v>95200</v>
      </c>
    </row>
    <row r="163" spans="1:64">
      <c r="A163" s="867" t="s">
        <v>160</v>
      </c>
      <c r="B163" s="849" t="s">
        <v>166</v>
      </c>
      <c r="C163" s="846" t="s">
        <v>91</v>
      </c>
      <c r="D163" s="847">
        <f>50+(16*50)</f>
        <v>850</v>
      </c>
      <c r="E163" s="846">
        <v>304.7</v>
      </c>
      <c r="F163" s="895">
        <f t="shared" si="12"/>
        <v>258995</v>
      </c>
      <c r="AQ163" s="835">
        <v>355300</v>
      </c>
      <c r="AR163" s="835" t="b">
        <v>1</v>
      </c>
      <c r="AV163" s="835">
        <v>355300</v>
      </c>
      <c r="AW163" s="835" t="b">
        <v>1</v>
      </c>
      <c r="BL163" s="835">
        <v>170000</v>
      </c>
    </row>
    <row r="164" spans="1:64">
      <c r="A164" s="841"/>
      <c r="B164" s="842" t="s">
        <v>167</v>
      </c>
      <c r="C164" s="843"/>
      <c r="D164" s="844"/>
      <c r="E164" s="843"/>
      <c r="F164" s="894">
        <f>SUM(F154:F163)</f>
        <v>1083143.5</v>
      </c>
    </row>
    <row r="165" spans="1:64">
      <c r="A165" s="841"/>
      <c r="B165" s="842" t="s">
        <v>168</v>
      </c>
      <c r="C165" s="843"/>
      <c r="D165" s="844"/>
      <c r="E165" s="843"/>
      <c r="F165" s="894">
        <f ca="1">F150+F118+F111+F97+F89+F19+F164</f>
        <v>979303244.49753094</v>
      </c>
      <c r="G165" s="927">
        <v>978970815.44798684</v>
      </c>
    </row>
    <row r="166" spans="1:64">
      <c r="A166" s="8"/>
      <c r="B166" s="864" t="s">
        <v>169</v>
      </c>
      <c r="C166" s="8"/>
      <c r="D166" s="847"/>
      <c r="E166" s="8"/>
      <c r="F166" s="897">
        <f ca="1">F165*9%</f>
        <v>88137292.004777774</v>
      </c>
      <c r="G166" s="927">
        <v>88107373.390318811</v>
      </c>
    </row>
    <row r="167" spans="1:64">
      <c r="A167" s="8"/>
      <c r="B167" s="864" t="s">
        <v>170</v>
      </c>
      <c r="C167" s="8"/>
      <c r="D167" s="847"/>
      <c r="E167" s="8"/>
      <c r="F167" s="897">
        <f ca="1">F165*9%</f>
        <v>88137292.004777774</v>
      </c>
      <c r="G167" s="927">
        <v>88107373.390318811</v>
      </c>
    </row>
    <row r="168" spans="1:64">
      <c r="A168" s="841"/>
      <c r="B168" s="842" t="s">
        <v>171</v>
      </c>
      <c r="C168" s="843"/>
      <c r="D168" s="844"/>
      <c r="E168" s="843"/>
      <c r="F168" s="894">
        <f ca="1">SUM(F165:F167)</f>
        <v>1155577828.5070865</v>
      </c>
      <c r="G168" s="927">
        <v>1155185562.2286246</v>
      </c>
    </row>
  </sheetData>
  <mergeCells count="1">
    <mergeCell ref="A1:F1"/>
  </mergeCells>
  <printOptions horizontalCentered="1"/>
  <pageMargins left="0.51181102362204722" right="0.51181102362204722" top="0.55118110236220474" bottom="0.78740157480314965" header="0.31496062992125984" footer="0.31496062992125984"/>
  <pageSetup paperSize="9" scale="13" fitToHeight="0" orientation="portrait" r:id="rId1"/>
  <headerFooter>
    <oddFooter>&amp;L  TENDER NO-: KURLA-136/ RCC, MASONARY &amp; WATERPROOFING WORK /2023 &amp;RPage &amp;P of &amp;N</oddFooter>
  </headerFooter>
  <rowBreaks count="5" manualBreakCount="5">
    <brk id="15" max="16383" man="1"/>
    <brk id="73" max="5" man="1"/>
    <brk id="83" max="5" man="1"/>
    <brk id="103" max="5" man="1"/>
    <brk id="150" max="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AE70D-B01A-4B5F-9865-AB91C6D571A1}">
  <sheetPr>
    <tabColor rgb="FFFF0000"/>
  </sheetPr>
  <dimension ref="A1:M27"/>
  <sheetViews>
    <sheetView workbookViewId="0">
      <selection activeCell="I17" sqref="I17"/>
    </sheetView>
  </sheetViews>
  <sheetFormatPr defaultColWidth="8.88671875" defaultRowHeight="13.8"/>
  <cols>
    <col min="1" max="1" width="7.33203125" style="23" bestFit="1" customWidth="1"/>
    <col min="2" max="2" width="43.6640625" style="23" bestFit="1" customWidth="1"/>
    <col min="3" max="3" width="10.6640625" style="23" customWidth="1"/>
    <col min="4" max="4" width="5.6640625" style="23" customWidth="1"/>
    <col min="5" max="5" width="7.6640625" style="23" bestFit="1" customWidth="1"/>
    <col min="6" max="7" width="6.6640625" style="23" bestFit="1" customWidth="1"/>
    <col min="8" max="8" width="8" style="23" bestFit="1" customWidth="1"/>
    <col min="9" max="9" width="13.109375" style="23" customWidth="1"/>
    <col min="10" max="10" width="12.33203125" style="23" customWidth="1"/>
    <col min="11" max="11" width="15.5546875" style="23" bestFit="1" customWidth="1"/>
    <col min="12" max="12" width="8.88671875" style="23"/>
    <col min="13" max="13" width="15.6640625" style="23" bestFit="1" customWidth="1"/>
    <col min="14" max="16384" width="8.88671875" style="23"/>
  </cols>
  <sheetData>
    <row r="1" spans="1:13">
      <c r="A1" s="1039" t="s">
        <v>196</v>
      </c>
      <c r="B1" s="1039"/>
      <c r="C1" s="1039"/>
      <c r="D1" s="1039"/>
      <c r="E1" s="1039"/>
      <c r="F1" s="1039"/>
      <c r="G1" s="1039"/>
      <c r="H1" s="1039"/>
      <c r="I1" s="1039"/>
      <c r="J1" s="1039"/>
      <c r="K1" s="1039"/>
    </row>
    <row r="2" spans="1:13" ht="39.6">
      <c r="A2" s="91" t="s">
        <v>197</v>
      </c>
      <c r="B2" s="91" t="s">
        <v>198</v>
      </c>
      <c r="C2" s="91" t="s">
        <v>199</v>
      </c>
      <c r="D2" s="91" t="s">
        <v>91</v>
      </c>
      <c r="E2" s="91" t="s">
        <v>200</v>
      </c>
      <c r="F2" s="91" t="s">
        <v>201</v>
      </c>
      <c r="G2" s="91" t="s">
        <v>202</v>
      </c>
      <c r="H2" s="91" t="s">
        <v>203</v>
      </c>
      <c r="I2" s="91" t="s">
        <v>204</v>
      </c>
      <c r="J2" s="91" t="s">
        <v>5</v>
      </c>
      <c r="K2" s="91" t="s">
        <v>205</v>
      </c>
    </row>
    <row r="3" spans="1:13">
      <c r="A3" s="92" t="s">
        <v>206</v>
      </c>
      <c r="B3" s="95" t="s">
        <v>207</v>
      </c>
      <c r="C3" s="92"/>
      <c r="D3" s="93"/>
      <c r="E3" s="92"/>
      <c r="F3" s="92"/>
      <c r="G3" s="94"/>
      <c r="H3" s="92"/>
      <c r="I3" s="94"/>
      <c r="J3" s="94"/>
      <c r="K3" s="94"/>
    </row>
    <row r="4" spans="1:13">
      <c r="A4" s="92"/>
      <c r="B4" s="92" t="s">
        <v>208</v>
      </c>
      <c r="C4" s="92"/>
      <c r="D4" s="93">
        <v>1</v>
      </c>
      <c r="E4" s="92"/>
      <c r="F4" s="92"/>
      <c r="G4" s="94">
        <v>7.5</v>
      </c>
      <c r="H4" s="92">
        <v>2077.2399999999998</v>
      </c>
      <c r="I4" s="94">
        <f t="shared" ref="I4:I9" si="0">PRODUCT(D4:H4)</f>
        <v>15579.3</v>
      </c>
      <c r="J4" s="94"/>
      <c r="K4" s="94">
        <f>I4*J4</f>
        <v>0</v>
      </c>
    </row>
    <row r="5" spans="1:13">
      <c r="A5" s="92"/>
      <c r="B5" s="92" t="s">
        <v>209</v>
      </c>
      <c r="C5" s="92"/>
      <c r="D5" s="93">
        <v>1</v>
      </c>
      <c r="E5" s="92"/>
      <c r="F5" s="92"/>
      <c r="G5" s="94">
        <f>5.9-1.8</f>
        <v>4.1000000000000005</v>
      </c>
      <c r="H5" s="92">
        <v>1340.75</v>
      </c>
      <c r="I5" s="94">
        <f t="shared" si="0"/>
        <v>5497.0750000000007</v>
      </c>
      <c r="J5" s="94"/>
      <c r="K5" s="94">
        <f>I5*J5</f>
        <v>0</v>
      </c>
    </row>
    <row r="6" spans="1:13">
      <c r="A6" s="92"/>
      <c r="B6" s="92" t="s">
        <v>210</v>
      </c>
      <c r="C6" s="92"/>
      <c r="D6" s="93">
        <v>1</v>
      </c>
      <c r="E6" s="92"/>
      <c r="F6" s="92"/>
      <c r="G6" s="94">
        <v>0.9</v>
      </c>
      <c r="H6" s="92">
        <v>281.75</v>
      </c>
      <c r="I6" s="94">
        <f t="shared" si="0"/>
        <v>253.57500000000002</v>
      </c>
      <c r="J6" s="94"/>
      <c r="K6" s="94">
        <f t="shared" ref="K6:K9" si="1">I6*J6</f>
        <v>0</v>
      </c>
    </row>
    <row r="7" spans="1:13">
      <c r="A7" s="92"/>
      <c r="B7" s="92" t="s">
        <v>211</v>
      </c>
      <c r="C7" s="92"/>
      <c r="D7" s="93">
        <v>1</v>
      </c>
      <c r="E7" s="92"/>
      <c r="F7" s="92"/>
      <c r="G7" s="94">
        <v>2</v>
      </c>
      <c r="H7" s="92">
        <f>40.08*2</f>
        <v>80.16</v>
      </c>
      <c r="I7" s="94">
        <f t="shared" si="0"/>
        <v>160.32</v>
      </c>
      <c r="J7" s="94"/>
      <c r="K7" s="94">
        <f t="shared" si="1"/>
        <v>0</v>
      </c>
    </row>
    <row r="8" spans="1:13">
      <c r="A8" s="95"/>
      <c r="B8" s="92" t="s">
        <v>212</v>
      </c>
      <c r="C8" s="92"/>
      <c r="D8" s="93"/>
      <c r="E8" s="92">
        <v>257.17</v>
      </c>
      <c r="F8" s="92">
        <v>1.5</v>
      </c>
      <c r="G8" s="94">
        <v>1.5</v>
      </c>
      <c r="H8" s="94"/>
      <c r="I8" s="94">
        <f t="shared" si="0"/>
        <v>578.63249999999994</v>
      </c>
      <c r="J8" s="94"/>
      <c r="K8" s="94">
        <f t="shared" si="1"/>
        <v>0</v>
      </c>
    </row>
    <row r="9" spans="1:13">
      <c r="A9" s="95"/>
      <c r="B9" s="92" t="s">
        <v>213</v>
      </c>
      <c r="C9" s="92"/>
      <c r="D9" s="93"/>
      <c r="E9" s="92">
        <v>257.17</v>
      </c>
      <c r="F9" s="92">
        <v>0.6</v>
      </c>
      <c r="G9" s="94">
        <v>1</v>
      </c>
      <c r="H9" s="94"/>
      <c r="I9" s="94">
        <f t="shared" si="0"/>
        <v>154.30199999999999</v>
      </c>
      <c r="J9" s="94"/>
      <c r="K9" s="94">
        <f t="shared" si="1"/>
        <v>0</v>
      </c>
    </row>
    <row r="10" spans="1:13">
      <c r="A10" s="95"/>
      <c r="B10" s="96" t="s">
        <v>214</v>
      </c>
      <c r="C10" s="96"/>
      <c r="D10" s="97"/>
      <c r="E10" s="96"/>
      <c r="F10" s="96"/>
      <c r="G10" s="98"/>
      <c r="H10" s="98"/>
      <c r="I10" s="98">
        <f>SUM(I4:I9)</f>
        <v>22223.2045</v>
      </c>
      <c r="J10" s="877"/>
      <c r="K10" s="877">
        <f>SUM(K4:K9)</f>
        <v>0</v>
      </c>
      <c r="M10" s="23">
        <f>I10*0.4</f>
        <v>8889.2818000000007</v>
      </c>
    </row>
    <row r="11" spans="1:13">
      <c r="A11" s="95"/>
      <c r="B11" s="1040" t="s">
        <v>215</v>
      </c>
      <c r="C11" s="1041"/>
      <c r="D11" s="1041"/>
      <c r="E11" s="1041"/>
      <c r="F11" s="1041"/>
      <c r="G11" s="1041"/>
      <c r="H11" s="1042"/>
      <c r="I11" s="878">
        <f>I10*0.9</f>
        <v>20000.884050000001</v>
      </c>
      <c r="J11" s="877"/>
      <c r="K11" s="877"/>
    </row>
    <row r="12" spans="1:13">
      <c r="A12" s="95"/>
      <c r="B12" s="1040" t="s">
        <v>216</v>
      </c>
      <c r="C12" s="1041"/>
      <c r="D12" s="1041"/>
      <c r="E12" s="1041"/>
      <c r="F12" s="1041"/>
      <c r="G12" s="1041"/>
      <c r="H12" s="1042"/>
      <c r="I12" s="879">
        <f>I10-I11</f>
        <v>2222.3204499999993</v>
      </c>
      <c r="J12" s="877"/>
      <c r="K12" s="877"/>
    </row>
    <row r="13" spans="1:13">
      <c r="A13" s="95"/>
      <c r="B13" s="875"/>
      <c r="C13" s="875"/>
      <c r="D13" s="876"/>
      <c r="E13" s="875"/>
      <c r="F13" s="875"/>
      <c r="G13" s="877"/>
      <c r="H13" s="877"/>
      <c r="I13" s="877"/>
      <c r="J13" s="877"/>
      <c r="K13" s="877"/>
    </row>
    <row r="14" spans="1:13">
      <c r="A14" s="92" t="s">
        <v>217</v>
      </c>
      <c r="B14" s="95" t="s">
        <v>218</v>
      </c>
      <c r="C14" s="92"/>
      <c r="D14" s="93"/>
      <c r="E14" s="92"/>
      <c r="F14" s="92"/>
      <c r="G14" s="94"/>
      <c r="H14" s="92"/>
      <c r="I14" s="94"/>
      <c r="J14" s="94"/>
      <c r="K14" s="94"/>
    </row>
    <row r="15" spans="1:13">
      <c r="A15" s="92"/>
      <c r="B15" s="92" t="s">
        <v>219</v>
      </c>
      <c r="C15" s="92"/>
      <c r="D15" s="93">
        <v>1</v>
      </c>
      <c r="E15" s="92"/>
      <c r="F15" s="92"/>
      <c r="G15" s="94">
        <v>2.9</v>
      </c>
      <c r="H15" s="92">
        <f>H4</f>
        <v>2077.2399999999998</v>
      </c>
      <c r="I15" s="94">
        <f t="shared" ref="I15:I16" si="2">PRODUCT(D15:H15)</f>
        <v>6023.9959999999992</v>
      </c>
      <c r="J15" s="94"/>
      <c r="K15" s="94"/>
      <c r="M15" s="35"/>
    </row>
    <row r="16" spans="1:13">
      <c r="A16" s="92"/>
      <c r="B16" s="92" t="s">
        <v>220</v>
      </c>
      <c r="C16" s="92"/>
      <c r="D16" s="93">
        <v>1</v>
      </c>
      <c r="E16" s="92"/>
      <c r="F16" s="92"/>
      <c r="G16" s="94">
        <f>37.8-36.3</f>
        <v>1.5</v>
      </c>
      <c r="H16" s="92">
        <v>2398.0500000000002</v>
      </c>
      <c r="I16" s="94">
        <f t="shared" si="2"/>
        <v>3597.0750000000003</v>
      </c>
      <c r="J16" s="94"/>
      <c r="K16" s="94"/>
    </row>
    <row r="17" spans="1:11">
      <c r="A17" s="92"/>
      <c r="B17" s="1040" t="s">
        <v>221</v>
      </c>
      <c r="C17" s="1041"/>
      <c r="D17" s="1041"/>
      <c r="E17" s="1041"/>
      <c r="F17" s="1041"/>
      <c r="G17" s="1041"/>
      <c r="H17" s="1042"/>
      <c r="I17" s="878">
        <f>SUM(I15:I16)</f>
        <v>9621.0709999999999</v>
      </c>
      <c r="J17" s="94"/>
      <c r="K17" s="94"/>
    </row>
    <row r="18" spans="1:11">
      <c r="A18" s="92"/>
      <c r="B18" s="92"/>
      <c r="C18" s="92"/>
      <c r="D18" s="93"/>
      <c r="E18" s="92"/>
      <c r="F18" s="92"/>
      <c r="G18" s="94"/>
      <c r="H18" s="92"/>
      <c r="I18" s="94"/>
      <c r="J18" s="94"/>
      <c r="K18" s="94"/>
    </row>
    <row r="19" spans="1:11">
      <c r="A19" s="92" t="s">
        <v>222</v>
      </c>
      <c r="B19" s="95" t="s">
        <v>223</v>
      </c>
      <c r="C19" s="92"/>
      <c r="D19" s="93"/>
      <c r="E19" s="92"/>
      <c r="F19" s="92"/>
      <c r="G19" s="94"/>
      <c r="H19" s="92"/>
      <c r="I19" s="94"/>
      <c r="J19" s="94"/>
      <c r="K19" s="94"/>
    </row>
    <row r="20" spans="1:11">
      <c r="A20" s="92"/>
      <c r="B20" s="92" t="s">
        <v>224</v>
      </c>
      <c r="C20" s="92"/>
      <c r="D20" s="93"/>
      <c r="E20" s="92">
        <v>84.44</v>
      </c>
      <c r="F20" s="92"/>
      <c r="G20" s="94"/>
      <c r="H20" s="92">
        <f>0.5*1.6*1.6</f>
        <v>1.2800000000000002</v>
      </c>
      <c r="I20" s="94">
        <f t="shared" ref="I20" si="3">PRODUCT(D20:H20)</f>
        <v>108.08320000000002</v>
      </c>
      <c r="J20" s="94"/>
      <c r="K20" s="94"/>
    </row>
    <row r="21" spans="1:11">
      <c r="A21" s="92"/>
      <c r="B21" s="92"/>
      <c r="C21" s="92"/>
      <c r="D21" s="93"/>
      <c r="E21" s="92"/>
      <c r="F21" s="92"/>
      <c r="G21" s="94"/>
      <c r="H21" s="92"/>
      <c r="I21" s="94"/>
      <c r="J21" s="94"/>
      <c r="K21" s="94"/>
    </row>
    <row r="22" spans="1:11">
      <c r="A22" s="92"/>
      <c r="B22" s="92"/>
      <c r="C22" s="92"/>
      <c r="D22" s="93"/>
      <c r="E22" s="92"/>
      <c r="F22" s="92"/>
      <c r="G22" s="94"/>
      <c r="H22" s="92"/>
      <c r="I22" s="94"/>
      <c r="J22" s="94"/>
      <c r="K22" s="94"/>
    </row>
    <row r="23" spans="1:11">
      <c r="A23" s="92"/>
      <c r="B23" s="92"/>
      <c r="C23" s="92"/>
      <c r="D23" s="93"/>
      <c r="E23" s="92"/>
      <c r="F23" s="92"/>
      <c r="G23" s="94"/>
      <c r="H23" s="92"/>
      <c r="I23" s="94"/>
      <c r="J23" s="94"/>
      <c r="K23" s="94"/>
    </row>
    <row r="24" spans="1:11">
      <c r="A24" s="92"/>
      <c r="B24" s="92"/>
      <c r="C24" s="92"/>
      <c r="D24" s="93"/>
      <c r="E24" s="92"/>
      <c r="F24" s="92"/>
      <c r="G24" s="94"/>
      <c r="H24" s="92"/>
      <c r="I24" s="94"/>
      <c r="J24" s="94"/>
      <c r="K24" s="94"/>
    </row>
    <row r="25" spans="1:11">
      <c r="A25" s="92"/>
      <c r="B25" s="92"/>
      <c r="C25" s="92"/>
      <c r="D25" s="93"/>
      <c r="E25" s="92"/>
      <c r="F25" s="92"/>
      <c r="G25" s="94"/>
      <c r="H25" s="92"/>
      <c r="I25" s="94"/>
      <c r="J25" s="94"/>
      <c r="K25" s="94"/>
    </row>
    <row r="26" spans="1:11">
      <c r="A26" s="92"/>
      <c r="B26" s="92"/>
      <c r="C26" s="92"/>
      <c r="D26" s="93"/>
      <c r="E26" s="92"/>
      <c r="F26" s="92"/>
      <c r="G26" s="94"/>
      <c r="H26" s="92"/>
      <c r="I26" s="94"/>
      <c r="J26" s="94"/>
      <c r="K26" s="94"/>
    </row>
    <row r="27" spans="1:11">
      <c r="A27" s="92"/>
      <c r="B27" s="92"/>
      <c r="C27" s="92"/>
      <c r="D27" s="93"/>
      <c r="E27" s="92"/>
      <c r="F27" s="92"/>
      <c r="G27" s="94"/>
      <c r="H27" s="92"/>
      <c r="I27" s="94"/>
      <c r="J27" s="94"/>
      <c r="K27" s="94"/>
    </row>
  </sheetData>
  <mergeCells count="4">
    <mergeCell ref="A1:K1"/>
    <mergeCell ref="B11:H11"/>
    <mergeCell ref="B12:H12"/>
    <mergeCell ref="B17:H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F2BEF-365C-4CD4-847D-0882911DF212}">
  <sheetPr>
    <tabColor rgb="FF99CC00"/>
    <pageSetUpPr fitToPage="1"/>
  </sheetPr>
  <dimension ref="A1:AG1026"/>
  <sheetViews>
    <sheetView zoomScaleNormal="100" workbookViewId="0">
      <pane xSplit="2" ySplit="5" topLeftCell="J6" activePane="bottomRight" state="frozen"/>
      <selection pane="topRight" activeCell="C1" sqref="C1"/>
      <selection pane="bottomLeft" activeCell="A6" sqref="A6"/>
      <selection pane="bottomRight" activeCell="H6" sqref="H6"/>
    </sheetView>
  </sheetViews>
  <sheetFormatPr defaultColWidth="14.44140625" defaultRowHeight="15" customHeight="1"/>
  <cols>
    <col min="1" max="1" width="4.33203125" style="47" customWidth="1"/>
    <col min="2" max="2" width="19.88671875" style="47" customWidth="1"/>
    <col min="3" max="3" width="12.88671875" style="87" customWidth="1"/>
    <col min="4" max="4" width="12.88671875" style="88" customWidth="1"/>
    <col min="5" max="5" width="12.109375" style="88" customWidth="1"/>
    <col min="6" max="6" width="12.6640625" style="88" customWidth="1"/>
    <col min="7" max="7" width="13" style="89" customWidth="1"/>
    <col min="8" max="8" width="11.109375" style="89" customWidth="1"/>
    <col min="9" max="14" width="11.6640625" style="89" customWidth="1"/>
    <col min="15" max="15" width="11.44140625" style="89" customWidth="1"/>
    <col min="16" max="16" width="13.33203125" style="87" customWidth="1"/>
    <col min="17" max="17" width="9.6640625" style="87" customWidth="1"/>
    <col min="18" max="18" width="15.33203125" style="87" customWidth="1"/>
    <col min="19" max="19" width="27.5546875" style="90" customWidth="1"/>
    <col min="20" max="20" width="16.33203125" style="47" customWidth="1"/>
    <col min="21" max="21" width="14.44140625" style="47" bestFit="1" customWidth="1"/>
    <col min="22" max="22" width="14.5546875" style="47" customWidth="1"/>
    <col min="23" max="23" width="9.88671875" style="47" customWidth="1"/>
    <col min="24" max="26" width="9.109375" style="47" customWidth="1"/>
    <col min="27" max="27" width="21.44140625" style="47" customWidth="1"/>
    <col min="28" max="33" width="9.109375" style="47" customWidth="1"/>
    <col min="34" max="16384" width="14.44140625" style="47"/>
  </cols>
  <sheetData>
    <row r="1" spans="1:33" ht="13.5" customHeight="1">
      <c r="A1" s="1049" t="s">
        <v>225</v>
      </c>
      <c r="B1" s="1049"/>
      <c r="C1" s="178"/>
      <c r="D1" s="42"/>
      <c r="E1" s="42"/>
      <c r="F1" s="42"/>
      <c r="G1" s="43"/>
      <c r="H1" s="43"/>
      <c r="I1" s="43"/>
      <c r="J1" s="43"/>
      <c r="K1" s="43"/>
      <c r="L1" s="43"/>
      <c r="M1" s="43"/>
      <c r="N1" s="43"/>
      <c r="O1" s="43"/>
      <c r="P1" s="41"/>
      <c r="Q1" s="41"/>
      <c r="R1" s="41"/>
      <c r="S1" s="44"/>
      <c r="T1" s="45"/>
      <c r="U1" s="45"/>
      <c r="V1" s="45"/>
      <c r="W1" s="45"/>
      <c r="X1" s="46"/>
      <c r="Y1" s="46"/>
      <c r="Z1" s="46"/>
      <c r="AA1" s="46"/>
      <c r="AB1" s="46"/>
      <c r="AC1" s="46"/>
      <c r="AD1" s="46"/>
      <c r="AE1" s="46"/>
      <c r="AF1" s="46"/>
      <c r="AG1" s="46"/>
    </row>
    <row r="2" spans="1:33" ht="13.2">
      <c r="A2" s="1049" t="s">
        <v>226</v>
      </c>
      <c r="B2" s="1049"/>
      <c r="C2" s="1049"/>
      <c r="D2" s="42"/>
      <c r="E2" s="42"/>
      <c r="F2" s="42"/>
      <c r="G2" s="43"/>
      <c r="H2" s="43"/>
      <c r="I2" s="43"/>
      <c r="J2" s="43"/>
      <c r="K2" s="43"/>
      <c r="L2" s="43"/>
      <c r="M2" s="43"/>
      <c r="N2" s="43"/>
      <c r="O2" s="43"/>
      <c r="P2" s="41"/>
      <c r="Q2" s="41"/>
      <c r="R2" s="41"/>
      <c r="S2" s="44"/>
      <c r="T2" s="45"/>
      <c r="U2" s="45"/>
      <c r="V2" s="45"/>
      <c r="W2" s="45"/>
      <c r="X2" s="46"/>
      <c r="Y2" s="46"/>
      <c r="Z2" s="46"/>
      <c r="AA2" s="46"/>
      <c r="AB2" s="46"/>
      <c r="AC2" s="46"/>
      <c r="AD2" s="46"/>
      <c r="AE2" s="46"/>
      <c r="AF2" s="46"/>
      <c r="AG2" s="46"/>
    </row>
    <row r="3" spans="1:33" ht="18.75" customHeight="1">
      <c r="A3" s="1050" t="s">
        <v>227</v>
      </c>
      <c r="B3" s="1050"/>
      <c r="C3" s="1050"/>
      <c r="D3" s="1050"/>
      <c r="E3" s="1050"/>
      <c r="F3" s="1050"/>
      <c r="G3" s="1050"/>
      <c r="H3" s="1050"/>
      <c r="I3" s="1050"/>
      <c r="J3" s="1050"/>
      <c r="K3" s="1050"/>
      <c r="L3" s="1050"/>
      <c r="M3" s="1050"/>
      <c r="N3" s="1050"/>
      <c r="O3" s="1050"/>
      <c r="P3" s="1050"/>
      <c r="Q3" s="1050"/>
      <c r="R3" s="1050"/>
      <c r="S3" s="1050"/>
      <c r="T3" s="46"/>
      <c r="U3" s="46"/>
      <c r="V3" s="46"/>
      <c r="W3" s="46"/>
      <c r="X3" s="46"/>
      <c r="Y3" s="46"/>
      <c r="Z3" s="46"/>
      <c r="AA3" s="46"/>
      <c r="AB3" s="46"/>
      <c r="AC3" s="46"/>
    </row>
    <row r="4" spans="1:33" ht="18" customHeight="1">
      <c r="A4" s="1051" t="s">
        <v>228</v>
      </c>
      <c r="B4" s="1053" t="s">
        <v>2</v>
      </c>
      <c r="C4" s="1043" t="s">
        <v>229</v>
      </c>
      <c r="D4" s="1056" t="s">
        <v>230</v>
      </c>
      <c r="E4" s="1056"/>
      <c r="F4" s="1056"/>
      <c r="G4" s="1057" t="s">
        <v>231</v>
      </c>
      <c r="H4" s="1058"/>
      <c r="I4" s="1058"/>
      <c r="J4" s="1058"/>
      <c r="K4" s="1058"/>
      <c r="L4" s="1058"/>
      <c r="M4" s="1058"/>
      <c r="N4" s="1058"/>
      <c r="O4" s="1058"/>
      <c r="P4" s="1043" t="s">
        <v>232</v>
      </c>
      <c r="Q4" s="1043" t="s">
        <v>233</v>
      </c>
      <c r="R4" s="1043" t="s">
        <v>234</v>
      </c>
      <c r="S4" s="1045" t="s">
        <v>235</v>
      </c>
      <c r="T4" s="46"/>
      <c r="U4" s="46"/>
      <c r="V4" s="46"/>
    </row>
    <row r="5" spans="1:33" ht="38.4" customHeight="1">
      <c r="A5" s="1052"/>
      <c r="B5" s="1054"/>
      <c r="C5" s="1055"/>
      <c r="D5" s="48" t="s">
        <v>236</v>
      </c>
      <c r="E5" s="49" t="s">
        <v>237</v>
      </c>
      <c r="F5" s="49" t="s">
        <v>238</v>
      </c>
      <c r="G5" s="50" t="s">
        <v>239</v>
      </c>
      <c r="H5" s="50" t="s">
        <v>240</v>
      </c>
      <c r="I5" s="50" t="s">
        <v>241</v>
      </c>
      <c r="J5" s="51" t="s">
        <v>242</v>
      </c>
      <c r="K5" s="51" t="s">
        <v>243</v>
      </c>
      <c r="L5" s="51" t="s">
        <v>244</v>
      </c>
      <c r="M5" s="51" t="s">
        <v>245</v>
      </c>
      <c r="N5" s="51" t="s">
        <v>246</v>
      </c>
      <c r="O5" s="51" t="s">
        <v>247</v>
      </c>
      <c r="P5" s="1044"/>
      <c r="Q5" s="1044"/>
      <c r="R5" s="1044"/>
      <c r="S5" s="1046"/>
      <c r="T5" s="46"/>
      <c r="U5" s="46"/>
      <c r="V5" s="46" t="s">
        <v>1219</v>
      </c>
    </row>
    <row r="6" spans="1:33" ht="13.2">
      <c r="A6" s="52">
        <v>1</v>
      </c>
      <c r="B6" s="52" t="s">
        <v>248</v>
      </c>
      <c r="C6" s="53">
        <v>3286.5</v>
      </c>
      <c r="D6" s="54">
        <v>-71.260000000000005</v>
      </c>
      <c r="E6" s="54">
        <v>-4.04</v>
      </c>
      <c r="F6" s="55">
        <v>0</v>
      </c>
      <c r="G6" s="56">
        <v>0</v>
      </c>
      <c r="H6" s="56">
        <v>0</v>
      </c>
      <c r="I6" s="56">
        <v>0</v>
      </c>
      <c r="J6" s="56">
        <v>0</v>
      </c>
      <c r="K6" s="56">
        <v>0</v>
      </c>
      <c r="L6" s="56">
        <v>0</v>
      </c>
      <c r="M6" s="56">
        <v>0</v>
      </c>
      <c r="N6" s="56">
        <v>0</v>
      </c>
      <c r="O6" s="57">
        <v>0</v>
      </c>
      <c r="P6" s="58">
        <f>SUM(C6:O6)</f>
        <v>3211.2</v>
      </c>
      <c r="Q6" s="59">
        <v>1</v>
      </c>
      <c r="R6" s="58">
        <f t="shared" ref="R6:R44" si="0">Q6*P6</f>
        <v>3211.2</v>
      </c>
      <c r="S6" s="60">
        <f t="shared" ref="S6:S44" si="1">R6*10.764</f>
        <v>34565.356799999994</v>
      </c>
      <c r="T6" s="46"/>
      <c r="U6" s="46"/>
      <c r="V6" s="1004">
        <f>+S6</f>
        <v>34565.356799999994</v>
      </c>
    </row>
    <row r="7" spans="1:33" ht="13.2">
      <c r="A7" s="61">
        <v>2</v>
      </c>
      <c r="B7" s="52" t="s">
        <v>249</v>
      </c>
      <c r="C7" s="53">
        <v>3365.01</v>
      </c>
      <c r="D7" s="54">
        <v>-71.260000000000005</v>
      </c>
      <c r="E7" s="62">
        <v>-3.28</v>
      </c>
      <c r="F7" s="62">
        <v>-128.74</v>
      </c>
      <c r="G7" s="56">
        <v>0</v>
      </c>
      <c r="H7" s="56">
        <v>0</v>
      </c>
      <c r="I7" s="56">
        <v>0</v>
      </c>
      <c r="J7" s="56">
        <v>0</v>
      </c>
      <c r="K7" s="56">
        <v>0</v>
      </c>
      <c r="L7" s="56">
        <v>0</v>
      </c>
      <c r="M7" s="56">
        <v>0</v>
      </c>
      <c r="N7" s="56">
        <v>0</v>
      </c>
      <c r="O7" s="57">
        <v>0</v>
      </c>
      <c r="P7" s="58">
        <f t="shared" ref="P7:P44" si="2">SUM(C7:O7)</f>
        <v>3161.7299999999996</v>
      </c>
      <c r="Q7" s="59">
        <v>1</v>
      </c>
      <c r="R7" s="58">
        <f t="shared" si="0"/>
        <v>3161.7299999999996</v>
      </c>
      <c r="S7" s="60">
        <f t="shared" si="1"/>
        <v>34032.861719999994</v>
      </c>
      <c r="T7" s="46"/>
      <c r="U7" s="46"/>
      <c r="V7" s="1004">
        <f t="shared" ref="V7:V12" si="3">+S7</f>
        <v>34032.861719999994</v>
      </c>
    </row>
    <row r="8" spans="1:33" ht="13.2">
      <c r="A8" s="61">
        <v>3</v>
      </c>
      <c r="B8" s="52" t="s">
        <v>250</v>
      </c>
      <c r="C8" s="58">
        <v>2884.96</v>
      </c>
      <c r="D8" s="54">
        <v>-71.260000000000005</v>
      </c>
      <c r="E8" s="62">
        <v>-8.44</v>
      </c>
      <c r="F8" s="55">
        <v>-111.23</v>
      </c>
      <c r="G8" s="56">
        <v>0</v>
      </c>
      <c r="H8" s="56">
        <v>0</v>
      </c>
      <c r="I8" s="56">
        <v>0</v>
      </c>
      <c r="J8" s="56">
        <v>7.02</v>
      </c>
      <c r="K8" s="56">
        <v>0</v>
      </c>
      <c r="L8" s="56">
        <v>0</v>
      </c>
      <c r="M8" s="56">
        <v>0</v>
      </c>
      <c r="N8" s="56">
        <v>0</v>
      </c>
      <c r="O8" s="57">
        <v>0</v>
      </c>
      <c r="P8" s="58">
        <f t="shared" si="2"/>
        <v>2701.0499999999997</v>
      </c>
      <c r="Q8" s="59">
        <v>1</v>
      </c>
      <c r="R8" s="58">
        <f t="shared" si="0"/>
        <v>2701.0499999999997</v>
      </c>
      <c r="S8" s="60">
        <f t="shared" si="1"/>
        <v>29074.102199999994</v>
      </c>
      <c r="T8" s="46"/>
      <c r="U8" s="885">
        <f>R7-R15</f>
        <v>1918.5299999999997</v>
      </c>
      <c r="V8" s="1004">
        <f t="shared" si="3"/>
        <v>29074.102199999994</v>
      </c>
      <c r="W8" s="46"/>
      <c r="X8" s="46"/>
      <c r="Y8" s="46"/>
      <c r="Z8" s="46"/>
    </row>
    <row r="9" spans="1:33" ht="13.2">
      <c r="A9" s="46">
        <v>4</v>
      </c>
      <c r="B9" s="52" t="s">
        <v>251</v>
      </c>
      <c r="C9" s="58">
        <v>2884.96</v>
      </c>
      <c r="D9" s="54">
        <v>-71.260000000000005</v>
      </c>
      <c r="E9" s="62">
        <v>-8.44</v>
      </c>
      <c r="F9" s="54">
        <v>-142.69999999999999</v>
      </c>
      <c r="G9" s="56">
        <v>0</v>
      </c>
      <c r="H9" s="56">
        <v>0</v>
      </c>
      <c r="I9" s="56">
        <v>0</v>
      </c>
      <c r="J9" s="56">
        <v>7.02</v>
      </c>
      <c r="K9" s="56">
        <v>0</v>
      </c>
      <c r="L9" s="56">
        <v>0</v>
      </c>
      <c r="M9" s="56">
        <v>0</v>
      </c>
      <c r="N9" s="56">
        <v>0</v>
      </c>
      <c r="O9" s="57">
        <v>0</v>
      </c>
      <c r="P9" s="58">
        <f t="shared" si="2"/>
        <v>2669.58</v>
      </c>
      <c r="Q9" s="59">
        <v>1</v>
      </c>
      <c r="R9" s="58">
        <f t="shared" si="0"/>
        <v>2669.58</v>
      </c>
      <c r="S9" s="60">
        <f t="shared" si="1"/>
        <v>28735.359119999997</v>
      </c>
      <c r="T9" s="46"/>
      <c r="U9" s="46"/>
      <c r="V9" s="1004">
        <f t="shared" si="3"/>
        <v>28735.359119999997</v>
      </c>
      <c r="W9" s="46"/>
      <c r="X9" s="46"/>
      <c r="Y9" s="46"/>
      <c r="Z9" s="46"/>
    </row>
    <row r="10" spans="1:33" ht="13.5" customHeight="1">
      <c r="A10" s="52">
        <v>5</v>
      </c>
      <c r="B10" s="52" t="s">
        <v>252</v>
      </c>
      <c r="C10" s="63">
        <f>C9</f>
        <v>2884.96</v>
      </c>
      <c r="D10" s="54">
        <f t="shared" ref="D10:O13" si="4">D9</f>
        <v>-71.260000000000005</v>
      </c>
      <c r="E10" s="54">
        <f t="shared" si="4"/>
        <v>-8.44</v>
      </c>
      <c r="F10" s="54">
        <v>-142.69999999999999</v>
      </c>
      <c r="G10" s="56">
        <f t="shared" si="4"/>
        <v>0</v>
      </c>
      <c r="H10" s="56">
        <f t="shared" si="4"/>
        <v>0</v>
      </c>
      <c r="I10" s="56">
        <f t="shared" si="4"/>
        <v>0</v>
      </c>
      <c r="J10" s="56">
        <f t="shared" si="4"/>
        <v>7.02</v>
      </c>
      <c r="K10" s="56">
        <f t="shared" si="4"/>
        <v>0</v>
      </c>
      <c r="L10" s="56">
        <f t="shared" si="4"/>
        <v>0</v>
      </c>
      <c r="M10" s="56">
        <f t="shared" si="4"/>
        <v>0</v>
      </c>
      <c r="N10" s="56">
        <f t="shared" si="4"/>
        <v>0</v>
      </c>
      <c r="O10" s="64">
        <f t="shared" si="4"/>
        <v>0</v>
      </c>
      <c r="P10" s="58">
        <f t="shared" si="2"/>
        <v>2669.58</v>
      </c>
      <c r="Q10" s="59">
        <v>1</v>
      </c>
      <c r="R10" s="58">
        <f t="shared" si="0"/>
        <v>2669.58</v>
      </c>
      <c r="S10" s="60">
        <f t="shared" si="1"/>
        <v>28735.359119999997</v>
      </c>
      <c r="T10" s="46"/>
      <c r="U10" s="46"/>
      <c r="V10" s="1004">
        <f t="shared" si="3"/>
        <v>28735.359119999997</v>
      </c>
      <c r="W10" s="46"/>
      <c r="X10" s="46"/>
      <c r="Y10" s="46"/>
      <c r="Z10" s="46"/>
    </row>
    <row r="11" spans="1:33" ht="13.5" customHeight="1">
      <c r="A11" s="61">
        <v>6</v>
      </c>
      <c r="B11" s="52" t="s">
        <v>253</v>
      </c>
      <c r="C11" s="64">
        <v>2717.55</v>
      </c>
      <c r="D11" s="54">
        <v>-56.77</v>
      </c>
      <c r="E11" s="54">
        <f>E9</f>
        <v>-8.44</v>
      </c>
      <c r="F11" s="54">
        <v>-143.41</v>
      </c>
      <c r="G11" s="56">
        <f t="shared" si="4"/>
        <v>0</v>
      </c>
      <c r="H11" s="56">
        <f t="shared" si="4"/>
        <v>0</v>
      </c>
      <c r="I11" s="65">
        <f t="shared" si="4"/>
        <v>0</v>
      </c>
      <c r="J11" s="56">
        <v>7.09</v>
      </c>
      <c r="K11" s="56">
        <f t="shared" si="4"/>
        <v>0</v>
      </c>
      <c r="L11" s="56">
        <f t="shared" si="4"/>
        <v>0</v>
      </c>
      <c r="M11" s="56">
        <v>167.4</v>
      </c>
      <c r="N11" s="56">
        <f t="shared" si="4"/>
        <v>0</v>
      </c>
      <c r="O11" s="64">
        <f t="shared" si="4"/>
        <v>0</v>
      </c>
      <c r="P11" s="58">
        <f t="shared" si="2"/>
        <v>2683.4200000000005</v>
      </c>
      <c r="Q11" s="59">
        <v>1</v>
      </c>
      <c r="R11" s="58">
        <f t="shared" si="0"/>
        <v>2683.4200000000005</v>
      </c>
      <c r="S11" s="60">
        <f t="shared" si="1"/>
        <v>28884.332880000005</v>
      </c>
      <c r="T11" s="46"/>
      <c r="U11" s="46"/>
      <c r="V11" s="1004">
        <f t="shared" si="3"/>
        <v>28884.332880000005</v>
      </c>
      <c r="W11" s="46"/>
      <c r="X11" s="46"/>
      <c r="Y11" s="46"/>
      <c r="Z11" s="46"/>
    </row>
    <row r="12" spans="1:33" ht="13.5" customHeight="1">
      <c r="A12" s="61">
        <v>7</v>
      </c>
      <c r="B12" s="52" t="s">
        <v>254</v>
      </c>
      <c r="C12" s="64">
        <v>2749.87</v>
      </c>
      <c r="D12" s="54">
        <v>-56.77</v>
      </c>
      <c r="E12" s="54">
        <v>-13.72</v>
      </c>
      <c r="F12" s="54">
        <v>-378.2</v>
      </c>
      <c r="G12" s="56">
        <f>G11</f>
        <v>0</v>
      </c>
      <c r="H12" s="56">
        <v>13.4</v>
      </c>
      <c r="I12" s="56">
        <v>12.94</v>
      </c>
      <c r="J12" s="56">
        <v>46.67</v>
      </c>
      <c r="K12" s="56">
        <v>0</v>
      </c>
      <c r="L12" s="56">
        <v>0</v>
      </c>
      <c r="M12" s="56">
        <v>0</v>
      </c>
      <c r="N12" s="56"/>
      <c r="O12" s="64">
        <f>O11</f>
        <v>0</v>
      </c>
      <c r="P12" s="58">
        <f t="shared" si="2"/>
        <v>2374.1900000000005</v>
      </c>
      <c r="Q12" s="59">
        <v>1</v>
      </c>
      <c r="R12" s="58">
        <f t="shared" si="0"/>
        <v>2374.1900000000005</v>
      </c>
      <c r="S12" s="60">
        <f t="shared" si="1"/>
        <v>25555.781160000002</v>
      </c>
      <c r="T12" s="46"/>
      <c r="U12" s="46"/>
      <c r="V12" s="1004">
        <f t="shared" si="3"/>
        <v>25555.781160000002</v>
      </c>
      <c r="W12" s="46"/>
      <c r="X12" s="46"/>
      <c r="Y12" s="46"/>
      <c r="Z12" s="46"/>
    </row>
    <row r="13" spans="1:33" ht="13.5" customHeight="1">
      <c r="A13" s="61">
        <v>8</v>
      </c>
      <c r="B13" s="52" t="s">
        <v>255</v>
      </c>
      <c r="C13" s="64">
        <v>2745.96</v>
      </c>
      <c r="D13" s="54">
        <v>-56.77</v>
      </c>
      <c r="E13" s="54">
        <v>-19.57</v>
      </c>
      <c r="F13" s="54">
        <v>-202.91</v>
      </c>
      <c r="G13" s="56">
        <v>1.0900000000000001</v>
      </c>
      <c r="H13" s="56">
        <v>13.4</v>
      </c>
      <c r="I13" s="56">
        <v>12.94</v>
      </c>
      <c r="J13" s="56">
        <v>46.67</v>
      </c>
      <c r="K13" s="66">
        <f>1371.78*0</f>
        <v>0</v>
      </c>
      <c r="L13" s="66">
        <f>(C13-K13)*0</f>
        <v>0</v>
      </c>
      <c r="M13" s="56">
        <v>0</v>
      </c>
      <c r="N13" s="56">
        <v>0.42</v>
      </c>
      <c r="O13" s="64">
        <f t="shared" si="4"/>
        <v>0</v>
      </c>
      <c r="P13" s="58">
        <f t="shared" si="2"/>
        <v>2541.2300000000005</v>
      </c>
      <c r="Q13" s="59">
        <v>1</v>
      </c>
      <c r="R13" s="58">
        <f t="shared" si="0"/>
        <v>2541.2300000000005</v>
      </c>
      <c r="S13" s="60">
        <f t="shared" si="1"/>
        <v>27353.799720000003</v>
      </c>
      <c r="T13" s="46"/>
      <c r="U13" s="46"/>
      <c r="V13" s="1004">
        <f>+S14</f>
        <v>13576.417919999998</v>
      </c>
      <c r="W13" s="46"/>
      <c r="X13" s="46"/>
      <c r="Y13" s="46"/>
      <c r="Z13" s="46"/>
    </row>
    <row r="14" spans="1:33" ht="13.5" customHeight="1">
      <c r="A14" s="67">
        <v>9</v>
      </c>
      <c r="B14" s="68" t="s">
        <v>256</v>
      </c>
      <c r="C14" s="69">
        <v>1359.04</v>
      </c>
      <c r="D14" s="70">
        <v>-56.77</v>
      </c>
      <c r="E14" s="70">
        <v>-25.27</v>
      </c>
      <c r="F14" s="70">
        <v>-169.84</v>
      </c>
      <c r="G14" s="71">
        <v>1.0900000000000001</v>
      </c>
      <c r="H14" s="71">
        <v>15.47</v>
      </c>
      <c r="I14" s="71">
        <v>14.45</v>
      </c>
      <c r="J14" s="71">
        <v>92.59</v>
      </c>
      <c r="K14" s="71">
        <v>0</v>
      </c>
      <c r="L14" s="71">
        <v>0</v>
      </c>
      <c r="M14" s="71">
        <v>30.1</v>
      </c>
      <c r="N14" s="71">
        <v>0.42</v>
      </c>
      <c r="O14" s="72">
        <f>221.33*0</f>
        <v>0</v>
      </c>
      <c r="P14" s="73">
        <f t="shared" si="2"/>
        <v>1261.28</v>
      </c>
      <c r="Q14" s="74">
        <v>1</v>
      </c>
      <c r="R14" s="73">
        <f t="shared" si="0"/>
        <v>1261.28</v>
      </c>
      <c r="S14" s="75">
        <f t="shared" si="1"/>
        <v>13576.417919999998</v>
      </c>
      <c r="T14" s="46"/>
      <c r="U14" s="885">
        <f>R15/804</f>
        <v>1.5462686567164177</v>
      </c>
      <c r="V14" s="1004">
        <f>+S14-J14*10.764</f>
        <v>12579.779159999998</v>
      </c>
      <c r="W14" s="46"/>
      <c r="X14" s="46"/>
      <c r="Y14" s="46"/>
      <c r="Z14" s="46"/>
    </row>
    <row r="15" spans="1:33" ht="13.5" customHeight="1">
      <c r="A15" s="61">
        <v>10</v>
      </c>
      <c r="B15" s="61" t="s">
        <v>257</v>
      </c>
      <c r="C15" s="64">
        <v>1397.11</v>
      </c>
      <c r="D15" s="54">
        <v>-56.77</v>
      </c>
      <c r="E15" s="54">
        <v>-26.46</v>
      </c>
      <c r="F15" s="54">
        <v>-213.67</v>
      </c>
      <c r="G15" s="56">
        <v>1.0900000000000001</v>
      </c>
      <c r="H15" s="56">
        <v>22.17</v>
      </c>
      <c r="I15" s="56">
        <v>21.02</v>
      </c>
      <c r="J15" s="56">
        <v>95.99</v>
      </c>
      <c r="K15" s="56">
        <v>0</v>
      </c>
      <c r="L15" s="56">
        <v>0</v>
      </c>
      <c r="M15" s="56">
        <v>0</v>
      </c>
      <c r="N15" s="56">
        <v>2.72</v>
      </c>
      <c r="O15" s="57">
        <v>0</v>
      </c>
      <c r="P15" s="58">
        <f>SUM(C15:O15)</f>
        <v>1243.1999999999998</v>
      </c>
      <c r="Q15" s="59">
        <v>1</v>
      </c>
      <c r="R15" s="58">
        <f t="shared" si="0"/>
        <v>1243.1999999999998</v>
      </c>
      <c r="S15" s="60">
        <f t="shared" si="1"/>
        <v>13381.804799999998</v>
      </c>
      <c r="T15" s="1003"/>
      <c r="U15" s="46"/>
      <c r="V15" s="1004">
        <f t="shared" ref="V15:V42" si="5">+S15-J15*10.764</f>
        <v>12348.568439999999</v>
      </c>
      <c r="W15" s="46"/>
      <c r="X15" s="46"/>
      <c r="Y15" s="46"/>
      <c r="Z15" s="46"/>
    </row>
    <row r="16" spans="1:33" ht="13.5" customHeight="1">
      <c r="A16" s="52">
        <v>11</v>
      </c>
      <c r="B16" s="61" t="s">
        <v>258</v>
      </c>
      <c r="C16" s="64">
        <f>C15</f>
        <v>1397.11</v>
      </c>
      <c r="D16" s="54">
        <f t="shared" ref="D16:O20" si="6">D15</f>
        <v>-56.77</v>
      </c>
      <c r="E16" s="54">
        <f t="shared" si="6"/>
        <v>-26.46</v>
      </c>
      <c r="F16" s="54">
        <f t="shared" si="6"/>
        <v>-213.67</v>
      </c>
      <c r="G16" s="56">
        <f t="shared" si="6"/>
        <v>1.0900000000000001</v>
      </c>
      <c r="H16" s="56">
        <f t="shared" si="6"/>
        <v>22.17</v>
      </c>
      <c r="I16" s="56">
        <f t="shared" si="6"/>
        <v>21.02</v>
      </c>
      <c r="J16" s="56">
        <f t="shared" si="6"/>
        <v>95.99</v>
      </c>
      <c r="K16" s="56">
        <f t="shared" si="6"/>
        <v>0</v>
      </c>
      <c r="L16" s="56">
        <f t="shared" si="6"/>
        <v>0</v>
      </c>
      <c r="M16" s="56">
        <f t="shared" si="6"/>
        <v>0</v>
      </c>
      <c r="N16" s="56">
        <f t="shared" si="6"/>
        <v>2.72</v>
      </c>
      <c r="O16" s="64">
        <f t="shared" si="6"/>
        <v>0</v>
      </c>
      <c r="P16" s="58">
        <f t="shared" si="2"/>
        <v>1243.1999999999998</v>
      </c>
      <c r="Q16" s="59">
        <v>1</v>
      </c>
      <c r="R16" s="58">
        <f t="shared" si="0"/>
        <v>1243.1999999999998</v>
      </c>
      <c r="S16" s="60">
        <f t="shared" si="1"/>
        <v>13381.804799999998</v>
      </c>
      <c r="T16" s="885"/>
      <c r="U16" s="46"/>
      <c r="V16" s="1004">
        <f t="shared" si="5"/>
        <v>12348.568439999999</v>
      </c>
      <c r="W16" s="46"/>
      <c r="X16" s="46"/>
      <c r="Y16" s="46"/>
      <c r="Z16" s="46"/>
    </row>
    <row r="17" spans="1:27" ht="13.5" customHeight="1">
      <c r="A17" s="61">
        <v>12</v>
      </c>
      <c r="B17" s="61" t="s">
        <v>259</v>
      </c>
      <c r="C17" s="64">
        <f>C16</f>
        <v>1397.11</v>
      </c>
      <c r="D17" s="54">
        <f t="shared" si="6"/>
        <v>-56.77</v>
      </c>
      <c r="E17" s="54">
        <f t="shared" si="6"/>
        <v>-26.46</v>
      </c>
      <c r="F17" s="54">
        <f t="shared" si="6"/>
        <v>-213.67</v>
      </c>
      <c r="G17" s="56">
        <f t="shared" si="6"/>
        <v>1.0900000000000001</v>
      </c>
      <c r="H17" s="56">
        <f t="shared" si="6"/>
        <v>22.17</v>
      </c>
      <c r="I17" s="56">
        <f t="shared" si="6"/>
        <v>21.02</v>
      </c>
      <c r="J17" s="56">
        <f t="shared" si="6"/>
        <v>95.99</v>
      </c>
      <c r="K17" s="56">
        <f t="shared" si="6"/>
        <v>0</v>
      </c>
      <c r="L17" s="56">
        <f t="shared" si="6"/>
        <v>0</v>
      </c>
      <c r="M17" s="56">
        <f t="shared" si="6"/>
        <v>0</v>
      </c>
      <c r="N17" s="56">
        <f t="shared" si="6"/>
        <v>2.72</v>
      </c>
      <c r="O17" s="57">
        <v>0</v>
      </c>
      <c r="P17" s="58">
        <f t="shared" si="2"/>
        <v>1243.1999999999998</v>
      </c>
      <c r="Q17" s="59">
        <v>1</v>
      </c>
      <c r="R17" s="58">
        <f t="shared" si="0"/>
        <v>1243.1999999999998</v>
      </c>
      <c r="S17" s="60">
        <f t="shared" si="1"/>
        <v>13381.804799999998</v>
      </c>
      <c r="T17" s="885"/>
      <c r="U17" s="46"/>
      <c r="V17" s="1004">
        <f t="shared" si="5"/>
        <v>12348.568439999999</v>
      </c>
      <c r="W17" s="46"/>
      <c r="X17" s="46"/>
      <c r="Y17" s="46"/>
      <c r="Z17" s="46"/>
    </row>
    <row r="18" spans="1:27" ht="13.5" customHeight="1">
      <c r="A18" s="61">
        <v>13</v>
      </c>
      <c r="B18" s="61" t="s">
        <v>260</v>
      </c>
      <c r="C18" s="64">
        <f>C17</f>
        <v>1397.11</v>
      </c>
      <c r="D18" s="54">
        <f t="shared" si="6"/>
        <v>-56.77</v>
      </c>
      <c r="E18" s="54">
        <f t="shared" si="6"/>
        <v>-26.46</v>
      </c>
      <c r="F18" s="54">
        <f t="shared" si="6"/>
        <v>-213.67</v>
      </c>
      <c r="G18" s="56">
        <f t="shared" si="6"/>
        <v>1.0900000000000001</v>
      </c>
      <c r="H18" s="56">
        <f t="shared" si="6"/>
        <v>22.17</v>
      </c>
      <c r="I18" s="56">
        <f t="shared" si="6"/>
        <v>21.02</v>
      </c>
      <c r="J18" s="56">
        <f t="shared" si="6"/>
        <v>95.99</v>
      </c>
      <c r="K18" s="56">
        <f t="shared" si="6"/>
        <v>0</v>
      </c>
      <c r="L18" s="56">
        <f t="shared" si="6"/>
        <v>0</v>
      </c>
      <c r="M18" s="56">
        <f t="shared" si="6"/>
        <v>0</v>
      </c>
      <c r="N18" s="56">
        <f t="shared" si="6"/>
        <v>2.72</v>
      </c>
      <c r="O18" s="57">
        <v>0</v>
      </c>
      <c r="P18" s="58">
        <f t="shared" si="2"/>
        <v>1243.1999999999998</v>
      </c>
      <c r="Q18" s="59">
        <v>1</v>
      </c>
      <c r="R18" s="58">
        <f t="shared" si="0"/>
        <v>1243.1999999999998</v>
      </c>
      <c r="S18" s="60">
        <f t="shared" si="1"/>
        <v>13381.804799999998</v>
      </c>
      <c r="T18" s="46"/>
      <c r="U18" s="46"/>
      <c r="V18" s="1004">
        <f t="shared" si="5"/>
        <v>12348.568439999999</v>
      </c>
      <c r="W18" s="46"/>
      <c r="X18" s="46"/>
      <c r="Y18" s="46"/>
      <c r="Z18" s="46"/>
      <c r="AA18" s="47">
        <f>1630*9</f>
        <v>14670</v>
      </c>
    </row>
    <row r="19" spans="1:27" ht="13.5" customHeight="1">
      <c r="A19" s="61">
        <v>14</v>
      </c>
      <c r="B19" s="61" t="s">
        <v>261</v>
      </c>
      <c r="C19" s="64">
        <f>C18</f>
        <v>1397.11</v>
      </c>
      <c r="D19" s="54">
        <f t="shared" si="6"/>
        <v>-56.77</v>
      </c>
      <c r="E19" s="54">
        <f t="shared" si="6"/>
        <v>-26.46</v>
      </c>
      <c r="F19" s="54">
        <f t="shared" si="6"/>
        <v>-213.67</v>
      </c>
      <c r="G19" s="56">
        <f t="shared" si="6"/>
        <v>1.0900000000000001</v>
      </c>
      <c r="H19" s="56">
        <f t="shared" si="6"/>
        <v>22.17</v>
      </c>
      <c r="I19" s="56">
        <f t="shared" si="6"/>
        <v>21.02</v>
      </c>
      <c r="J19" s="56">
        <f t="shared" si="6"/>
        <v>95.99</v>
      </c>
      <c r="K19" s="56">
        <f t="shared" si="6"/>
        <v>0</v>
      </c>
      <c r="L19" s="56">
        <f t="shared" si="6"/>
        <v>0</v>
      </c>
      <c r="M19" s="56">
        <f t="shared" si="6"/>
        <v>0</v>
      </c>
      <c r="N19" s="56">
        <f t="shared" si="6"/>
        <v>2.72</v>
      </c>
      <c r="O19" s="57">
        <v>0</v>
      </c>
      <c r="P19" s="58">
        <f t="shared" si="2"/>
        <v>1243.1999999999998</v>
      </c>
      <c r="Q19" s="59">
        <v>1</v>
      </c>
      <c r="R19" s="58">
        <f t="shared" si="0"/>
        <v>1243.1999999999998</v>
      </c>
      <c r="S19" s="60">
        <f t="shared" si="1"/>
        <v>13381.804799999998</v>
      </c>
      <c r="T19" s="46"/>
      <c r="U19" s="46"/>
      <c r="V19" s="1004">
        <f t="shared" si="5"/>
        <v>12348.568439999999</v>
      </c>
      <c r="W19" s="46"/>
      <c r="X19" s="46"/>
      <c r="Y19" s="46"/>
      <c r="Z19" s="46"/>
      <c r="AA19" s="47">
        <f>+AA18*10.764</f>
        <v>157907.88</v>
      </c>
    </row>
    <row r="20" spans="1:27" ht="15" customHeight="1">
      <c r="A20" s="52">
        <v>15</v>
      </c>
      <c r="B20" s="61" t="s">
        <v>262</v>
      </c>
      <c r="C20" s="64">
        <f>C19</f>
        <v>1397.11</v>
      </c>
      <c r="D20" s="54">
        <f t="shared" si="6"/>
        <v>-56.77</v>
      </c>
      <c r="E20" s="54">
        <f t="shared" si="6"/>
        <v>-26.46</v>
      </c>
      <c r="F20" s="54">
        <f t="shared" si="6"/>
        <v>-213.67</v>
      </c>
      <c r="G20" s="56">
        <f t="shared" si="6"/>
        <v>1.0900000000000001</v>
      </c>
      <c r="H20" s="56">
        <f t="shared" si="6"/>
        <v>22.17</v>
      </c>
      <c r="I20" s="56">
        <f t="shared" si="6"/>
        <v>21.02</v>
      </c>
      <c r="J20" s="56">
        <f t="shared" si="6"/>
        <v>95.99</v>
      </c>
      <c r="K20" s="56">
        <f t="shared" si="6"/>
        <v>0</v>
      </c>
      <c r="L20" s="56">
        <f t="shared" si="6"/>
        <v>0</v>
      </c>
      <c r="M20" s="56">
        <f t="shared" si="6"/>
        <v>0</v>
      </c>
      <c r="N20" s="56">
        <f t="shared" si="6"/>
        <v>2.72</v>
      </c>
      <c r="O20" s="57">
        <v>0</v>
      </c>
      <c r="P20" s="58">
        <f t="shared" si="2"/>
        <v>1243.1999999999998</v>
      </c>
      <c r="Q20" s="59">
        <v>1</v>
      </c>
      <c r="R20" s="58">
        <f t="shared" si="0"/>
        <v>1243.1999999999998</v>
      </c>
      <c r="S20" s="60">
        <f t="shared" si="1"/>
        <v>13381.804799999998</v>
      </c>
      <c r="T20" s="46"/>
      <c r="U20" s="46"/>
      <c r="V20" s="1004">
        <f t="shared" si="5"/>
        <v>12348.568439999999</v>
      </c>
      <c r="W20" s="46"/>
      <c r="X20" s="46"/>
      <c r="Y20" s="46"/>
      <c r="Z20" s="46"/>
      <c r="AA20" s="1023">
        <f>+AA19*1300</f>
        <v>205280244</v>
      </c>
    </row>
    <row r="21" spans="1:27" ht="13.2">
      <c r="A21" s="68">
        <v>16</v>
      </c>
      <c r="B21" s="68" t="s">
        <v>263</v>
      </c>
      <c r="C21" s="69">
        <v>1410.34</v>
      </c>
      <c r="D21" s="70">
        <v>-56.77</v>
      </c>
      <c r="E21" s="70">
        <v>-26.46</v>
      </c>
      <c r="F21" s="70">
        <v>-188.51</v>
      </c>
      <c r="G21" s="71">
        <v>1.0900000000000001</v>
      </c>
      <c r="H21" s="71">
        <v>15.47</v>
      </c>
      <c r="I21" s="71">
        <v>14.5</v>
      </c>
      <c r="J21" s="71">
        <v>96.21</v>
      </c>
      <c r="K21" s="71">
        <v>0</v>
      </c>
      <c r="L21" s="71">
        <v>0</v>
      </c>
      <c r="M21" s="71">
        <v>0</v>
      </c>
      <c r="N21" s="71">
        <v>0.42</v>
      </c>
      <c r="O21" s="72">
        <f>224.19*0</f>
        <v>0</v>
      </c>
      <c r="P21" s="73">
        <f t="shared" si="2"/>
        <v>1266.29</v>
      </c>
      <c r="Q21" s="74">
        <v>1</v>
      </c>
      <c r="R21" s="73">
        <f t="shared" si="0"/>
        <v>1266.29</v>
      </c>
      <c r="S21" s="75">
        <f t="shared" si="1"/>
        <v>13630.345559999998</v>
      </c>
      <c r="T21" s="46"/>
      <c r="U21" s="46"/>
      <c r="V21" s="1004">
        <f t="shared" si="5"/>
        <v>12594.741119999999</v>
      </c>
      <c r="W21" s="46"/>
      <c r="X21" s="46"/>
      <c r="Y21" s="46"/>
      <c r="Z21" s="46"/>
      <c r="AA21" s="47">
        <f>+AA20/10^7</f>
        <v>20.5280244</v>
      </c>
    </row>
    <row r="22" spans="1:27" ht="13.5" customHeight="1">
      <c r="A22" s="61">
        <v>17</v>
      </c>
      <c r="B22" s="61" t="s">
        <v>264</v>
      </c>
      <c r="C22" s="64">
        <f>C20</f>
        <v>1397.11</v>
      </c>
      <c r="D22" s="54">
        <f>D20</f>
        <v>-56.77</v>
      </c>
      <c r="E22" s="54">
        <f t="shared" ref="E22:O22" si="7">E20</f>
        <v>-26.46</v>
      </c>
      <c r="F22" s="54">
        <f t="shared" si="7"/>
        <v>-213.67</v>
      </c>
      <c r="G22" s="56">
        <f t="shared" si="7"/>
        <v>1.0900000000000001</v>
      </c>
      <c r="H22" s="56">
        <f t="shared" si="7"/>
        <v>22.17</v>
      </c>
      <c r="I22" s="56">
        <f t="shared" si="7"/>
        <v>21.02</v>
      </c>
      <c r="J22" s="56">
        <f t="shared" si="7"/>
        <v>95.99</v>
      </c>
      <c r="K22" s="56">
        <f t="shared" si="7"/>
        <v>0</v>
      </c>
      <c r="L22" s="56">
        <f t="shared" si="7"/>
        <v>0</v>
      </c>
      <c r="M22" s="56">
        <f t="shared" si="7"/>
        <v>0</v>
      </c>
      <c r="N22" s="56">
        <f t="shared" si="7"/>
        <v>2.72</v>
      </c>
      <c r="O22" s="64">
        <f t="shared" si="7"/>
        <v>0</v>
      </c>
      <c r="P22" s="58">
        <f t="shared" si="2"/>
        <v>1243.1999999999998</v>
      </c>
      <c r="Q22" s="59">
        <v>1</v>
      </c>
      <c r="R22" s="58">
        <f t="shared" si="0"/>
        <v>1243.1999999999998</v>
      </c>
      <c r="S22" s="60">
        <f t="shared" si="1"/>
        <v>13381.804799999998</v>
      </c>
      <c r="T22" s="885">
        <f>R22*3</f>
        <v>3729.5999999999995</v>
      </c>
      <c r="U22" s="885"/>
      <c r="V22" s="1004">
        <f t="shared" si="5"/>
        <v>12348.568439999999</v>
      </c>
      <c r="W22" s="46"/>
      <c r="X22" s="46"/>
      <c r="Y22" s="46"/>
      <c r="Z22" s="46"/>
    </row>
    <row r="23" spans="1:27" ht="13.2">
      <c r="A23" s="52">
        <v>18</v>
      </c>
      <c r="B23" s="61" t="s">
        <v>265</v>
      </c>
      <c r="C23" s="76">
        <f>C22</f>
        <v>1397.11</v>
      </c>
      <c r="D23" s="77">
        <f t="shared" ref="D23:O27" si="8">D22</f>
        <v>-56.77</v>
      </c>
      <c r="E23" s="77">
        <f t="shared" si="8"/>
        <v>-26.46</v>
      </c>
      <c r="F23" s="77">
        <f t="shared" si="8"/>
        <v>-213.67</v>
      </c>
      <c r="G23" s="78">
        <f t="shared" si="8"/>
        <v>1.0900000000000001</v>
      </c>
      <c r="H23" s="78">
        <f t="shared" si="8"/>
        <v>22.17</v>
      </c>
      <c r="I23" s="78">
        <f t="shared" si="8"/>
        <v>21.02</v>
      </c>
      <c r="J23" s="78">
        <f t="shared" si="8"/>
        <v>95.99</v>
      </c>
      <c r="K23" s="78">
        <f t="shared" si="8"/>
        <v>0</v>
      </c>
      <c r="L23" s="78">
        <f t="shared" si="8"/>
        <v>0</v>
      </c>
      <c r="M23" s="78">
        <f t="shared" si="8"/>
        <v>0</v>
      </c>
      <c r="N23" s="78">
        <f t="shared" si="8"/>
        <v>2.72</v>
      </c>
      <c r="O23" s="76">
        <f t="shared" si="8"/>
        <v>0</v>
      </c>
      <c r="P23" s="58">
        <f t="shared" si="2"/>
        <v>1243.1999999999998</v>
      </c>
      <c r="Q23" s="59">
        <v>1</v>
      </c>
      <c r="R23" s="58">
        <f t="shared" si="0"/>
        <v>1243.1999999999998</v>
      </c>
      <c r="S23" s="60">
        <f t="shared" si="1"/>
        <v>13381.804799999998</v>
      </c>
      <c r="T23" s="46"/>
      <c r="U23" s="46"/>
      <c r="V23" s="1004">
        <f t="shared" si="5"/>
        <v>12348.568439999999</v>
      </c>
      <c r="W23" s="46"/>
      <c r="X23" s="46"/>
      <c r="Y23" s="46"/>
      <c r="Z23" s="46"/>
    </row>
    <row r="24" spans="1:27" ht="13.5" customHeight="1">
      <c r="A24" s="61">
        <v>19</v>
      </c>
      <c r="B24" s="61" t="s">
        <v>266</v>
      </c>
      <c r="C24" s="64">
        <v>1415.01</v>
      </c>
      <c r="D24" s="54">
        <v>-56.77</v>
      </c>
      <c r="E24" s="54">
        <v>-26.13</v>
      </c>
      <c r="F24" s="54">
        <v>-170.18</v>
      </c>
      <c r="G24" s="56">
        <v>0</v>
      </c>
      <c r="H24" s="56">
        <v>30.94</v>
      </c>
      <c r="I24" s="65">
        <v>29</v>
      </c>
      <c r="J24" s="56">
        <v>94.98</v>
      </c>
      <c r="K24" s="56">
        <v>0</v>
      </c>
      <c r="L24" s="56">
        <v>0</v>
      </c>
      <c r="M24" s="56">
        <v>0</v>
      </c>
      <c r="N24" s="78">
        <f t="shared" si="8"/>
        <v>2.72</v>
      </c>
      <c r="O24" s="57">
        <v>0</v>
      </c>
      <c r="P24" s="58">
        <f t="shared" si="2"/>
        <v>1319.57</v>
      </c>
      <c r="Q24" s="59">
        <v>1</v>
      </c>
      <c r="R24" s="58">
        <f t="shared" si="0"/>
        <v>1319.57</v>
      </c>
      <c r="S24" s="60">
        <f t="shared" si="1"/>
        <v>14203.851479999999</v>
      </c>
      <c r="T24" s="46"/>
      <c r="U24" s="46"/>
      <c r="V24" s="1004">
        <f t="shared" si="5"/>
        <v>13181.48676</v>
      </c>
      <c r="W24" s="46"/>
      <c r="X24" s="46"/>
      <c r="Y24" s="46"/>
      <c r="Z24" s="46"/>
    </row>
    <row r="25" spans="1:27" ht="13.5" customHeight="1">
      <c r="A25" s="61">
        <v>20</v>
      </c>
      <c r="B25" s="61" t="s">
        <v>267</v>
      </c>
      <c r="C25" s="58">
        <f>C24</f>
        <v>1415.01</v>
      </c>
      <c r="D25" s="55">
        <f t="shared" ref="D25:M27" si="9">D24</f>
        <v>-56.77</v>
      </c>
      <c r="E25" s="55">
        <f t="shared" si="9"/>
        <v>-26.13</v>
      </c>
      <c r="F25" s="55">
        <f t="shared" si="9"/>
        <v>-170.18</v>
      </c>
      <c r="G25" s="65">
        <f t="shared" si="9"/>
        <v>0</v>
      </c>
      <c r="H25" s="65">
        <f t="shared" si="9"/>
        <v>30.94</v>
      </c>
      <c r="I25" s="65">
        <f t="shared" si="9"/>
        <v>29</v>
      </c>
      <c r="J25" s="65">
        <f t="shared" si="9"/>
        <v>94.98</v>
      </c>
      <c r="K25" s="65">
        <f t="shared" si="9"/>
        <v>0</v>
      </c>
      <c r="L25" s="65">
        <f t="shared" si="9"/>
        <v>0</v>
      </c>
      <c r="M25" s="65">
        <f t="shared" si="9"/>
        <v>0</v>
      </c>
      <c r="N25" s="65">
        <f t="shared" si="8"/>
        <v>2.72</v>
      </c>
      <c r="O25" s="58">
        <f>O24</f>
        <v>0</v>
      </c>
      <c r="P25" s="58">
        <f t="shared" si="2"/>
        <v>1319.57</v>
      </c>
      <c r="Q25" s="59">
        <v>1</v>
      </c>
      <c r="R25" s="58">
        <f t="shared" si="0"/>
        <v>1319.57</v>
      </c>
      <c r="S25" s="60">
        <f t="shared" si="1"/>
        <v>14203.851479999999</v>
      </c>
      <c r="T25" s="46"/>
      <c r="U25" s="46"/>
      <c r="V25" s="1004">
        <f t="shared" si="5"/>
        <v>13181.48676</v>
      </c>
      <c r="W25" s="46"/>
      <c r="X25" s="46"/>
      <c r="Y25" s="46"/>
      <c r="Z25" s="46"/>
    </row>
    <row r="26" spans="1:27" ht="13.5" customHeight="1">
      <c r="A26" s="52">
        <v>21</v>
      </c>
      <c r="B26" s="61" t="s">
        <v>268</v>
      </c>
      <c r="C26" s="58">
        <f>C25</f>
        <v>1415.01</v>
      </c>
      <c r="D26" s="55">
        <f t="shared" si="9"/>
        <v>-56.77</v>
      </c>
      <c r="E26" s="55">
        <f t="shared" si="9"/>
        <v>-26.13</v>
      </c>
      <c r="F26" s="55">
        <f t="shared" si="9"/>
        <v>-170.18</v>
      </c>
      <c r="G26" s="65">
        <f t="shared" si="9"/>
        <v>0</v>
      </c>
      <c r="H26" s="65">
        <f t="shared" si="9"/>
        <v>30.94</v>
      </c>
      <c r="I26" s="65">
        <f t="shared" si="9"/>
        <v>29</v>
      </c>
      <c r="J26" s="65">
        <f t="shared" si="9"/>
        <v>94.98</v>
      </c>
      <c r="K26" s="65">
        <f t="shared" si="9"/>
        <v>0</v>
      </c>
      <c r="L26" s="65">
        <f t="shared" si="9"/>
        <v>0</v>
      </c>
      <c r="M26" s="65">
        <f t="shared" si="9"/>
        <v>0</v>
      </c>
      <c r="N26" s="65">
        <f t="shared" si="8"/>
        <v>2.72</v>
      </c>
      <c r="O26" s="58">
        <f>O25</f>
        <v>0</v>
      </c>
      <c r="P26" s="58">
        <f t="shared" si="2"/>
        <v>1319.57</v>
      </c>
      <c r="Q26" s="59">
        <v>1</v>
      </c>
      <c r="R26" s="58">
        <f t="shared" si="0"/>
        <v>1319.57</v>
      </c>
      <c r="S26" s="60">
        <f t="shared" si="1"/>
        <v>14203.851479999999</v>
      </c>
      <c r="T26" s="46"/>
      <c r="U26" s="46"/>
      <c r="V26" s="1004">
        <f t="shared" si="5"/>
        <v>13181.48676</v>
      </c>
      <c r="W26" s="46"/>
      <c r="X26" s="46"/>
      <c r="Y26" s="46"/>
      <c r="Z26" s="46"/>
    </row>
    <row r="27" spans="1:27" ht="13.5" customHeight="1">
      <c r="A27" s="52">
        <v>22</v>
      </c>
      <c r="B27" s="61" t="s">
        <v>269</v>
      </c>
      <c r="C27" s="58">
        <f>C26</f>
        <v>1415.01</v>
      </c>
      <c r="D27" s="55">
        <f t="shared" si="9"/>
        <v>-56.77</v>
      </c>
      <c r="E27" s="55">
        <f t="shared" si="9"/>
        <v>-26.13</v>
      </c>
      <c r="F27" s="55">
        <f t="shared" si="9"/>
        <v>-170.18</v>
      </c>
      <c r="G27" s="65">
        <f t="shared" si="9"/>
        <v>0</v>
      </c>
      <c r="H27" s="65">
        <f t="shared" si="9"/>
        <v>30.94</v>
      </c>
      <c r="I27" s="65">
        <f t="shared" si="9"/>
        <v>29</v>
      </c>
      <c r="J27" s="65">
        <f t="shared" si="9"/>
        <v>94.98</v>
      </c>
      <c r="K27" s="65">
        <f t="shared" si="9"/>
        <v>0</v>
      </c>
      <c r="L27" s="65">
        <f t="shared" si="9"/>
        <v>0</v>
      </c>
      <c r="M27" s="65">
        <f t="shared" si="9"/>
        <v>0</v>
      </c>
      <c r="N27" s="65">
        <f t="shared" si="8"/>
        <v>2.72</v>
      </c>
      <c r="O27" s="58">
        <f>O26</f>
        <v>0</v>
      </c>
      <c r="P27" s="58">
        <f t="shared" si="2"/>
        <v>1319.57</v>
      </c>
      <c r="Q27" s="59">
        <v>1</v>
      </c>
      <c r="R27" s="58">
        <f t="shared" si="0"/>
        <v>1319.57</v>
      </c>
      <c r="S27" s="60">
        <f t="shared" si="1"/>
        <v>14203.851479999999</v>
      </c>
      <c r="T27" s="46"/>
      <c r="U27" s="46"/>
      <c r="V27" s="1004">
        <f t="shared" si="5"/>
        <v>13181.48676</v>
      </c>
      <c r="W27" s="46"/>
      <c r="X27" s="46"/>
      <c r="Y27" s="46"/>
      <c r="Z27" s="46"/>
    </row>
    <row r="28" spans="1:27" ht="13.5" customHeight="1">
      <c r="A28" s="68">
        <v>23</v>
      </c>
      <c r="B28" s="68" t="s">
        <v>270</v>
      </c>
      <c r="C28" s="79">
        <v>1434.59</v>
      </c>
      <c r="D28" s="80">
        <v>-56.77</v>
      </c>
      <c r="E28" s="80">
        <v>-26.13</v>
      </c>
      <c r="F28" s="80">
        <v>-145.97999999999999</v>
      </c>
      <c r="G28" s="81">
        <v>0</v>
      </c>
      <c r="H28" s="81">
        <v>24.22</v>
      </c>
      <c r="I28" s="81">
        <v>22.47</v>
      </c>
      <c r="J28" s="81">
        <v>88.39</v>
      </c>
      <c r="K28" s="81">
        <v>0</v>
      </c>
      <c r="L28" s="81">
        <v>0</v>
      </c>
      <c r="M28" s="71">
        <v>0</v>
      </c>
      <c r="N28" s="81">
        <v>0.42</v>
      </c>
      <c r="O28" s="82">
        <f>237.82*0</f>
        <v>0</v>
      </c>
      <c r="P28" s="73">
        <f t="shared" si="2"/>
        <v>1341.21</v>
      </c>
      <c r="Q28" s="74">
        <v>1</v>
      </c>
      <c r="R28" s="73">
        <f t="shared" si="0"/>
        <v>1341.21</v>
      </c>
      <c r="S28" s="75">
        <f t="shared" si="1"/>
        <v>14436.784439999999</v>
      </c>
      <c r="T28" s="46"/>
      <c r="U28" s="46"/>
      <c r="V28" s="1004">
        <f t="shared" si="5"/>
        <v>13485.35448</v>
      </c>
      <c r="W28" s="46"/>
      <c r="X28" s="46"/>
      <c r="Y28" s="46"/>
      <c r="Z28" s="46"/>
    </row>
    <row r="29" spans="1:27" ht="13.5" customHeight="1">
      <c r="A29" s="52">
        <v>24</v>
      </c>
      <c r="B29" s="61" t="s">
        <v>271</v>
      </c>
      <c r="C29" s="64">
        <f>C24</f>
        <v>1415.01</v>
      </c>
      <c r="D29" s="54">
        <f t="shared" ref="D29:O30" si="10">D24</f>
        <v>-56.77</v>
      </c>
      <c r="E29" s="54">
        <f t="shared" si="10"/>
        <v>-26.13</v>
      </c>
      <c r="F29" s="54">
        <f t="shared" si="10"/>
        <v>-170.18</v>
      </c>
      <c r="G29" s="56">
        <f t="shared" si="10"/>
        <v>0</v>
      </c>
      <c r="H29" s="56">
        <f t="shared" si="10"/>
        <v>30.94</v>
      </c>
      <c r="I29" s="56">
        <f t="shared" si="10"/>
        <v>29</v>
      </c>
      <c r="J29" s="56">
        <f t="shared" si="10"/>
        <v>94.98</v>
      </c>
      <c r="K29" s="56">
        <f t="shared" si="10"/>
        <v>0</v>
      </c>
      <c r="L29" s="56">
        <f t="shared" si="10"/>
        <v>0</v>
      </c>
      <c r="M29" s="56">
        <f t="shared" si="10"/>
        <v>0</v>
      </c>
      <c r="N29" s="56">
        <f t="shared" si="10"/>
        <v>2.72</v>
      </c>
      <c r="O29" s="56">
        <f t="shared" si="10"/>
        <v>0</v>
      </c>
      <c r="P29" s="58">
        <f t="shared" si="2"/>
        <v>1319.57</v>
      </c>
      <c r="Q29" s="59">
        <v>1</v>
      </c>
      <c r="R29" s="58">
        <f t="shared" si="0"/>
        <v>1319.57</v>
      </c>
      <c r="S29" s="60">
        <f t="shared" si="1"/>
        <v>14203.851479999999</v>
      </c>
      <c r="T29" s="46"/>
      <c r="U29" s="46"/>
      <c r="V29" s="1004">
        <f t="shared" si="5"/>
        <v>13181.48676</v>
      </c>
      <c r="W29" s="46"/>
      <c r="X29" s="46"/>
      <c r="Y29" s="46"/>
      <c r="Z29" s="46"/>
    </row>
    <row r="30" spans="1:27" ht="13.5" customHeight="1">
      <c r="A30" s="52">
        <v>25</v>
      </c>
      <c r="B30" s="61" t="s">
        <v>272</v>
      </c>
      <c r="C30" s="64">
        <f>C25</f>
        <v>1415.01</v>
      </c>
      <c r="D30" s="54">
        <v>-56.77</v>
      </c>
      <c r="E30" s="54">
        <v>-26.13</v>
      </c>
      <c r="F30" s="54">
        <v>-171.14</v>
      </c>
      <c r="G30" s="56">
        <v>0</v>
      </c>
      <c r="H30" s="56">
        <v>39.340000000000003</v>
      </c>
      <c r="I30" s="56">
        <v>28.95</v>
      </c>
      <c r="J30" s="56">
        <v>90.37</v>
      </c>
      <c r="K30" s="56">
        <f t="shared" si="10"/>
        <v>0</v>
      </c>
      <c r="L30" s="56">
        <f t="shared" si="10"/>
        <v>0</v>
      </c>
      <c r="M30" s="56">
        <f t="shared" si="10"/>
        <v>0</v>
      </c>
      <c r="N30" s="56">
        <v>2.72</v>
      </c>
      <c r="O30" s="56">
        <f t="shared" si="10"/>
        <v>0</v>
      </c>
      <c r="P30" s="58">
        <f t="shared" si="2"/>
        <v>1322.3499999999997</v>
      </c>
      <c r="Q30" s="59">
        <v>1</v>
      </c>
      <c r="R30" s="58">
        <f t="shared" si="0"/>
        <v>1322.3499999999997</v>
      </c>
      <c r="S30" s="60">
        <f t="shared" si="1"/>
        <v>14233.775399999995</v>
      </c>
      <c r="T30" s="46"/>
      <c r="U30" s="46">
        <v>38442</v>
      </c>
      <c r="V30" s="1004">
        <f t="shared" si="5"/>
        <v>13261.032719999996</v>
      </c>
      <c r="W30" s="46"/>
      <c r="X30" s="46"/>
      <c r="Y30" s="46"/>
      <c r="Z30" s="46"/>
    </row>
    <row r="31" spans="1:27" ht="13.5" customHeight="1">
      <c r="A31" s="61">
        <v>26</v>
      </c>
      <c r="B31" s="61" t="s">
        <v>273</v>
      </c>
      <c r="C31" s="64">
        <f>C30</f>
        <v>1415.01</v>
      </c>
      <c r="D31" s="54">
        <f t="shared" ref="D31:O33" si="11">D30</f>
        <v>-56.77</v>
      </c>
      <c r="E31" s="54">
        <f t="shared" si="11"/>
        <v>-26.13</v>
      </c>
      <c r="F31" s="54">
        <f t="shared" si="11"/>
        <v>-171.14</v>
      </c>
      <c r="G31" s="56">
        <f t="shared" si="11"/>
        <v>0</v>
      </c>
      <c r="H31" s="56">
        <f t="shared" si="11"/>
        <v>39.340000000000003</v>
      </c>
      <c r="I31" s="56">
        <f t="shared" si="11"/>
        <v>28.95</v>
      </c>
      <c r="J31" s="56">
        <f t="shared" si="11"/>
        <v>90.37</v>
      </c>
      <c r="K31" s="56">
        <f t="shared" si="11"/>
        <v>0</v>
      </c>
      <c r="L31" s="56">
        <f t="shared" si="11"/>
        <v>0</v>
      </c>
      <c r="M31" s="56">
        <f t="shared" si="11"/>
        <v>0</v>
      </c>
      <c r="N31" s="56">
        <f t="shared" si="11"/>
        <v>2.72</v>
      </c>
      <c r="O31" s="56">
        <f t="shared" si="11"/>
        <v>0</v>
      </c>
      <c r="P31" s="58">
        <f t="shared" ref="P31:P33" si="12">SUM(C31:O31)</f>
        <v>1322.3499999999997</v>
      </c>
      <c r="Q31" s="59">
        <v>1</v>
      </c>
      <c r="R31" s="58">
        <f t="shared" si="0"/>
        <v>1322.3499999999997</v>
      </c>
      <c r="S31" s="60">
        <f t="shared" si="1"/>
        <v>14233.775399999995</v>
      </c>
      <c r="T31" s="46"/>
      <c r="U31" s="46">
        <f>U30*3.5</f>
        <v>134547</v>
      </c>
      <c r="V31" s="1004">
        <f t="shared" si="5"/>
        <v>13261.032719999996</v>
      </c>
      <c r="W31" s="46"/>
      <c r="X31" s="46"/>
      <c r="Y31" s="46"/>
      <c r="Z31" s="46"/>
    </row>
    <row r="32" spans="1:27" ht="13.5" customHeight="1">
      <c r="A32" s="52">
        <v>27</v>
      </c>
      <c r="B32" s="61" t="s">
        <v>274</v>
      </c>
      <c r="C32" s="64">
        <f>C31</f>
        <v>1415.01</v>
      </c>
      <c r="D32" s="54">
        <f t="shared" si="11"/>
        <v>-56.77</v>
      </c>
      <c r="E32" s="54">
        <f t="shared" si="11"/>
        <v>-26.13</v>
      </c>
      <c r="F32" s="54">
        <f t="shared" si="11"/>
        <v>-171.14</v>
      </c>
      <c r="G32" s="56">
        <f t="shared" si="11"/>
        <v>0</v>
      </c>
      <c r="H32" s="56">
        <f t="shared" si="11"/>
        <v>39.340000000000003</v>
      </c>
      <c r="I32" s="56">
        <f t="shared" si="11"/>
        <v>28.95</v>
      </c>
      <c r="J32" s="56">
        <f t="shared" si="11"/>
        <v>90.37</v>
      </c>
      <c r="K32" s="56">
        <f t="shared" si="11"/>
        <v>0</v>
      </c>
      <c r="L32" s="56">
        <f t="shared" si="11"/>
        <v>0</v>
      </c>
      <c r="M32" s="56">
        <f t="shared" si="11"/>
        <v>0</v>
      </c>
      <c r="N32" s="56">
        <f t="shared" si="11"/>
        <v>2.72</v>
      </c>
      <c r="O32" s="56">
        <f t="shared" si="11"/>
        <v>0</v>
      </c>
      <c r="P32" s="58">
        <f t="shared" si="12"/>
        <v>1322.3499999999997</v>
      </c>
      <c r="Q32" s="59">
        <v>1</v>
      </c>
      <c r="R32" s="58">
        <f t="shared" si="0"/>
        <v>1322.3499999999997</v>
      </c>
      <c r="S32" s="60">
        <f t="shared" si="1"/>
        <v>14233.775399999995</v>
      </c>
      <c r="T32" s="46"/>
      <c r="U32" s="887">
        <f>U31*725</f>
        <v>97546575</v>
      </c>
      <c r="V32" s="1004">
        <f t="shared" si="5"/>
        <v>13261.032719999996</v>
      </c>
      <c r="W32" s="46"/>
      <c r="X32" s="46"/>
      <c r="Y32" s="46"/>
      <c r="Z32" s="46"/>
    </row>
    <row r="33" spans="1:26" ht="13.2" customHeight="1">
      <c r="A33" s="52">
        <v>28</v>
      </c>
      <c r="B33" s="61" t="s">
        <v>275</v>
      </c>
      <c r="C33" s="64">
        <f>C32</f>
        <v>1415.01</v>
      </c>
      <c r="D33" s="54">
        <f t="shared" si="11"/>
        <v>-56.77</v>
      </c>
      <c r="E33" s="54">
        <f t="shared" si="11"/>
        <v>-26.13</v>
      </c>
      <c r="F33" s="54">
        <f t="shared" si="11"/>
        <v>-171.14</v>
      </c>
      <c r="G33" s="56">
        <f t="shared" si="11"/>
        <v>0</v>
      </c>
      <c r="H33" s="56">
        <f t="shared" si="11"/>
        <v>39.340000000000003</v>
      </c>
      <c r="I33" s="56">
        <f t="shared" si="11"/>
        <v>28.95</v>
      </c>
      <c r="J33" s="56">
        <f t="shared" si="11"/>
        <v>90.37</v>
      </c>
      <c r="K33" s="56">
        <f t="shared" si="11"/>
        <v>0</v>
      </c>
      <c r="L33" s="56">
        <f t="shared" si="11"/>
        <v>0</v>
      </c>
      <c r="M33" s="56">
        <f t="shared" si="11"/>
        <v>0</v>
      </c>
      <c r="N33" s="56">
        <f t="shared" si="11"/>
        <v>2.72</v>
      </c>
      <c r="O33" s="56">
        <f t="shared" si="11"/>
        <v>0</v>
      </c>
      <c r="P33" s="58">
        <f t="shared" si="12"/>
        <v>1322.3499999999997</v>
      </c>
      <c r="Q33" s="59">
        <v>1</v>
      </c>
      <c r="R33" s="58">
        <f t="shared" si="0"/>
        <v>1322.3499999999997</v>
      </c>
      <c r="S33" s="60">
        <f t="shared" si="1"/>
        <v>14233.775399999995</v>
      </c>
      <c r="T33" s="46"/>
      <c r="U33" s="46"/>
      <c r="V33" s="1004">
        <f t="shared" si="5"/>
        <v>13261.032719999996</v>
      </c>
      <c r="W33" s="46"/>
      <c r="X33" s="46"/>
      <c r="Y33" s="46"/>
      <c r="Z33" s="46"/>
    </row>
    <row r="34" spans="1:26" ht="13.2" customHeight="1">
      <c r="A34" s="61">
        <v>29</v>
      </c>
      <c r="B34" s="61" t="s">
        <v>276</v>
      </c>
      <c r="C34" s="58">
        <f>C30</f>
        <v>1415.01</v>
      </c>
      <c r="D34" s="55">
        <f t="shared" ref="D34:O34" si="13">D30</f>
        <v>-56.77</v>
      </c>
      <c r="E34" s="55">
        <f t="shared" si="13"/>
        <v>-26.13</v>
      </c>
      <c r="F34" s="55">
        <f t="shared" si="13"/>
        <v>-171.14</v>
      </c>
      <c r="G34" s="65">
        <f t="shared" si="13"/>
        <v>0</v>
      </c>
      <c r="H34" s="65">
        <f t="shared" si="13"/>
        <v>39.340000000000003</v>
      </c>
      <c r="I34" s="65">
        <f t="shared" si="13"/>
        <v>28.95</v>
      </c>
      <c r="J34" s="65">
        <f t="shared" si="13"/>
        <v>90.37</v>
      </c>
      <c r="K34" s="65">
        <f t="shared" si="13"/>
        <v>0</v>
      </c>
      <c r="L34" s="65">
        <f t="shared" si="13"/>
        <v>0</v>
      </c>
      <c r="M34" s="65">
        <f t="shared" si="13"/>
        <v>0</v>
      </c>
      <c r="N34" s="65">
        <f t="shared" si="13"/>
        <v>2.72</v>
      </c>
      <c r="O34" s="58">
        <f t="shared" si="13"/>
        <v>0</v>
      </c>
      <c r="P34" s="58">
        <f t="shared" si="2"/>
        <v>1322.3499999999997</v>
      </c>
      <c r="Q34" s="59">
        <v>1</v>
      </c>
      <c r="R34" s="58">
        <f t="shared" si="0"/>
        <v>1322.3499999999997</v>
      </c>
      <c r="S34" s="60">
        <f t="shared" si="1"/>
        <v>14233.775399999995</v>
      </c>
      <c r="T34" s="46"/>
      <c r="U34" s="46"/>
      <c r="V34" s="1004">
        <f t="shared" si="5"/>
        <v>13261.032719999996</v>
      </c>
      <c r="W34" s="46"/>
      <c r="X34" s="46"/>
      <c r="Y34" s="46"/>
      <c r="Z34" s="46"/>
    </row>
    <row r="35" spans="1:26" ht="13.2" customHeight="1">
      <c r="A35" s="67">
        <v>30</v>
      </c>
      <c r="B35" s="68" t="s">
        <v>277</v>
      </c>
      <c r="C35" s="73">
        <v>1434.59</v>
      </c>
      <c r="D35" s="80">
        <v>-56.77</v>
      </c>
      <c r="E35" s="80">
        <v>-26.13</v>
      </c>
      <c r="F35" s="80">
        <v>-145.97999999999999</v>
      </c>
      <c r="G35" s="81">
        <v>0</v>
      </c>
      <c r="H35" s="81">
        <v>28.44</v>
      </c>
      <c r="I35" s="81">
        <v>22.47</v>
      </c>
      <c r="J35" s="81">
        <v>86.09</v>
      </c>
      <c r="K35" s="81">
        <v>0</v>
      </c>
      <c r="L35" s="81">
        <v>0</v>
      </c>
      <c r="M35" s="81">
        <v>0</v>
      </c>
      <c r="N35" s="81">
        <v>0.42</v>
      </c>
      <c r="O35" s="82">
        <f>234.42*0</f>
        <v>0</v>
      </c>
      <c r="P35" s="73">
        <f t="shared" si="2"/>
        <v>1343.1299999999999</v>
      </c>
      <c r="Q35" s="74">
        <v>1</v>
      </c>
      <c r="R35" s="73">
        <f t="shared" si="0"/>
        <v>1343.1299999999999</v>
      </c>
      <c r="S35" s="75">
        <f t="shared" si="1"/>
        <v>14457.451319999998</v>
      </c>
      <c r="T35" s="46"/>
      <c r="U35" s="46"/>
      <c r="V35" s="1004">
        <f t="shared" si="5"/>
        <v>13530.778559999999</v>
      </c>
      <c r="W35" s="46"/>
      <c r="X35" s="46"/>
      <c r="Y35" s="46"/>
      <c r="Z35" s="46"/>
    </row>
    <row r="36" spans="1:26" ht="13.2" customHeight="1">
      <c r="A36" s="52">
        <v>31</v>
      </c>
      <c r="B36" s="61" t="s">
        <v>278</v>
      </c>
      <c r="C36" s="58">
        <f>C30</f>
        <v>1415.01</v>
      </c>
      <c r="D36" s="55">
        <f t="shared" ref="D36:O36" si="14">D30</f>
        <v>-56.77</v>
      </c>
      <c r="E36" s="55">
        <f t="shared" si="14"/>
        <v>-26.13</v>
      </c>
      <c r="F36" s="55">
        <f t="shared" si="14"/>
        <v>-171.14</v>
      </c>
      <c r="G36" s="65">
        <f t="shared" si="14"/>
        <v>0</v>
      </c>
      <c r="H36" s="65">
        <f t="shared" si="14"/>
        <v>39.340000000000003</v>
      </c>
      <c r="I36" s="65">
        <f t="shared" si="14"/>
        <v>28.95</v>
      </c>
      <c r="J36" s="65">
        <f t="shared" si="14"/>
        <v>90.37</v>
      </c>
      <c r="K36" s="65">
        <f t="shared" si="14"/>
        <v>0</v>
      </c>
      <c r="L36" s="65">
        <f t="shared" si="14"/>
        <v>0</v>
      </c>
      <c r="M36" s="65">
        <f t="shared" si="14"/>
        <v>0</v>
      </c>
      <c r="N36" s="65">
        <f t="shared" si="14"/>
        <v>2.72</v>
      </c>
      <c r="O36" s="58">
        <f t="shared" si="14"/>
        <v>0</v>
      </c>
      <c r="P36" s="58">
        <f t="shared" si="2"/>
        <v>1322.3499999999997</v>
      </c>
      <c r="Q36" s="59">
        <v>1</v>
      </c>
      <c r="R36" s="58">
        <f t="shared" si="0"/>
        <v>1322.3499999999997</v>
      </c>
      <c r="S36" s="60">
        <f t="shared" si="1"/>
        <v>14233.775399999995</v>
      </c>
      <c r="T36" s="46"/>
      <c r="U36" s="46"/>
      <c r="V36" s="1004">
        <f t="shared" si="5"/>
        <v>13261.032719999996</v>
      </c>
      <c r="W36" s="46"/>
      <c r="X36" s="46"/>
      <c r="Y36" s="46"/>
      <c r="Z36" s="46"/>
    </row>
    <row r="37" spans="1:26" ht="13.2" customHeight="1">
      <c r="A37" s="61">
        <v>32</v>
      </c>
      <c r="B37" s="61" t="s">
        <v>279</v>
      </c>
      <c r="C37" s="58">
        <f>C30</f>
        <v>1415.01</v>
      </c>
      <c r="D37" s="55">
        <f t="shared" ref="D37:O37" si="15">D30</f>
        <v>-56.77</v>
      </c>
      <c r="E37" s="55">
        <f t="shared" si="15"/>
        <v>-26.13</v>
      </c>
      <c r="F37" s="55">
        <f t="shared" si="15"/>
        <v>-171.14</v>
      </c>
      <c r="G37" s="65">
        <f t="shared" si="15"/>
        <v>0</v>
      </c>
      <c r="H37" s="65">
        <f t="shared" si="15"/>
        <v>39.340000000000003</v>
      </c>
      <c r="I37" s="65">
        <f t="shared" si="15"/>
        <v>28.95</v>
      </c>
      <c r="J37" s="65">
        <f t="shared" si="15"/>
        <v>90.37</v>
      </c>
      <c r="K37" s="65">
        <f t="shared" si="15"/>
        <v>0</v>
      </c>
      <c r="L37" s="65">
        <f t="shared" si="15"/>
        <v>0</v>
      </c>
      <c r="M37" s="65">
        <f t="shared" si="15"/>
        <v>0</v>
      </c>
      <c r="N37" s="65">
        <f t="shared" si="15"/>
        <v>2.72</v>
      </c>
      <c r="O37" s="58">
        <f t="shared" si="15"/>
        <v>0</v>
      </c>
      <c r="P37" s="58">
        <f t="shared" si="2"/>
        <v>1322.3499999999997</v>
      </c>
      <c r="Q37" s="59">
        <v>1</v>
      </c>
      <c r="R37" s="58">
        <f t="shared" si="0"/>
        <v>1322.3499999999997</v>
      </c>
      <c r="S37" s="60">
        <f t="shared" si="1"/>
        <v>14233.775399999995</v>
      </c>
      <c r="T37" s="46"/>
      <c r="U37" s="46"/>
      <c r="V37" s="1004">
        <f t="shared" si="5"/>
        <v>13261.032719999996</v>
      </c>
      <c r="W37" s="46"/>
      <c r="X37" s="46"/>
      <c r="Y37" s="46"/>
      <c r="Z37" s="46"/>
    </row>
    <row r="38" spans="1:26" ht="13.2" customHeight="1">
      <c r="A38" s="52">
        <v>33</v>
      </c>
      <c r="B38" s="61" t="s">
        <v>280</v>
      </c>
      <c r="C38" s="58">
        <f>C30</f>
        <v>1415.01</v>
      </c>
      <c r="D38" s="55">
        <f t="shared" ref="D38:O38" si="16">D30</f>
        <v>-56.77</v>
      </c>
      <c r="E38" s="55">
        <f t="shared" si="16"/>
        <v>-26.13</v>
      </c>
      <c r="F38" s="55">
        <f t="shared" si="16"/>
        <v>-171.14</v>
      </c>
      <c r="G38" s="65">
        <f t="shared" si="16"/>
        <v>0</v>
      </c>
      <c r="H38" s="65">
        <f t="shared" si="16"/>
        <v>39.340000000000003</v>
      </c>
      <c r="I38" s="65">
        <f t="shared" si="16"/>
        <v>28.95</v>
      </c>
      <c r="J38" s="65">
        <f t="shared" si="16"/>
        <v>90.37</v>
      </c>
      <c r="K38" s="65">
        <f t="shared" si="16"/>
        <v>0</v>
      </c>
      <c r="L38" s="65">
        <f t="shared" si="16"/>
        <v>0</v>
      </c>
      <c r="M38" s="65">
        <f t="shared" si="16"/>
        <v>0</v>
      </c>
      <c r="N38" s="65">
        <f t="shared" si="16"/>
        <v>2.72</v>
      </c>
      <c r="O38" s="58">
        <f t="shared" si="16"/>
        <v>0</v>
      </c>
      <c r="P38" s="58">
        <f t="shared" si="2"/>
        <v>1322.3499999999997</v>
      </c>
      <c r="Q38" s="59">
        <v>1</v>
      </c>
      <c r="R38" s="58">
        <f t="shared" si="0"/>
        <v>1322.3499999999997</v>
      </c>
      <c r="S38" s="60">
        <f t="shared" si="1"/>
        <v>14233.775399999995</v>
      </c>
      <c r="T38" s="46"/>
      <c r="U38" s="46"/>
      <c r="V38" s="1004">
        <f t="shared" si="5"/>
        <v>13261.032719999996</v>
      </c>
      <c r="W38" s="46"/>
      <c r="X38" s="46"/>
      <c r="Y38" s="46"/>
      <c r="Z38" s="46"/>
    </row>
    <row r="39" spans="1:26" ht="13.2" customHeight="1">
      <c r="A39" s="52">
        <v>34</v>
      </c>
      <c r="B39" s="61" t="s">
        <v>281</v>
      </c>
      <c r="C39" s="58">
        <f>C30</f>
        <v>1415.01</v>
      </c>
      <c r="D39" s="55">
        <f t="shared" ref="D39:N39" si="17">D30</f>
        <v>-56.77</v>
      </c>
      <c r="E39" s="55">
        <f t="shared" si="17"/>
        <v>-26.13</v>
      </c>
      <c r="F39" s="55">
        <f t="shared" si="17"/>
        <v>-171.14</v>
      </c>
      <c r="G39" s="65">
        <f t="shared" si="17"/>
        <v>0</v>
      </c>
      <c r="H39" s="65">
        <f t="shared" si="17"/>
        <v>39.340000000000003</v>
      </c>
      <c r="I39" s="65">
        <f t="shared" si="17"/>
        <v>28.95</v>
      </c>
      <c r="J39" s="65">
        <f t="shared" si="17"/>
        <v>90.37</v>
      </c>
      <c r="K39" s="65">
        <f t="shared" si="17"/>
        <v>0</v>
      </c>
      <c r="L39" s="65">
        <f t="shared" si="17"/>
        <v>0</v>
      </c>
      <c r="M39" s="65">
        <f t="shared" si="17"/>
        <v>0</v>
      </c>
      <c r="N39" s="65">
        <f t="shared" si="17"/>
        <v>2.72</v>
      </c>
      <c r="O39" s="58">
        <f>O30</f>
        <v>0</v>
      </c>
      <c r="P39" s="58">
        <f t="shared" si="2"/>
        <v>1322.3499999999997</v>
      </c>
      <c r="Q39" s="59">
        <v>1</v>
      </c>
      <c r="R39" s="58">
        <f t="shared" si="0"/>
        <v>1322.3499999999997</v>
      </c>
      <c r="S39" s="60">
        <f t="shared" si="1"/>
        <v>14233.775399999995</v>
      </c>
      <c r="T39" s="46"/>
      <c r="U39" s="46"/>
      <c r="V39" s="1004">
        <f t="shared" si="5"/>
        <v>13261.032719999996</v>
      </c>
      <c r="W39" s="46"/>
      <c r="X39" s="46"/>
      <c r="Y39" s="46"/>
      <c r="Z39" s="46"/>
    </row>
    <row r="40" spans="1:26" ht="13.5" customHeight="1">
      <c r="A40" s="61">
        <v>35</v>
      </c>
      <c r="B40" s="61" t="s">
        <v>282</v>
      </c>
      <c r="C40" s="58">
        <f>C30</f>
        <v>1415.01</v>
      </c>
      <c r="D40" s="55">
        <f t="shared" ref="D40:O40" si="18">D30</f>
        <v>-56.77</v>
      </c>
      <c r="E40" s="55">
        <f t="shared" si="18"/>
        <v>-26.13</v>
      </c>
      <c r="F40" s="55">
        <f t="shared" si="18"/>
        <v>-171.14</v>
      </c>
      <c r="G40" s="65">
        <f t="shared" si="18"/>
        <v>0</v>
      </c>
      <c r="H40" s="65">
        <f t="shared" si="18"/>
        <v>39.340000000000003</v>
      </c>
      <c r="I40" s="65">
        <f t="shared" si="18"/>
        <v>28.95</v>
      </c>
      <c r="J40" s="65">
        <f t="shared" si="18"/>
        <v>90.37</v>
      </c>
      <c r="K40" s="65">
        <f t="shared" si="18"/>
        <v>0</v>
      </c>
      <c r="L40" s="65">
        <f t="shared" si="18"/>
        <v>0</v>
      </c>
      <c r="M40" s="65">
        <f t="shared" si="18"/>
        <v>0</v>
      </c>
      <c r="N40" s="65">
        <f t="shared" si="18"/>
        <v>2.72</v>
      </c>
      <c r="O40" s="58">
        <f t="shared" si="18"/>
        <v>0</v>
      </c>
      <c r="P40" s="58">
        <f t="shared" si="2"/>
        <v>1322.3499999999997</v>
      </c>
      <c r="Q40" s="59">
        <v>1</v>
      </c>
      <c r="R40" s="58">
        <f t="shared" si="0"/>
        <v>1322.3499999999997</v>
      </c>
      <c r="S40" s="60">
        <f t="shared" si="1"/>
        <v>14233.775399999995</v>
      </c>
      <c r="T40" s="46"/>
      <c r="U40" s="46"/>
      <c r="V40" s="1004">
        <f t="shared" si="5"/>
        <v>13261.032719999996</v>
      </c>
      <c r="W40" s="46"/>
      <c r="X40" s="46"/>
      <c r="Y40" s="46"/>
      <c r="Z40" s="46"/>
    </row>
    <row r="41" spans="1:26" ht="13.5" customHeight="1">
      <c r="A41" s="52">
        <v>36</v>
      </c>
      <c r="B41" s="61" t="s">
        <v>283</v>
      </c>
      <c r="C41" s="58">
        <f>C30</f>
        <v>1415.01</v>
      </c>
      <c r="D41" s="55">
        <f t="shared" ref="D41:O42" si="19">D30</f>
        <v>-56.77</v>
      </c>
      <c r="E41" s="55">
        <f t="shared" si="19"/>
        <v>-26.13</v>
      </c>
      <c r="F41" s="55">
        <f t="shared" si="19"/>
        <v>-171.14</v>
      </c>
      <c r="G41" s="65">
        <f t="shared" si="19"/>
        <v>0</v>
      </c>
      <c r="H41" s="65">
        <f t="shared" si="19"/>
        <v>39.340000000000003</v>
      </c>
      <c r="I41" s="65">
        <f t="shared" si="19"/>
        <v>28.95</v>
      </c>
      <c r="J41" s="65">
        <f t="shared" si="19"/>
        <v>90.37</v>
      </c>
      <c r="K41" s="65">
        <f t="shared" si="19"/>
        <v>0</v>
      </c>
      <c r="L41" s="65">
        <f t="shared" si="19"/>
        <v>0</v>
      </c>
      <c r="M41" s="65">
        <f t="shared" si="19"/>
        <v>0</v>
      </c>
      <c r="N41" s="65">
        <f t="shared" si="19"/>
        <v>2.72</v>
      </c>
      <c r="O41" s="58">
        <f t="shared" si="19"/>
        <v>0</v>
      </c>
      <c r="P41" s="58">
        <f t="shared" ref="P41" si="20">SUM(C41:O41)</f>
        <v>1322.3499999999997</v>
      </c>
      <c r="Q41" s="59">
        <v>1</v>
      </c>
      <c r="R41" s="58">
        <f t="shared" si="0"/>
        <v>1322.3499999999997</v>
      </c>
      <c r="S41" s="60">
        <f t="shared" si="1"/>
        <v>14233.775399999995</v>
      </c>
      <c r="T41" s="46"/>
      <c r="U41" s="46"/>
      <c r="V41" s="1004">
        <f t="shared" si="5"/>
        <v>13261.032719999996</v>
      </c>
      <c r="W41" s="46"/>
      <c r="X41" s="46"/>
      <c r="Y41" s="46"/>
      <c r="Z41" s="46"/>
    </row>
    <row r="42" spans="1:26" ht="13.5" customHeight="1">
      <c r="A42" s="52">
        <v>37</v>
      </c>
      <c r="B42" s="61" t="s">
        <v>284</v>
      </c>
      <c r="C42" s="64">
        <v>1587.44</v>
      </c>
      <c r="D42" s="55">
        <f t="shared" si="19"/>
        <v>-56.77</v>
      </c>
      <c r="E42" s="55">
        <v>-21.62</v>
      </c>
      <c r="F42" s="55">
        <v>-145.02000000000001</v>
      </c>
      <c r="G42" s="65">
        <v>0</v>
      </c>
      <c r="H42" s="65">
        <v>0</v>
      </c>
      <c r="I42" s="65">
        <v>0</v>
      </c>
      <c r="J42" s="56">
        <v>7.09</v>
      </c>
      <c r="K42" s="56">
        <v>0</v>
      </c>
      <c r="L42" s="56">
        <v>0</v>
      </c>
      <c r="M42" s="65">
        <v>0</v>
      </c>
      <c r="N42" s="56">
        <v>0</v>
      </c>
      <c r="O42" s="83">
        <v>0</v>
      </c>
      <c r="P42" s="58">
        <f t="shared" si="2"/>
        <v>1371.1200000000001</v>
      </c>
      <c r="Q42" s="59">
        <v>1</v>
      </c>
      <c r="R42" s="58">
        <f t="shared" si="0"/>
        <v>1371.1200000000001</v>
      </c>
      <c r="S42" s="60">
        <f t="shared" si="1"/>
        <v>14758.73568</v>
      </c>
      <c r="T42" s="46"/>
      <c r="U42" s="46"/>
      <c r="V42" s="1004">
        <f t="shared" si="5"/>
        <v>14682.41892</v>
      </c>
    </row>
    <row r="43" spans="1:26" ht="13.5" customHeight="1">
      <c r="A43" s="61">
        <v>38</v>
      </c>
      <c r="B43" s="52" t="s">
        <v>285</v>
      </c>
      <c r="C43" s="58">
        <v>384.84</v>
      </c>
      <c r="D43" s="55">
        <v>0</v>
      </c>
      <c r="E43" s="55">
        <v>0</v>
      </c>
      <c r="F43" s="55">
        <v>0</v>
      </c>
      <c r="G43" s="65">
        <v>0</v>
      </c>
      <c r="H43" s="65">
        <v>0</v>
      </c>
      <c r="I43" s="65">
        <v>0</v>
      </c>
      <c r="J43" s="65">
        <v>0</v>
      </c>
      <c r="K43" s="65">
        <v>0</v>
      </c>
      <c r="L43" s="65">
        <v>0</v>
      </c>
      <c r="M43" s="65">
        <v>0</v>
      </c>
      <c r="N43" s="65">
        <v>0</v>
      </c>
      <c r="O43" s="65">
        <v>0</v>
      </c>
      <c r="P43" s="58">
        <f t="shared" si="2"/>
        <v>384.84</v>
      </c>
      <c r="Q43" s="59">
        <v>1</v>
      </c>
      <c r="R43" s="58">
        <f t="shared" si="0"/>
        <v>384.84</v>
      </c>
      <c r="S43" s="60">
        <f t="shared" si="1"/>
        <v>4142.4177599999994</v>
      </c>
      <c r="T43" s="46"/>
      <c r="U43" s="46"/>
      <c r="V43" s="1004">
        <f t="shared" ref="V43:V44" si="21">+S43</f>
        <v>4142.4177599999994</v>
      </c>
    </row>
    <row r="44" spans="1:26" ht="13.5" customHeight="1">
      <c r="A44" s="52">
        <v>39</v>
      </c>
      <c r="B44" s="52" t="s">
        <v>286</v>
      </c>
      <c r="C44" s="58">
        <v>384.84</v>
      </c>
      <c r="D44" s="55">
        <v>0</v>
      </c>
      <c r="E44" s="55">
        <v>0</v>
      </c>
      <c r="F44" s="55">
        <v>0</v>
      </c>
      <c r="G44" s="65">
        <v>0</v>
      </c>
      <c r="H44" s="65">
        <v>0</v>
      </c>
      <c r="I44" s="65">
        <v>0</v>
      </c>
      <c r="J44" s="65">
        <v>0</v>
      </c>
      <c r="K44" s="65">
        <v>0</v>
      </c>
      <c r="L44" s="65">
        <v>0</v>
      </c>
      <c r="M44" s="65">
        <v>0</v>
      </c>
      <c r="N44" s="65">
        <v>0</v>
      </c>
      <c r="O44" s="65">
        <v>0</v>
      </c>
      <c r="P44" s="58">
        <f t="shared" si="2"/>
        <v>384.84</v>
      </c>
      <c r="Q44" s="59">
        <v>1</v>
      </c>
      <c r="R44" s="58">
        <f t="shared" si="0"/>
        <v>384.84</v>
      </c>
      <c r="S44" s="60">
        <f t="shared" si="1"/>
        <v>4142.4177599999994</v>
      </c>
      <c r="T44" s="46"/>
      <c r="U44" s="46"/>
      <c r="V44" s="1004">
        <f t="shared" si="21"/>
        <v>4142.4177599999994</v>
      </c>
    </row>
    <row r="45" spans="1:26" ht="13.5" customHeight="1">
      <c r="A45" s="1047" t="s">
        <v>232</v>
      </c>
      <c r="B45" s="1048"/>
      <c r="C45" s="84">
        <f t="shared" ref="C45:S45" si="22">SUM(C6:C44)</f>
        <v>65332.49000000002</v>
      </c>
      <c r="D45" s="85">
        <f t="shared" si="22"/>
        <v>-2172.9399999999996</v>
      </c>
      <c r="E45" s="85">
        <f t="shared" si="22"/>
        <v>-829.7399999999999</v>
      </c>
      <c r="F45" s="85">
        <f t="shared" si="22"/>
        <v>-6488.0200000000032</v>
      </c>
      <c r="G45" s="86">
        <f t="shared" si="22"/>
        <v>11.99</v>
      </c>
      <c r="H45" s="86">
        <f t="shared" si="22"/>
        <v>875.20000000000039</v>
      </c>
      <c r="I45" s="86">
        <f t="shared" si="22"/>
        <v>731.38000000000034</v>
      </c>
      <c r="J45" s="86">
        <f t="shared" si="22"/>
        <v>2728.7499999999995</v>
      </c>
      <c r="K45" s="86">
        <f t="shared" si="22"/>
        <v>0</v>
      </c>
      <c r="L45" s="86">
        <f t="shared" si="22"/>
        <v>0</v>
      </c>
      <c r="M45" s="86">
        <f t="shared" si="22"/>
        <v>197.5</v>
      </c>
      <c r="N45" s="86">
        <f t="shared" si="22"/>
        <v>67.38</v>
      </c>
      <c r="O45" s="86">
        <f t="shared" si="22"/>
        <v>0</v>
      </c>
      <c r="P45" s="84">
        <f t="shared" si="22"/>
        <v>60453.989999999976</v>
      </c>
      <c r="Q45" s="84">
        <f t="shared" si="22"/>
        <v>39</v>
      </c>
      <c r="R45" s="84">
        <f t="shared" si="22"/>
        <v>60453.989999999976</v>
      </c>
      <c r="S45" s="84">
        <f t="shared" si="22"/>
        <v>650726.7483600002</v>
      </c>
      <c r="V45" s="1005">
        <f>SUM(V6:V44)</f>
        <v>608884.81992000015</v>
      </c>
    </row>
    <row r="46" spans="1:26" ht="13.5" customHeight="1">
      <c r="A46" s="46"/>
      <c r="B46" s="46"/>
      <c r="C46" s="41"/>
      <c r="D46" s="42"/>
      <c r="E46" s="42"/>
      <c r="F46" s="42"/>
      <c r="G46" s="43"/>
      <c r="H46" s="43"/>
      <c r="I46" s="43"/>
      <c r="J46" s="43"/>
      <c r="K46" s="43"/>
      <c r="L46" s="43"/>
      <c r="M46" s="43"/>
      <c r="N46" s="43"/>
      <c r="O46" s="43"/>
      <c r="P46" s="46"/>
      <c r="Q46" s="46"/>
      <c r="R46" s="46"/>
      <c r="S46" s="47"/>
    </row>
    <row r="47" spans="1:26" ht="13.5" customHeight="1">
      <c r="A47" s="46"/>
      <c r="B47" s="46"/>
      <c r="C47" s="47"/>
      <c r="D47" s="47"/>
      <c r="E47" s="47"/>
      <c r="F47" s="47"/>
      <c r="G47" s="47"/>
      <c r="H47" s="47"/>
      <c r="I47" s="47"/>
      <c r="J47" s="47"/>
      <c r="K47" s="47"/>
      <c r="L47" s="47"/>
      <c r="M47" s="47"/>
      <c r="N47" s="47"/>
      <c r="O47" s="47"/>
      <c r="P47" s="47"/>
      <c r="Q47" s="47"/>
      <c r="R47" s="47"/>
      <c r="S47" s="923">
        <f>S45*400</f>
        <v>260290699.34400007</v>
      </c>
    </row>
    <row r="48" spans="1:26" ht="13.5" customHeight="1">
      <c r="A48" s="46"/>
      <c r="B48" s="46"/>
      <c r="C48" s="47"/>
      <c r="D48" s="47"/>
      <c r="E48" s="47"/>
      <c r="F48" s="47"/>
      <c r="G48" s="47"/>
      <c r="H48" s="47"/>
      <c r="I48" s="47"/>
      <c r="J48" s="47"/>
      <c r="K48" s="47"/>
      <c r="L48" s="47"/>
      <c r="M48" s="47"/>
      <c r="N48" s="47"/>
      <c r="O48" s="47"/>
      <c r="P48" s="47"/>
      <c r="Q48" s="47"/>
      <c r="R48" s="47"/>
      <c r="S48" s="924">
        <v>50000000</v>
      </c>
    </row>
    <row r="49" spans="1:33" ht="13.5" customHeight="1">
      <c r="A49" s="46"/>
      <c r="B49" s="46"/>
      <c r="C49" s="47"/>
      <c r="D49" s="47"/>
      <c r="E49" s="47"/>
      <c r="F49" s="47"/>
      <c r="G49" s="47"/>
      <c r="H49" s="47"/>
      <c r="I49" s="47"/>
      <c r="J49" s="47"/>
      <c r="K49" s="47"/>
      <c r="L49" s="47"/>
      <c r="M49" s="47"/>
      <c r="N49" s="47"/>
      <c r="O49" s="47"/>
      <c r="P49" s="47"/>
      <c r="Q49" s="47"/>
      <c r="R49" s="47"/>
      <c r="S49" s="923">
        <f>S45*6.5*54</f>
        <v>228405088.6743601</v>
      </c>
    </row>
    <row r="50" spans="1:33" ht="13.5" customHeight="1">
      <c r="A50" s="46"/>
      <c r="B50" s="46"/>
      <c r="C50" s="47"/>
      <c r="D50" s="47"/>
      <c r="E50" s="47"/>
      <c r="F50" s="47"/>
      <c r="G50" s="47"/>
      <c r="H50" s="47"/>
      <c r="I50" s="47"/>
      <c r="J50" s="47"/>
      <c r="K50" s="47"/>
      <c r="L50" s="47"/>
      <c r="M50" s="47"/>
      <c r="N50" s="47"/>
      <c r="O50" s="47"/>
      <c r="P50" s="47"/>
      <c r="Q50" s="47"/>
      <c r="R50" s="47"/>
      <c r="S50" s="923">
        <f>S45/10.764*0.6*7200</f>
        <v>261161236.80000004</v>
      </c>
    </row>
    <row r="51" spans="1:33" ht="13.2">
      <c r="A51" s="46"/>
      <c r="B51" s="46"/>
      <c r="C51" s="47"/>
      <c r="D51" s="47"/>
      <c r="E51" s="47"/>
      <c r="F51" s="47"/>
      <c r="G51" s="47"/>
      <c r="H51" s="47"/>
      <c r="I51" s="47"/>
      <c r="J51" s="47"/>
      <c r="K51" s="47"/>
      <c r="L51" s="47"/>
      <c r="M51" s="47"/>
      <c r="N51" s="47"/>
      <c r="O51" s="47"/>
      <c r="P51" s="47"/>
      <c r="Q51" s="47"/>
      <c r="R51" s="47"/>
      <c r="S51" s="923">
        <f>SUM(S47:S50)</f>
        <v>799857024.81836021</v>
      </c>
    </row>
    <row r="52" spans="1:33" ht="13.5" customHeight="1">
      <c r="A52" s="46"/>
      <c r="B52" s="46"/>
      <c r="C52" s="47"/>
      <c r="D52" s="47"/>
      <c r="E52" s="47"/>
      <c r="F52" s="47"/>
      <c r="G52" s="47"/>
      <c r="H52" s="47"/>
      <c r="I52" s="47"/>
      <c r="J52" s="47"/>
      <c r="K52" s="47"/>
      <c r="L52" s="47"/>
      <c r="M52" s="47"/>
      <c r="N52" s="47"/>
      <c r="O52" s="47"/>
      <c r="P52" s="47"/>
      <c r="Q52" s="47"/>
      <c r="R52" s="47"/>
      <c r="S52" s="47"/>
    </row>
    <row r="53" spans="1:33" ht="13.2">
      <c r="A53" s="46"/>
      <c r="B53" s="46"/>
      <c r="C53" s="47"/>
      <c r="D53" s="47"/>
      <c r="E53" s="47"/>
      <c r="F53" s="47"/>
      <c r="G53" s="47"/>
      <c r="H53" s="47"/>
      <c r="I53" s="47"/>
      <c r="J53" s="47"/>
      <c r="K53" s="47"/>
      <c r="L53" s="47"/>
      <c r="M53" s="47"/>
      <c r="N53" s="47"/>
      <c r="O53" s="47"/>
      <c r="P53" s="47"/>
      <c r="Q53" s="47"/>
      <c r="R53" s="47"/>
      <c r="S53" s="47"/>
    </row>
    <row r="54" spans="1:33" ht="13.2">
      <c r="A54" s="46"/>
      <c r="B54" s="46"/>
      <c r="C54" s="47"/>
      <c r="D54" s="47"/>
      <c r="E54" s="47"/>
      <c r="F54" s="47"/>
      <c r="G54" s="47"/>
      <c r="H54" s="47"/>
      <c r="I54" s="47"/>
      <c r="J54" s="47"/>
      <c r="K54" s="47"/>
      <c r="L54" s="47"/>
      <c r="M54" s="47"/>
      <c r="N54" s="47"/>
      <c r="O54" s="47"/>
      <c r="P54" s="47"/>
      <c r="Q54" s="47"/>
      <c r="R54" s="47"/>
      <c r="S54" s="47"/>
    </row>
    <row r="55" spans="1:33" ht="13.5" customHeight="1">
      <c r="C55" s="47"/>
      <c r="D55" s="47"/>
      <c r="E55" s="47"/>
      <c r="F55" s="47"/>
      <c r="G55" s="47"/>
      <c r="H55" s="47"/>
      <c r="I55" s="47"/>
      <c r="J55" s="47"/>
      <c r="K55" s="47"/>
      <c r="L55" s="47"/>
      <c r="M55" s="47"/>
      <c r="N55" s="47"/>
      <c r="O55" s="47"/>
      <c r="P55" s="47"/>
      <c r="Q55" s="47"/>
      <c r="R55" s="47"/>
      <c r="S55" s="47"/>
    </row>
    <row r="56" spans="1:33" ht="13.5" customHeight="1">
      <c r="A56" s="46"/>
      <c r="B56" s="46"/>
      <c r="C56" s="47"/>
      <c r="D56" s="47"/>
      <c r="E56" s="47"/>
      <c r="F56" s="47"/>
      <c r="G56" s="47"/>
      <c r="H56" s="47"/>
      <c r="I56" s="47"/>
      <c r="J56" s="47"/>
      <c r="K56" s="47"/>
      <c r="L56" s="47"/>
      <c r="M56" s="47"/>
      <c r="N56" s="47"/>
      <c r="O56" s="47"/>
      <c r="P56" s="47"/>
      <c r="Q56" s="47"/>
      <c r="R56" s="47"/>
      <c r="S56" s="47"/>
    </row>
    <row r="57" spans="1:33" ht="13.5" customHeight="1">
      <c r="A57" s="46"/>
      <c r="B57" s="46"/>
      <c r="C57" s="47"/>
      <c r="D57" s="47"/>
      <c r="E57" s="47"/>
      <c r="F57" s="47"/>
      <c r="G57" s="47"/>
      <c r="H57" s="47"/>
      <c r="I57" s="47"/>
      <c r="J57" s="47"/>
      <c r="K57" s="47"/>
      <c r="L57" s="47"/>
      <c r="M57" s="47"/>
      <c r="N57" s="47"/>
      <c r="O57" s="47"/>
      <c r="P57" s="47"/>
      <c r="Q57" s="47"/>
      <c r="R57" s="47"/>
      <c r="S57" s="47"/>
    </row>
    <row r="58" spans="1:33" ht="13.5" customHeight="1">
      <c r="A58" s="46"/>
      <c r="B58" s="46"/>
      <c r="C58" s="46"/>
      <c r="D58" s="46"/>
      <c r="E58" s="46"/>
      <c r="F58" s="46"/>
      <c r="G58" s="47"/>
      <c r="H58" s="47"/>
      <c r="I58" s="47"/>
      <c r="J58" s="47"/>
      <c r="K58" s="47"/>
      <c r="L58" s="47"/>
      <c r="M58" s="47"/>
      <c r="N58" s="47"/>
      <c r="O58" s="47"/>
      <c r="P58" s="47"/>
      <c r="Q58" s="47"/>
      <c r="R58" s="47"/>
      <c r="S58" s="47"/>
    </row>
    <row r="59" spans="1:33" ht="13.5" customHeight="1">
      <c r="A59" s="46"/>
      <c r="B59" s="46"/>
      <c r="C59" s="41"/>
      <c r="D59" s="42"/>
      <c r="E59" s="42"/>
      <c r="F59" s="42"/>
      <c r="G59" s="43"/>
      <c r="H59" s="43"/>
      <c r="I59" s="43"/>
      <c r="J59" s="43"/>
      <c r="K59" s="43"/>
      <c r="L59" s="43"/>
      <c r="M59" s="43"/>
      <c r="N59" s="43"/>
      <c r="O59" s="43"/>
      <c r="P59" s="41"/>
      <c r="Q59" s="41"/>
      <c r="R59" s="41"/>
      <c r="S59" s="44"/>
      <c r="T59" s="46"/>
      <c r="U59" s="46"/>
      <c r="V59" s="46"/>
      <c r="W59" s="46"/>
      <c r="X59" s="46"/>
      <c r="Y59" s="46"/>
      <c r="Z59" s="46"/>
    </row>
    <row r="60" spans="1:33" ht="13.5" customHeight="1">
      <c r="A60" s="46"/>
      <c r="B60" s="46"/>
      <c r="C60" s="41"/>
      <c r="D60" s="42"/>
      <c r="E60" s="42"/>
      <c r="F60" s="42"/>
      <c r="G60" s="43"/>
      <c r="H60" s="43"/>
      <c r="I60" s="43"/>
      <c r="J60" s="43"/>
      <c r="K60" s="43"/>
      <c r="L60" s="43"/>
      <c r="M60" s="43"/>
      <c r="N60" s="43"/>
      <c r="O60" s="43"/>
      <c r="P60" s="41"/>
      <c r="Q60" s="41"/>
      <c r="R60" s="41"/>
      <c r="S60" s="44"/>
      <c r="T60" s="46"/>
      <c r="U60" s="46"/>
      <c r="V60" s="46"/>
      <c r="W60" s="46"/>
      <c r="X60" s="46"/>
      <c r="Y60" s="46"/>
      <c r="Z60" s="46"/>
    </row>
    <row r="61" spans="1:33" ht="13.5" customHeight="1">
      <c r="A61" s="46"/>
      <c r="B61" s="46"/>
      <c r="C61" s="41"/>
      <c r="D61" s="42"/>
      <c r="E61" s="42"/>
      <c r="F61" s="42"/>
      <c r="G61" s="43"/>
      <c r="H61" s="43"/>
      <c r="I61" s="43"/>
      <c r="J61" s="43"/>
      <c r="K61" s="43"/>
      <c r="L61" s="43"/>
      <c r="M61" s="43"/>
      <c r="N61" s="43"/>
      <c r="O61" s="43"/>
      <c r="P61" s="41"/>
      <c r="Q61" s="41"/>
      <c r="R61" s="41"/>
      <c r="S61" s="44"/>
      <c r="T61" s="45"/>
      <c r="U61" s="45"/>
      <c r="V61" s="45"/>
      <c r="W61" s="45"/>
      <c r="X61" s="46"/>
      <c r="Y61" s="46"/>
      <c r="Z61" s="46"/>
      <c r="AA61" s="46"/>
      <c r="AB61" s="46"/>
      <c r="AC61" s="46"/>
      <c r="AD61" s="46"/>
      <c r="AE61" s="46"/>
      <c r="AF61" s="46"/>
      <c r="AG61" s="46"/>
    </row>
    <row r="62" spans="1:33" ht="13.5" customHeight="1">
      <c r="A62" s="46"/>
      <c r="B62" s="46"/>
      <c r="C62" s="41"/>
      <c r="D62" s="42"/>
      <c r="E62" s="42"/>
      <c r="F62" s="42"/>
      <c r="G62" s="43"/>
      <c r="H62" s="43"/>
      <c r="I62" s="43"/>
      <c r="J62" s="43"/>
      <c r="K62" s="43"/>
      <c r="L62" s="43"/>
      <c r="M62" s="43"/>
      <c r="N62" s="43"/>
      <c r="O62" s="43"/>
      <c r="P62" s="41"/>
      <c r="Q62" s="41"/>
      <c r="R62" s="41"/>
      <c r="S62" s="44"/>
      <c r="T62" s="45"/>
      <c r="U62" s="45"/>
      <c r="V62" s="45"/>
      <c r="W62" s="45"/>
      <c r="X62" s="46"/>
      <c r="Y62" s="46"/>
      <c r="Z62" s="46"/>
      <c r="AA62" s="46"/>
      <c r="AB62" s="46"/>
      <c r="AC62" s="46"/>
      <c r="AD62" s="46"/>
      <c r="AE62" s="46"/>
      <c r="AF62" s="46"/>
      <c r="AG62" s="46"/>
    </row>
    <row r="63" spans="1:33" ht="13.5" customHeight="1">
      <c r="A63" s="46"/>
      <c r="B63" s="46"/>
      <c r="C63" s="41"/>
      <c r="D63" s="42"/>
      <c r="E63" s="42"/>
      <c r="F63" s="42"/>
      <c r="G63" s="43"/>
      <c r="H63" s="43"/>
      <c r="I63" s="43"/>
      <c r="J63" s="43"/>
      <c r="K63" s="43"/>
      <c r="L63" s="43"/>
      <c r="M63" s="43"/>
      <c r="N63" s="43"/>
      <c r="O63" s="43"/>
      <c r="P63" s="41"/>
      <c r="Q63" s="41"/>
      <c r="R63" s="41"/>
      <c r="S63" s="44"/>
      <c r="T63" s="45"/>
      <c r="U63" s="45"/>
      <c r="V63" s="45"/>
      <c r="W63" s="45"/>
      <c r="X63" s="46"/>
      <c r="Y63" s="46"/>
      <c r="Z63" s="46"/>
      <c r="AA63" s="46"/>
      <c r="AB63" s="46"/>
      <c r="AC63" s="46"/>
      <c r="AD63" s="46"/>
      <c r="AE63" s="46"/>
      <c r="AF63" s="46"/>
      <c r="AG63" s="46"/>
    </row>
    <row r="64" spans="1:33" ht="13.5" customHeight="1">
      <c r="A64" s="46"/>
      <c r="B64" s="46"/>
      <c r="C64" s="41"/>
      <c r="D64" s="42"/>
      <c r="E64" s="42"/>
      <c r="F64" s="42"/>
      <c r="G64" s="43"/>
      <c r="H64" s="43"/>
      <c r="I64" s="43"/>
      <c r="J64" s="43"/>
      <c r="K64" s="43"/>
      <c r="L64" s="43"/>
      <c r="M64" s="43"/>
      <c r="N64" s="43"/>
      <c r="O64" s="43"/>
      <c r="P64" s="41"/>
      <c r="Q64" s="41"/>
      <c r="R64" s="41"/>
      <c r="S64" s="44"/>
      <c r="T64" s="45"/>
      <c r="U64" s="45"/>
      <c r="V64" s="45"/>
      <c r="W64" s="45"/>
      <c r="X64" s="46"/>
      <c r="Y64" s="46"/>
      <c r="Z64" s="46"/>
      <c r="AA64" s="46"/>
      <c r="AB64" s="46"/>
      <c r="AC64" s="46"/>
      <c r="AD64" s="46"/>
      <c r="AE64" s="46"/>
      <c r="AF64" s="46"/>
      <c r="AG64" s="46"/>
    </row>
    <row r="65" spans="1:33" ht="13.5" customHeight="1">
      <c r="A65" s="46"/>
      <c r="B65" s="46"/>
      <c r="C65" s="41"/>
      <c r="D65" s="42"/>
      <c r="E65" s="42"/>
      <c r="F65" s="42"/>
      <c r="G65" s="43"/>
      <c r="H65" s="43"/>
      <c r="I65" s="43"/>
      <c r="J65" s="43"/>
      <c r="K65" s="43"/>
      <c r="L65" s="43"/>
      <c r="M65" s="43"/>
      <c r="N65" s="43"/>
      <c r="O65" s="43"/>
      <c r="P65" s="41"/>
      <c r="Q65" s="41"/>
      <c r="R65" s="41"/>
      <c r="S65" s="44"/>
      <c r="T65" s="45"/>
      <c r="U65" s="45"/>
      <c r="V65" s="45"/>
      <c r="W65" s="45"/>
      <c r="X65" s="46"/>
      <c r="Y65" s="46"/>
      <c r="Z65" s="46"/>
      <c r="AA65" s="46"/>
      <c r="AB65" s="46"/>
      <c r="AC65" s="46"/>
      <c r="AD65" s="46"/>
      <c r="AE65" s="46"/>
      <c r="AF65" s="46"/>
      <c r="AG65" s="46"/>
    </row>
    <row r="66" spans="1:33" ht="13.5" customHeight="1">
      <c r="A66" s="46"/>
      <c r="B66" s="46"/>
      <c r="C66" s="41"/>
      <c r="D66" s="42"/>
      <c r="E66" s="42"/>
      <c r="F66" s="42"/>
      <c r="G66" s="43"/>
      <c r="H66" s="43"/>
      <c r="I66" s="43"/>
      <c r="J66" s="43"/>
      <c r="K66" s="43"/>
      <c r="L66" s="43"/>
      <c r="M66" s="43"/>
      <c r="N66" s="43"/>
      <c r="O66" s="43"/>
      <c r="P66" s="41"/>
      <c r="Q66" s="41"/>
      <c r="R66" s="41"/>
      <c r="S66" s="44"/>
      <c r="T66" s="45"/>
      <c r="U66" s="45"/>
      <c r="V66" s="45"/>
      <c r="W66" s="45"/>
      <c r="X66" s="46"/>
      <c r="Y66" s="46"/>
      <c r="Z66" s="46"/>
      <c r="AA66" s="46"/>
      <c r="AB66" s="46"/>
      <c r="AC66" s="46"/>
      <c r="AD66" s="46"/>
      <c r="AE66" s="46"/>
      <c r="AF66" s="46"/>
      <c r="AG66" s="46"/>
    </row>
    <row r="67" spans="1:33" ht="13.5" customHeight="1">
      <c r="A67" s="46"/>
      <c r="B67" s="46"/>
      <c r="C67" s="41"/>
      <c r="D67" s="42"/>
      <c r="E67" s="42"/>
      <c r="F67" s="42"/>
      <c r="G67" s="43"/>
      <c r="H67" s="43"/>
      <c r="I67" s="43"/>
      <c r="J67" s="43"/>
      <c r="K67" s="43"/>
      <c r="L67" s="43"/>
      <c r="M67" s="43"/>
      <c r="N67" s="43"/>
      <c r="O67" s="43"/>
      <c r="P67" s="41"/>
      <c r="Q67" s="41"/>
      <c r="R67" s="41"/>
      <c r="S67" s="44"/>
      <c r="T67" s="45"/>
      <c r="U67" s="45"/>
      <c r="V67" s="45"/>
      <c r="W67" s="45"/>
      <c r="X67" s="46"/>
      <c r="Y67" s="46"/>
      <c r="Z67" s="46"/>
      <c r="AA67" s="46"/>
      <c r="AB67" s="46"/>
      <c r="AC67" s="46"/>
      <c r="AD67" s="46"/>
      <c r="AE67" s="46"/>
      <c r="AF67" s="46"/>
      <c r="AG67" s="46"/>
    </row>
    <row r="68" spans="1:33" ht="13.5" customHeight="1">
      <c r="A68" s="46"/>
      <c r="B68" s="46"/>
      <c r="C68" s="41"/>
      <c r="D68" s="42"/>
      <c r="E68" s="42"/>
      <c r="F68" s="42"/>
      <c r="G68" s="43"/>
      <c r="H68" s="43"/>
      <c r="I68" s="43"/>
      <c r="J68" s="43"/>
      <c r="K68" s="43"/>
      <c r="L68" s="43"/>
      <c r="M68" s="43"/>
      <c r="N68" s="43"/>
      <c r="O68" s="43"/>
      <c r="P68" s="41"/>
      <c r="Q68" s="41"/>
      <c r="R68" s="41"/>
      <c r="S68" s="44"/>
      <c r="T68" s="45"/>
      <c r="U68" s="45"/>
      <c r="V68" s="45"/>
      <c r="W68" s="45"/>
      <c r="X68" s="46"/>
      <c r="Y68" s="46"/>
      <c r="Z68" s="46"/>
      <c r="AA68" s="46"/>
      <c r="AB68" s="46"/>
      <c r="AC68" s="46"/>
      <c r="AD68" s="46"/>
      <c r="AE68" s="46"/>
      <c r="AF68" s="46"/>
      <c r="AG68" s="46"/>
    </row>
    <row r="69" spans="1:33" ht="13.5" customHeight="1">
      <c r="A69" s="46"/>
      <c r="B69" s="46"/>
      <c r="C69" s="41"/>
      <c r="D69" s="42"/>
      <c r="E69" s="42"/>
      <c r="F69" s="42"/>
      <c r="G69" s="43"/>
      <c r="H69" s="43"/>
      <c r="I69" s="43"/>
      <c r="J69" s="43"/>
      <c r="K69" s="43"/>
      <c r="L69" s="43"/>
      <c r="M69" s="43"/>
      <c r="N69" s="43"/>
      <c r="O69" s="43"/>
      <c r="P69" s="41"/>
      <c r="Q69" s="41"/>
      <c r="R69" s="41"/>
      <c r="S69" s="44"/>
      <c r="T69" s="45"/>
      <c r="U69" s="45"/>
      <c r="V69" s="45"/>
      <c r="W69" s="45"/>
      <c r="X69" s="46"/>
      <c r="Y69" s="46"/>
      <c r="Z69" s="46"/>
      <c r="AA69" s="46"/>
      <c r="AB69" s="46"/>
      <c r="AC69" s="46"/>
      <c r="AD69" s="46"/>
      <c r="AE69" s="46"/>
      <c r="AF69" s="46"/>
      <c r="AG69" s="46"/>
    </row>
    <row r="70" spans="1:33" ht="13.5" customHeight="1">
      <c r="A70" s="46"/>
      <c r="B70" s="46"/>
      <c r="C70" s="41"/>
      <c r="D70" s="42"/>
      <c r="E70" s="42"/>
      <c r="F70" s="42"/>
      <c r="G70" s="43"/>
      <c r="H70" s="43"/>
      <c r="I70" s="43"/>
      <c r="J70" s="43"/>
      <c r="K70" s="43"/>
      <c r="L70" s="43"/>
      <c r="M70" s="43"/>
      <c r="N70" s="43"/>
      <c r="O70" s="43"/>
      <c r="P70" s="41"/>
      <c r="Q70" s="41"/>
      <c r="R70" s="41"/>
      <c r="S70" s="44"/>
      <c r="T70" s="45"/>
      <c r="U70" s="45"/>
      <c r="V70" s="45"/>
      <c r="W70" s="45"/>
      <c r="X70" s="46"/>
      <c r="Y70" s="46"/>
      <c r="Z70" s="46"/>
      <c r="AA70" s="46"/>
      <c r="AB70" s="46"/>
      <c r="AC70" s="46"/>
      <c r="AD70" s="46"/>
      <c r="AE70" s="46"/>
      <c r="AF70" s="46"/>
      <c r="AG70" s="46"/>
    </row>
    <row r="71" spans="1:33" ht="13.5" customHeight="1">
      <c r="A71" s="46"/>
      <c r="B71" s="46"/>
      <c r="C71" s="41"/>
      <c r="D71" s="42"/>
      <c r="E71" s="42"/>
      <c r="F71" s="42"/>
      <c r="G71" s="43"/>
      <c r="H71" s="43"/>
      <c r="I71" s="43"/>
      <c r="J71" s="43"/>
      <c r="K71" s="43"/>
      <c r="L71" s="43"/>
      <c r="M71" s="43"/>
      <c r="N71" s="43"/>
      <c r="O71" s="43"/>
      <c r="P71" s="41"/>
      <c r="Q71" s="41"/>
      <c r="R71" s="41"/>
      <c r="S71" s="44"/>
      <c r="T71" s="45"/>
      <c r="U71" s="45"/>
      <c r="V71" s="45"/>
      <c r="W71" s="45"/>
      <c r="X71" s="46"/>
      <c r="Y71" s="46"/>
      <c r="Z71" s="46"/>
      <c r="AA71" s="46"/>
      <c r="AB71" s="46"/>
      <c r="AC71" s="46"/>
      <c r="AD71" s="46"/>
      <c r="AE71" s="46"/>
      <c r="AF71" s="46"/>
      <c r="AG71" s="46"/>
    </row>
    <row r="72" spans="1:33" ht="13.5" customHeight="1">
      <c r="A72" s="46"/>
      <c r="B72" s="46"/>
      <c r="C72" s="41"/>
      <c r="D72" s="42"/>
      <c r="E72" s="42"/>
      <c r="F72" s="42"/>
      <c r="G72" s="43"/>
      <c r="H72" s="43"/>
      <c r="I72" s="43"/>
      <c r="J72" s="43"/>
      <c r="K72" s="43"/>
      <c r="L72" s="43"/>
      <c r="M72" s="43"/>
      <c r="N72" s="43"/>
      <c r="O72" s="43"/>
      <c r="P72" s="41"/>
      <c r="Q72" s="41"/>
      <c r="R72" s="41"/>
      <c r="S72" s="44"/>
      <c r="T72" s="45"/>
      <c r="U72" s="45"/>
      <c r="V72" s="45"/>
      <c r="W72" s="45"/>
      <c r="X72" s="46"/>
      <c r="Y72" s="46"/>
      <c r="Z72" s="46"/>
      <c r="AA72" s="46"/>
      <c r="AB72" s="46"/>
      <c r="AC72" s="46"/>
      <c r="AD72" s="46"/>
      <c r="AE72" s="46"/>
      <c r="AF72" s="46"/>
      <c r="AG72" s="46"/>
    </row>
    <row r="73" spans="1:33" ht="13.5" customHeight="1">
      <c r="A73" s="46"/>
      <c r="B73" s="46"/>
      <c r="C73" s="41"/>
      <c r="D73" s="42"/>
      <c r="E73" s="42"/>
      <c r="F73" s="42"/>
      <c r="G73" s="43"/>
      <c r="H73" s="43"/>
      <c r="I73" s="43"/>
      <c r="J73" s="43"/>
      <c r="K73" s="43"/>
      <c r="L73" s="43"/>
      <c r="M73" s="43"/>
      <c r="N73" s="43"/>
      <c r="O73" s="43"/>
      <c r="P73" s="41"/>
      <c r="Q73" s="41"/>
      <c r="R73" s="41"/>
      <c r="S73" s="44"/>
      <c r="T73" s="45"/>
      <c r="U73" s="45"/>
      <c r="V73" s="45"/>
      <c r="W73" s="45"/>
      <c r="X73" s="46"/>
      <c r="Y73" s="46"/>
      <c r="Z73" s="46"/>
      <c r="AA73" s="46"/>
      <c r="AB73" s="46"/>
      <c r="AC73" s="46"/>
      <c r="AD73" s="46"/>
      <c r="AE73" s="46"/>
      <c r="AF73" s="46"/>
      <c r="AG73" s="46"/>
    </row>
    <row r="74" spans="1:33" ht="13.5" customHeight="1">
      <c r="A74" s="46"/>
      <c r="B74" s="46"/>
      <c r="C74" s="41"/>
      <c r="D74" s="42"/>
      <c r="E74" s="42"/>
      <c r="F74" s="42"/>
      <c r="G74" s="43"/>
      <c r="H74" s="43"/>
      <c r="I74" s="43"/>
      <c r="J74" s="43"/>
      <c r="K74" s="43"/>
      <c r="L74" s="43"/>
      <c r="M74" s="43"/>
      <c r="N74" s="43"/>
      <c r="O74" s="43"/>
      <c r="P74" s="41"/>
      <c r="Q74" s="41"/>
      <c r="R74" s="41"/>
      <c r="S74" s="44"/>
      <c r="T74" s="45"/>
      <c r="U74" s="45"/>
      <c r="V74" s="45"/>
      <c r="W74" s="45"/>
      <c r="X74" s="46"/>
      <c r="Y74" s="46"/>
      <c r="Z74" s="46"/>
      <c r="AA74" s="46"/>
      <c r="AB74" s="46"/>
      <c r="AC74" s="46"/>
      <c r="AD74" s="46"/>
      <c r="AE74" s="46"/>
      <c r="AF74" s="46"/>
      <c r="AG74" s="46"/>
    </row>
    <row r="75" spans="1:33" ht="13.5" customHeight="1">
      <c r="A75" s="46"/>
      <c r="B75" s="46"/>
      <c r="C75" s="41"/>
      <c r="D75" s="42"/>
      <c r="E75" s="42"/>
      <c r="F75" s="42"/>
      <c r="G75" s="43"/>
      <c r="H75" s="43"/>
      <c r="I75" s="43"/>
      <c r="J75" s="43"/>
      <c r="K75" s="43"/>
      <c r="L75" s="43"/>
      <c r="M75" s="43"/>
      <c r="N75" s="43"/>
      <c r="O75" s="43"/>
      <c r="P75" s="41"/>
      <c r="Q75" s="41"/>
      <c r="R75" s="41"/>
      <c r="S75" s="44"/>
      <c r="T75" s="45"/>
      <c r="U75" s="45"/>
      <c r="V75" s="45"/>
      <c r="W75" s="45"/>
      <c r="X75" s="46"/>
      <c r="Y75" s="46"/>
      <c r="Z75" s="46"/>
      <c r="AA75" s="46"/>
      <c r="AB75" s="46"/>
      <c r="AC75" s="46"/>
      <c r="AD75" s="46"/>
      <c r="AE75" s="46"/>
      <c r="AF75" s="46"/>
      <c r="AG75" s="46"/>
    </row>
    <row r="76" spans="1:33" ht="13.5" customHeight="1">
      <c r="A76" s="46"/>
      <c r="B76" s="46"/>
      <c r="C76" s="41"/>
      <c r="D76" s="42"/>
      <c r="E76" s="42"/>
      <c r="F76" s="42"/>
      <c r="G76" s="43"/>
      <c r="H76" s="43"/>
      <c r="I76" s="43"/>
      <c r="J76" s="43"/>
      <c r="K76" s="43"/>
      <c r="L76" s="43"/>
      <c r="M76" s="43"/>
      <c r="N76" s="43"/>
      <c r="O76" s="43"/>
      <c r="P76" s="41"/>
      <c r="Q76" s="41"/>
      <c r="R76" s="41"/>
      <c r="S76" s="44"/>
      <c r="T76" s="45"/>
      <c r="U76" s="45"/>
      <c r="V76" s="45"/>
      <c r="W76" s="45"/>
      <c r="X76" s="46"/>
      <c r="Y76" s="46"/>
      <c r="Z76" s="46"/>
      <c r="AA76" s="46"/>
      <c r="AB76" s="46"/>
      <c r="AC76" s="46"/>
      <c r="AD76" s="46"/>
      <c r="AE76" s="46"/>
      <c r="AF76" s="46"/>
      <c r="AG76" s="46"/>
    </row>
    <row r="77" spans="1:33" ht="13.5" customHeight="1">
      <c r="A77" s="46"/>
      <c r="B77" s="46"/>
      <c r="C77" s="41"/>
      <c r="D77" s="42"/>
      <c r="E77" s="42"/>
      <c r="F77" s="42"/>
      <c r="G77" s="43"/>
      <c r="H77" s="43"/>
      <c r="I77" s="43"/>
      <c r="J77" s="43"/>
      <c r="K77" s="43"/>
      <c r="L77" s="43"/>
      <c r="M77" s="43"/>
      <c r="N77" s="43"/>
      <c r="O77" s="43"/>
      <c r="P77" s="41"/>
      <c r="Q77" s="41"/>
      <c r="R77" s="41"/>
      <c r="S77" s="44"/>
      <c r="T77" s="45"/>
      <c r="U77" s="45"/>
      <c r="V77" s="45"/>
      <c r="W77" s="45"/>
      <c r="X77" s="46"/>
      <c r="Y77" s="46"/>
      <c r="Z77" s="46"/>
      <c r="AA77" s="46"/>
      <c r="AB77" s="46"/>
      <c r="AC77" s="46"/>
      <c r="AD77" s="46"/>
      <c r="AE77" s="46"/>
      <c r="AF77" s="46"/>
      <c r="AG77" s="46"/>
    </row>
    <row r="78" spans="1:33" ht="13.5" customHeight="1">
      <c r="A78" s="46"/>
      <c r="B78" s="46"/>
      <c r="C78" s="41"/>
      <c r="D78" s="42"/>
      <c r="E78" s="42"/>
      <c r="F78" s="42"/>
      <c r="G78" s="43"/>
      <c r="H78" s="43"/>
      <c r="I78" s="43"/>
      <c r="J78" s="43"/>
      <c r="K78" s="43"/>
      <c r="L78" s="43"/>
      <c r="M78" s="43"/>
      <c r="N78" s="43"/>
      <c r="O78" s="43"/>
      <c r="P78" s="41"/>
      <c r="Q78" s="41"/>
      <c r="R78" s="41"/>
      <c r="S78" s="44"/>
      <c r="T78" s="45"/>
      <c r="U78" s="45"/>
      <c r="V78" s="45"/>
      <c r="W78" s="45"/>
      <c r="X78" s="46"/>
      <c r="Y78" s="46"/>
      <c r="Z78" s="46"/>
      <c r="AA78" s="46"/>
      <c r="AB78" s="46"/>
      <c r="AC78" s="46"/>
      <c r="AD78" s="46"/>
      <c r="AE78" s="46"/>
      <c r="AF78" s="46"/>
      <c r="AG78" s="46"/>
    </row>
    <row r="79" spans="1:33" ht="13.5" customHeight="1">
      <c r="A79" s="46"/>
      <c r="B79" s="46"/>
      <c r="C79" s="41"/>
      <c r="D79" s="42"/>
      <c r="E79" s="42"/>
      <c r="F79" s="42"/>
      <c r="G79" s="43"/>
      <c r="H79" s="43"/>
      <c r="I79" s="43"/>
      <c r="J79" s="43"/>
      <c r="K79" s="43"/>
      <c r="L79" s="43"/>
      <c r="M79" s="43"/>
      <c r="N79" s="43"/>
      <c r="O79" s="43"/>
      <c r="P79" s="41"/>
      <c r="Q79" s="41"/>
      <c r="R79" s="41"/>
      <c r="S79" s="44"/>
      <c r="T79" s="45"/>
      <c r="U79" s="45"/>
      <c r="V79" s="45"/>
      <c r="W79" s="45"/>
      <c r="X79" s="46"/>
      <c r="Y79" s="46"/>
      <c r="Z79" s="46"/>
      <c r="AA79" s="46"/>
      <c r="AB79" s="46"/>
      <c r="AC79" s="46"/>
      <c r="AD79" s="46"/>
      <c r="AE79" s="46"/>
      <c r="AF79" s="46"/>
      <c r="AG79" s="46"/>
    </row>
    <row r="80" spans="1:33" ht="13.5" customHeight="1">
      <c r="A80" s="46"/>
      <c r="B80" s="46"/>
      <c r="C80" s="41"/>
      <c r="D80" s="42"/>
      <c r="E80" s="42"/>
      <c r="F80" s="42"/>
      <c r="G80" s="43"/>
      <c r="H80" s="43"/>
      <c r="I80" s="43"/>
      <c r="J80" s="43"/>
      <c r="K80" s="43"/>
      <c r="L80" s="43"/>
      <c r="M80" s="43"/>
      <c r="N80" s="43"/>
      <c r="O80" s="43"/>
      <c r="P80" s="41"/>
      <c r="Q80" s="41"/>
      <c r="R80" s="41"/>
      <c r="S80" s="44"/>
      <c r="T80" s="45"/>
      <c r="U80" s="45"/>
      <c r="V80" s="45"/>
      <c r="W80" s="45"/>
      <c r="X80" s="46"/>
      <c r="Y80" s="46"/>
      <c r="Z80" s="46"/>
      <c r="AA80" s="46"/>
      <c r="AB80" s="46"/>
      <c r="AC80" s="46"/>
      <c r="AD80" s="46"/>
      <c r="AE80" s="46"/>
      <c r="AF80" s="46"/>
      <c r="AG80" s="46"/>
    </row>
    <row r="81" spans="1:33" ht="13.5" customHeight="1">
      <c r="A81" s="46"/>
      <c r="B81" s="46"/>
      <c r="C81" s="41"/>
      <c r="D81" s="42"/>
      <c r="E81" s="42"/>
      <c r="F81" s="42"/>
      <c r="G81" s="43"/>
      <c r="H81" s="43"/>
      <c r="I81" s="43"/>
      <c r="J81" s="43"/>
      <c r="K81" s="43"/>
      <c r="L81" s="43"/>
      <c r="M81" s="43"/>
      <c r="N81" s="43"/>
      <c r="O81" s="43"/>
      <c r="P81" s="41"/>
      <c r="Q81" s="41"/>
      <c r="R81" s="41"/>
      <c r="S81" s="44"/>
      <c r="T81" s="45"/>
      <c r="U81" s="45"/>
      <c r="V81" s="45"/>
      <c r="W81" s="45"/>
      <c r="X81" s="46"/>
      <c r="Y81" s="46"/>
      <c r="Z81" s="46"/>
      <c r="AA81" s="46"/>
      <c r="AB81" s="46"/>
      <c r="AC81" s="46"/>
      <c r="AD81" s="46"/>
      <c r="AE81" s="46"/>
      <c r="AF81" s="46"/>
      <c r="AG81" s="46"/>
    </row>
    <row r="82" spans="1:33" ht="13.5" customHeight="1">
      <c r="A82" s="46"/>
      <c r="B82" s="46"/>
      <c r="C82" s="41"/>
      <c r="D82" s="42"/>
      <c r="E82" s="42"/>
      <c r="F82" s="42"/>
      <c r="G82" s="43"/>
      <c r="H82" s="43"/>
      <c r="I82" s="43"/>
      <c r="J82" s="43"/>
      <c r="K82" s="43"/>
      <c r="L82" s="43"/>
      <c r="M82" s="43"/>
      <c r="N82" s="43"/>
      <c r="O82" s="43"/>
      <c r="P82" s="41"/>
      <c r="Q82" s="41"/>
      <c r="R82" s="41"/>
      <c r="S82" s="44"/>
      <c r="T82" s="45"/>
      <c r="U82" s="45"/>
      <c r="V82" s="45"/>
      <c r="W82" s="45"/>
      <c r="X82" s="46"/>
      <c r="Y82" s="46"/>
      <c r="Z82" s="46"/>
      <c r="AA82" s="46"/>
      <c r="AB82" s="46"/>
      <c r="AC82" s="46"/>
      <c r="AD82" s="46"/>
      <c r="AE82" s="46"/>
      <c r="AF82" s="46"/>
      <c r="AG82" s="46"/>
    </row>
    <row r="83" spans="1:33" ht="13.5" customHeight="1">
      <c r="A83" s="46"/>
      <c r="B83" s="46"/>
      <c r="C83" s="41"/>
      <c r="D83" s="42"/>
      <c r="E83" s="42"/>
      <c r="F83" s="42"/>
      <c r="G83" s="43"/>
      <c r="H83" s="43"/>
      <c r="I83" s="43"/>
      <c r="J83" s="43"/>
      <c r="K83" s="43"/>
      <c r="L83" s="43"/>
      <c r="M83" s="43"/>
      <c r="N83" s="43"/>
      <c r="O83" s="43"/>
      <c r="P83" s="41"/>
      <c r="Q83" s="41"/>
      <c r="R83" s="41"/>
      <c r="S83" s="44"/>
      <c r="T83" s="45"/>
      <c r="U83" s="45"/>
      <c r="V83" s="45"/>
      <c r="W83" s="45"/>
      <c r="X83" s="46"/>
      <c r="Y83" s="46"/>
      <c r="Z83" s="46"/>
      <c r="AA83" s="46"/>
      <c r="AB83" s="46"/>
      <c r="AC83" s="46"/>
      <c r="AD83" s="46"/>
      <c r="AE83" s="46"/>
      <c r="AF83" s="46"/>
      <c r="AG83" s="46"/>
    </row>
    <row r="84" spans="1:33" ht="13.5" customHeight="1">
      <c r="A84" s="46"/>
      <c r="B84" s="46"/>
      <c r="C84" s="41"/>
      <c r="D84" s="42"/>
      <c r="E84" s="42"/>
      <c r="F84" s="42"/>
      <c r="G84" s="43"/>
      <c r="H84" s="43"/>
      <c r="I84" s="43"/>
      <c r="J84" s="43"/>
      <c r="K84" s="43"/>
      <c r="L84" s="43"/>
      <c r="M84" s="43"/>
      <c r="N84" s="43"/>
      <c r="O84" s="43"/>
      <c r="P84" s="41"/>
      <c r="Q84" s="41"/>
      <c r="R84" s="41"/>
      <c r="S84" s="44"/>
      <c r="T84" s="45"/>
      <c r="U84" s="45"/>
      <c r="V84" s="45"/>
      <c r="W84" s="45"/>
      <c r="X84" s="46"/>
      <c r="Y84" s="46"/>
      <c r="Z84" s="46"/>
      <c r="AA84" s="46"/>
      <c r="AB84" s="46"/>
      <c r="AC84" s="46"/>
      <c r="AD84" s="46"/>
      <c r="AE84" s="46"/>
      <c r="AF84" s="46"/>
      <c r="AG84" s="46"/>
    </row>
    <row r="85" spans="1:33" ht="13.5" customHeight="1">
      <c r="A85" s="46"/>
      <c r="B85" s="46"/>
      <c r="C85" s="41"/>
      <c r="D85" s="42"/>
      <c r="E85" s="42"/>
      <c r="F85" s="42"/>
      <c r="G85" s="43"/>
      <c r="H85" s="43"/>
      <c r="I85" s="43"/>
      <c r="J85" s="43"/>
      <c r="K85" s="43"/>
      <c r="L85" s="43"/>
      <c r="M85" s="43"/>
      <c r="N85" s="43"/>
      <c r="O85" s="43"/>
      <c r="P85" s="41"/>
      <c r="Q85" s="41"/>
      <c r="R85" s="41"/>
      <c r="S85" s="44"/>
      <c r="T85" s="45"/>
      <c r="U85" s="45"/>
      <c r="V85" s="45"/>
      <c r="W85" s="45"/>
      <c r="X85" s="46"/>
      <c r="Y85" s="46"/>
      <c r="Z85" s="46"/>
      <c r="AA85" s="46"/>
      <c r="AB85" s="46"/>
      <c r="AC85" s="46"/>
      <c r="AD85" s="46"/>
      <c r="AE85" s="46"/>
      <c r="AF85" s="46"/>
      <c r="AG85" s="46"/>
    </row>
    <row r="86" spans="1:33" ht="13.5" customHeight="1">
      <c r="A86" s="46"/>
      <c r="B86" s="46"/>
      <c r="C86" s="41"/>
      <c r="D86" s="42"/>
      <c r="E86" s="42"/>
      <c r="F86" s="42"/>
      <c r="G86" s="43"/>
      <c r="H86" s="43"/>
      <c r="I86" s="43"/>
      <c r="J86" s="43"/>
      <c r="K86" s="43"/>
      <c r="L86" s="43"/>
      <c r="M86" s="43"/>
      <c r="N86" s="43"/>
      <c r="O86" s="43"/>
      <c r="P86" s="41"/>
      <c r="Q86" s="41"/>
      <c r="R86" s="41"/>
      <c r="S86" s="44"/>
      <c r="T86" s="45"/>
      <c r="U86" s="45"/>
      <c r="V86" s="45"/>
      <c r="W86" s="45"/>
      <c r="X86" s="46"/>
      <c r="Y86" s="46"/>
      <c r="Z86" s="46"/>
      <c r="AA86" s="46"/>
      <c r="AB86" s="46"/>
      <c r="AC86" s="46"/>
      <c r="AD86" s="46"/>
      <c r="AE86" s="46"/>
      <c r="AF86" s="46"/>
      <c r="AG86" s="46"/>
    </row>
    <row r="87" spans="1:33" ht="13.5" customHeight="1">
      <c r="A87" s="46"/>
      <c r="B87" s="46"/>
      <c r="C87" s="41"/>
      <c r="D87" s="42"/>
      <c r="E87" s="42"/>
      <c r="F87" s="42"/>
      <c r="G87" s="43"/>
      <c r="H87" s="43"/>
      <c r="I87" s="43"/>
      <c r="J87" s="43"/>
      <c r="K87" s="43"/>
      <c r="L87" s="43"/>
      <c r="M87" s="43"/>
      <c r="N87" s="43"/>
      <c r="O87" s="43"/>
      <c r="P87" s="41"/>
      <c r="Q87" s="41"/>
      <c r="R87" s="41"/>
      <c r="S87" s="44"/>
      <c r="T87" s="45"/>
      <c r="U87" s="45"/>
      <c r="V87" s="45"/>
      <c r="W87" s="45"/>
      <c r="X87" s="46"/>
      <c r="Y87" s="46"/>
      <c r="Z87" s="46"/>
      <c r="AA87" s="46"/>
      <c r="AB87" s="46"/>
      <c r="AC87" s="46"/>
      <c r="AD87" s="46"/>
      <c r="AE87" s="46"/>
      <c r="AF87" s="46"/>
      <c r="AG87" s="46"/>
    </row>
    <row r="88" spans="1:33" ht="13.5" customHeight="1">
      <c r="A88" s="46"/>
      <c r="B88" s="46"/>
      <c r="C88" s="41"/>
      <c r="D88" s="42"/>
      <c r="E88" s="42"/>
      <c r="F88" s="42"/>
      <c r="G88" s="43"/>
      <c r="H88" s="43"/>
      <c r="I88" s="43"/>
      <c r="J88" s="43"/>
      <c r="K88" s="43"/>
      <c r="L88" s="43"/>
      <c r="M88" s="43"/>
      <c r="N88" s="43"/>
      <c r="O88" s="43"/>
      <c r="P88" s="41"/>
      <c r="Q88" s="41"/>
      <c r="R88" s="41"/>
      <c r="S88" s="44"/>
      <c r="T88" s="45"/>
      <c r="U88" s="45"/>
      <c r="V88" s="45"/>
      <c r="W88" s="45"/>
      <c r="X88" s="46"/>
      <c r="Y88" s="46"/>
      <c r="Z88" s="46"/>
      <c r="AA88" s="46"/>
      <c r="AB88" s="46"/>
      <c r="AC88" s="46"/>
      <c r="AD88" s="46"/>
      <c r="AE88" s="46"/>
      <c r="AF88" s="46"/>
      <c r="AG88" s="46"/>
    </row>
    <row r="89" spans="1:33" ht="13.5" customHeight="1">
      <c r="A89" s="46"/>
      <c r="B89" s="46"/>
      <c r="C89" s="41"/>
      <c r="D89" s="42"/>
      <c r="E89" s="42"/>
      <c r="F89" s="42"/>
      <c r="G89" s="43"/>
      <c r="H89" s="43"/>
      <c r="I89" s="43"/>
      <c r="J89" s="43"/>
      <c r="K89" s="43"/>
      <c r="L89" s="43"/>
      <c r="M89" s="43"/>
      <c r="N89" s="43"/>
      <c r="O89" s="43"/>
      <c r="P89" s="41"/>
      <c r="Q89" s="41"/>
      <c r="R89" s="41"/>
      <c r="S89" s="44"/>
      <c r="T89" s="45"/>
      <c r="U89" s="45"/>
      <c r="V89" s="45"/>
      <c r="W89" s="45"/>
      <c r="X89" s="46"/>
      <c r="Y89" s="46"/>
      <c r="Z89" s="46"/>
      <c r="AA89" s="46"/>
      <c r="AB89" s="46"/>
      <c r="AC89" s="46"/>
      <c r="AD89" s="46"/>
      <c r="AE89" s="46"/>
      <c r="AF89" s="46"/>
      <c r="AG89" s="46"/>
    </row>
    <row r="90" spans="1:33" ht="13.5" customHeight="1">
      <c r="A90" s="46"/>
      <c r="B90" s="46"/>
      <c r="C90" s="41"/>
      <c r="D90" s="42"/>
      <c r="E90" s="42"/>
      <c r="F90" s="42"/>
      <c r="G90" s="43"/>
      <c r="H90" s="43"/>
      <c r="I90" s="43"/>
      <c r="J90" s="43"/>
      <c r="K90" s="43"/>
      <c r="L90" s="43"/>
      <c r="M90" s="43"/>
      <c r="N90" s="43"/>
      <c r="O90" s="43"/>
      <c r="P90" s="41"/>
      <c r="Q90" s="41"/>
      <c r="R90" s="41"/>
      <c r="S90" s="44"/>
      <c r="T90" s="45"/>
      <c r="U90" s="45"/>
      <c r="V90" s="45"/>
      <c r="W90" s="45"/>
      <c r="X90" s="46"/>
      <c r="Y90" s="46"/>
      <c r="Z90" s="46"/>
      <c r="AA90" s="46"/>
      <c r="AB90" s="46"/>
      <c r="AC90" s="46"/>
      <c r="AD90" s="46"/>
      <c r="AE90" s="46"/>
      <c r="AF90" s="46"/>
      <c r="AG90" s="46"/>
    </row>
    <row r="91" spans="1:33" ht="13.5" customHeight="1">
      <c r="A91" s="46"/>
      <c r="B91" s="46"/>
      <c r="C91" s="41"/>
      <c r="D91" s="42"/>
      <c r="E91" s="42"/>
      <c r="F91" s="42"/>
      <c r="G91" s="43"/>
      <c r="H91" s="43"/>
      <c r="I91" s="43"/>
      <c r="J91" s="43"/>
      <c r="K91" s="43"/>
      <c r="L91" s="43"/>
      <c r="M91" s="43"/>
      <c r="N91" s="43"/>
      <c r="O91" s="43"/>
      <c r="P91" s="41"/>
      <c r="Q91" s="41"/>
      <c r="R91" s="41"/>
      <c r="S91" s="44"/>
      <c r="T91" s="45"/>
      <c r="U91" s="45"/>
      <c r="V91" s="45"/>
      <c r="W91" s="45"/>
      <c r="X91" s="46"/>
      <c r="Y91" s="46"/>
      <c r="Z91" s="46"/>
      <c r="AA91" s="46"/>
      <c r="AB91" s="46"/>
      <c r="AC91" s="46"/>
      <c r="AD91" s="46"/>
      <c r="AE91" s="46"/>
      <c r="AF91" s="46"/>
      <c r="AG91" s="46"/>
    </row>
    <row r="92" spans="1:33" ht="13.5" customHeight="1">
      <c r="A92" s="46"/>
      <c r="B92" s="46"/>
      <c r="C92" s="41"/>
      <c r="D92" s="42"/>
      <c r="E92" s="42"/>
      <c r="F92" s="42"/>
      <c r="G92" s="43"/>
      <c r="H92" s="43"/>
      <c r="I92" s="43"/>
      <c r="J92" s="43"/>
      <c r="K92" s="43"/>
      <c r="L92" s="43"/>
      <c r="M92" s="43"/>
      <c r="N92" s="43"/>
      <c r="O92" s="43"/>
      <c r="P92" s="41"/>
      <c r="Q92" s="41"/>
      <c r="R92" s="41"/>
      <c r="S92" s="44"/>
      <c r="T92" s="45"/>
      <c r="U92" s="45"/>
      <c r="V92" s="45"/>
      <c r="W92" s="45"/>
      <c r="X92" s="46"/>
      <c r="Y92" s="46"/>
      <c r="Z92" s="46"/>
      <c r="AA92" s="46"/>
      <c r="AB92" s="46"/>
      <c r="AC92" s="46"/>
      <c r="AD92" s="46"/>
      <c r="AE92" s="46"/>
      <c r="AF92" s="46"/>
      <c r="AG92" s="46"/>
    </row>
    <row r="93" spans="1:33" ht="13.5" customHeight="1">
      <c r="A93" s="46"/>
      <c r="B93" s="46"/>
      <c r="C93" s="41"/>
      <c r="D93" s="42"/>
      <c r="E93" s="42"/>
      <c r="F93" s="42"/>
      <c r="G93" s="43"/>
      <c r="H93" s="43"/>
      <c r="I93" s="43"/>
      <c r="J93" s="43"/>
      <c r="K93" s="43"/>
      <c r="L93" s="43"/>
      <c r="M93" s="43"/>
      <c r="N93" s="43"/>
      <c r="O93" s="43"/>
      <c r="P93" s="41"/>
      <c r="Q93" s="41"/>
      <c r="R93" s="41"/>
      <c r="S93" s="44"/>
      <c r="T93" s="45"/>
      <c r="U93" s="45"/>
      <c r="V93" s="45"/>
      <c r="W93" s="45"/>
      <c r="X93" s="46"/>
      <c r="Y93" s="46"/>
      <c r="Z93" s="46"/>
      <c r="AA93" s="46"/>
      <c r="AB93" s="46"/>
      <c r="AC93" s="46"/>
      <c r="AD93" s="46"/>
      <c r="AE93" s="46"/>
      <c r="AF93" s="46"/>
      <c r="AG93" s="46"/>
    </row>
    <row r="94" spans="1:33" ht="13.5" customHeight="1">
      <c r="A94" s="46"/>
      <c r="B94" s="46"/>
      <c r="C94" s="41"/>
      <c r="D94" s="42"/>
      <c r="E94" s="42"/>
      <c r="F94" s="42"/>
      <c r="G94" s="43"/>
      <c r="H94" s="43"/>
      <c r="I94" s="43"/>
      <c r="J94" s="43"/>
      <c r="K94" s="43"/>
      <c r="L94" s="43"/>
      <c r="M94" s="43"/>
      <c r="N94" s="43"/>
      <c r="O94" s="43"/>
      <c r="P94" s="41"/>
      <c r="Q94" s="41"/>
      <c r="R94" s="41"/>
      <c r="S94" s="44"/>
      <c r="T94" s="45"/>
      <c r="U94" s="45"/>
      <c r="V94" s="45"/>
      <c r="W94" s="45"/>
      <c r="X94" s="46"/>
      <c r="Y94" s="46"/>
      <c r="Z94" s="46"/>
      <c r="AA94" s="46"/>
      <c r="AB94" s="46"/>
      <c r="AC94" s="46"/>
      <c r="AD94" s="46"/>
      <c r="AE94" s="46"/>
      <c r="AF94" s="46"/>
      <c r="AG94" s="46"/>
    </row>
    <row r="95" spans="1:33" ht="13.5" customHeight="1">
      <c r="A95" s="46"/>
      <c r="B95" s="46"/>
      <c r="C95" s="41"/>
      <c r="D95" s="42"/>
      <c r="E95" s="42"/>
      <c r="F95" s="42"/>
      <c r="G95" s="43"/>
      <c r="H95" s="43"/>
      <c r="I95" s="43"/>
      <c r="J95" s="43"/>
      <c r="K95" s="43"/>
      <c r="L95" s="43"/>
      <c r="M95" s="43"/>
      <c r="N95" s="43"/>
      <c r="O95" s="43"/>
      <c r="P95" s="41"/>
      <c r="Q95" s="41"/>
      <c r="R95" s="41"/>
      <c r="S95" s="44"/>
      <c r="T95" s="45"/>
      <c r="U95" s="45"/>
      <c r="V95" s="45"/>
      <c r="W95" s="45"/>
      <c r="X95" s="46"/>
      <c r="Y95" s="46"/>
      <c r="Z95" s="46"/>
      <c r="AA95" s="46"/>
      <c r="AB95" s="46"/>
      <c r="AC95" s="46"/>
      <c r="AD95" s="46"/>
      <c r="AE95" s="46"/>
      <c r="AF95" s="46"/>
      <c r="AG95" s="46"/>
    </row>
    <row r="96" spans="1:33" ht="13.5" customHeight="1">
      <c r="A96" s="46"/>
      <c r="B96" s="46"/>
      <c r="C96" s="41"/>
      <c r="D96" s="42"/>
      <c r="E96" s="42"/>
      <c r="F96" s="42"/>
      <c r="G96" s="43"/>
      <c r="H96" s="43"/>
      <c r="I96" s="43"/>
      <c r="J96" s="43"/>
      <c r="K96" s="43"/>
      <c r="L96" s="43"/>
      <c r="M96" s="43"/>
      <c r="N96" s="43"/>
      <c r="O96" s="43"/>
      <c r="P96" s="41"/>
      <c r="Q96" s="41"/>
      <c r="R96" s="41"/>
      <c r="S96" s="44"/>
      <c r="T96" s="45"/>
      <c r="U96" s="45"/>
      <c r="V96" s="45"/>
      <c r="W96" s="45"/>
      <c r="X96" s="46"/>
      <c r="Y96" s="46"/>
      <c r="Z96" s="46"/>
      <c r="AA96" s="46"/>
      <c r="AB96" s="46"/>
      <c r="AC96" s="46"/>
      <c r="AD96" s="46"/>
      <c r="AE96" s="46"/>
      <c r="AF96" s="46"/>
      <c r="AG96" s="46"/>
    </row>
    <row r="97" spans="1:33" ht="13.5" customHeight="1">
      <c r="A97" s="46"/>
      <c r="B97" s="46"/>
      <c r="C97" s="41"/>
      <c r="D97" s="42"/>
      <c r="E97" s="42"/>
      <c r="F97" s="42"/>
      <c r="G97" s="43"/>
      <c r="H97" s="43"/>
      <c r="I97" s="43"/>
      <c r="J97" s="43"/>
      <c r="K97" s="43"/>
      <c r="L97" s="43"/>
      <c r="M97" s="43"/>
      <c r="N97" s="43"/>
      <c r="O97" s="43"/>
      <c r="P97" s="41"/>
      <c r="Q97" s="41"/>
      <c r="R97" s="41"/>
      <c r="S97" s="44"/>
      <c r="T97" s="45"/>
      <c r="U97" s="45"/>
      <c r="V97" s="45"/>
      <c r="W97" s="45"/>
      <c r="X97" s="46"/>
      <c r="Y97" s="46"/>
      <c r="Z97" s="46"/>
      <c r="AA97" s="46"/>
      <c r="AB97" s="46"/>
      <c r="AC97" s="46"/>
      <c r="AD97" s="46"/>
      <c r="AE97" s="46"/>
      <c r="AF97" s="46"/>
      <c r="AG97" s="46"/>
    </row>
    <row r="98" spans="1:33" ht="13.5" customHeight="1">
      <c r="A98" s="46"/>
      <c r="B98" s="46"/>
      <c r="C98" s="41"/>
      <c r="D98" s="42"/>
      <c r="E98" s="42"/>
      <c r="F98" s="42"/>
      <c r="G98" s="43"/>
      <c r="H98" s="43"/>
      <c r="I98" s="43"/>
      <c r="J98" s="43"/>
      <c r="K98" s="43"/>
      <c r="L98" s="43"/>
      <c r="M98" s="43"/>
      <c r="N98" s="43"/>
      <c r="O98" s="43"/>
      <c r="P98" s="41"/>
      <c r="Q98" s="41"/>
      <c r="R98" s="41"/>
      <c r="S98" s="44"/>
      <c r="T98" s="45"/>
      <c r="U98" s="45"/>
      <c r="V98" s="45"/>
      <c r="W98" s="45"/>
      <c r="X98" s="46"/>
      <c r="Y98" s="46"/>
      <c r="Z98" s="46"/>
      <c r="AA98" s="46"/>
      <c r="AB98" s="46"/>
      <c r="AC98" s="46"/>
      <c r="AD98" s="46"/>
      <c r="AE98" s="46"/>
      <c r="AF98" s="46"/>
      <c r="AG98" s="46"/>
    </row>
    <row r="99" spans="1:33" ht="13.5" customHeight="1">
      <c r="A99" s="46"/>
      <c r="B99" s="46"/>
      <c r="C99" s="41"/>
      <c r="D99" s="42"/>
      <c r="E99" s="42"/>
      <c r="F99" s="42"/>
      <c r="G99" s="43"/>
      <c r="H99" s="43"/>
      <c r="I99" s="43"/>
      <c r="J99" s="43"/>
      <c r="K99" s="43"/>
      <c r="L99" s="43"/>
      <c r="M99" s="43"/>
      <c r="N99" s="43"/>
      <c r="O99" s="43"/>
      <c r="P99" s="41"/>
      <c r="Q99" s="41"/>
      <c r="R99" s="41"/>
      <c r="S99" s="44"/>
      <c r="T99" s="45"/>
      <c r="U99" s="45"/>
      <c r="V99" s="45"/>
      <c r="W99" s="45"/>
      <c r="X99" s="46"/>
      <c r="Y99" s="46"/>
      <c r="Z99" s="46"/>
      <c r="AA99" s="46"/>
      <c r="AB99" s="46"/>
      <c r="AC99" s="46"/>
      <c r="AD99" s="46"/>
      <c r="AE99" s="46"/>
      <c r="AF99" s="46"/>
      <c r="AG99" s="46"/>
    </row>
    <row r="100" spans="1:33" ht="13.5" customHeight="1">
      <c r="A100" s="46"/>
      <c r="B100" s="46"/>
      <c r="C100" s="41"/>
      <c r="D100" s="42"/>
      <c r="E100" s="42"/>
      <c r="F100" s="42"/>
      <c r="G100" s="43"/>
      <c r="H100" s="43"/>
      <c r="I100" s="43"/>
      <c r="J100" s="43"/>
      <c r="K100" s="43"/>
      <c r="L100" s="43"/>
      <c r="M100" s="43"/>
      <c r="N100" s="43"/>
      <c r="O100" s="43"/>
      <c r="P100" s="41"/>
      <c r="Q100" s="41"/>
      <c r="R100" s="41"/>
      <c r="S100" s="44"/>
      <c r="T100" s="45"/>
      <c r="U100" s="45"/>
      <c r="V100" s="45"/>
      <c r="W100" s="45"/>
      <c r="X100" s="46"/>
      <c r="Y100" s="46"/>
      <c r="Z100" s="46"/>
      <c r="AA100" s="46"/>
      <c r="AB100" s="46"/>
      <c r="AC100" s="46"/>
      <c r="AD100" s="46"/>
      <c r="AE100" s="46"/>
      <c r="AF100" s="46"/>
      <c r="AG100" s="46"/>
    </row>
    <row r="101" spans="1:33" ht="13.5" customHeight="1">
      <c r="A101" s="46"/>
      <c r="B101" s="46"/>
      <c r="C101" s="41"/>
      <c r="D101" s="42"/>
      <c r="E101" s="42"/>
      <c r="F101" s="42"/>
      <c r="G101" s="43"/>
      <c r="H101" s="43"/>
      <c r="I101" s="43"/>
      <c r="J101" s="43"/>
      <c r="K101" s="43"/>
      <c r="L101" s="43"/>
      <c r="M101" s="43"/>
      <c r="N101" s="43"/>
      <c r="O101" s="43"/>
      <c r="P101" s="41"/>
      <c r="Q101" s="41"/>
      <c r="R101" s="41"/>
      <c r="S101" s="44"/>
      <c r="T101" s="45"/>
      <c r="U101" s="45"/>
      <c r="V101" s="45"/>
      <c r="W101" s="45"/>
      <c r="X101" s="46"/>
      <c r="Y101" s="46"/>
      <c r="Z101" s="46"/>
      <c r="AA101" s="46"/>
      <c r="AB101" s="46"/>
      <c r="AC101" s="46"/>
      <c r="AD101" s="46"/>
      <c r="AE101" s="46"/>
      <c r="AF101" s="46"/>
      <c r="AG101" s="46"/>
    </row>
    <row r="102" spans="1:33" ht="13.5" customHeight="1">
      <c r="A102" s="46"/>
      <c r="B102" s="46"/>
      <c r="C102" s="41"/>
      <c r="D102" s="42"/>
      <c r="E102" s="42"/>
      <c r="F102" s="42"/>
      <c r="G102" s="43"/>
      <c r="H102" s="43"/>
      <c r="I102" s="43"/>
      <c r="J102" s="43"/>
      <c r="K102" s="43"/>
      <c r="L102" s="43"/>
      <c r="M102" s="43"/>
      <c r="N102" s="43"/>
      <c r="O102" s="43"/>
      <c r="P102" s="41"/>
      <c r="Q102" s="41"/>
      <c r="R102" s="41"/>
      <c r="S102" s="44"/>
      <c r="T102" s="45"/>
      <c r="U102" s="45"/>
      <c r="V102" s="45"/>
      <c r="W102" s="45"/>
      <c r="X102" s="46"/>
      <c r="Y102" s="46"/>
      <c r="Z102" s="46"/>
      <c r="AA102" s="46"/>
      <c r="AB102" s="46"/>
      <c r="AC102" s="46"/>
      <c r="AD102" s="46"/>
      <c r="AE102" s="46"/>
      <c r="AF102" s="46"/>
      <c r="AG102" s="46"/>
    </row>
    <row r="103" spans="1:33" ht="13.5" customHeight="1">
      <c r="A103" s="46"/>
      <c r="B103" s="46"/>
      <c r="C103" s="41"/>
      <c r="D103" s="42"/>
      <c r="E103" s="42"/>
      <c r="F103" s="42"/>
      <c r="G103" s="43"/>
      <c r="H103" s="43"/>
      <c r="I103" s="43"/>
      <c r="J103" s="43"/>
      <c r="K103" s="43"/>
      <c r="L103" s="43"/>
      <c r="M103" s="43"/>
      <c r="N103" s="43"/>
      <c r="O103" s="43"/>
      <c r="P103" s="41"/>
      <c r="Q103" s="41"/>
      <c r="R103" s="41"/>
      <c r="S103" s="44"/>
      <c r="T103" s="45"/>
      <c r="U103" s="45"/>
      <c r="V103" s="45"/>
      <c r="W103" s="45"/>
      <c r="X103" s="46"/>
      <c r="Y103" s="46"/>
      <c r="Z103" s="46"/>
      <c r="AA103" s="46"/>
      <c r="AB103" s="46"/>
      <c r="AC103" s="46"/>
      <c r="AD103" s="46"/>
      <c r="AE103" s="46"/>
      <c r="AF103" s="46"/>
      <c r="AG103" s="46"/>
    </row>
    <row r="104" spans="1:33" ht="13.5" customHeight="1">
      <c r="A104" s="46"/>
      <c r="B104" s="46"/>
      <c r="C104" s="41"/>
      <c r="D104" s="42"/>
      <c r="E104" s="42"/>
      <c r="F104" s="42"/>
      <c r="G104" s="43"/>
      <c r="H104" s="43"/>
      <c r="I104" s="43"/>
      <c r="J104" s="43"/>
      <c r="K104" s="43"/>
      <c r="L104" s="43"/>
      <c r="M104" s="43"/>
      <c r="N104" s="43"/>
      <c r="O104" s="43"/>
      <c r="P104" s="41"/>
      <c r="Q104" s="41"/>
      <c r="R104" s="41"/>
      <c r="S104" s="44"/>
      <c r="T104" s="45"/>
      <c r="U104" s="45"/>
      <c r="V104" s="45"/>
      <c r="W104" s="45"/>
      <c r="X104" s="46"/>
      <c r="Y104" s="46"/>
      <c r="Z104" s="46"/>
      <c r="AA104" s="46"/>
      <c r="AB104" s="46"/>
      <c r="AC104" s="46"/>
      <c r="AD104" s="46"/>
      <c r="AE104" s="46"/>
      <c r="AF104" s="46"/>
      <c r="AG104" s="46"/>
    </row>
    <row r="105" spans="1:33" ht="13.5" customHeight="1">
      <c r="A105" s="46"/>
      <c r="B105" s="46"/>
      <c r="C105" s="41"/>
      <c r="D105" s="42"/>
      <c r="E105" s="42"/>
      <c r="F105" s="42"/>
      <c r="G105" s="43"/>
      <c r="H105" s="43"/>
      <c r="I105" s="43"/>
      <c r="J105" s="43"/>
      <c r="K105" s="43"/>
      <c r="L105" s="43"/>
      <c r="M105" s="43"/>
      <c r="N105" s="43"/>
      <c r="O105" s="43"/>
      <c r="P105" s="41"/>
      <c r="Q105" s="41"/>
      <c r="R105" s="41"/>
      <c r="S105" s="44"/>
      <c r="T105" s="45"/>
      <c r="U105" s="45"/>
      <c r="V105" s="45"/>
      <c r="W105" s="45"/>
      <c r="X105" s="46"/>
      <c r="Y105" s="46"/>
      <c r="Z105" s="46"/>
      <c r="AA105" s="46"/>
      <c r="AB105" s="46"/>
      <c r="AC105" s="46"/>
      <c r="AD105" s="46"/>
      <c r="AE105" s="46"/>
      <c r="AF105" s="46"/>
      <c r="AG105" s="46"/>
    </row>
    <row r="106" spans="1:33" ht="13.5" customHeight="1">
      <c r="A106" s="46"/>
      <c r="B106" s="46"/>
      <c r="C106" s="41"/>
      <c r="D106" s="42"/>
      <c r="E106" s="42"/>
      <c r="F106" s="42"/>
      <c r="G106" s="43"/>
      <c r="H106" s="43"/>
      <c r="I106" s="43"/>
      <c r="J106" s="43"/>
      <c r="K106" s="43"/>
      <c r="L106" s="43"/>
      <c r="M106" s="43"/>
      <c r="N106" s="43"/>
      <c r="O106" s="43"/>
      <c r="P106" s="41"/>
      <c r="Q106" s="41"/>
      <c r="R106" s="41"/>
      <c r="S106" s="44"/>
      <c r="T106" s="45"/>
      <c r="U106" s="45"/>
      <c r="V106" s="45"/>
      <c r="W106" s="45"/>
      <c r="X106" s="46"/>
      <c r="Y106" s="46"/>
      <c r="Z106" s="46"/>
      <c r="AA106" s="46"/>
      <c r="AB106" s="46"/>
      <c r="AC106" s="46"/>
      <c r="AD106" s="46"/>
      <c r="AE106" s="46"/>
      <c r="AF106" s="46"/>
      <c r="AG106" s="46"/>
    </row>
    <row r="107" spans="1:33" ht="13.5" customHeight="1">
      <c r="A107" s="46"/>
      <c r="B107" s="46"/>
      <c r="C107" s="41"/>
      <c r="D107" s="42"/>
      <c r="E107" s="42"/>
      <c r="F107" s="42"/>
      <c r="G107" s="43"/>
      <c r="H107" s="43"/>
      <c r="I107" s="43"/>
      <c r="J107" s="43"/>
      <c r="K107" s="43"/>
      <c r="L107" s="43"/>
      <c r="M107" s="43"/>
      <c r="N107" s="43"/>
      <c r="O107" s="43"/>
      <c r="P107" s="41"/>
      <c r="Q107" s="41"/>
      <c r="R107" s="41"/>
      <c r="S107" s="44"/>
      <c r="T107" s="45"/>
      <c r="U107" s="45"/>
      <c r="V107" s="45"/>
      <c r="W107" s="45"/>
      <c r="X107" s="46"/>
      <c r="Y107" s="46"/>
      <c r="Z107" s="46"/>
      <c r="AA107" s="46"/>
      <c r="AB107" s="46"/>
      <c r="AC107" s="46"/>
      <c r="AD107" s="46"/>
      <c r="AE107" s="46"/>
      <c r="AF107" s="46"/>
      <c r="AG107" s="46"/>
    </row>
    <row r="108" spans="1:33" ht="13.5" customHeight="1">
      <c r="A108" s="46"/>
      <c r="B108" s="46"/>
      <c r="C108" s="41"/>
      <c r="D108" s="42"/>
      <c r="E108" s="42"/>
      <c r="F108" s="42"/>
      <c r="G108" s="43"/>
      <c r="H108" s="43"/>
      <c r="I108" s="43"/>
      <c r="J108" s="43"/>
      <c r="K108" s="43"/>
      <c r="L108" s="43"/>
      <c r="M108" s="43"/>
      <c r="N108" s="43"/>
      <c r="O108" s="43"/>
      <c r="P108" s="41"/>
      <c r="Q108" s="41"/>
      <c r="R108" s="41"/>
      <c r="S108" s="44"/>
      <c r="T108" s="45"/>
      <c r="U108" s="45"/>
      <c r="V108" s="45"/>
      <c r="W108" s="45"/>
      <c r="X108" s="46"/>
      <c r="Y108" s="46"/>
      <c r="Z108" s="46"/>
      <c r="AA108" s="46"/>
      <c r="AB108" s="46"/>
      <c r="AC108" s="46"/>
      <c r="AD108" s="46"/>
      <c r="AE108" s="46"/>
      <c r="AF108" s="46"/>
      <c r="AG108" s="46"/>
    </row>
    <row r="109" spans="1:33" ht="13.5" customHeight="1">
      <c r="A109" s="46"/>
      <c r="B109" s="46"/>
      <c r="C109" s="41"/>
      <c r="D109" s="42"/>
      <c r="E109" s="42"/>
      <c r="F109" s="42"/>
      <c r="G109" s="43"/>
      <c r="H109" s="43"/>
      <c r="I109" s="43"/>
      <c r="J109" s="43"/>
      <c r="K109" s="43"/>
      <c r="L109" s="43"/>
      <c r="M109" s="43"/>
      <c r="N109" s="43"/>
      <c r="O109" s="43"/>
      <c r="P109" s="41"/>
      <c r="Q109" s="41"/>
      <c r="R109" s="41"/>
      <c r="S109" s="44"/>
      <c r="T109" s="45"/>
      <c r="U109" s="45"/>
      <c r="V109" s="45"/>
      <c r="W109" s="45"/>
      <c r="X109" s="46"/>
      <c r="Y109" s="46"/>
      <c r="Z109" s="46"/>
      <c r="AA109" s="46"/>
      <c r="AB109" s="46"/>
      <c r="AC109" s="46"/>
      <c r="AD109" s="46"/>
      <c r="AE109" s="46"/>
      <c r="AF109" s="46"/>
      <c r="AG109" s="46"/>
    </row>
    <row r="110" spans="1:33" ht="13.5" customHeight="1">
      <c r="A110" s="46"/>
      <c r="B110" s="46"/>
      <c r="C110" s="41"/>
      <c r="D110" s="42"/>
      <c r="E110" s="42"/>
      <c r="F110" s="42"/>
      <c r="G110" s="43"/>
      <c r="H110" s="43"/>
      <c r="I110" s="43"/>
      <c r="J110" s="43"/>
      <c r="K110" s="43"/>
      <c r="L110" s="43"/>
      <c r="M110" s="43"/>
      <c r="N110" s="43"/>
      <c r="O110" s="43"/>
      <c r="P110" s="41"/>
      <c r="Q110" s="41"/>
      <c r="R110" s="41"/>
      <c r="S110" s="44"/>
      <c r="T110" s="45"/>
      <c r="U110" s="45"/>
      <c r="V110" s="45"/>
      <c r="W110" s="45"/>
      <c r="X110" s="46"/>
      <c r="Y110" s="46"/>
      <c r="Z110" s="46"/>
      <c r="AA110" s="46"/>
      <c r="AB110" s="46"/>
      <c r="AC110" s="46"/>
      <c r="AD110" s="46"/>
      <c r="AE110" s="46"/>
      <c r="AF110" s="46"/>
      <c r="AG110" s="46"/>
    </row>
    <row r="111" spans="1:33" ht="13.5" customHeight="1">
      <c r="A111" s="46"/>
      <c r="B111" s="46"/>
      <c r="C111" s="41"/>
      <c r="D111" s="42"/>
      <c r="E111" s="42"/>
      <c r="F111" s="42"/>
      <c r="G111" s="43"/>
      <c r="H111" s="43"/>
      <c r="I111" s="43"/>
      <c r="J111" s="43"/>
      <c r="K111" s="43"/>
      <c r="L111" s="43"/>
      <c r="M111" s="43"/>
      <c r="N111" s="43"/>
      <c r="O111" s="43"/>
      <c r="P111" s="41"/>
      <c r="Q111" s="41"/>
      <c r="R111" s="41"/>
      <c r="S111" s="44"/>
      <c r="T111" s="45"/>
      <c r="U111" s="45"/>
      <c r="V111" s="45"/>
      <c r="W111" s="45"/>
      <c r="X111" s="46"/>
      <c r="Y111" s="46"/>
      <c r="Z111" s="46"/>
      <c r="AA111" s="46"/>
      <c r="AB111" s="46"/>
      <c r="AC111" s="46"/>
      <c r="AD111" s="46"/>
      <c r="AE111" s="46"/>
      <c r="AF111" s="46"/>
      <c r="AG111" s="46"/>
    </row>
    <row r="112" spans="1:33" ht="13.5" customHeight="1">
      <c r="A112" s="46"/>
      <c r="B112" s="46"/>
      <c r="C112" s="41"/>
      <c r="D112" s="42"/>
      <c r="E112" s="42"/>
      <c r="F112" s="42"/>
      <c r="G112" s="43"/>
      <c r="H112" s="43"/>
      <c r="I112" s="43"/>
      <c r="J112" s="43"/>
      <c r="K112" s="43"/>
      <c r="L112" s="43"/>
      <c r="M112" s="43"/>
      <c r="N112" s="43"/>
      <c r="O112" s="43"/>
      <c r="P112" s="41"/>
      <c r="Q112" s="41"/>
      <c r="R112" s="41"/>
      <c r="S112" s="44"/>
      <c r="T112" s="45"/>
      <c r="U112" s="45"/>
      <c r="V112" s="45"/>
      <c r="W112" s="45"/>
      <c r="X112" s="46"/>
      <c r="Y112" s="46"/>
      <c r="Z112" s="46"/>
      <c r="AA112" s="46"/>
      <c r="AB112" s="46"/>
      <c r="AC112" s="46"/>
      <c r="AD112" s="46"/>
      <c r="AE112" s="46"/>
      <c r="AF112" s="46"/>
      <c r="AG112" s="46"/>
    </row>
    <row r="113" spans="1:33" ht="13.5" customHeight="1">
      <c r="A113" s="46"/>
      <c r="B113" s="46"/>
      <c r="C113" s="41"/>
      <c r="D113" s="42"/>
      <c r="E113" s="42"/>
      <c r="F113" s="42"/>
      <c r="G113" s="43"/>
      <c r="H113" s="43"/>
      <c r="I113" s="43"/>
      <c r="J113" s="43"/>
      <c r="K113" s="43"/>
      <c r="L113" s="43"/>
      <c r="M113" s="43"/>
      <c r="N113" s="43"/>
      <c r="O113" s="43"/>
      <c r="P113" s="41"/>
      <c r="Q113" s="41"/>
      <c r="R113" s="41"/>
      <c r="S113" s="44"/>
      <c r="T113" s="45"/>
      <c r="U113" s="45"/>
      <c r="V113" s="45"/>
      <c r="W113" s="45"/>
      <c r="X113" s="46"/>
      <c r="Y113" s="46"/>
      <c r="Z113" s="46"/>
      <c r="AA113" s="46"/>
      <c r="AB113" s="46"/>
      <c r="AC113" s="46"/>
      <c r="AD113" s="46"/>
      <c r="AE113" s="46"/>
      <c r="AF113" s="46"/>
      <c r="AG113" s="46"/>
    </row>
    <row r="114" spans="1:33" ht="13.5" customHeight="1">
      <c r="A114" s="46"/>
      <c r="B114" s="46"/>
      <c r="C114" s="41"/>
      <c r="D114" s="42"/>
      <c r="E114" s="42"/>
      <c r="F114" s="42"/>
      <c r="G114" s="43"/>
      <c r="H114" s="43"/>
      <c r="I114" s="43"/>
      <c r="J114" s="43"/>
      <c r="K114" s="43"/>
      <c r="L114" s="43"/>
      <c r="M114" s="43"/>
      <c r="N114" s="43"/>
      <c r="O114" s="43"/>
      <c r="P114" s="41"/>
      <c r="Q114" s="41"/>
      <c r="R114" s="41"/>
      <c r="S114" s="44"/>
      <c r="T114" s="45"/>
      <c r="U114" s="45"/>
      <c r="V114" s="45"/>
      <c r="W114" s="45"/>
      <c r="X114" s="46"/>
      <c r="Y114" s="46"/>
      <c r="Z114" s="46"/>
      <c r="AA114" s="46"/>
      <c r="AB114" s="46"/>
      <c r="AC114" s="46"/>
      <c r="AD114" s="46"/>
      <c r="AE114" s="46"/>
      <c r="AF114" s="46"/>
      <c r="AG114" s="46"/>
    </row>
    <row r="115" spans="1:33" ht="13.5" customHeight="1">
      <c r="A115" s="46"/>
      <c r="B115" s="46"/>
      <c r="C115" s="41"/>
      <c r="D115" s="42"/>
      <c r="E115" s="42"/>
      <c r="F115" s="42"/>
      <c r="G115" s="43"/>
      <c r="H115" s="43"/>
      <c r="I115" s="43"/>
      <c r="J115" s="43"/>
      <c r="K115" s="43"/>
      <c r="L115" s="43"/>
      <c r="M115" s="43"/>
      <c r="N115" s="43"/>
      <c r="O115" s="43"/>
      <c r="P115" s="41"/>
      <c r="Q115" s="41"/>
      <c r="R115" s="41"/>
      <c r="S115" s="44"/>
      <c r="T115" s="45"/>
      <c r="U115" s="45"/>
      <c r="V115" s="45"/>
      <c r="W115" s="45"/>
      <c r="X115" s="46"/>
      <c r="Y115" s="46"/>
      <c r="Z115" s="46"/>
      <c r="AA115" s="46"/>
      <c r="AB115" s="46"/>
      <c r="AC115" s="46"/>
      <c r="AD115" s="46"/>
      <c r="AE115" s="46"/>
      <c r="AF115" s="46"/>
      <c r="AG115" s="46"/>
    </row>
    <row r="116" spans="1:33" ht="13.5" customHeight="1">
      <c r="A116" s="46"/>
      <c r="B116" s="46"/>
      <c r="C116" s="41"/>
      <c r="D116" s="42"/>
      <c r="E116" s="42"/>
      <c r="F116" s="42"/>
      <c r="G116" s="43"/>
      <c r="H116" s="43"/>
      <c r="I116" s="43"/>
      <c r="J116" s="43"/>
      <c r="K116" s="43"/>
      <c r="L116" s="43"/>
      <c r="M116" s="43"/>
      <c r="N116" s="43"/>
      <c r="O116" s="43"/>
      <c r="P116" s="41"/>
      <c r="Q116" s="41"/>
      <c r="R116" s="41"/>
      <c r="S116" s="44"/>
      <c r="T116" s="45"/>
      <c r="U116" s="45"/>
      <c r="V116" s="45"/>
      <c r="W116" s="45"/>
      <c r="X116" s="46"/>
      <c r="Y116" s="46"/>
      <c r="Z116" s="46"/>
      <c r="AA116" s="46"/>
      <c r="AB116" s="46"/>
      <c r="AC116" s="46"/>
      <c r="AD116" s="46"/>
      <c r="AE116" s="46"/>
      <c r="AF116" s="46"/>
      <c r="AG116" s="46"/>
    </row>
    <row r="117" spans="1:33" ht="13.5" customHeight="1">
      <c r="A117" s="46"/>
      <c r="B117" s="46"/>
      <c r="C117" s="41"/>
      <c r="D117" s="42"/>
      <c r="E117" s="42"/>
      <c r="F117" s="42"/>
      <c r="G117" s="43"/>
      <c r="H117" s="43"/>
      <c r="I117" s="43"/>
      <c r="J117" s="43"/>
      <c r="K117" s="43"/>
      <c r="L117" s="43"/>
      <c r="M117" s="43"/>
      <c r="N117" s="43"/>
      <c r="O117" s="43"/>
      <c r="P117" s="41"/>
      <c r="Q117" s="41"/>
      <c r="R117" s="41"/>
      <c r="S117" s="44"/>
      <c r="T117" s="45"/>
      <c r="U117" s="45"/>
      <c r="V117" s="45"/>
      <c r="W117" s="45"/>
      <c r="X117" s="46"/>
      <c r="Y117" s="46"/>
      <c r="Z117" s="46"/>
      <c r="AA117" s="46"/>
      <c r="AB117" s="46"/>
      <c r="AC117" s="46"/>
      <c r="AD117" s="46"/>
      <c r="AE117" s="46"/>
      <c r="AF117" s="46"/>
      <c r="AG117" s="46"/>
    </row>
    <row r="118" spans="1:33" ht="13.5" customHeight="1">
      <c r="A118" s="46"/>
      <c r="B118" s="46"/>
      <c r="C118" s="41"/>
      <c r="D118" s="42"/>
      <c r="E118" s="42"/>
      <c r="F118" s="42"/>
      <c r="G118" s="43"/>
      <c r="H118" s="43"/>
      <c r="I118" s="43"/>
      <c r="J118" s="43"/>
      <c r="K118" s="43"/>
      <c r="L118" s="43"/>
      <c r="M118" s="43"/>
      <c r="N118" s="43"/>
      <c r="O118" s="43"/>
      <c r="P118" s="41"/>
      <c r="Q118" s="41"/>
      <c r="R118" s="41"/>
      <c r="S118" s="44"/>
      <c r="T118" s="45"/>
      <c r="U118" s="45"/>
      <c r="V118" s="45"/>
      <c r="W118" s="45"/>
      <c r="X118" s="46"/>
      <c r="Y118" s="46"/>
      <c r="Z118" s="46"/>
      <c r="AA118" s="46"/>
      <c r="AB118" s="46"/>
      <c r="AC118" s="46"/>
      <c r="AD118" s="46"/>
      <c r="AE118" s="46"/>
      <c r="AF118" s="46"/>
      <c r="AG118" s="46"/>
    </row>
    <row r="119" spans="1:33" ht="13.5" customHeight="1">
      <c r="A119" s="46"/>
      <c r="B119" s="46"/>
      <c r="C119" s="41"/>
      <c r="D119" s="42"/>
      <c r="E119" s="42"/>
      <c r="F119" s="42"/>
      <c r="G119" s="43"/>
      <c r="H119" s="43"/>
      <c r="I119" s="43"/>
      <c r="J119" s="43"/>
      <c r="K119" s="43"/>
      <c r="L119" s="43"/>
      <c r="M119" s="43"/>
      <c r="N119" s="43"/>
      <c r="O119" s="43"/>
      <c r="P119" s="41"/>
      <c r="Q119" s="41"/>
      <c r="R119" s="41"/>
      <c r="S119" s="44"/>
      <c r="T119" s="45"/>
      <c r="U119" s="45"/>
      <c r="V119" s="45"/>
      <c r="W119" s="45"/>
      <c r="X119" s="46"/>
      <c r="Y119" s="46"/>
      <c r="Z119" s="46"/>
      <c r="AA119" s="46"/>
      <c r="AB119" s="46"/>
      <c r="AC119" s="46"/>
      <c r="AD119" s="46"/>
      <c r="AE119" s="46"/>
      <c r="AF119" s="46"/>
      <c r="AG119" s="46"/>
    </row>
    <row r="120" spans="1:33" ht="13.5" customHeight="1">
      <c r="A120" s="46"/>
      <c r="B120" s="46"/>
      <c r="C120" s="41"/>
      <c r="D120" s="42"/>
      <c r="E120" s="42"/>
      <c r="F120" s="42"/>
      <c r="G120" s="43"/>
      <c r="H120" s="43"/>
      <c r="I120" s="43"/>
      <c r="J120" s="43"/>
      <c r="K120" s="43"/>
      <c r="L120" s="43"/>
      <c r="M120" s="43"/>
      <c r="N120" s="43"/>
      <c r="O120" s="43"/>
      <c r="P120" s="41"/>
      <c r="Q120" s="41"/>
      <c r="R120" s="41"/>
      <c r="S120" s="44"/>
      <c r="T120" s="45"/>
      <c r="U120" s="45"/>
      <c r="V120" s="45"/>
      <c r="W120" s="45"/>
      <c r="X120" s="46"/>
      <c r="Y120" s="46"/>
      <c r="Z120" s="46"/>
      <c r="AA120" s="46"/>
      <c r="AB120" s="46"/>
      <c r="AC120" s="46"/>
      <c r="AD120" s="46"/>
      <c r="AE120" s="46"/>
      <c r="AF120" s="46"/>
      <c r="AG120" s="46"/>
    </row>
    <row r="121" spans="1:33" ht="13.5" customHeight="1">
      <c r="A121" s="46"/>
      <c r="B121" s="46"/>
      <c r="C121" s="41"/>
      <c r="D121" s="42"/>
      <c r="E121" s="42"/>
      <c r="F121" s="42"/>
      <c r="G121" s="43"/>
      <c r="H121" s="43"/>
      <c r="I121" s="43"/>
      <c r="J121" s="43"/>
      <c r="K121" s="43"/>
      <c r="L121" s="43"/>
      <c r="M121" s="43"/>
      <c r="N121" s="43"/>
      <c r="O121" s="43"/>
      <c r="P121" s="41"/>
      <c r="Q121" s="41"/>
      <c r="R121" s="41"/>
      <c r="S121" s="44"/>
      <c r="T121" s="45"/>
      <c r="U121" s="45"/>
      <c r="V121" s="45"/>
      <c r="W121" s="45"/>
      <c r="X121" s="46"/>
      <c r="Y121" s="46"/>
      <c r="Z121" s="46"/>
      <c r="AA121" s="46"/>
      <c r="AB121" s="46"/>
      <c r="AC121" s="46"/>
      <c r="AD121" s="46"/>
      <c r="AE121" s="46"/>
      <c r="AF121" s="46"/>
      <c r="AG121" s="46"/>
    </row>
    <row r="122" spans="1:33" ht="13.5" customHeight="1">
      <c r="A122" s="46"/>
      <c r="B122" s="46"/>
      <c r="C122" s="41"/>
      <c r="D122" s="42"/>
      <c r="E122" s="42"/>
      <c r="F122" s="42"/>
      <c r="G122" s="43"/>
      <c r="H122" s="43"/>
      <c r="I122" s="43"/>
      <c r="J122" s="43"/>
      <c r="K122" s="43"/>
      <c r="L122" s="43"/>
      <c r="M122" s="43"/>
      <c r="N122" s="43"/>
      <c r="O122" s="43"/>
      <c r="P122" s="41"/>
      <c r="Q122" s="41"/>
      <c r="R122" s="41"/>
      <c r="S122" s="44"/>
      <c r="T122" s="45"/>
      <c r="U122" s="45"/>
      <c r="V122" s="45"/>
      <c r="W122" s="45"/>
      <c r="X122" s="46"/>
      <c r="Y122" s="46"/>
      <c r="Z122" s="46"/>
      <c r="AA122" s="46"/>
      <c r="AB122" s="46"/>
      <c r="AC122" s="46"/>
      <c r="AD122" s="46"/>
      <c r="AE122" s="46"/>
      <c r="AF122" s="46"/>
      <c r="AG122" s="46"/>
    </row>
    <row r="123" spans="1:33" ht="13.5" customHeight="1">
      <c r="A123" s="46"/>
      <c r="B123" s="46"/>
      <c r="C123" s="41"/>
      <c r="D123" s="42"/>
      <c r="E123" s="42"/>
      <c r="F123" s="42"/>
      <c r="G123" s="43"/>
      <c r="H123" s="43"/>
      <c r="I123" s="43"/>
      <c r="J123" s="43"/>
      <c r="K123" s="43"/>
      <c r="L123" s="43"/>
      <c r="M123" s="43"/>
      <c r="N123" s="43"/>
      <c r="O123" s="43"/>
      <c r="P123" s="41"/>
      <c r="Q123" s="41"/>
      <c r="R123" s="41"/>
      <c r="S123" s="44"/>
      <c r="T123" s="45"/>
      <c r="U123" s="45"/>
      <c r="V123" s="45"/>
      <c r="W123" s="45"/>
      <c r="X123" s="46"/>
      <c r="Y123" s="46"/>
      <c r="Z123" s="46"/>
      <c r="AA123" s="46"/>
      <c r="AB123" s="46"/>
      <c r="AC123" s="46"/>
      <c r="AD123" s="46"/>
      <c r="AE123" s="46"/>
      <c r="AF123" s="46"/>
      <c r="AG123" s="46"/>
    </row>
    <row r="124" spans="1:33" ht="13.5" customHeight="1">
      <c r="A124" s="46"/>
      <c r="B124" s="46"/>
      <c r="C124" s="41"/>
      <c r="D124" s="42"/>
      <c r="E124" s="42"/>
      <c r="F124" s="42"/>
      <c r="G124" s="43"/>
      <c r="H124" s="43"/>
      <c r="I124" s="43"/>
      <c r="J124" s="43"/>
      <c r="K124" s="43"/>
      <c r="L124" s="43"/>
      <c r="M124" s="43"/>
      <c r="N124" s="43"/>
      <c r="O124" s="43"/>
      <c r="P124" s="41"/>
      <c r="Q124" s="41"/>
      <c r="R124" s="41"/>
      <c r="S124" s="44"/>
      <c r="T124" s="45"/>
      <c r="U124" s="45"/>
      <c r="V124" s="45"/>
      <c r="W124" s="45"/>
      <c r="X124" s="46"/>
      <c r="Y124" s="46"/>
      <c r="Z124" s="46"/>
      <c r="AA124" s="46"/>
      <c r="AB124" s="46"/>
      <c r="AC124" s="46"/>
      <c r="AD124" s="46"/>
      <c r="AE124" s="46"/>
      <c r="AF124" s="46"/>
      <c r="AG124" s="46"/>
    </row>
    <row r="125" spans="1:33" ht="13.5" customHeight="1">
      <c r="A125" s="46"/>
      <c r="B125" s="46"/>
      <c r="C125" s="41"/>
      <c r="D125" s="42"/>
      <c r="E125" s="42"/>
      <c r="F125" s="42"/>
      <c r="G125" s="43"/>
      <c r="H125" s="43"/>
      <c r="I125" s="43"/>
      <c r="J125" s="43"/>
      <c r="K125" s="43"/>
      <c r="L125" s="43"/>
      <c r="M125" s="43"/>
      <c r="N125" s="43"/>
      <c r="O125" s="43"/>
      <c r="P125" s="41"/>
      <c r="Q125" s="41"/>
      <c r="R125" s="41"/>
      <c r="S125" s="44"/>
      <c r="T125" s="45"/>
      <c r="U125" s="45"/>
      <c r="V125" s="45"/>
      <c r="W125" s="45"/>
      <c r="X125" s="46"/>
      <c r="Y125" s="46"/>
      <c r="Z125" s="46"/>
      <c r="AA125" s="46"/>
      <c r="AB125" s="46"/>
      <c r="AC125" s="46"/>
      <c r="AD125" s="46"/>
      <c r="AE125" s="46"/>
      <c r="AF125" s="46"/>
      <c r="AG125" s="46"/>
    </row>
    <row r="126" spans="1:33" ht="13.5" customHeight="1">
      <c r="A126" s="46"/>
      <c r="B126" s="46"/>
      <c r="C126" s="41"/>
      <c r="D126" s="42"/>
      <c r="E126" s="42"/>
      <c r="F126" s="42"/>
      <c r="G126" s="43"/>
      <c r="H126" s="43"/>
      <c r="I126" s="43"/>
      <c r="J126" s="43"/>
      <c r="K126" s="43"/>
      <c r="L126" s="43"/>
      <c r="M126" s="43"/>
      <c r="N126" s="43"/>
      <c r="O126" s="43"/>
      <c r="P126" s="41"/>
      <c r="Q126" s="41"/>
      <c r="R126" s="41"/>
      <c r="S126" s="44"/>
      <c r="T126" s="45"/>
      <c r="U126" s="45"/>
      <c r="V126" s="45"/>
      <c r="W126" s="45"/>
      <c r="X126" s="46"/>
      <c r="Y126" s="46"/>
      <c r="Z126" s="46"/>
      <c r="AA126" s="46"/>
      <c r="AB126" s="46"/>
      <c r="AC126" s="46"/>
      <c r="AD126" s="46"/>
      <c r="AE126" s="46"/>
      <c r="AF126" s="46"/>
      <c r="AG126" s="46"/>
    </row>
    <row r="127" spans="1:33" ht="13.5" customHeight="1">
      <c r="A127" s="46"/>
      <c r="B127" s="46"/>
      <c r="C127" s="41"/>
      <c r="D127" s="42"/>
      <c r="E127" s="42"/>
      <c r="F127" s="42"/>
      <c r="G127" s="43"/>
      <c r="H127" s="43"/>
      <c r="I127" s="43"/>
      <c r="J127" s="43"/>
      <c r="K127" s="43"/>
      <c r="L127" s="43"/>
      <c r="M127" s="43"/>
      <c r="N127" s="43"/>
      <c r="O127" s="43"/>
      <c r="P127" s="41"/>
      <c r="Q127" s="41"/>
      <c r="R127" s="41"/>
      <c r="S127" s="44"/>
      <c r="T127" s="45"/>
      <c r="U127" s="45"/>
      <c r="V127" s="45"/>
      <c r="W127" s="45"/>
      <c r="X127" s="46"/>
      <c r="Y127" s="46"/>
      <c r="Z127" s="46"/>
      <c r="AA127" s="46"/>
      <c r="AB127" s="46"/>
      <c r="AC127" s="46"/>
      <c r="AD127" s="46"/>
      <c r="AE127" s="46"/>
      <c r="AF127" s="46"/>
      <c r="AG127" s="46"/>
    </row>
    <row r="128" spans="1:33" ht="13.5" customHeight="1">
      <c r="A128" s="46"/>
      <c r="B128" s="46"/>
      <c r="C128" s="41"/>
      <c r="D128" s="42"/>
      <c r="E128" s="42"/>
      <c r="F128" s="42"/>
      <c r="G128" s="43"/>
      <c r="H128" s="43"/>
      <c r="I128" s="43"/>
      <c r="J128" s="43"/>
      <c r="K128" s="43"/>
      <c r="L128" s="43"/>
      <c r="M128" s="43"/>
      <c r="N128" s="43"/>
      <c r="O128" s="43"/>
      <c r="P128" s="41"/>
      <c r="Q128" s="41"/>
      <c r="R128" s="41"/>
      <c r="S128" s="44"/>
      <c r="T128" s="45"/>
      <c r="U128" s="45"/>
      <c r="V128" s="45"/>
      <c r="W128" s="45"/>
      <c r="X128" s="46"/>
      <c r="Y128" s="46"/>
      <c r="Z128" s="46"/>
      <c r="AA128" s="46"/>
      <c r="AB128" s="46"/>
      <c r="AC128" s="46"/>
      <c r="AD128" s="46"/>
      <c r="AE128" s="46"/>
      <c r="AF128" s="46"/>
      <c r="AG128" s="46"/>
    </row>
    <row r="129" spans="1:33" ht="13.5" customHeight="1">
      <c r="A129" s="46"/>
      <c r="B129" s="46"/>
      <c r="C129" s="41"/>
      <c r="D129" s="42"/>
      <c r="E129" s="42"/>
      <c r="F129" s="42"/>
      <c r="G129" s="43"/>
      <c r="H129" s="43"/>
      <c r="I129" s="43"/>
      <c r="J129" s="43"/>
      <c r="K129" s="43"/>
      <c r="L129" s="43"/>
      <c r="M129" s="43"/>
      <c r="N129" s="43"/>
      <c r="O129" s="43"/>
      <c r="P129" s="41"/>
      <c r="Q129" s="41"/>
      <c r="R129" s="41"/>
      <c r="S129" s="44"/>
      <c r="T129" s="45"/>
      <c r="U129" s="45"/>
      <c r="V129" s="45"/>
      <c r="W129" s="45"/>
      <c r="X129" s="46"/>
      <c r="Y129" s="46"/>
      <c r="Z129" s="46"/>
      <c r="AA129" s="46"/>
      <c r="AB129" s="46"/>
      <c r="AC129" s="46"/>
      <c r="AD129" s="46"/>
      <c r="AE129" s="46"/>
      <c r="AF129" s="46"/>
      <c r="AG129" s="46"/>
    </row>
    <row r="130" spans="1:33" ht="13.5" customHeight="1">
      <c r="A130" s="46"/>
      <c r="B130" s="46"/>
      <c r="C130" s="41"/>
      <c r="D130" s="42"/>
      <c r="E130" s="42"/>
      <c r="F130" s="42"/>
      <c r="G130" s="43"/>
      <c r="H130" s="43"/>
      <c r="I130" s="43"/>
      <c r="J130" s="43"/>
      <c r="K130" s="43"/>
      <c r="L130" s="43"/>
      <c r="M130" s="43"/>
      <c r="N130" s="43"/>
      <c r="O130" s="43"/>
      <c r="P130" s="41"/>
      <c r="Q130" s="41"/>
      <c r="R130" s="41"/>
      <c r="S130" s="44"/>
      <c r="T130" s="45"/>
      <c r="U130" s="45"/>
      <c r="V130" s="45"/>
      <c r="W130" s="45"/>
      <c r="X130" s="46"/>
      <c r="Y130" s="46"/>
      <c r="Z130" s="46"/>
      <c r="AA130" s="46"/>
      <c r="AB130" s="46"/>
      <c r="AC130" s="46"/>
      <c r="AD130" s="46"/>
      <c r="AE130" s="46"/>
      <c r="AF130" s="46"/>
      <c r="AG130" s="46"/>
    </row>
    <row r="131" spans="1:33" ht="13.5" customHeight="1">
      <c r="A131" s="46"/>
      <c r="B131" s="46"/>
      <c r="C131" s="41"/>
      <c r="D131" s="42"/>
      <c r="E131" s="42"/>
      <c r="F131" s="42"/>
      <c r="G131" s="43"/>
      <c r="H131" s="43"/>
      <c r="I131" s="43"/>
      <c r="J131" s="43"/>
      <c r="K131" s="43"/>
      <c r="L131" s="43"/>
      <c r="M131" s="43"/>
      <c r="N131" s="43"/>
      <c r="O131" s="43"/>
      <c r="P131" s="41"/>
      <c r="Q131" s="41"/>
      <c r="R131" s="41"/>
      <c r="S131" s="44"/>
      <c r="T131" s="45"/>
      <c r="U131" s="45"/>
      <c r="V131" s="45"/>
      <c r="W131" s="45"/>
      <c r="X131" s="46"/>
      <c r="Y131" s="46"/>
      <c r="Z131" s="46"/>
      <c r="AA131" s="46"/>
      <c r="AB131" s="46"/>
      <c r="AC131" s="46"/>
      <c r="AD131" s="46"/>
      <c r="AE131" s="46"/>
      <c r="AF131" s="46"/>
      <c r="AG131" s="46"/>
    </row>
    <row r="132" spans="1:33" ht="13.5" customHeight="1">
      <c r="A132" s="46"/>
      <c r="B132" s="46"/>
      <c r="C132" s="41"/>
      <c r="D132" s="42"/>
      <c r="E132" s="42"/>
      <c r="F132" s="42"/>
      <c r="G132" s="43"/>
      <c r="H132" s="43"/>
      <c r="I132" s="43"/>
      <c r="J132" s="43"/>
      <c r="K132" s="43"/>
      <c r="L132" s="43"/>
      <c r="M132" s="43"/>
      <c r="N132" s="43"/>
      <c r="O132" s="43"/>
      <c r="P132" s="41"/>
      <c r="Q132" s="41"/>
      <c r="R132" s="41"/>
      <c r="S132" s="44"/>
      <c r="T132" s="45"/>
      <c r="U132" s="45"/>
      <c r="V132" s="45"/>
      <c r="W132" s="45"/>
      <c r="X132" s="46"/>
      <c r="Y132" s="46"/>
      <c r="Z132" s="46"/>
      <c r="AA132" s="46"/>
      <c r="AB132" s="46"/>
      <c r="AC132" s="46"/>
      <c r="AD132" s="46"/>
      <c r="AE132" s="46"/>
      <c r="AF132" s="46"/>
      <c r="AG132" s="46"/>
    </row>
    <row r="133" spans="1:33" ht="13.5" customHeight="1">
      <c r="A133" s="46"/>
      <c r="B133" s="46"/>
      <c r="C133" s="41"/>
      <c r="D133" s="42"/>
      <c r="E133" s="42"/>
      <c r="F133" s="42"/>
      <c r="G133" s="43"/>
      <c r="H133" s="43"/>
      <c r="I133" s="43"/>
      <c r="J133" s="43"/>
      <c r="K133" s="43"/>
      <c r="L133" s="43"/>
      <c r="M133" s="43"/>
      <c r="N133" s="43"/>
      <c r="O133" s="43"/>
      <c r="P133" s="41"/>
      <c r="Q133" s="41"/>
      <c r="R133" s="41"/>
      <c r="S133" s="44"/>
      <c r="T133" s="45"/>
      <c r="U133" s="45"/>
      <c r="V133" s="45"/>
      <c r="W133" s="45"/>
      <c r="X133" s="46"/>
      <c r="Y133" s="46"/>
      <c r="Z133" s="46"/>
      <c r="AA133" s="46"/>
      <c r="AB133" s="46"/>
      <c r="AC133" s="46"/>
      <c r="AD133" s="46"/>
      <c r="AE133" s="46"/>
      <c r="AF133" s="46"/>
      <c r="AG133" s="46"/>
    </row>
    <row r="134" spans="1:33" ht="13.5" customHeight="1">
      <c r="A134" s="46"/>
      <c r="B134" s="46"/>
      <c r="C134" s="41"/>
      <c r="D134" s="42"/>
      <c r="E134" s="42"/>
      <c r="F134" s="42"/>
      <c r="G134" s="43"/>
      <c r="H134" s="43"/>
      <c r="I134" s="43"/>
      <c r="J134" s="43"/>
      <c r="K134" s="43"/>
      <c r="L134" s="43"/>
      <c r="M134" s="43"/>
      <c r="N134" s="43"/>
      <c r="O134" s="43"/>
      <c r="P134" s="41"/>
      <c r="Q134" s="41"/>
      <c r="R134" s="41"/>
      <c r="S134" s="44"/>
      <c r="T134" s="45"/>
      <c r="U134" s="45"/>
      <c r="V134" s="45"/>
      <c r="W134" s="45"/>
      <c r="X134" s="46"/>
      <c r="Y134" s="46"/>
      <c r="Z134" s="46"/>
      <c r="AA134" s="46"/>
      <c r="AB134" s="46"/>
      <c r="AC134" s="46"/>
      <c r="AD134" s="46"/>
      <c r="AE134" s="46"/>
      <c r="AF134" s="46"/>
      <c r="AG134" s="46"/>
    </row>
    <row r="135" spans="1:33" ht="13.5" customHeight="1">
      <c r="A135" s="46"/>
      <c r="B135" s="46"/>
      <c r="C135" s="41"/>
      <c r="D135" s="42"/>
      <c r="E135" s="42"/>
      <c r="F135" s="42"/>
      <c r="G135" s="43"/>
      <c r="H135" s="43"/>
      <c r="I135" s="43"/>
      <c r="J135" s="43"/>
      <c r="K135" s="43"/>
      <c r="L135" s="43"/>
      <c r="M135" s="43"/>
      <c r="N135" s="43"/>
      <c r="O135" s="43"/>
      <c r="P135" s="41"/>
      <c r="Q135" s="41"/>
      <c r="R135" s="41"/>
      <c r="S135" s="44"/>
      <c r="T135" s="45"/>
      <c r="U135" s="45"/>
      <c r="V135" s="45"/>
      <c r="W135" s="45"/>
      <c r="X135" s="46"/>
      <c r="Y135" s="46"/>
      <c r="Z135" s="46"/>
      <c r="AA135" s="46"/>
      <c r="AB135" s="46"/>
      <c r="AC135" s="46"/>
      <c r="AD135" s="46"/>
      <c r="AE135" s="46"/>
      <c r="AF135" s="46"/>
      <c r="AG135" s="46"/>
    </row>
    <row r="136" spans="1:33" ht="13.5" customHeight="1">
      <c r="A136" s="46"/>
      <c r="B136" s="46"/>
      <c r="C136" s="41"/>
      <c r="D136" s="42"/>
      <c r="E136" s="42"/>
      <c r="F136" s="42"/>
      <c r="G136" s="43"/>
      <c r="H136" s="43"/>
      <c r="I136" s="43"/>
      <c r="J136" s="43"/>
      <c r="K136" s="43"/>
      <c r="L136" s="43"/>
      <c r="M136" s="43"/>
      <c r="N136" s="43"/>
      <c r="O136" s="43"/>
      <c r="P136" s="41"/>
      <c r="Q136" s="41"/>
      <c r="R136" s="41"/>
      <c r="S136" s="44"/>
      <c r="T136" s="45"/>
      <c r="U136" s="45"/>
      <c r="V136" s="45"/>
      <c r="W136" s="45"/>
      <c r="X136" s="46"/>
      <c r="Y136" s="46"/>
      <c r="Z136" s="46"/>
      <c r="AA136" s="46"/>
      <c r="AB136" s="46"/>
      <c r="AC136" s="46"/>
      <c r="AD136" s="46"/>
      <c r="AE136" s="46"/>
      <c r="AF136" s="46"/>
      <c r="AG136" s="46"/>
    </row>
    <row r="137" spans="1:33" ht="13.5" customHeight="1">
      <c r="A137" s="46"/>
      <c r="B137" s="46"/>
      <c r="C137" s="41"/>
      <c r="D137" s="42"/>
      <c r="E137" s="42"/>
      <c r="F137" s="42"/>
      <c r="G137" s="43"/>
      <c r="H137" s="43"/>
      <c r="I137" s="43"/>
      <c r="J137" s="43"/>
      <c r="K137" s="43"/>
      <c r="L137" s="43"/>
      <c r="M137" s="43"/>
      <c r="N137" s="43"/>
      <c r="O137" s="43"/>
      <c r="P137" s="41"/>
      <c r="Q137" s="41"/>
      <c r="R137" s="41"/>
      <c r="S137" s="44"/>
      <c r="T137" s="45"/>
      <c r="U137" s="45"/>
      <c r="V137" s="45"/>
      <c r="W137" s="45"/>
      <c r="X137" s="46"/>
      <c r="Y137" s="46"/>
      <c r="Z137" s="46"/>
      <c r="AA137" s="46"/>
      <c r="AB137" s="46"/>
      <c r="AC137" s="46"/>
      <c r="AD137" s="46"/>
      <c r="AE137" s="46"/>
      <c r="AF137" s="46"/>
      <c r="AG137" s="46"/>
    </row>
    <row r="138" spans="1:33" ht="13.5" customHeight="1">
      <c r="A138" s="46"/>
      <c r="B138" s="46"/>
      <c r="C138" s="41"/>
      <c r="D138" s="42"/>
      <c r="E138" s="42"/>
      <c r="F138" s="42"/>
      <c r="G138" s="43"/>
      <c r="H138" s="43"/>
      <c r="I138" s="43"/>
      <c r="J138" s="43"/>
      <c r="K138" s="43"/>
      <c r="L138" s="43"/>
      <c r="M138" s="43"/>
      <c r="N138" s="43"/>
      <c r="O138" s="43"/>
      <c r="P138" s="41"/>
      <c r="Q138" s="41"/>
      <c r="R138" s="41"/>
      <c r="S138" s="44"/>
      <c r="T138" s="45"/>
      <c r="U138" s="45"/>
      <c r="V138" s="45"/>
      <c r="W138" s="45"/>
      <c r="X138" s="46"/>
      <c r="Y138" s="46"/>
      <c r="Z138" s="46"/>
      <c r="AA138" s="46"/>
      <c r="AB138" s="46"/>
      <c r="AC138" s="46"/>
      <c r="AD138" s="46"/>
      <c r="AE138" s="46"/>
      <c r="AF138" s="46"/>
      <c r="AG138" s="46"/>
    </row>
    <row r="139" spans="1:33" ht="13.5" customHeight="1">
      <c r="A139" s="46"/>
      <c r="B139" s="46"/>
      <c r="C139" s="41"/>
      <c r="D139" s="42"/>
      <c r="E139" s="42"/>
      <c r="F139" s="42"/>
      <c r="G139" s="43"/>
      <c r="H139" s="43"/>
      <c r="I139" s="43"/>
      <c r="J139" s="43"/>
      <c r="K139" s="43"/>
      <c r="L139" s="43"/>
      <c r="M139" s="43"/>
      <c r="N139" s="43"/>
      <c r="O139" s="43"/>
      <c r="P139" s="41"/>
      <c r="Q139" s="41"/>
      <c r="R139" s="41"/>
      <c r="S139" s="44"/>
      <c r="T139" s="45"/>
      <c r="U139" s="45"/>
      <c r="V139" s="45"/>
      <c r="W139" s="45"/>
      <c r="X139" s="46"/>
      <c r="Y139" s="46"/>
      <c r="Z139" s="46"/>
      <c r="AA139" s="46"/>
      <c r="AB139" s="46"/>
      <c r="AC139" s="46"/>
      <c r="AD139" s="46"/>
      <c r="AE139" s="46"/>
      <c r="AF139" s="46"/>
      <c r="AG139" s="46"/>
    </row>
    <row r="140" spans="1:33" ht="13.5" customHeight="1">
      <c r="A140" s="46"/>
      <c r="B140" s="46"/>
      <c r="C140" s="41"/>
      <c r="D140" s="42"/>
      <c r="E140" s="42"/>
      <c r="F140" s="42"/>
      <c r="G140" s="43"/>
      <c r="H140" s="43"/>
      <c r="I140" s="43"/>
      <c r="J140" s="43"/>
      <c r="K140" s="43"/>
      <c r="L140" s="43"/>
      <c r="M140" s="43"/>
      <c r="N140" s="43"/>
      <c r="O140" s="43"/>
      <c r="P140" s="41"/>
      <c r="Q140" s="41"/>
      <c r="R140" s="41"/>
      <c r="S140" s="44"/>
      <c r="T140" s="45"/>
      <c r="U140" s="45"/>
      <c r="V140" s="45"/>
      <c r="W140" s="45"/>
      <c r="X140" s="46"/>
      <c r="Y140" s="46"/>
      <c r="Z140" s="46"/>
      <c r="AA140" s="46"/>
      <c r="AB140" s="46"/>
      <c r="AC140" s="46"/>
      <c r="AD140" s="46"/>
      <c r="AE140" s="46"/>
      <c r="AF140" s="46"/>
      <c r="AG140" s="46"/>
    </row>
    <row r="141" spans="1:33" ht="13.5" customHeight="1">
      <c r="A141" s="46"/>
      <c r="B141" s="46"/>
      <c r="C141" s="41"/>
      <c r="D141" s="42"/>
      <c r="E141" s="42"/>
      <c r="F141" s="42"/>
      <c r="G141" s="43"/>
      <c r="H141" s="43"/>
      <c r="I141" s="43"/>
      <c r="J141" s="43"/>
      <c r="K141" s="43"/>
      <c r="L141" s="43"/>
      <c r="M141" s="43"/>
      <c r="N141" s="43"/>
      <c r="O141" s="43"/>
      <c r="P141" s="41"/>
      <c r="Q141" s="41"/>
      <c r="R141" s="41"/>
      <c r="S141" s="44"/>
      <c r="T141" s="45"/>
      <c r="U141" s="45"/>
      <c r="V141" s="45"/>
      <c r="W141" s="45"/>
      <c r="X141" s="46"/>
      <c r="Y141" s="46"/>
      <c r="Z141" s="46"/>
      <c r="AA141" s="46"/>
      <c r="AB141" s="46"/>
      <c r="AC141" s="46"/>
      <c r="AD141" s="46"/>
      <c r="AE141" s="46"/>
      <c r="AF141" s="46"/>
      <c r="AG141" s="46"/>
    </row>
    <row r="142" spans="1:33" ht="13.5" customHeight="1">
      <c r="A142" s="46"/>
      <c r="B142" s="46"/>
      <c r="C142" s="41"/>
      <c r="D142" s="42"/>
      <c r="E142" s="42"/>
      <c r="F142" s="42"/>
      <c r="G142" s="43"/>
      <c r="H142" s="43"/>
      <c r="I142" s="43"/>
      <c r="J142" s="43"/>
      <c r="K142" s="43"/>
      <c r="L142" s="43"/>
      <c r="M142" s="43"/>
      <c r="N142" s="43"/>
      <c r="O142" s="43"/>
      <c r="P142" s="41"/>
      <c r="Q142" s="41"/>
      <c r="R142" s="41"/>
      <c r="S142" s="44"/>
      <c r="T142" s="45"/>
      <c r="U142" s="45"/>
      <c r="V142" s="45"/>
      <c r="W142" s="45"/>
      <c r="X142" s="46"/>
      <c r="Y142" s="46"/>
      <c r="Z142" s="46"/>
      <c r="AA142" s="46"/>
      <c r="AB142" s="46"/>
      <c r="AC142" s="46"/>
      <c r="AD142" s="46"/>
      <c r="AE142" s="46"/>
      <c r="AF142" s="46"/>
      <c r="AG142" s="46"/>
    </row>
    <row r="143" spans="1:33" ht="13.5" customHeight="1">
      <c r="A143" s="46"/>
      <c r="B143" s="46"/>
      <c r="C143" s="41"/>
      <c r="D143" s="42"/>
      <c r="E143" s="42"/>
      <c r="F143" s="42"/>
      <c r="G143" s="43"/>
      <c r="H143" s="43"/>
      <c r="I143" s="43"/>
      <c r="J143" s="43"/>
      <c r="K143" s="43"/>
      <c r="L143" s="43"/>
      <c r="M143" s="43"/>
      <c r="N143" s="43"/>
      <c r="O143" s="43"/>
      <c r="P143" s="41"/>
      <c r="Q143" s="41"/>
      <c r="R143" s="41"/>
      <c r="S143" s="44"/>
      <c r="T143" s="45"/>
      <c r="U143" s="45"/>
      <c r="V143" s="45"/>
      <c r="W143" s="45"/>
      <c r="X143" s="46"/>
      <c r="Y143" s="46"/>
      <c r="Z143" s="46"/>
      <c r="AA143" s="46"/>
      <c r="AB143" s="46"/>
      <c r="AC143" s="46"/>
      <c r="AD143" s="46"/>
      <c r="AE143" s="46"/>
      <c r="AF143" s="46"/>
      <c r="AG143" s="46"/>
    </row>
    <row r="144" spans="1:33" ht="13.5" customHeight="1">
      <c r="A144" s="46"/>
      <c r="B144" s="46"/>
      <c r="C144" s="41"/>
      <c r="D144" s="42"/>
      <c r="E144" s="42"/>
      <c r="F144" s="42"/>
      <c r="G144" s="43"/>
      <c r="H144" s="43"/>
      <c r="I144" s="43"/>
      <c r="J144" s="43"/>
      <c r="K144" s="43"/>
      <c r="L144" s="43"/>
      <c r="M144" s="43"/>
      <c r="N144" s="43"/>
      <c r="O144" s="43"/>
      <c r="P144" s="41"/>
      <c r="Q144" s="41"/>
      <c r="R144" s="41"/>
      <c r="S144" s="44"/>
      <c r="T144" s="45"/>
      <c r="U144" s="45"/>
      <c r="V144" s="45"/>
      <c r="W144" s="45"/>
      <c r="X144" s="46"/>
      <c r="Y144" s="46"/>
      <c r="Z144" s="46"/>
      <c r="AA144" s="46"/>
      <c r="AB144" s="46"/>
      <c r="AC144" s="46"/>
      <c r="AD144" s="46"/>
      <c r="AE144" s="46"/>
      <c r="AF144" s="46"/>
      <c r="AG144" s="46"/>
    </row>
    <row r="145" spans="1:33" ht="13.5" customHeight="1">
      <c r="A145" s="46"/>
      <c r="B145" s="46"/>
      <c r="C145" s="41"/>
      <c r="D145" s="42"/>
      <c r="E145" s="42"/>
      <c r="F145" s="42"/>
      <c r="G145" s="43"/>
      <c r="H145" s="43"/>
      <c r="I145" s="43"/>
      <c r="J145" s="43"/>
      <c r="K145" s="43"/>
      <c r="L145" s="43"/>
      <c r="M145" s="43"/>
      <c r="N145" s="43"/>
      <c r="O145" s="43"/>
      <c r="P145" s="41"/>
      <c r="Q145" s="41"/>
      <c r="R145" s="41"/>
      <c r="S145" s="44"/>
      <c r="T145" s="45"/>
      <c r="U145" s="45"/>
      <c r="V145" s="45"/>
      <c r="W145" s="45"/>
      <c r="X145" s="46"/>
      <c r="Y145" s="46"/>
      <c r="Z145" s="46"/>
      <c r="AA145" s="46"/>
      <c r="AB145" s="46"/>
      <c r="AC145" s="46"/>
      <c r="AD145" s="46"/>
      <c r="AE145" s="46"/>
      <c r="AF145" s="46"/>
      <c r="AG145" s="46"/>
    </row>
    <row r="146" spans="1:33" ht="13.5" customHeight="1">
      <c r="A146" s="46"/>
      <c r="B146" s="46"/>
      <c r="C146" s="41"/>
      <c r="D146" s="42"/>
      <c r="E146" s="42"/>
      <c r="F146" s="42"/>
      <c r="G146" s="43"/>
      <c r="H146" s="43"/>
      <c r="I146" s="43"/>
      <c r="J146" s="43"/>
      <c r="K146" s="43"/>
      <c r="L146" s="43"/>
      <c r="M146" s="43"/>
      <c r="N146" s="43"/>
      <c r="O146" s="43"/>
      <c r="P146" s="41"/>
      <c r="Q146" s="41"/>
      <c r="R146" s="41"/>
      <c r="S146" s="44"/>
      <c r="T146" s="45"/>
      <c r="U146" s="45"/>
      <c r="V146" s="45"/>
      <c r="W146" s="45"/>
      <c r="X146" s="46"/>
      <c r="Y146" s="46"/>
      <c r="Z146" s="46"/>
      <c r="AA146" s="46"/>
      <c r="AB146" s="46"/>
      <c r="AC146" s="46"/>
      <c r="AD146" s="46"/>
      <c r="AE146" s="46"/>
      <c r="AF146" s="46"/>
      <c r="AG146" s="46"/>
    </row>
    <row r="147" spans="1:33" ht="13.5" customHeight="1">
      <c r="A147" s="46"/>
      <c r="B147" s="46"/>
      <c r="C147" s="41"/>
      <c r="D147" s="42"/>
      <c r="E147" s="42"/>
      <c r="F147" s="42"/>
      <c r="G147" s="43"/>
      <c r="H147" s="43"/>
      <c r="I147" s="43"/>
      <c r="J147" s="43"/>
      <c r="K147" s="43"/>
      <c r="L147" s="43"/>
      <c r="M147" s="43"/>
      <c r="N147" s="43"/>
      <c r="O147" s="43"/>
      <c r="P147" s="41"/>
      <c r="Q147" s="41"/>
      <c r="R147" s="41"/>
      <c r="S147" s="44"/>
      <c r="T147" s="45"/>
      <c r="U147" s="45"/>
      <c r="V147" s="45"/>
      <c r="W147" s="45"/>
      <c r="X147" s="46"/>
      <c r="Y147" s="46"/>
      <c r="Z147" s="46"/>
      <c r="AA147" s="46"/>
      <c r="AB147" s="46"/>
      <c r="AC147" s="46"/>
      <c r="AD147" s="46"/>
      <c r="AE147" s="46"/>
      <c r="AF147" s="46"/>
      <c r="AG147" s="46"/>
    </row>
    <row r="148" spans="1:33" ht="13.5" customHeight="1">
      <c r="A148" s="46"/>
      <c r="B148" s="46"/>
      <c r="C148" s="41"/>
      <c r="D148" s="42"/>
      <c r="E148" s="42"/>
      <c r="F148" s="42"/>
      <c r="G148" s="43"/>
      <c r="H148" s="43"/>
      <c r="I148" s="43"/>
      <c r="J148" s="43"/>
      <c r="K148" s="43"/>
      <c r="L148" s="43"/>
      <c r="M148" s="43"/>
      <c r="N148" s="43"/>
      <c r="O148" s="43"/>
      <c r="P148" s="41"/>
      <c r="Q148" s="41"/>
      <c r="R148" s="41"/>
      <c r="S148" s="44"/>
      <c r="T148" s="45"/>
      <c r="U148" s="45"/>
      <c r="V148" s="45"/>
      <c r="W148" s="45"/>
      <c r="X148" s="46"/>
      <c r="Y148" s="46"/>
      <c r="Z148" s="46"/>
      <c r="AA148" s="46"/>
      <c r="AB148" s="46"/>
      <c r="AC148" s="46"/>
      <c r="AD148" s="46"/>
      <c r="AE148" s="46"/>
      <c r="AF148" s="46"/>
      <c r="AG148" s="46"/>
    </row>
    <row r="149" spans="1:33" ht="13.5" customHeight="1">
      <c r="A149" s="46"/>
      <c r="B149" s="46"/>
      <c r="C149" s="41"/>
      <c r="D149" s="42"/>
      <c r="E149" s="42"/>
      <c r="F149" s="42"/>
      <c r="G149" s="43"/>
      <c r="H149" s="43"/>
      <c r="I149" s="43"/>
      <c r="J149" s="43"/>
      <c r="K149" s="43"/>
      <c r="L149" s="43"/>
      <c r="M149" s="43"/>
      <c r="N149" s="43"/>
      <c r="O149" s="43"/>
      <c r="P149" s="41"/>
      <c r="Q149" s="41"/>
      <c r="R149" s="41"/>
      <c r="S149" s="44"/>
      <c r="T149" s="45"/>
      <c r="U149" s="45"/>
      <c r="V149" s="45"/>
      <c r="W149" s="45"/>
      <c r="X149" s="46"/>
      <c r="Y149" s="46"/>
      <c r="Z149" s="46"/>
      <c r="AA149" s="46"/>
      <c r="AB149" s="46"/>
      <c r="AC149" s="46"/>
      <c r="AD149" s="46"/>
      <c r="AE149" s="46"/>
      <c r="AF149" s="46"/>
      <c r="AG149" s="46"/>
    </row>
    <row r="150" spans="1:33" ht="13.5" customHeight="1">
      <c r="A150" s="46"/>
      <c r="B150" s="46"/>
      <c r="C150" s="41"/>
      <c r="D150" s="42"/>
      <c r="E150" s="42"/>
      <c r="F150" s="42"/>
      <c r="G150" s="43"/>
      <c r="H150" s="43"/>
      <c r="I150" s="43"/>
      <c r="J150" s="43"/>
      <c r="K150" s="43"/>
      <c r="L150" s="43"/>
      <c r="M150" s="43"/>
      <c r="N150" s="43"/>
      <c r="O150" s="43"/>
      <c r="P150" s="41"/>
      <c r="Q150" s="41"/>
      <c r="R150" s="41"/>
      <c r="S150" s="44"/>
      <c r="T150" s="45"/>
      <c r="U150" s="45"/>
      <c r="V150" s="45"/>
      <c r="W150" s="45"/>
      <c r="X150" s="46"/>
      <c r="Y150" s="46"/>
      <c r="Z150" s="46"/>
      <c r="AA150" s="46"/>
      <c r="AB150" s="46"/>
      <c r="AC150" s="46"/>
      <c r="AD150" s="46"/>
      <c r="AE150" s="46"/>
      <c r="AF150" s="46"/>
      <c r="AG150" s="46"/>
    </row>
    <row r="151" spans="1:33" ht="13.5" customHeight="1">
      <c r="A151" s="46"/>
      <c r="B151" s="46"/>
      <c r="C151" s="41"/>
      <c r="D151" s="42"/>
      <c r="E151" s="42"/>
      <c r="F151" s="42"/>
      <c r="G151" s="43"/>
      <c r="H151" s="43"/>
      <c r="I151" s="43"/>
      <c r="J151" s="43"/>
      <c r="K151" s="43"/>
      <c r="L151" s="43"/>
      <c r="M151" s="43"/>
      <c r="N151" s="43"/>
      <c r="O151" s="43"/>
      <c r="P151" s="41"/>
      <c r="Q151" s="41"/>
      <c r="R151" s="41"/>
      <c r="S151" s="44"/>
      <c r="T151" s="45"/>
      <c r="U151" s="45"/>
      <c r="V151" s="45"/>
      <c r="W151" s="45"/>
      <c r="X151" s="46"/>
      <c r="Y151" s="46"/>
      <c r="Z151" s="46"/>
      <c r="AA151" s="46"/>
      <c r="AB151" s="46"/>
      <c r="AC151" s="46"/>
      <c r="AD151" s="46"/>
      <c r="AE151" s="46"/>
      <c r="AF151" s="46"/>
      <c r="AG151" s="46"/>
    </row>
    <row r="152" spans="1:33" ht="13.5" customHeight="1">
      <c r="A152" s="46"/>
      <c r="B152" s="46"/>
      <c r="C152" s="41"/>
      <c r="D152" s="42"/>
      <c r="E152" s="42"/>
      <c r="F152" s="42"/>
      <c r="G152" s="43"/>
      <c r="H152" s="43"/>
      <c r="I152" s="43"/>
      <c r="J152" s="43"/>
      <c r="K152" s="43"/>
      <c r="L152" s="43"/>
      <c r="M152" s="43"/>
      <c r="N152" s="43"/>
      <c r="O152" s="43"/>
      <c r="P152" s="41"/>
      <c r="Q152" s="41"/>
      <c r="R152" s="41"/>
      <c r="S152" s="44"/>
      <c r="T152" s="45"/>
      <c r="U152" s="45"/>
      <c r="V152" s="45"/>
      <c r="W152" s="45"/>
      <c r="X152" s="46"/>
      <c r="Y152" s="46"/>
      <c r="Z152" s="46"/>
      <c r="AA152" s="46"/>
      <c r="AB152" s="46"/>
      <c r="AC152" s="46"/>
      <c r="AD152" s="46"/>
      <c r="AE152" s="46"/>
      <c r="AF152" s="46"/>
      <c r="AG152" s="46"/>
    </row>
    <row r="153" spans="1:33" ht="13.5" customHeight="1">
      <c r="A153" s="46"/>
      <c r="B153" s="46"/>
      <c r="C153" s="41"/>
      <c r="D153" s="42"/>
      <c r="E153" s="42"/>
      <c r="F153" s="42"/>
      <c r="G153" s="43"/>
      <c r="H153" s="43"/>
      <c r="I153" s="43"/>
      <c r="J153" s="43"/>
      <c r="K153" s="43"/>
      <c r="L153" s="43"/>
      <c r="M153" s="43"/>
      <c r="N153" s="43"/>
      <c r="O153" s="43"/>
      <c r="P153" s="41"/>
      <c r="Q153" s="41"/>
      <c r="R153" s="41"/>
      <c r="S153" s="44"/>
      <c r="T153" s="45"/>
      <c r="U153" s="45"/>
      <c r="V153" s="45"/>
      <c r="W153" s="45"/>
      <c r="X153" s="46"/>
      <c r="Y153" s="46"/>
      <c r="Z153" s="46"/>
      <c r="AA153" s="46"/>
      <c r="AB153" s="46"/>
      <c r="AC153" s="46"/>
      <c r="AD153" s="46"/>
      <c r="AE153" s="46"/>
      <c r="AF153" s="46"/>
      <c r="AG153" s="46"/>
    </row>
    <row r="154" spans="1:33" ht="13.5" customHeight="1">
      <c r="A154" s="46"/>
      <c r="B154" s="46"/>
      <c r="C154" s="41"/>
      <c r="D154" s="42"/>
      <c r="E154" s="42"/>
      <c r="F154" s="42"/>
      <c r="G154" s="43"/>
      <c r="H154" s="43"/>
      <c r="I154" s="43"/>
      <c r="J154" s="43"/>
      <c r="K154" s="43"/>
      <c r="L154" s="43"/>
      <c r="M154" s="43"/>
      <c r="N154" s="43"/>
      <c r="O154" s="43"/>
      <c r="P154" s="41"/>
      <c r="Q154" s="41"/>
      <c r="R154" s="41"/>
      <c r="S154" s="44"/>
      <c r="T154" s="45"/>
      <c r="U154" s="45"/>
      <c r="V154" s="45"/>
      <c r="W154" s="45"/>
      <c r="X154" s="46"/>
      <c r="Y154" s="46"/>
      <c r="Z154" s="46"/>
      <c r="AA154" s="46"/>
      <c r="AB154" s="46"/>
      <c r="AC154" s="46"/>
      <c r="AD154" s="46"/>
      <c r="AE154" s="46"/>
      <c r="AF154" s="46"/>
      <c r="AG154" s="46"/>
    </row>
    <row r="155" spans="1:33" ht="13.5" customHeight="1">
      <c r="A155" s="46"/>
      <c r="B155" s="46"/>
      <c r="C155" s="41"/>
      <c r="D155" s="42"/>
      <c r="E155" s="42"/>
      <c r="F155" s="42"/>
      <c r="G155" s="43"/>
      <c r="H155" s="43"/>
      <c r="I155" s="43"/>
      <c r="J155" s="43"/>
      <c r="K155" s="43"/>
      <c r="L155" s="43"/>
      <c r="M155" s="43"/>
      <c r="N155" s="43"/>
      <c r="O155" s="43"/>
      <c r="P155" s="41"/>
      <c r="Q155" s="41"/>
      <c r="R155" s="41"/>
      <c r="S155" s="44"/>
      <c r="T155" s="45"/>
      <c r="U155" s="45"/>
      <c r="V155" s="45"/>
      <c r="W155" s="45"/>
      <c r="X155" s="46"/>
      <c r="Y155" s="46"/>
      <c r="Z155" s="46"/>
      <c r="AA155" s="46"/>
      <c r="AB155" s="46"/>
      <c r="AC155" s="46"/>
      <c r="AD155" s="46"/>
      <c r="AE155" s="46"/>
      <c r="AF155" s="46"/>
      <c r="AG155" s="46"/>
    </row>
    <row r="156" spans="1:33" ht="13.5" customHeight="1">
      <c r="A156" s="46"/>
      <c r="B156" s="46"/>
      <c r="C156" s="41"/>
      <c r="D156" s="42"/>
      <c r="E156" s="42"/>
      <c r="F156" s="42"/>
      <c r="G156" s="43"/>
      <c r="H156" s="43"/>
      <c r="I156" s="43"/>
      <c r="J156" s="43"/>
      <c r="K156" s="43"/>
      <c r="L156" s="43"/>
      <c r="M156" s="43"/>
      <c r="N156" s="43"/>
      <c r="O156" s="43"/>
      <c r="P156" s="41"/>
      <c r="Q156" s="41"/>
      <c r="R156" s="41"/>
      <c r="S156" s="44"/>
      <c r="T156" s="45"/>
      <c r="U156" s="45"/>
      <c r="V156" s="45"/>
      <c r="W156" s="45"/>
      <c r="X156" s="46"/>
      <c r="Y156" s="46"/>
      <c r="Z156" s="46"/>
      <c r="AA156" s="46"/>
      <c r="AB156" s="46"/>
      <c r="AC156" s="46"/>
      <c r="AD156" s="46"/>
      <c r="AE156" s="46"/>
      <c r="AF156" s="46"/>
      <c r="AG156" s="46"/>
    </row>
    <row r="157" spans="1:33" ht="13.5" customHeight="1">
      <c r="A157" s="46"/>
      <c r="B157" s="46"/>
      <c r="C157" s="41"/>
      <c r="D157" s="42"/>
      <c r="E157" s="42"/>
      <c r="F157" s="42"/>
      <c r="G157" s="43"/>
      <c r="H157" s="43"/>
      <c r="I157" s="43"/>
      <c r="J157" s="43"/>
      <c r="K157" s="43"/>
      <c r="L157" s="43"/>
      <c r="M157" s="43"/>
      <c r="N157" s="43"/>
      <c r="O157" s="43"/>
      <c r="P157" s="41"/>
      <c r="Q157" s="41"/>
      <c r="R157" s="41"/>
      <c r="S157" s="44"/>
      <c r="T157" s="45"/>
      <c r="U157" s="45"/>
      <c r="V157" s="45"/>
      <c r="W157" s="45"/>
      <c r="X157" s="46"/>
      <c r="Y157" s="46"/>
      <c r="Z157" s="46"/>
      <c r="AA157" s="46"/>
      <c r="AB157" s="46"/>
      <c r="AC157" s="46"/>
      <c r="AD157" s="46"/>
      <c r="AE157" s="46"/>
      <c r="AF157" s="46"/>
      <c r="AG157" s="46"/>
    </row>
    <row r="158" spans="1:33" ht="13.5" customHeight="1">
      <c r="A158" s="46"/>
      <c r="B158" s="46"/>
      <c r="C158" s="41"/>
      <c r="D158" s="42"/>
      <c r="E158" s="42"/>
      <c r="F158" s="42"/>
      <c r="G158" s="43"/>
      <c r="H158" s="43"/>
      <c r="I158" s="43"/>
      <c r="J158" s="43"/>
      <c r="K158" s="43"/>
      <c r="L158" s="43"/>
      <c r="M158" s="43"/>
      <c r="N158" s="43"/>
      <c r="O158" s="43"/>
      <c r="P158" s="41"/>
      <c r="Q158" s="41"/>
      <c r="R158" s="41"/>
      <c r="S158" s="44"/>
      <c r="T158" s="45"/>
      <c r="U158" s="45"/>
      <c r="V158" s="45"/>
      <c r="W158" s="45"/>
      <c r="X158" s="46"/>
      <c r="Y158" s="46"/>
      <c r="Z158" s="46"/>
      <c r="AA158" s="46"/>
      <c r="AB158" s="46"/>
      <c r="AC158" s="46"/>
      <c r="AD158" s="46"/>
      <c r="AE158" s="46"/>
      <c r="AF158" s="46"/>
      <c r="AG158" s="46"/>
    </row>
    <row r="159" spans="1:33" ht="13.5" customHeight="1">
      <c r="A159" s="46"/>
      <c r="B159" s="46"/>
      <c r="C159" s="41"/>
      <c r="D159" s="42"/>
      <c r="E159" s="42"/>
      <c r="F159" s="42"/>
      <c r="G159" s="43"/>
      <c r="H159" s="43"/>
      <c r="I159" s="43"/>
      <c r="J159" s="43"/>
      <c r="K159" s="43"/>
      <c r="L159" s="43"/>
      <c r="M159" s="43"/>
      <c r="N159" s="43"/>
      <c r="O159" s="43"/>
      <c r="P159" s="41"/>
      <c r="Q159" s="41"/>
      <c r="R159" s="41"/>
      <c r="S159" s="44"/>
      <c r="T159" s="45"/>
      <c r="U159" s="45"/>
      <c r="V159" s="45"/>
      <c r="W159" s="45"/>
      <c r="X159" s="46"/>
      <c r="Y159" s="46"/>
      <c r="Z159" s="46"/>
      <c r="AA159" s="46"/>
      <c r="AB159" s="46"/>
      <c r="AC159" s="46"/>
      <c r="AD159" s="46"/>
      <c r="AE159" s="46"/>
      <c r="AF159" s="46"/>
      <c r="AG159" s="46"/>
    </row>
    <row r="160" spans="1:33" ht="13.5" customHeight="1">
      <c r="A160" s="46"/>
      <c r="B160" s="46"/>
      <c r="C160" s="41"/>
      <c r="D160" s="42"/>
      <c r="E160" s="42"/>
      <c r="F160" s="42"/>
      <c r="G160" s="43"/>
      <c r="H160" s="43"/>
      <c r="I160" s="43"/>
      <c r="J160" s="43"/>
      <c r="K160" s="43"/>
      <c r="L160" s="43"/>
      <c r="M160" s="43"/>
      <c r="N160" s="43"/>
      <c r="O160" s="43"/>
      <c r="P160" s="41"/>
      <c r="Q160" s="41"/>
      <c r="R160" s="41"/>
      <c r="S160" s="44"/>
      <c r="T160" s="45"/>
      <c r="U160" s="45"/>
      <c r="V160" s="45"/>
      <c r="W160" s="45"/>
      <c r="X160" s="46"/>
      <c r="Y160" s="46"/>
      <c r="Z160" s="46"/>
      <c r="AA160" s="46"/>
      <c r="AB160" s="46"/>
      <c r="AC160" s="46"/>
      <c r="AD160" s="46"/>
      <c r="AE160" s="46"/>
      <c r="AF160" s="46"/>
      <c r="AG160" s="46"/>
    </row>
    <row r="161" spans="1:33" ht="13.5" customHeight="1">
      <c r="A161" s="46"/>
      <c r="B161" s="46"/>
      <c r="C161" s="41"/>
      <c r="D161" s="42"/>
      <c r="E161" s="42"/>
      <c r="F161" s="42"/>
      <c r="G161" s="43"/>
      <c r="H161" s="43"/>
      <c r="I161" s="43"/>
      <c r="J161" s="43"/>
      <c r="K161" s="43"/>
      <c r="L161" s="43"/>
      <c r="M161" s="43"/>
      <c r="N161" s="43"/>
      <c r="O161" s="43"/>
      <c r="P161" s="41"/>
      <c r="Q161" s="41"/>
      <c r="R161" s="41"/>
      <c r="S161" s="44"/>
      <c r="T161" s="45"/>
      <c r="U161" s="45"/>
      <c r="V161" s="45"/>
      <c r="W161" s="45"/>
      <c r="X161" s="46"/>
      <c r="Y161" s="46"/>
      <c r="Z161" s="46"/>
      <c r="AA161" s="46"/>
      <c r="AB161" s="46"/>
      <c r="AC161" s="46"/>
      <c r="AD161" s="46"/>
      <c r="AE161" s="46"/>
      <c r="AF161" s="46"/>
      <c r="AG161" s="46"/>
    </row>
    <row r="162" spans="1:33" ht="13.5" customHeight="1">
      <c r="A162" s="46"/>
      <c r="B162" s="46"/>
      <c r="C162" s="41"/>
      <c r="D162" s="42"/>
      <c r="E162" s="42"/>
      <c r="F162" s="42"/>
      <c r="G162" s="43"/>
      <c r="H162" s="43"/>
      <c r="I162" s="43"/>
      <c r="J162" s="43"/>
      <c r="K162" s="43"/>
      <c r="L162" s="43"/>
      <c r="M162" s="43"/>
      <c r="N162" s="43"/>
      <c r="O162" s="43"/>
      <c r="P162" s="41"/>
      <c r="Q162" s="41"/>
      <c r="R162" s="41"/>
      <c r="S162" s="44"/>
      <c r="T162" s="45"/>
      <c r="U162" s="45"/>
      <c r="V162" s="45"/>
      <c r="W162" s="45"/>
      <c r="X162" s="46"/>
      <c r="Y162" s="46"/>
      <c r="Z162" s="46"/>
      <c r="AA162" s="46"/>
      <c r="AB162" s="46"/>
      <c r="AC162" s="46"/>
      <c r="AD162" s="46"/>
      <c r="AE162" s="46"/>
      <c r="AF162" s="46"/>
      <c r="AG162" s="46"/>
    </row>
    <row r="163" spans="1:33" ht="13.5" customHeight="1">
      <c r="A163" s="46"/>
      <c r="B163" s="46"/>
      <c r="C163" s="41"/>
      <c r="D163" s="42"/>
      <c r="E163" s="42"/>
      <c r="F163" s="42"/>
      <c r="G163" s="43"/>
      <c r="H163" s="43"/>
      <c r="I163" s="43"/>
      <c r="J163" s="43"/>
      <c r="K163" s="43"/>
      <c r="L163" s="43"/>
      <c r="M163" s="43"/>
      <c r="N163" s="43"/>
      <c r="O163" s="43"/>
      <c r="P163" s="41"/>
      <c r="Q163" s="41"/>
      <c r="R163" s="41"/>
      <c r="S163" s="44"/>
      <c r="T163" s="45"/>
      <c r="U163" s="45"/>
      <c r="V163" s="45"/>
      <c r="W163" s="45"/>
      <c r="X163" s="46"/>
      <c r="Y163" s="46"/>
      <c r="Z163" s="46"/>
      <c r="AA163" s="46"/>
      <c r="AB163" s="46"/>
      <c r="AC163" s="46"/>
      <c r="AD163" s="46"/>
      <c r="AE163" s="46"/>
      <c r="AF163" s="46"/>
      <c r="AG163" s="46"/>
    </row>
    <row r="164" spans="1:33" ht="13.5" customHeight="1">
      <c r="A164" s="46"/>
      <c r="B164" s="46"/>
      <c r="C164" s="41"/>
      <c r="D164" s="42"/>
      <c r="E164" s="42"/>
      <c r="F164" s="42"/>
      <c r="G164" s="43"/>
      <c r="H164" s="43"/>
      <c r="I164" s="43"/>
      <c r="J164" s="43"/>
      <c r="K164" s="43"/>
      <c r="L164" s="43"/>
      <c r="M164" s="43"/>
      <c r="N164" s="43"/>
      <c r="O164" s="43"/>
      <c r="P164" s="41"/>
      <c r="Q164" s="41"/>
      <c r="R164" s="41"/>
      <c r="S164" s="44"/>
      <c r="T164" s="45"/>
      <c r="U164" s="45"/>
      <c r="V164" s="45"/>
      <c r="W164" s="45"/>
      <c r="X164" s="46"/>
      <c r="Y164" s="46"/>
      <c r="Z164" s="46"/>
      <c r="AA164" s="46"/>
      <c r="AB164" s="46"/>
      <c r="AC164" s="46"/>
      <c r="AD164" s="46"/>
      <c r="AE164" s="46"/>
      <c r="AF164" s="46"/>
      <c r="AG164" s="46"/>
    </row>
    <row r="165" spans="1:33" ht="13.5" customHeight="1">
      <c r="A165" s="46"/>
      <c r="B165" s="46"/>
      <c r="C165" s="41"/>
      <c r="D165" s="42"/>
      <c r="E165" s="42"/>
      <c r="F165" s="42"/>
      <c r="G165" s="43"/>
      <c r="H165" s="43"/>
      <c r="I165" s="43"/>
      <c r="J165" s="43"/>
      <c r="K165" s="43"/>
      <c r="L165" s="43"/>
      <c r="M165" s="43"/>
      <c r="N165" s="43"/>
      <c r="O165" s="43"/>
      <c r="P165" s="41"/>
      <c r="Q165" s="41"/>
      <c r="R165" s="41"/>
      <c r="S165" s="44"/>
      <c r="T165" s="45"/>
      <c r="U165" s="45"/>
      <c r="V165" s="45"/>
      <c r="W165" s="45"/>
      <c r="X165" s="46"/>
      <c r="Y165" s="46"/>
      <c r="Z165" s="46"/>
      <c r="AA165" s="46"/>
      <c r="AB165" s="46"/>
      <c r="AC165" s="46"/>
      <c r="AD165" s="46"/>
      <c r="AE165" s="46"/>
      <c r="AF165" s="46"/>
      <c r="AG165" s="46"/>
    </row>
    <row r="166" spans="1:33" ht="13.5" customHeight="1">
      <c r="A166" s="46"/>
      <c r="B166" s="46"/>
      <c r="C166" s="41"/>
      <c r="D166" s="42"/>
      <c r="E166" s="42"/>
      <c r="F166" s="42"/>
      <c r="G166" s="43"/>
      <c r="H166" s="43"/>
      <c r="I166" s="43"/>
      <c r="J166" s="43"/>
      <c r="K166" s="43"/>
      <c r="L166" s="43"/>
      <c r="M166" s="43"/>
      <c r="N166" s="43"/>
      <c r="O166" s="43"/>
      <c r="P166" s="41"/>
      <c r="Q166" s="41"/>
      <c r="R166" s="41"/>
      <c r="S166" s="44"/>
      <c r="T166" s="45"/>
      <c r="U166" s="45"/>
      <c r="V166" s="45"/>
      <c r="W166" s="45"/>
      <c r="X166" s="46"/>
      <c r="Y166" s="46"/>
      <c r="Z166" s="46"/>
      <c r="AA166" s="46"/>
      <c r="AB166" s="46"/>
      <c r="AC166" s="46"/>
      <c r="AD166" s="46"/>
      <c r="AE166" s="46"/>
      <c r="AF166" s="46"/>
      <c r="AG166" s="46"/>
    </row>
    <row r="167" spans="1:33" ht="13.5" customHeight="1">
      <c r="A167" s="46"/>
      <c r="B167" s="46"/>
      <c r="C167" s="41"/>
      <c r="D167" s="42"/>
      <c r="E167" s="42"/>
      <c r="F167" s="42"/>
      <c r="G167" s="43"/>
      <c r="H167" s="43"/>
      <c r="I167" s="43"/>
      <c r="J167" s="43"/>
      <c r="K167" s="43"/>
      <c r="L167" s="43"/>
      <c r="M167" s="43"/>
      <c r="N167" s="43"/>
      <c r="O167" s="43"/>
      <c r="P167" s="41"/>
      <c r="Q167" s="41"/>
      <c r="R167" s="41"/>
      <c r="S167" s="44"/>
      <c r="T167" s="45"/>
      <c r="U167" s="45"/>
      <c r="V167" s="45"/>
      <c r="W167" s="45"/>
      <c r="X167" s="46"/>
      <c r="Y167" s="46"/>
      <c r="Z167" s="46"/>
      <c r="AA167" s="46"/>
      <c r="AB167" s="46"/>
      <c r="AC167" s="46"/>
      <c r="AD167" s="46"/>
      <c r="AE167" s="46"/>
      <c r="AF167" s="46"/>
      <c r="AG167" s="46"/>
    </row>
    <row r="168" spans="1:33" ht="13.5" customHeight="1">
      <c r="A168" s="46"/>
      <c r="B168" s="46"/>
      <c r="C168" s="41"/>
      <c r="D168" s="42"/>
      <c r="E168" s="42"/>
      <c r="F168" s="42"/>
      <c r="G168" s="43"/>
      <c r="H168" s="43"/>
      <c r="I168" s="43"/>
      <c r="J168" s="43"/>
      <c r="K168" s="43"/>
      <c r="L168" s="43"/>
      <c r="M168" s="43"/>
      <c r="N168" s="43"/>
      <c r="O168" s="43"/>
      <c r="P168" s="41"/>
      <c r="Q168" s="41"/>
      <c r="R168" s="41"/>
      <c r="S168" s="44"/>
      <c r="T168" s="45"/>
      <c r="U168" s="45"/>
      <c r="V168" s="45"/>
      <c r="W168" s="45"/>
      <c r="X168" s="46"/>
      <c r="Y168" s="46"/>
      <c r="Z168" s="46"/>
      <c r="AA168" s="46"/>
      <c r="AB168" s="46"/>
      <c r="AC168" s="46"/>
      <c r="AD168" s="46"/>
      <c r="AE168" s="46"/>
      <c r="AF168" s="46"/>
      <c r="AG168" s="46"/>
    </row>
    <row r="169" spans="1:33" ht="13.5" customHeight="1">
      <c r="A169" s="46"/>
      <c r="B169" s="46"/>
      <c r="C169" s="41"/>
      <c r="D169" s="42"/>
      <c r="E169" s="42"/>
      <c r="F169" s="42"/>
      <c r="G169" s="43"/>
      <c r="H169" s="43"/>
      <c r="I169" s="43"/>
      <c r="J169" s="43"/>
      <c r="K169" s="43"/>
      <c r="L169" s="43"/>
      <c r="M169" s="43"/>
      <c r="N169" s="43"/>
      <c r="O169" s="43"/>
      <c r="P169" s="41"/>
      <c r="Q169" s="41"/>
      <c r="R169" s="41"/>
      <c r="S169" s="44"/>
      <c r="T169" s="45"/>
      <c r="U169" s="45"/>
      <c r="V169" s="45"/>
      <c r="W169" s="45"/>
      <c r="X169" s="46"/>
      <c r="Y169" s="46"/>
      <c r="Z169" s="46"/>
      <c r="AA169" s="46"/>
      <c r="AB169" s="46"/>
      <c r="AC169" s="46"/>
      <c r="AD169" s="46"/>
      <c r="AE169" s="46"/>
      <c r="AF169" s="46"/>
      <c r="AG169" s="46"/>
    </row>
    <row r="170" spans="1:33" ht="13.5" customHeight="1">
      <c r="A170" s="46"/>
      <c r="B170" s="46"/>
      <c r="C170" s="41"/>
      <c r="D170" s="42"/>
      <c r="E170" s="42"/>
      <c r="F170" s="42"/>
      <c r="G170" s="43"/>
      <c r="H170" s="43"/>
      <c r="I170" s="43"/>
      <c r="J170" s="43"/>
      <c r="K170" s="43"/>
      <c r="L170" s="43"/>
      <c r="M170" s="43"/>
      <c r="N170" s="43"/>
      <c r="O170" s="43"/>
      <c r="P170" s="41"/>
      <c r="Q170" s="41"/>
      <c r="R170" s="41"/>
      <c r="S170" s="44"/>
      <c r="T170" s="45"/>
      <c r="U170" s="45"/>
      <c r="V170" s="45"/>
      <c r="W170" s="45"/>
      <c r="X170" s="46"/>
      <c r="Y170" s="46"/>
      <c r="Z170" s="46"/>
      <c r="AA170" s="46"/>
      <c r="AB170" s="46"/>
      <c r="AC170" s="46"/>
      <c r="AD170" s="46"/>
      <c r="AE170" s="46"/>
      <c r="AF170" s="46"/>
      <c r="AG170" s="46"/>
    </row>
    <row r="171" spans="1:33" ht="13.5" customHeight="1">
      <c r="A171" s="46"/>
      <c r="B171" s="46"/>
      <c r="C171" s="41"/>
      <c r="D171" s="42"/>
      <c r="E171" s="42"/>
      <c r="F171" s="42"/>
      <c r="G171" s="43"/>
      <c r="H171" s="43"/>
      <c r="I171" s="43"/>
      <c r="J171" s="43"/>
      <c r="K171" s="43"/>
      <c r="L171" s="43"/>
      <c r="M171" s="43"/>
      <c r="N171" s="43"/>
      <c r="O171" s="43"/>
      <c r="P171" s="41"/>
      <c r="Q171" s="41"/>
      <c r="R171" s="41"/>
      <c r="S171" s="44"/>
      <c r="T171" s="45"/>
      <c r="U171" s="45"/>
      <c r="V171" s="45"/>
      <c r="W171" s="45"/>
      <c r="X171" s="46"/>
      <c r="Y171" s="46"/>
      <c r="Z171" s="46"/>
      <c r="AA171" s="46"/>
      <c r="AB171" s="46"/>
      <c r="AC171" s="46"/>
      <c r="AD171" s="46"/>
      <c r="AE171" s="46"/>
      <c r="AF171" s="46"/>
      <c r="AG171" s="46"/>
    </row>
    <row r="172" spans="1:33" ht="13.5" customHeight="1">
      <c r="A172" s="46"/>
      <c r="B172" s="46"/>
      <c r="C172" s="41"/>
      <c r="D172" s="42"/>
      <c r="E172" s="42"/>
      <c r="F172" s="42"/>
      <c r="G172" s="43"/>
      <c r="H172" s="43"/>
      <c r="I172" s="43"/>
      <c r="J172" s="43"/>
      <c r="K172" s="43"/>
      <c r="L172" s="43"/>
      <c r="M172" s="43"/>
      <c r="N172" s="43"/>
      <c r="O172" s="43"/>
      <c r="P172" s="41"/>
      <c r="Q172" s="41"/>
      <c r="R172" s="41"/>
      <c r="S172" s="44"/>
      <c r="T172" s="45"/>
      <c r="U172" s="45"/>
      <c r="V172" s="45"/>
      <c r="W172" s="45"/>
      <c r="X172" s="46"/>
      <c r="Y172" s="46"/>
      <c r="Z172" s="46"/>
      <c r="AA172" s="46"/>
      <c r="AB172" s="46"/>
      <c r="AC172" s="46"/>
      <c r="AD172" s="46"/>
      <c r="AE172" s="46"/>
      <c r="AF172" s="46"/>
      <c r="AG172" s="46"/>
    </row>
    <row r="173" spans="1:33" ht="13.5" customHeight="1">
      <c r="A173" s="46"/>
      <c r="B173" s="46"/>
      <c r="C173" s="41"/>
      <c r="D173" s="42"/>
      <c r="E173" s="42"/>
      <c r="F173" s="42"/>
      <c r="G173" s="43"/>
      <c r="H173" s="43"/>
      <c r="I173" s="43"/>
      <c r="J173" s="43"/>
      <c r="K173" s="43"/>
      <c r="L173" s="43"/>
      <c r="M173" s="43"/>
      <c r="N173" s="43"/>
      <c r="O173" s="43"/>
      <c r="P173" s="41"/>
      <c r="Q173" s="41"/>
      <c r="R173" s="41"/>
      <c r="S173" s="44"/>
      <c r="T173" s="45"/>
      <c r="U173" s="45"/>
      <c r="V173" s="45"/>
      <c r="W173" s="45"/>
      <c r="X173" s="46"/>
      <c r="Y173" s="46"/>
      <c r="Z173" s="46"/>
      <c r="AA173" s="46"/>
      <c r="AB173" s="46"/>
      <c r="AC173" s="46"/>
      <c r="AD173" s="46"/>
      <c r="AE173" s="46"/>
      <c r="AF173" s="46"/>
      <c r="AG173" s="46"/>
    </row>
    <row r="174" spans="1:33" ht="13.5" customHeight="1">
      <c r="A174" s="46"/>
      <c r="B174" s="46"/>
      <c r="C174" s="41"/>
      <c r="D174" s="42"/>
      <c r="E174" s="42"/>
      <c r="F174" s="42"/>
      <c r="G174" s="43"/>
      <c r="H174" s="43"/>
      <c r="I174" s="43"/>
      <c r="J174" s="43"/>
      <c r="K174" s="43"/>
      <c r="L174" s="43"/>
      <c r="M174" s="43"/>
      <c r="N174" s="43"/>
      <c r="O174" s="43"/>
      <c r="P174" s="41"/>
      <c r="Q174" s="41"/>
      <c r="R174" s="41"/>
      <c r="S174" s="44"/>
      <c r="T174" s="45"/>
      <c r="U174" s="45"/>
      <c r="V174" s="45"/>
      <c r="W174" s="45"/>
      <c r="X174" s="46"/>
      <c r="Y174" s="46"/>
      <c r="Z174" s="46"/>
      <c r="AA174" s="46"/>
      <c r="AB174" s="46"/>
      <c r="AC174" s="46"/>
      <c r="AD174" s="46"/>
      <c r="AE174" s="46"/>
      <c r="AF174" s="46"/>
      <c r="AG174" s="46"/>
    </row>
    <row r="175" spans="1:33" ht="13.5" customHeight="1">
      <c r="A175" s="46"/>
      <c r="B175" s="46"/>
      <c r="C175" s="41"/>
      <c r="D175" s="42"/>
      <c r="E175" s="42"/>
      <c r="F175" s="42"/>
      <c r="G175" s="43"/>
      <c r="H175" s="43"/>
      <c r="I175" s="43"/>
      <c r="J175" s="43"/>
      <c r="K175" s="43"/>
      <c r="L175" s="43"/>
      <c r="M175" s="43"/>
      <c r="N175" s="43"/>
      <c r="O175" s="43"/>
      <c r="P175" s="41"/>
      <c r="Q175" s="41"/>
      <c r="R175" s="41"/>
      <c r="S175" s="44"/>
      <c r="T175" s="45"/>
      <c r="U175" s="45"/>
      <c r="V175" s="45"/>
      <c r="W175" s="45"/>
      <c r="X175" s="46"/>
      <c r="Y175" s="46"/>
      <c r="Z175" s="46"/>
      <c r="AA175" s="46"/>
      <c r="AB175" s="46"/>
      <c r="AC175" s="46"/>
      <c r="AD175" s="46"/>
      <c r="AE175" s="46"/>
      <c r="AF175" s="46"/>
      <c r="AG175" s="46"/>
    </row>
    <row r="176" spans="1:33" ht="13.5" customHeight="1">
      <c r="A176" s="46"/>
      <c r="B176" s="46"/>
      <c r="C176" s="41"/>
      <c r="D176" s="42"/>
      <c r="E176" s="42"/>
      <c r="F176" s="42"/>
      <c r="G176" s="43"/>
      <c r="H176" s="43"/>
      <c r="I176" s="43"/>
      <c r="J176" s="43"/>
      <c r="K176" s="43"/>
      <c r="L176" s="43"/>
      <c r="M176" s="43"/>
      <c r="N176" s="43"/>
      <c r="O176" s="43"/>
      <c r="P176" s="41"/>
      <c r="Q176" s="41"/>
      <c r="R176" s="41"/>
      <c r="S176" s="44"/>
      <c r="T176" s="45"/>
      <c r="U176" s="45"/>
      <c r="V176" s="45"/>
      <c r="W176" s="45"/>
      <c r="X176" s="46"/>
      <c r="Y176" s="46"/>
      <c r="Z176" s="46"/>
      <c r="AA176" s="46"/>
      <c r="AB176" s="46"/>
      <c r="AC176" s="46"/>
      <c r="AD176" s="46"/>
      <c r="AE176" s="46"/>
      <c r="AF176" s="46"/>
      <c r="AG176" s="46"/>
    </row>
    <row r="177" spans="1:33" ht="13.5" customHeight="1">
      <c r="A177" s="46"/>
      <c r="B177" s="46"/>
      <c r="C177" s="41"/>
      <c r="D177" s="42"/>
      <c r="E177" s="42"/>
      <c r="F177" s="42"/>
      <c r="G177" s="43"/>
      <c r="H177" s="43"/>
      <c r="I177" s="43"/>
      <c r="J177" s="43"/>
      <c r="K177" s="43"/>
      <c r="L177" s="43"/>
      <c r="M177" s="43"/>
      <c r="N177" s="43"/>
      <c r="O177" s="43"/>
      <c r="P177" s="41"/>
      <c r="Q177" s="41"/>
      <c r="R177" s="41"/>
      <c r="S177" s="44"/>
      <c r="T177" s="45"/>
      <c r="U177" s="45"/>
      <c r="V177" s="45"/>
      <c r="W177" s="45"/>
      <c r="X177" s="46"/>
      <c r="Y177" s="46"/>
      <c r="Z177" s="46"/>
      <c r="AA177" s="46"/>
      <c r="AB177" s="46"/>
      <c r="AC177" s="46"/>
      <c r="AD177" s="46"/>
      <c r="AE177" s="46"/>
      <c r="AF177" s="46"/>
      <c r="AG177" s="46"/>
    </row>
    <row r="178" spans="1:33" ht="13.5" customHeight="1">
      <c r="A178" s="46"/>
      <c r="B178" s="46"/>
      <c r="C178" s="41"/>
      <c r="D178" s="42"/>
      <c r="E178" s="42"/>
      <c r="F178" s="42"/>
      <c r="G178" s="43"/>
      <c r="H178" s="43"/>
      <c r="I178" s="43"/>
      <c r="J178" s="43"/>
      <c r="K178" s="43"/>
      <c r="L178" s="43"/>
      <c r="M178" s="43"/>
      <c r="N178" s="43"/>
      <c r="O178" s="43"/>
      <c r="P178" s="41"/>
      <c r="Q178" s="41"/>
      <c r="R178" s="41"/>
      <c r="S178" s="44"/>
      <c r="T178" s="45"/>
      <c r="U178" s="45"/>
      <c r="V178" s="45"/>
      <c r="W178" s="45"/>
      <c r="X178" s="46"/>
      <c r="Y178" s="46"/>
      <c r="Z178" s="46"/>
      <c r="AA178" s="46"/>
      <c r="AB178" s="46"/>
      <c r="AC178" s="46"/>
      <c r="AD178" s="46"/>
      <c r="AE178" s="46"/>
      <c r="AF178" s="46"/>
      <c r="AG178" s="46"/>
    </row>
    <row r="179" spans="1:33" ht="13.5" customHeight="1">
      <c r="A179" s="46"/>
      <c r="B179" s="46"/>
      <c r="C179" s="41"/>
      <c r="D179" s="42"/>
      <c r="E179" s="42"/>
      <c r="F179" s="42"/>
      <c r="G179" s="43"/>
      <c r="H179" s="43"/>
      <c r="I179" s="43"/>
      <c r="J179" s="43"/>
      <c r="K179" s="43"/>
      <c r="L179" s="43"/>
      <c r="M179" s="43"/>
      <c r="N179" s="43"/>
      <c r="O179" s="43"/>
      <c r="P179" s="41"/>
      <c r="Q179" s="41"/>
      <c r="R179" s="41"/>
      <c r="S179" s="44"/>
      <c r="T179" s="45"/>
      <c r="U179" s="45"/>
      <c r="V179" s="45"/>
      <c r="W179" s="45"/>
      <c r="X179" s="46"/>
      <c r="Y179" s="46"/>
      <c r="Z179" s="46"/>
      <c r="AA179" s="46"/>
      <c r="AB179" s="46"/>
      <c r="AC179" s="46"/>
      <c r="AD179" s="46"/>
      <c r="AE179" s="46"/>
      <c r="AF179" s="46"/>
      <c r="AG179" s="46"/>
    </row>
    <row r="180" spans="1:33" ht="13.5" customHeight="1">
      <c r="A180" s="46"/>
      <c r="B180" s="46"/>
      <c r="C180" s="41"/>
      <c r="D180" s="42"/>
      <c r="E180" s="42"/>
      <c r="F180" s="42"/>
      <c r="G180" s="43"/>
      <c r="H180" s="43"/>
      <c r="I180" s="43"/>
      <c r="J180" s="43"/>
      <c r="K180" s="43"/>
      <c r="L180" s="43"/>
      <c r="M180" s="43"/>
      <c r="N180" s="43"/>
      <c r="O180" s="43"/>
      <c r="P180" s="41"/>
      <c r="Q180" s="41"/>
      <c r="R180" s="41"/>
      <c r="S180" s="44"/>
      <c r="T180" s="45"/>
      <c r="U180" s="45"/>
      <c r="V180" s="45"/>
      <c r="W180" s="45"/>
      <c r="X180" s="46"/>
      <c r="Y180" s="46"/>
      <c r="Z180" s="46"/>
      <c r="AA180" s="46"/>
      <c r="AB180" s="46"/>
      <c r="AC180" s="46"/>
      <c r="AD180" s="46"/>
      <c r="AE180" s="46"/>
      <c r="AF180" s="46"/>
      <c r="AG180" s="46"/>
    </row>
    <row r="181" spans="1:33" ht="13.5" customHeight="1">
      <c r="A181" s="46"/>
      <c r="B181" s="46"/>
      <c r="C181" s="41"/>
      <c r="D181" s="42"/>
      <c r="E181" s="42"/>
      <c r="F181" s="42"/>
      <c r="G181" s="43"/>
      <c r="H181" s="43"/>
      <c r="I181" s="43"/>
      <c r="J181" s="43"/>
      <c r="K181" s="43"/>
      <c r="L181" s="43"/>
      <c r="M181" s="43"/>
      <c r="N181" s="43"/>
      <c r="O181" s="43"/>
      <c r="P181" s="41"/>
      <c r="Q181" s="41"/>
      <c r="R181" s="41"/>
      <c r="S181" s="44"/>
      <c r="T181" s="45"/>
      <c r="U181" s="45"/>
      <c r="V181" s="45"/>
      <c r="W181" s="45"/>
      <c r="X181" s="46"/>
      <c r="Y181" s="46"/>
      <c r="Z181" s="46"/>
      <c r="AA181" s="46"/>
      <c r="AB181" s="46"/>
      <c r="AC181" s="46"/>
      <c r="AD181" s="46"/>
      <c r="AE181" s="46"/>
      <c r="AF181" s="46"/>
      <c r="AG181" s="46"/>
    </row>
    <row r="182" spans="1:33" ht="13.5" customHeight="1">
      <c r="A182" s="46"/>
      <c r="B182" s="46"/>
      <c r="C182" s="41"/>
      <c r="D182" s="42"/>
      <c r="E182" s="42"/>
      <c r="F182" s="42"/>
      <c r="G182" s="43"/>
      <c r="H182" s="43"/>
      <c r="I182" s="43"/>
      <c r="J182" s="43"/>
      <c r="K182" s="43"/>
      <c r="L182" s="43"/>
      <c r="M182" s="43"/>
      <c r="N182" s="43"/>
      <c r="O182" s="43"/>
      <c r="P182" s="41"/>
      <c r="Q182" s="41"/>
      <c r="R182" s="41"/>
      <c r="S182" s="44"/>
      <c r="T182" s="45"/>
      <c r="U182" s="45"/>
      <c r="V182" s="45"/>
      <c r="W182" s="45"/>
      <c r="X182" s="46"/>
      <c r="Y182" s="46"/>
      <c r="Z182" s="46"/>
      <c r="AA182" s="46"/>
      <c r="AB182" s="46"/>
      <c r="AC182" s="46"/>
      <c r="AD182" s="46"/>
      <c r="AE182" s="46"/>
      <c r="AF182" s="46"/>
      <c r="AG182" s="46"/>
    </row>
    <row r="183" spans="1:33" ht="13.5" customHeight="1">
      <c r="A183" s="46"/>
      <c r="B183" s="46"/>
      <c r="C183" s="41"/>
      <c r="D183" s="42"/>
      <c r="E183" s="42"/>
      <c r="F183" s="42"/>
      <c r="G183" s="43"/>
      <c r="H183" s="43"/>
      <c r="I183" s="43"/>
      <c r="J183" s="43"/>
      <c r="K183" s="43"/>
      <c r="L183" s="43"/>
      <c r="M183" s="43"/>
      <c r="N183" s="43"/>
      <c r="O183" s="43"/>
      <c r="P183" s="41"/>
      <c r="Q183" s="41"/>
      <c r="R183" s="41"/>
      <c r="S183" s="44"/>
      <c r="T183" s="45"/>
      <c r="U183" s="45"/>
      <c r="V183" s="45"/>
      <c r="W183" s="45"/>
      <c r="X183" s="46"/>
      <c r="Y183" s="46"/>
      <c r="Z183" s="46"/>
      <c r="AA183" s="46"/>
      <c r="AB183" s="46"/>
      <c r="AC183" s="46"/>
      <c r="AD183" s="46"/>
      <c r="AE183" s="46"/>
      <c r="AF183" s="46"/>
      <c r="AG183" s="46"/>
    </row>
    <row r="184" spans="1:33" ht="13.5" customHeight="1">
      <c r="A184" s="46"/>
      <c r="B184" s="46"/>
      <c r="C184" s="41"/>
      <c r="D184" s="42"/>
      <c r="E184" s="42"/>
      <c r="F184" s="42"/>
      <c r="G184" s="43"/>
      <c r="H184" s="43"/>
      <c r="I184" s="43"/>
      <c r="J184" s="43"/>
      <c r="K184" s="43"/>
      <c r="L184" s="43"/>
      <c r="M184" s="43"/>
      <c r="N184" s="43"/>
      <c r="O184" s="43"/>
      <c r="P184" s="41"/>
      <c r="Q184" s="41"/>
      <c r="R184" s="41"/>
      <c r="S184" s="44"/>
      <c r="T184" s="45"/>
      <c r="U184" s="45"/>
      <c r="V184" s="45"/>
      <c r="W184" s="45"/>
      <c r="X184" s="46"/>
      <c r="Y184" s="46"/>
      <c r="Z184" s="46"/>
      <c r="AA184" s="46"/>
      <c r="AB184" s="46"/>
      <c r="AC184" s="46"/>
      <c r="AD184" s="46"/>
      <c r="AE184" s="46"/>
      <c r="AF184" s="46"/>
      <c r="AG184" s="46"/>
    </row>
    <row r="185" spans="1:33" ht="13.5" customHeight="1">
      <c r="A185" s="46"/>
      <c r="B185" s="46"/>
      <c r="C185" s="41"/>
      <c r="D185" s="42"/>
      <c r="E185" s="42"/>
      <c r="F185" s="42"/>
      <c r="G185" s="43"/>
      <c r="H185" s="43"/>
      <c r="I185" s="43"/>
      <c r="J185" s="43"/>
      <c r="K185" s="43"/>
      <c r="L185" s="43"/>
      <c r="M185" s="43"/>
      <c r="N185" s="43"/>
      <c r="O185" s="43"/>
      <c r="P185" s="41"/>
      <c r="Q185" s="41"/>
      <c r="R185" s="41"/>
      <c r="S185" s="44"/>
      <c r="T185" s="45"/>
      <c r="U185" s="45"/>
      <c r="V185" s="45"/>
      <c r="W185" s="45"/>
      <c r="X185" s="46"/>
      <c r="Y185" s="46"/>
      <c r="Z185" s="46"/>
      <c r="AA185" s="46"/>
      <c r="AB185" s="46"/>
      <c r="AC185" s="46"/>
      <c r="AD185" s="46"/>
      <c r="AE185" s="46"/>
      <c r="AF185" s="46"/>
      <c r="AG185" s="46"/>
    </row>
    <row r="186" spans="1:33" ht="13.5" customHeight="1">
      <c r="A186" s="46"/>
      <c r="B186" s="46"/>
      <c r="C186" s="41"/>
      <c r="D186" s="42"/>
      <c r="E186" s="42"/>
      <c r="F186" s="42"/>
      <c r="G186" s="43"/>
      <c r="H186" s="43"/>
      <c r="I186" s="43"/>
      <c r="J186" s="43"/>
      <c r="K186" s="43"/>
      <c r="L186" s="43"/>
      <c r="M186" s="43"/>
      <c r="N186" s="43"/>
      <c r="O186" s="43"/>
      <c r="P186" s="41"/>
      <c r="Q186" s="41"/>
      <c r="R186" s="41"/>
      <c r="S186" s="44"/>
      <c r="T186" s="45"/>
      <c r="U186" s="45"/>
      <c r="V186" s="45"/>
      <c r="W186" s="45"/>
      <c r="X186" s="46"/>
      <c r="Y186" s="46"/>
      <c r="Z186" s="46"/>
      <c r="AA186" s="46"/>
      <c r="AB186" s="46"/>
      <c r="AC186" s="46"/>
      <c r="AD186" s="46"/>
      <c r="AE186" s="46"/>
      <c r="AF186" s="46"/>
      <c r="AG186" s="46"/>
    </row>
    <row r="187" spans="1:33" ht="13.5" customHeight="1">
      <c r="A187" s="46"/>
      <c r="B187" s="46"/>
      <c r="C187" s="41"/>
      <c r="D187" s="42"/>
      <c r="E187" s="42"/>
      <c r="F187" s="42"/>
      <c r="G187" s="43"/>
      <c r="H187" s="43"/>
      <c r="I187" s="43"/>
      <c r="J187" s="43"/>
      <c r="K187" s="43"/>
      <c r="L187" s="43"/>
      <c r="M187" s="43"/>
      <c r="N187" s="43"/>
      <c r="O187" s="43"/>
      <c r="P187" s="41"/>
      <c r="Q187" s="41"/>
      <c r="R187" s="41"/>
      <c r="S187" s="44"/>
      <c r="T187" s="45"/>
      <c r="U187" s="45"/>
      <c r="V187" s="45"/>
      <c r="W187" s="45"/>
      <c r="X187" s="46"/>
      <c r="Y187" s="46"/>
      <c r="Z187" s="46"/>
      <c r="AA187" s="46"/>
      <c r="AB187" s="46"/>
      <c r="AC187" s="46"/>
      <c r="AD187" s="46"/>
      <c r="AE187" s="46"/>
      <c r="AF187" s="46"/>
      <c r="AG187" s="46"/>
    </row>
    <row r="188" spans="1:33" ht="13.5" customHeight="1">
      <c r="A188" s="46"/>
      <c r="B188" s="46"/>
      <c r="C188" s="41"/>
      <c r="D188" s="42"/>
      <c r="E188" s="42"/>
      <c r="F188" s="42"/>
      <c r="G188" s="43"/>
      <c r="H188" s="43"/>
      <c r="I188" s="43"/>
      <c r="J188" s="43"/>
      <c r="K188" s="43"/>
      <c r="L188" s="43"/>
      <c r="M188" s="43"/>
      <c r="N188" s="43"/>
      <c r="O188" s="43"/>
      <c r="P188" s="41"/>
      <c r="Q188" s="41"/>
      <c r="R188" s="41"/>
      <c r="S188" s="44"/>
      <c r="T188" s="45"/>
      <c r="U188" s="45"/>
      <c r="V188" s="45"/>
      <c r="W188" s="45"/>
      <c r="X188" s="46"/>
      <c r="Y188" s="46"/>
      <c r="Z188" s="46"/>
      <c r="AA188" s="46"/>
      <c r="AB188" s="46"/>
      <c r="AC188" s="46"/>
      <c r="AD188" s="46"/>
      <c r="AE188" s="46"/>
      <c r="AF188" s="46"/>
      <c r="AG188" s="46"/>
    </row>
    <row r="189" spans="1:33" ht="13.5" customHeight="1">
      <c r="A189" s="46"/>
      <c r="B189" s="46"/>
      <c r="C189" s="41"/>
      <c r="D189" s="42"/>
      <c r="E189" s="42"/>
      <c r="F189" s="42"/>
      <c r="G189" s="43"/>
      <c r="H189" s="43"/>
      <c r="I189" s="43"/>
      <c r="J189" s="43"/>
      <c r="K189" s="43"/>
      <c r="L189" s="43"/>
      <c r="M189" s="43"/>
      <c r="N189" s="43"/>
      <c r="O189" s="43"/>
      <c r="P189" s="41"/>
      <c r="Q189" s="41"/>
      <c r="R189" s="41"/>
      <c r="S189" s="44"/>
      <c r="T189" s="45"/>
      <c r="U189" s="45"/>
      <c r="V189" s="45"/>
      <c r="W189" s="45"/>
      <c r="X189" s="46"/>
      <c r="Y189" s="46"/>
      <c r="Z189" s="46"/>
      <c r="AA189" s="46"/>
      <c r="AB189" s="46"/>
      <c r="AC189" s="46"/>
      <c r="AD189" s="46"/>
      <c r="AE189" s="46"/>
      <c r="AF189" s="46"/>
      <c r="AG189" s="46"/>
    </row>
    <row r="190" spans="1:33" ht="13.5" customHeight="1">
      <c r="A190" s="46"/>
      <c r="B190" s="46"/>
      <c r="C190" s="41"/>
      <c r="D190" s="42"/>
      <c r="E190" s="42"/>
      <c r="F190" s="42"/>
      <c r="G190" s="43"/>
      <c r="H190" s="43"/>
      <c r="I190" s="43"/>
      <c r="J190" s="43"/>
      <c r="K190" s="43"/>
      <c r="L190" s="43"/>
      <c r="M190" s="43"/>
      <c r="N190" s="43"/>
      <c r="O190" s="43"/>
      <c r="P190" s="41"/>
      <c r="Q190" s="41"/>
      <c r="R190" s="41"/>
      <c r="S190" s="44"/>
      <c r="T190" s="45"/>
      <c r="U190" s="45"/>
      <c r="V190" s="45"/>
      <c r="W190" s="45"/>
      <c r="X190" s="46"/>
      <c r="Y190" s="46"/>
      <c r="Z190" s="46"/>
      <c r="AA190" s="46"/>
      <c r="AB190" s="46"/>
      <c r="AC190" s="46"/>
      <c r="AD190" s="46"/>
      <c r="AE190" s="46"/>
      <c r="AF190" s="46"/>
      <c r="AG190" s="46"/>
    </row>
    <row r="191" spans="1:33" ht="13.5" customHeight="1">
      <c r="A191" s="46"/>
      <c r="B191" s="46"/>
      <c r="C191" s="41"/>
      <c r="D191" s="42"/>
      <c r="E191" s="42"/>
      <c r="F191" s="42"/>
      <c r="G191" s="43"/>
      <c r="H191" s="43"/>
      <c r="I191" s="43"/>
      <c r="J191" s="43"/>
      <c r="K191" s="43"/>
      <c r="L191" s="43"/>
      <c r="M191" s="43"/>
      <c r="N191" s="43"/>
      <c r="O191" s="43"/>
      <c r="P191" s="41"/>
      <c r="Q191" s="41"/>
      <c r="R191" s="41"/>
      <c r="S191" s="44"/>
      <c r="T191" s="45"/>
      <c r="U191" s="45"/>
      <c r="V191" s="45"/>
      <c r="W191" s="45"/>
      <c r="X191" s="46"/>
      <c r="Y191" s="46"/>
      <c r="Z191" s="46"/>
      <c r="AA191" s="46"/>
      <c r="AB191" s="46"/>
      <c r="AC191" s="46"/>
      <c r="AD191" s="46"/>
      <c r="AE191" s="46"/>
      <c r="AF191" s="46"/>
      <c r="AG191" s="46"/>
    </row>
    <row r="192" spans="1:33" ht="13.5" customHeight="1">
      <c r="A192" s="46"/>
      <c r="B192" s="46"/>
      <c r="C192" s="41"/>
      <c r="D192" s="42"/>
      <c r="E192" s="42"/>
      <c r="F192" s="42"/>
      <c r="G192" s="43"/>
      <c r="H192" s="43"/>
      <c r="I192" s="43"/>
      <c r="J192" s="43"/>
      <c r="K192" s="43"/>
      <c r="L192" s="43"/>
      <c r="M192" s="43"/>
      <c r="N192" s="43"/>
      <c r="O192" s="43"/>
      <c r="P192" s="41"/>
      <c r="Q192" s="41"/>
      <c r="R192" s="41"/>
      <c r="S192" s="44"/>
      <c r="T192" s="45"/>
      <c r="U192" s="45"/>
      <c r="V192" s="45"/>
      <c r="W192" s="45"/>
      <c r="X192" s="46"/>
      <c r="Y192" s="46"/>
      <c r="Z192" s="46"/>
      <c r="AA192" s="46"/>
      <c r="AB192" s="46"/>
      <c r="AC192" s="46"/>
      <c r="AD192" s="46"/>
      <c r="AE192" s="46"/>
      <c r="AF192" s="46"/>
      <c r="AG192" s="46"/>
    </row>
    <row r="193" spans="1:33" ht="13.5" customHeight="1">
      <c r="A193" s="46"/>
      <c r="B193" s="46"/>
      <c r="C193" s="41"/>
      <c r="D193" s="42"/>
      <c r="E193" s="42"/>
      <c r="F193" s="42"/>
      <c r="G193" s="43"/>
      <c r="H193" s="43"/>
      <c r="I193" s="43"/>
      <c r="J193" s="43"/>
      <c r="K193" s="43"/>
      <c r="L193" s="43"/>
      <c r="M193" s="43"/>
      <c r="N193" s="43"/>
      <c r="O193" s="43"/>
      <c r="P193" s="41"/>
      <c r="Q193" s="41"/>
      <c r="R193" s="41"/>
      <c r="S193" s="44"/>
      <c r="T193" s="45"/>
      <c r="U193" s="45"/>
      <c r="V193" s="45"/>
      <c r="W193" s="45"/>
      <c r="X193" s="46"/>
      <c r="Y193" s="46"/>
      <c r="Z193" s="46"/>
      <c r="AA193" s="46"/>
      <c r="AB193" s="46"/>
      <c r="AC193" s="46"/>
      <c r="AD193" s="46"/>
      <c r="AE193" s="46"/>
      <c r="AF193" s="46"/>
      <c r="AG193" s="46"/>
    </row>
    <row r="194" spans="1:33" ht="13.5" customHeight="1">
      <c r="A194" s="46"/>
      <c r="B194" s="46"/>
      <c r="C194" s="41"/>
      <c r="D194" s="42"/>
      <c r="E194" s="42"/>
      <c r="F194" s="42"/>
      <c r="G194" s="43"/>
      <c r="H194" s="43"/>
      <c r="I194" s="43"/>
      <c r="J194" s="43"/>
      <c r="K194" s="43"/>
      <c r="L194" s="43"/>
      <c r="M194" s="43"/>
      <c r="N194" s="43"/>
      <c r="O194" s="43"/>
      <c r="P194" s="41"/>
      <c r="Q194" s="41"/>
      <c r="R194" s="41"/>
      <c r="S194" s="44"/>
      <c r="T194" s="45"/>
      <c r="U194" s="45"/>
      <c r="V194" s="45"/>
      <c r="W194" s="45"/>
      <c r="X194" s="46"/>
      <c r="Y194" s="46"/>
      <c r="Z194" s="46"/>
      <c r="AA194" s="46"/>
      <c r="AB194" s="46"/>
      <c r="AC194" s="46"/>
      <c r="AD194" s="46"/>
      <c r="AE194" s="46"/>
      <c r="AF194" s="46"/>
      <c r="AG194" s="46"/>
    </row>
    <row r="195" spans="1:33" ht="13.5" customHeight="1">
      <c r="A195" s="46"/>
      <c r="B195" s="46"/>
      <c r="C195" s="41"/>
      <c r="D195" s="42"/>
      <c r="E195" s="42"/>
      <c r="F195" s="42"/>
      <c r="G195" s="43"/>
      <c r="H195" s="43"/>
      <c r="I195" s="43"/>
      <c r="J195" s="43"/>
      <c r="K195" s="43"/>
      <c r="L195" s="43"/>
      <c r="M195" s="43"/>
      <c r="N195" s="43"/>
      <c r="O195" s="43"/>
      <c r="P195" s="41"/>
      <c r="Q195" s="41"/>
      <c r="R195" s="41"/>
      <c r="S195" s="44"/>
      <c r="T195" s="45"/>
      <c r="U195" s="45"/>
      <c r="V195" s="45"/>
      <c r="W195" s="45"/>
      <c r="X195" s="46"/>
      <c r="Y195" s="46"/>
      <c r="Z195" s="46"/>
      <c r="AA195" s="46"/>
      <c r="AB195" s="46"/>
      <c r="AC195" s="46"/>
      <c r="AD195" s="46"/>
      <c r="AE195" s="46"/>
      <c r="AF195" s="46"/>
      <c r="AG195" s="46"/>
    </row>
    <row r="196" spans="1:33" ht="13.5" customHeight="1">
      <c r="A196" s="46"/>
      <c r="B196" s="46"/>
      <c r="C196" s="41"/>
      <c r="D196" s="42"/>
      <c r="E196" s="42"/>
      <c r="F196" s="42"/>
      <c r="G196" s="43"/>
      <c r="H196" s="43"/>
      <c r="I196" s="43"/>
      <c r="J196" s="43"/>
      <c r="K196" s="43"/>
      <c r="L196" s="43"/>
      <c r="M196" s="43"/>
      <c r="N196" s="43"/>
      <c r="O196" s="43"/>
      <c r="P196" s="41"/>
      <c r="Q196" s="41"/>
      <c r="R196" s="41"/>
      <c r="S196" s="44"/>
      <c r="T196" s="45"/>
      <c r="U196" s="45"/>
      <c r="V196" s="45"/>
      <c r="W196" s="45"/>
      <c r="X196" s="46"/>
      <c r="Y196" s="46"/>
      <c r="Z196" s="46"/>
      <c r="AA196" s="46"/>
      <c r="AB196" s="46"/>
      <c r="AC196" s="46"/>
      <c r="AD196" s="46"/>
      <c r="AE196" s="46"/>
      <c r="AF196" s="46"/>
      <c r="AG196" s="46"/>
    </row>
    <row r="197" spans="1:33" ht="13.5" customHeight="1">
      <c r="A197" s="46"/>
      <c r="B197" s="46"/>
      <c r="C197" s="41"/>
      <c r="D197" s="42"/>
      <c r="E197" s="42"/>
      <c r="F197" s="42"/>
      <c r="G197" s="43"/>
      <c r="H197" s="43"/>
      <c r="I197" s="43"/>
      <c r="J197" s="43"/>
      <c r="K197" s="43"/>
      <c r="L197" s="43"/>
      <c r="M197" s="43"/>
      <c r="N197" s="43"/>
      <c r="O197" s="43"/>
      <c r="P197" s="41"/>
      <c r="Q197" s="41"/>
      <c r="R197" s="41"/>
      <c r="S197" s="44"/>
      <c r="T197" s="45"/>
      <c r="U197" s="45"/>
      <c r="V197" s="45"/>
      <c r="W197" s="45"/>
      <c r="X197" s="46"/>
      <c r="Y197" s="46"/>
      <c r="Z197" s="46"/>
      <c r="AA197" s="46"/>
      <c r="AB197" s="46"/>
      <c r="AC197" s="46"/>
      <c r="AD197" s="46"/>
      <c r="AE197" s="46"/>
      <c r="AF197" s="46"/>
      <c r="AG197" s="46"/>
    </row>
    <row r="198" spans="1:33" ht="13.5" customHeight="1">
      <c r="A198" s="46"/>
      <c r="B198" s="46"/>
      <c r="C198" s="41"/>
      <c r="D198" s="42"/>
      <c r="E198" s="42"/>
      <c r="F198" s="42"/>
      <c r="G198" s="43"/>
      <c r="H198" s="43"/>
      <c r="I198" s="43"/>
      <c r="J198" s="43"/>
      <c r="K198" s="43"/>
      <c r="L198" s="43"/>
      <c r="M198" s="43"/>
      <c r="N198" s="43"/>
      <c r="O198" s="43"/>
      <c r="P198" s="41"/>
      <c r="Q198" s="41"/>
      <c r="R198" s="41"/>
      <c r="S198" s="44"/>
      <c r="T198" s="45"/>
      <c r="U198" s="45"/>
      <c r="V198" s="45"/>
      <c r="W198" s="45"/>
      <c r="X198" s="46"/>
      <c r="Y198" s="46"/>
      <c r="Z198" s="46"/>
      <c r="AA198" s="46"/>
      <c r="AB198" s="46"/>
      <c r="AC198" s="46"/>
      <c r="AD198" s="46"/>
      <c r="AE198" s="46"/>
      <c r="AF198" s="46"/>
      <c r="AG198" s="46"/>
    </row>
    <row r="199" spans="1:33" ht="13.5" customHeight="1">
      <c r="A199" s="46"/>
      <c r="B199" s="46"/>
      <c r="C199" s="41"/>
      <c r="D199" s="42"/>
      <c r="E199" s="42"/>
      <c r="F199" s="42"/>
      <c r="G199" s="43"/>
      <c r="H199" s="43"/>
      <c r="I199" s="43"/>
      <c r="J199" s="43"/>
      <c r="K199" s="43"/>
      <c r="L199" s="43"/>
      <c r="M199" s="43"/>
      <c r="N199" s="43"/>
      <c r="O199" s="43"/>
      <c r="P199" s="41"/>
      <c r="Q199" s="41"/>
      <c r="R199" s="41"/>
      <c r="S199" s="44"/>
      <c r="T199" s="45"/>
      <c r="U199" s="45"/>
      <c r="V199" s="45"/>
      <c r="W199" s="45"/>
      <c r="X199" s="46"/>
      <c r="Y199" s="46"/>
      <c r="Z199" s="46"/>
      <c r="AA199" s="46"/>
      <c r="AB199" s="46"/>
      <c r="AC199" s="46"/>
      <c r="AD199" s="46"/>
      <c r="AE199" s="46"/>
      <c r="AF199" s="46"/>
      <c r="AG199" s="46"/>
    </row>
    <row r="200" spans="1:33" ht="13.5" customHeight="1">
      <c r="A200" s="46"/>
      <c r="B200" s="46"/>
      <c r="C200" s="41"/>
      <c r="D200" s="42"/>
      <c r="E200" s="42"/>
      <c r="F200" s="42"/>
      <c r="G200" s="43"/>
      <c r="H200" s="43"/>
      <c r="I200" s="43"/>
      <c r="J200" s="43"/>
      <c r="K200" s="43"/>
      <c r="L200" s="43"/>
      <c r="M200" s="43"/>
      <c r="N200" s="43"/>
      <c r="O200" s="43"/>
      <c r="P200" s="41"/>
      <c r="Q200" s="41"/>
      <c r="R200" s="41"/>
      <c r="S200" s="44"/>
      <c r="T200" s="45"/>
      <c r="U200" s="45"/>
      <c r="V200" s="45"/>
      <c r="W200" s="45"/>
      <c r="X200" s="46"/>
      <c r="Y200" s="46"/>
      <c r="Z200" s="46"/>
      <c r="AA200" s="46"/>
      <c r="AB200" s="46"/>
      <c r="AC200" s="46"/>
      <c r="AD200" s="46"/>
      <c r="AE200" s="46"/>
      <c r="AF200" s="46"/>
      <c r="AG200" s="46"/>
    </row>
    <row r="201" spans="1:33" ht="13.5" customHeight="1">
      <c r="A201" s="46"/>
      <c r="B201" s="46"/>
      <c r="C201" s="41"/>
      <c r="D201" s="42"/>
      <c r="E201" s="42"/>
      <c r="F201" s="42"/>
      <c r="G201" s="43"/>
      <c r="H201" s="43"/>
      <c r="I201" s="43"/>
      <c r="J201" s="43"/>
      <c r="K201" s="43"/>
      <c r="L201" s="43"/>
      <c r="M201" s="43"/>
      <c r="N201" s="43"/>
      <c r="O201" s="43"/>
      <c r="P201" s="41"/>
      <c r="Q201" s="41"/>
      <c r="R201" s="41"/>
      <c r="S201" s="44"/>
      <c r="T201" s="45"/>
      <c r="U201" s="45"/>
      <c r="V201" s="45"/>
      <c r="W201" s="45"/>
      <c r="X201" s="46"/>
      <c r="Y201" s="46"/>
      <c r="Z201" s="46"/>
      <c r="AA201" s="46"/>
      <c r="AB201" s="46"/>
      <c r="AC201" s="46"/>
      <c r="AD201" s="46"/>
      <c r="AE201" s="46"/>
      <c r="AF201" s="46"/>
      <c r="AG201" s="46"/>
    </row>
    <row r="202" spans="1:33" ht="13.5" customHeight="1">
      <c r="A202" s="46"/>
      <c r="B202" s="46"/>
      <c r="C202" s="41"/>
      <c r="D202" s="42"/>
      <c r="E202" s="42"/>
      <c r="F202" s="42"/>
      <c r="G202" s="43"/>
      <c r="H202" s="43"/>
      <c r="I202" s="43"/>
      <c r="J202" s="43"/>
      <c r="K202" s="43"/>
      <c r="L202" s="43"/>
      <c r="M202" s="43"/>
      <c r="N202" s="43"/>
      <c r="O202" s="43"/>
      <c r="P202" s="41"/>
      <c r="Q202" s="41"/>
      <c r="R202" s="41"/>
      <c r="S202" s="44"/>
      <c r="T202" s="45"/>
      <c r="U202" s="45"/>
      <c r="V202" s="45"/>
      <c r="W202" s="45"/>
      <c r="X202" s="46"/>
      <c r="Y202" s="46"/>
      <c r="Z202" s="46"/>
      <c r="AA202" s="46"/>
      <c r="AB202" s="46"/>
      <c r="AC202" s="46"/>
      <c r="AD202" s="46"/>
      <c r="AE202" s="46"/>
      <c r="AF202" s="46"/>
      <c r="AG202" s="46"/>
    </row>
    <row r="203" spans="1:33" ht="13.5" customHeight="1">
      <c r="A203" s="46"/>
      <c r="B203" s="46"/>
      <c r="C203" s="41"/>
      <c r="D203" s="42"/>
      <c r="E203" s="42"/>
      <c r="F203" s="42"/>
      <c r="G203" s="43"/>
      <c r="H203" s="43"/>
      <c r="I203" s="43"/>
      <c r="J203" s="43"/>
      <c r="K203" s="43"/>
      <c r="L203" s="43"/>
      <c r="M203" s="43"/>
      <c r="N203" s="43"/>
      <c r="O203" s="43"/>
      <c r="P203" s="41"/>
      <c r="Q203" s="41"/>
      <c r="R203" s="41"/>
      <c r="S203" s="44"/>
      <c r="T203" s="45"/>
      <c r="U203" s="45"/>
      <c r="V203" s="45"/>
      <c r="W203" s="45"/>
      <c r="X203" s="46"/>
      <c r="Y203" s="46"/>
      <c r="Z203" s="46"/>
      <c r="AA203" s="46"/>
      <c r="AB203" s="46"/>
      <c r="AC203" s="46"/>
      <c r="AD203" s="46"/>
      <c r="AE203" s="46"/>
      <c r="AF203" s="46"/>
      <c r="AG203" s="46"/>
    </row>
    <row r="204" spans="1:33" ht="13.5" customHeight="1">
      <c r="A204" s="46"/>
      <c r="B204" s="46"/>
      <c r="C204" s="41"/>
      <c r="D204" s="42"/>
      <c r="E204" s="42"/>
      <c r="F204" s="42"/>
      <c r="G204" s="43"/>
      <c r="H204" s="43"/>
      <c r="I204" s="43"/>
      <c r="J204" s="43"/>
      <c r="K204" s="43"/>
      <c r="L204" s="43"/>
      <c r="M204" s="43"/>
      <c r="N204" s="43"/>
      <c r="O204" s="43"/>
      <c r="P204" s="41"/>
      <c r="Q204" s="41"/>
      <c r="R204" s="41"/>
      <c r="S204" s="44"/>
      <c r="T204" s="45"/>
      <c r="U204" s="45"/>
      <c r="V204" s="45"/>
      <c r="W204" s="45"/>
      <c r="X204" s="46"/>
      <c r="Y204" s="46"/>
      <c r="Z204" s="46"/>
      <c r="AA204" s="46"/>
      <c r="AB204" s="46"/>
      <c r="AC204" s="46"/>
      <c r="AD204" s="46"/>
      <c r="AE204" s="46"/>
      <c r="AF204" s="46"/>
      <c r="AG204" s="46"/>
    </row>
    <row r="205" spans="1:33" ht="13.5" customHeight="1">
      <c r="A205" s="46"/>
      <c r="B205" s="46"/>
      <c r="C205" s="41"/>
      <c r="D205" s="42"/>
      <c r="E205" s="42"/>
      <c r="F205" s="42"/>
      <c r="G205" s="43"/>
      <c r="H205" s="43"/>
      <c r="I205" s="43"/>
      <c r="J205" s="43"/>
      <c r="K205" s="43"/>
      <c r="L205" s="43"/>
      <c r="M205" s="43"/>
      <c r="N205" s="43"/>
      <c r="O205" s="43"/>
      <c r="P205" s="41"/>
      <c r="Q205" s="41"/>
      <c r="R205" s="41"/>
      <c r="S205" s="44"/>
      <c r="T205" s="45"/>
      <c r="U205" s="45"/>
      <c r="V205" s="45"/>
      <c r="W205" s="45"/>
      <c r="X205" s="46"/>
      <c r="Y205" s="46"/>
      <c r="Z205" s="46"/>
      <c r="AA205" s="46"/>
      <c r="AB205" s="46"/>
      <c r="AC205" s="46"/>
      <c r="AD205" s="46"/>
      <c r="AE205" s="46"/>
      <c r="AF205" s="46"/>
      <c r="AG205" s="46"/>
    </row>
    <row r="206" spans="1:33" ht="13.5" customHeight="1">
      <c r="A206" s="46"/>
      <c r="B206" s="46"/>
      <c r="C206" s="41"/>
      <c r="D206" s="42"/>
      <c r="E206" s="42"/>
      <c r="F206" s="42"/>
      <c r="G206" s="43"/>
      <c r="H206" s="43"/>
      <c r="I206" s="43"/>
      <c r="J206" s="43"/>
      <c r="K206" s="43"/>
      <c r="L206" s="43"/>
      <c r="M206" s="43"/>
      <c r="N206" s="43"/>
      <c r="O206" s="43"/>
      <c r="P206" s="41"/>
      <c r="Q206" s="41"/>
      <c r="R206" s="41"/>
      <c r="S206" s="44"/>
      <c r="T206" s="45"/>
      <c r="U206" s="45"/>
      <c r="V206" s="45"/>
      <c r="W206" s="45"/>
      <c r="X206" s="46"/>
      <c r="Y206" s="46"/>
      <c r="Z206" s="46"/>
      <c r="AA206" s="46"/>
      <c r="AB206" s="46"/>
      <c r="AC206" s="46"/>
      <c r="AD206" s="46"/>
      <c r="AE206" s="46"/>
      <c r="AF206" s="46"/>
      <c r="AG206" s="46"/>
    </row>
    <row r="207" spans="1:33" ht="13.5" customHeight="1">
      <c r="A207" s="46"/>
      <c r="B207" s="46"/>
      <c r="C207" s="41"/>
      <c r="D207" s="42"/>
      <c r="E207" s="42"/>
      <c r="F207" s="42"/>
      <c r="G207" s="43"/>
      <c r="H207" s="43"/>
      <c r="I207" s="43"/>
      <c r="J207" s="43"/>
      <c r="K207" s="43"/>
      <c r="L207" s="43"/>
      <c r="M207" s="43"/>
      <c r="N207" s="43"/>
      <c r="O207" s="43"/>
      <c r="P207" s="41"/>
      <c r="Q207" s="41"/>
      <c r="R207" s="41"/>
      <c r="S207" s="44"/>
      <c r="T207" s="45"/>
      <c r="U207" s="45"/>
      <c r="V207" s="45"/>
      <c r="W207" s="45"/>
      <c r="X207" s="46"/>
      <c r="Y207" s="46"/>
      <c r="Z207" s="46"/>
      <c r="AA207" s="46"/>
      <c r="AB207" s="46"/>
      <c r="AC207" s="46"/>
      <c r="AD207" s="46"/>
      <c r="AE207" s="46"/>
      <c r="AF207" s="46"/>
      <c r="AG207" s="46"/>
    </row>
    <row r="208" spans="1:33" ht="13.5" customHeight="1">
      <c r="A208" s="46"/>
      <c r="B208" s="46"/>
      <c r="C208" s="41"/>
      <c r="D208" s="42"/>
      <c r="E208" s="42"/>
      <c r="F208" s="42"/>
      <c r="G208" s="43"/>
      <c r="H208" s="43"/>
      <c r="I208" s="43"/>
      <c r="J208" s="43"/>
      <c r="K208" s="43"/>
      <c r="L208" s="43"/>
      <c r="M208" s="43"/>
      <c r="N208" s="43"/>
      <c r="O208" s="43"/>
      <c r="P208" s="41"/>
      <c r="Q208" s="41"/>
      <c r="R208" s="41"/>
      <c r="S208" s="44"/>
      <c r="T208" s="45"/>
      <c r="U208" s="45"/>
      <c r="V208" s="45"/>
      <c r="W208" s="45"/>
      <c r="X208" s="46"/>
      <c r="Y208" s="46"/>
      <c r="Z208" s="46"/>
      <c r="AA208" s="46"/>
      <c r="AB208" s="46"/>
      <c r="AC208" s="46"/>
      <c r="AD208" s="46"/>
      <c r="AE208" s="46"/>
      <c r="AF208" s="46"/>
      <c r="AG208" s="46"/>
    </row>
    <row r="209" spans="1:33" ht="13.5" customHeight="1">
      <c r="A209" s="46"/>
      <c r="B209" s="46"/>
      <c r="C209" s="41"/>
      <c r="D209" s="42"/>
      <c r="E209" s="42"/>
      <c r="F209" s="42"/>
      <c r="G209" s="43"/>
      <c r="H209" s="43"/>
      <c r="I209" s="43"/>
      <c r="J209" s="43"/>
      <c r="K209" s="43"/>
      <c r="L209" s="43"/>
      <c r="M209" s="43"/>
      <c r="N209" s="43"/>
      <c r="O209" s="43"/>
      <c r="P209" s="41"/>
      <c r="Q209" s="41"/>
      <c r="R209" s="41"/>
      <c r="S209" s="44"/>
      <c r="T209" s="45"/>
      <c r="U209" s="45"/>
      <c r="V209" s="45"/>
      <c r="W209" s="45"/>
      <c r="X209" s="46"/>
      <c r="Y209" s="46"/>
      <c r="Z209" s="46"/>
      <c r="AA209" s="46"/>
      <c r="AB209" s="46"/>
      <c r="AC209" s="46"/>
      <c r="AD209" s="46"/>
      <c r="AE209" s="46"/>
      <c r="AF209" s="46"/>
      <c r="AG209" s="46"/>
    </row>
    <row r="210" spans="1:33" ht="13.5" customHeight="1">
      <c r="A210" s="46"/>
      <c r="B210" s="46"/>
      <c r="C210" s="41"/>
      <c r="D210" s="42"/>
      <c r="E210" s="42"/>
      <c r="F210" s="42"/>
      <c r="G210" s="43"/>
      <c r="H210" s="43"/>
      <c r="I210" s="43"/>
      <c r="J210" s="43"/>
      <c r="K210" s="43"/>
      <c r="L210" s="43"/>
      <c r="M210" s="43"/>
      <c r="N210" s="43"/>
      <c r="O210" s="43"/>
      <c r="P210" s="41"/>
      <c r="Q210" s="41"/>
      <c r="R210" s="41"/>
      <c r="S210" s="44"/>
      <c r="T210" s="45"/>
      <c r="U210" s="45"/>
      <c r="V210" s="45"/>
      <c r="W210" s="45"/>
      <c r="X210" s="46"/>
      <c r="Y210" s="46"/>
      <c r="Z210" s="46"/>
      <c r="AA210" s="46"/>
      <c r="AB210" s="46"/>
      <c r="AC210" s="46"/>
      <c r="AD210" s="46"/>
      <c r="AE210" s="46"/>
      <c r="AF210" s="46"/>
      <c r="AG210" s="46"/>
    </row>
    <row r="211" spans="1:33" ht="13.5" customHeight="1">
      <c r="A211" s="46"/>
      <c r="B211" s="46"/>
      <c r="C211" s="41"/>
      <c r="D211" s="42"/>
      <c r="E211" s="42"/>
      <c r="F211" s="42"/>
      <c r="G211" s="43"/>
      <c r="H211" s="43"/>
      <c r="I211" s="43"/>
      <c r="J211" s="43"/>
      <c r="K211" s="43"/>
      <c r="L211" s="43"/>
      <c r="M211" s="43"/>
      <c r="N211" s="43"/>
      <c r="O211" s="43"/>
      <c r="P211" s="41"/>
      <c r="Q211" s="41"/>
      <c r="R211" s="41"/>
      <c r="S211" s="44"/>
      <c r="T211" s="45"/>
      <c r="U211" s="45"/>
      <c r="V211" s="45"/>
      <c r="W211" s="45"/>
      <c r="X211" s="46"/>
      <c r="Y211" s="46"/>
      <c r="Z211" s="46"/>
      <c r="AA211" s="46"/>
      <c r="AB211" s="46"/>
      <c r="AC211" s="46"/>
      <c r="AD211" s="46"/>
      <c r="AE211" s="46"/>
      <c r="AF211" s="46"/>
      <c r="AG211" s="46"/>
    </row>
    <row r="212" spans="1:33" ht="13.5" customHeight="1">
      <c r="A212" s="46"/>
      <c r="B212" s="46"/>
      <c r="C212" s="41"/>
      <c r="D212" s="42"/>
      <c r="E212" s="42"/>
      <c r="F212" s="42"/>
      <c r="G212" s="43"/>
      <c r="H212" s="43"/>
      <c r="I212" s="43"/>
      <c r="J212" s="43"/>
      <c r="K212" s="43"/>
      <c r="L212" s="43"/>
      <c r="M212" s="43"/>
      <c r="N212" s="43"/>
      <c r="O212" s="43"/>
      <c r="P212" s="41"/>
      <c r="Q212" s="41"/>
      <c r="R212" s="41"/>
      <c r="S212" s="44"/>
      <c r="T212" s="45"/>
      <c r="U212" s="45"/>
      <c r="V212" s="45"/>
      <c r="W212" s="45"/>
      <c r="X212" s="46"/>
      <c r="Y212" s="46"/>
      <c r="Z212" s="46"/>
      <c r="AA212" s="46"/>
      <c r="AB212" s="46"/>
      <c r="AC212" s="46"/>
      <c r="AD212" s="46"/>
      <c r="AE212" s="46"/>
      <c r="AF212" s="46"/>
      <c r="AG212" s="46"/>
    </row>
    <row r="213" spans="1:33" ht="13.5" customHeight="1">
      <c r="A213" s="46"/>
      <c r="B213" s="46"/>
      <c r="C213" s="41"/>
      <c r="D213" s="42"/>
      <c r="E213" s="42"/>
      <c r="F213" s="42"/>
      <c r="G213" s="43"/>
      <c r="H213" s="43"/>
      <c r="I213" s="43"/>
      <c r="J213" s="43"/>
      <c r="K213" s="43"/>
      <c r="L213" s="43"/>
      <c r="M213" s="43"/>
      <c r="N213" s="43"/>
      <c r="O213" s="43"/>
      <c r="P213" s="41"/>
      <c r="Q213" s="41"/>
      <c r="R213" s="41"/>
      <c r="S213" s="44"/>
      <c r="T213" s="45"/>
      <c r="U213" s="45"/>
      <c r="V213" s="45"/>
      <c r="W213" s="45"/>
      <c r="X213" s="46"/>
      <c r="Y213" s="46"/>
      <c r="Z213" s="46"/>
      <c r="AA213" s="46"/>
      <c r="AB213" s="46"/>
      <c r="AC213" s="46"/>
      <c r="AD213" s="46"/>
      <c r="AE213" s="46"/>
      <c r="AF213" s="46"/>
      <c r="AG213" s="46"/>
    </row>
    <row r="214" spans="1:33" ht="13.5" customHeight="1">
      <c r="A214" s="46"/>
      <c r="B214" s="46"/>
      <c r="C214" s="41"/>
      <c r="D214" s="42"/>
      <c r="E214" s="42"/>
      <c r="F214" s="42"/>
      <c r="G214" s="43"/>
      <c r="H214" s="43"/>
      <c r="I214" s="43"/>
      <c r="J214" s="43"/>
      <c r="K214" s="43"/>
      <c r="L214" s="43"/>
      <c r="M214" s="43"/>
      <c r="N214" s="43"/>
      <c r="O214" s="43"/>
      <c r="P214" s="41"/>
      <c r="Q214" s="41"/>
      <c r="R214" s="41"/>
      <c r="S214" s="44"/>
      <c r="T214" s="45"/>
      <c r="U214" s="45"/>
      <c r="V214" s="45"/>
      <c r="W214" s="45"/>
      <c r="X214" s="46"/>
      <c r="Y214" s="46"/>
      <c r="Z214" s="46"/>
      <c r="AA214" s="46"/>
      <c r="AB214" s="46"/>
      <c r="AC214" s="46"/>
      <c r="AD214" s="46"/>
      <c r="AE214" s="46"/>
      <c r="AF214" s="46"/>
      <c r="AG214" s="46"/>
    </row>
    <row r="215" spans="1:33" ht="13.5" customHeight="1">
      <c r="A215" s="46"/>
      <c r="B215" s="46"/>
      <c r="C215" s="41"/>
      <c r="D215" s="42"/>
      <c r="E215" s="42"/>
      <c r="F215" s="42"/>
      <c r="G215" s="43"/>
      <c r="H215" s="43"/>
      <c r="I215" s="43"/>
      <c r="J215" s="43"/>
      <c r="K215" s="43"/>
      <c r="L215" s="43"/>
      <c r="M215" s="43"/>
      <c r="N215" s="43"/>
      <c r="O215" s="43"/>
      <c r="P215" s="41"/>
      <c r="Q215" s="41"/>
      <c r="R215" s="41"/>
      <c r="S215" s="44"/>
      <c r="T215" s="45"/>
      <c r="U215" s="45"/>
      <c r="V215" s="45"/>
      <c r="W215" s="45"/>
      <c r="X215" s="46"/>
      <c r="Y215" s="46"/>
      <c r="Z215" s="46"/>
      <c r="AA215" s="46"/>
      <c r="AB215" s="46"/>
      <c r="AC215" s="46"/>
      <c r="AD215" s="46"/>
      <c r="AE215" s="46"/>
      <c r="AF215" s="46"/>
      <c r="AG215" s="46"/>
    </row>
    <row r="216" spans="1:33" ht="13.5" customHeight="1">
      <c r="A216" s="46"/>
      <c r="B216" s="46"/>
      <c r="C216" s="41"/>
      <c r="D216" s="42"/>
      <c r="E216" s="42"/>
      <c r="F216" s="42"/>
      <c r="G216" s="43"/>
      <c r="H216" s="43"/>
      <c r="I216" s="43"/>
      <c r="J216" s="43"/>
      <c r="K216" s="43"/>
      <c r="L216" s="43"/>
      <c r="M216" s="43"/>
      <c r="N216" s="43"/>
      <c r="O216" s="43"/>
      <c r="P216" s="41"/>
      <c r="Q216" s="41"/>
      <c r="R216" s="41"/>
      <c r="S216" s="44"/>
      <c r="T216" s="45"/>
      <c r="U216" s="45"/>
      <c r="V216" s="45"/>
      <c r="W216" s="45"/>
      <c r="X216" s="46"/>
      <c r="Y216" s="46"/>
      <c r="Z216" s="46"/>
      <c r="AA216" s="46"/>
      <c r="AB216" s="46"/>
      <c r="AC216" s="46"/>
      <c r="AD216" s="46"/>
      <c r="AE216" s="46"/>
      <c r="AF216" s="46"/>
      <c r="AG216" s="46"/>
    </row>
    <row r="217" spans="1:33" ht="13.5" customHeight="1">
      <c r="A217" s="46"/>
      <c r="B217" s="46"/>
      <c r="C217" s="41"/>
      <c r="D217" s="42"/>
      <c r="E217" s="42"/>
      <c r="F217" s="42"/>
      <c r="G217" s="43"/>
      <c r="H217" s="43"/>
      <c r="I217" s="43"/>
      <c r="J217" s="43"/>
      <c r="K217" s="43"/>
      <c r="L217" s="43"/>
      <c r="M217" s="43"/>
      <c r="N217" s="43"/>
      <c r="O217" s="43"/>
      <c r="P217" s="41"/>
      <c r="Q217" s="41"/>
      <c r="R217" s="41"/>
      <c r="S217" s="44"/>
      <c r="T217" s="45"/>
      <c r="U217" s="45"/>
      <c r="V217" s="45"/>
      <c r="W217" s="45"/>
      <c r="X217" s="46"/>
      <c r="Y217" s="46"/>
      <c r="Z217" s="46"/>
      <c r="AA217" s="46"/>
      <c r="AB217" s="46"/>
      <c r="AC217" s="46"/>
      <c r="AD217" s="46"/>
      <c r="AE217" s="46"/>
      <c r="AF217" s="46"/>
      <c r="AG217" s="46"/>
    </row>
    <row r="218" spans="1:33" ht="13.5" customHeight="1">
      <c r="A218" s="46"/>
      <c r="B218" s="46"/>
      <c r="C218" s="41"/>
      <c r="D218" s="42"/>
      <c r="E218" s="42"/>
      <c r="F218" s="42"/>
      <c r="G218" s="43"/>
      <c r="H218" s="43"/>
      <c r="I218" s="43"/>
      <c r="J218" s="43"/>
      <c r="K218" s="43"/>
      <c r="L218" s="43"/>
      <c r="M218" s="43"/>
      <c r="N218" s="43"/>
      <c r="O218" s="43"/>
      <c r="P218" s="41"/>
      <c r="Q218" s="41"/>
      <c r="R218" s="41"/>
      <c r="S218" s="44"/>
      <c r="T218" s="45"/>
      <c r="U218" s="45"/>
      <c r="V218" s="45"/>
      <c r="W218" s="45"/>
      <c r="X218" s="46"/>
      <c r="Y218" s="46"/>
      <c r="Z218" s="46"/>
      <c r="AA218" s="46"/>
      <c r="AB218" s="46"/>
      <c r="AC218" s="46"/>
      <c r="AD218" s="46"/>
      <c r="AE218" s="46"/>
      <c r="AF218" s="46"/>
      <c r="AG218" s="46"/>
    </row>
    <row r="219" spans="1:33" ht="13.5" customHeight="1">
      <c r="A219" s="46"/>
      <c r="B219" s="46"/>
      <c r="C219" s="41"/>
      <c r="D219" s="42"/>
      <c r="E219" s="42"/>
      <c r="F219" s="42"/>
      <c r="G219" s="43"/>
      <c r="H219" s="43"/>
      <c r="I219" s="43"/>
      <c r="J219" s="43"/>
      <c r="K219" s="43"/>
      <c r="L219" s="43"/>
      <c r="M219" s="43"/>
      <c r="N219" s="43"/>
      <c r="O219" s="43"/>
      <c r="P219" s="41"/>
      <c r="Q219" s="41"/>
      <c r="R219" s="41"/>
      <c r="S219" s="44"/>
      <c r="T219" s="45"/>
      <c r="U219" s="45"/>
      <c r="V219" s="45"/>
      <c r="W219" s="45"/>
      <c r="X219" s="46"/>
      <c r="Y219" s="46"/>
      <c r="Z219" s="46"/>
      <c r="AA219" s="46"/>
      <c r="AB219" s="46"/>
      <c r="AC219" s="46"/>
      <c r="AD219" s="46"/>
      <c r="AE219" s="46"/>
      <c r="AF219" s="46"/>
      <c r="AG219" s="46"/>
    </row>
    <row r="220" spans="1:33" ht="13.5" customHeight="1">
      <c r="A220" s="46"/>
      <c r="B220" s="46"/>
      <c r="C220" s="41"/>
      <c r="D220" s="42"/>
      <c r="E220" s="42"/>
      <c r="F220" s="42"/>
      <c r="G220" s="43"/>
      <c r="H220" s="43"/>
      <c r="I220" s="43"/>
      <c r="J220" s="43"/>
      <c r="K220" s="43"/>
      <c r="L220" s="43"/>
      <c r="M220" s="43"/>
      <c r="N220" s="43"/>
      <c r="O220" s="43"/>
      <c r="P220" s="41"/>
      <c r="Q220" s="41"/>
      <c r="R220" s="41"/>
      <c r="S220" s="44"/>
      <c r="T220" s="45"/>
      <c r="U220" s="45"/>
      <c r="V220" s="45"/>
      <c r="W220" s="45"/>
      <c r="X220" s="46"/>
      <c r="Y220" s="46"/>
      <c r="Z220" s="46"/>
      <c r="AA220" s="46"/>
      <c r="AB220" s="46"/>
      <c r="AC220" s="46"/>
      <c r="AD220" s="46"/>
      <c r="AE220" s="46"/>
      <c r="AF220" s="46"/>
      <c r="AG220" s="46"/>
    </row>
    <row r="221" spans="1:33" ht="13.5" customHeight="1">
      <c r="A221" s="46"/>
      <c r="B221" s="46"/>
      <c r="C221" s="41"/>
      <c r="D221" s="42"/>
      <c r="E221" s="42"/>
      <c r="F221" s="42"/>
      <c r="G221" s="43"/>
      <c r="H221" s="43"/>
      <c r="I221" s="43"/>
      <c r="J221" s="43"/>
      <c r="K221" s="43"/>
      <c r="L221" s="43"/>
      <c r="M221" s="43"/>
      <c r="N221" s="43"/>
      <c r="O221" s="43"/>
      <c r="P221" s="41"/>
      <c r="Q221" s="41"/>
      <c r="R221" s="41"/>
      <c r="S221" s="44"/>
      <c r="T221" s="45"/>
      <c r="U221" s="45"/>
      <c r="V221" s="45"/>
      <c r="W221" s="45"/>
      <c r="X221" s="46"/>
      <c r="Y221" s="46"/>
      <c r="Z221" s="46"/>
      <c r="AA221" s="46"/>
      <c r="AB221" s="46"/>
      <c r="AC221" s="46"/>
      <c r="AD221" s="46"/>
      <c r="AE221" s="46"/>
      <c r="AF221" s="46"/>
      <c r="AG221" s="46"/>
    </row>
    <row r="222" spans="1:33" ht="13.5" customHeight="1">
      <c r="A222" s="46"/>
      <c r="B222" s="46"/>
      <c r="C222" s="41"/>
      <c r="D222" s="42"/>
      <c r="E222" s="42"/>
      <c r="F222" s="42"/>
      <c r="G222" s="43"/>
      <c r="H222" s="43"/>
      <c r="I222" s="43"/>
      <c r="J222" s="43"/>
      <c r="K222" s="43"/>
      <c r="L222" s="43"/>
      <c r="M222" s="43"/>
      <c r="N222" s="43"/>
      <c r="O222" s="43"/>
      <c r="P222" s="41"/>
      <c r="Q222" s="41"/>
      <c r="R222" s="41"/>
      <c r="S222" s="44"/>
      <c r="T222" s="45"/>
      <c r="U222" s="45"/>
      <c r="V222" s="45"/>
      <c r="W222" s="45"/>
      <c r="X222" s="46"/>
      <c r="Y222" s="46"/>
      <c r="Z222" s="46"/>
      <c r="AA222" s="46"/>
      <c r="AB222" s="46"/>
      <c r="AC222" s="46"/>
      <c r="AD222" s="46"/>
      <c r="AE222" s="46"/>
      <c r="AF222" s="46"/>
      <c r="AG222" s="46"/>
    </row>
    <row r="223" spans="1:33" ht="13.5" customHeight="1">
      <c r="A223" s="46"/>
      <c r="B223" s="46"/>
      <c r="C223" s="41"/>
      <c r="D223" s="42"/>
      <c r="E223" s="42"/>
      <c r="F223" s="42"/>
      <c r="G223" s="43"/>
      <c r="H223" s="43"/>
      <c r="I223" s="43"/>
      <c r="J223" s="43"/>
      <c r="K223" s="43"/>
      <c r="L223" s="43"/>
      <c r="M223" s="43"/>
      <c r="N223" s="43"/>
      <c r="O223" s="43"/>
      <c r="P223" s="41"/>
      <c r="Q223" s="41"/>
      <c r="R223" s="41"/>
      <c r="S223" s="44"/>
      <c r="T223" s="45"/>
      <c r="U223" s="45"/>
      <c r="V223" s="45"/>
      <c r="W223" s="45"/>
      <c r="X223" s="46"/>
      <c r="Y223" s="46"/>
      <c r="Z223" s="46"/>
      <c r="AA223" s="46"/>
      <c r="AB223" s="46"/>
      <c r="AC223" s="46"/>
      <c r="AD223" s="46"/>
      <c r="AE223" s="46"/>
      <c r="AF223" s="46"/>
      <c r="AG223" s="46"/>
    </row>
    <row r="224" spans="1:33" ht="13.5" customHeight="1">
      <c r="A224" s="46"/>
      <c r="B224" s="46"/>
      <c r="C224" s="41"/>
      <c r="D224" s="42"/>
      <c r="E224" s="42"/>
      <c r="F224" s="42"/>
      <c r="G224" s="43"/>
      <c r="H224" s="43"/>
      <c r="I224" s="43"/>
      <c r="J224" s="43"/>
      <c r="K224" s="43"/>
      <c r="L224" s="43"/>
      <c r="M224" s="43"/>
      <c r="N224" s="43"/>
      <c r="O224" s="43"/>
      <c r="P224" s="41"/>
      <c r="Q224" s="41"/>
      <c r="R224" s="41"/>
      <c r="S224" s="44"/>
      <c r="T224" s="45"/>
      <c r="U224" s="45"/>
      <c r="V224" s="45"/>
      <c r="W224" s="45"/>
      <c r="X224" s="46"/>
      <c r="Y224" s="46"/>
      <c r="Z224" s="46"/>
      <c r="AA224" s="46"/>
      <c r="AB224" s="46"/>
      <c r="AC224" s="46"/>
      <c r="AD224" s="46"/>
      <c r="AE224" s="46"/>
      <c r="AF224" s="46"/>
      <c r="AG224" s="46"/>
    </row>
    <row r="225" spans="1:33" ht="13.5" customHeight="1">
      <c r="A225" s="46"/>
      <c r="B225" s="46"/>
      <c r="C225" s="41"/>
      <c r="D225" s="42"/>
      <c r="E225" s="42"/>
      <c r="F225" s="42"/>
      <c r="G225" s="43"/>
      <c r="H225" s="43"/>
      <c r="I225" s="43"/>
      <c r="J225" s="43"/>
      <c r="K225" s="43"/>
      <c r="L225" s="43"/>
      <c r="M225" s="43"/>
      <c r="N225" s="43"/>
      <c r="O225" s="43"/>
      <c r="P225" s="41"/>
      <c r="Q225" s="41"/>
      <c r="R225" s="41"/>
      <c r="S225" s="44"/>
      <c r="T225" s="45"/>
      <c r="U225" s="45"/>
      <c r="V225" s="45"/>
      <c r="W225" s="45"/>
      <c r="X225" s="46"/>
      <c r="Y225" s="46"/>
      <c r="Z225" s="46"/>
      <c r="AA225" s="46"/>
      <c r="AB225" s="46"/>
      <c r="AC225" s="46"/>
      <c r="AD225" s="46"/>
      <c r="AE225" s="46"/>
      <c r="AF225" s="46"/>
      <c r="AG225" s="46"/>
    </row>
    <row r="226" spans="1:33" ht="13.5" customHeight="1">
      <c r="A226" s="46"/>
      <c r="B226" s="46"/>
      <c r="C226" s="41"/>
      <c r="D226" s="42"/>
      <c r="E226" s="42"/>
      <c r="F226" s="42"/>
      <c r="G226" s="43"/>
      <c r="H226" s="43"/>
      <c r="I226" s="43"/>
      <c r="J226" s="43"/>
      <c r="K226" s="43"/>
      <c r="L226" s="43"/>
      <c r="M226" s="43"/>
      <c r="N226" s="43"/>
      <c r="O226" s="43"/>
      <c r="P226" s="41"/>
      <c r="Q226" s="41"/>
      <c r="R226" s="41"/>
      <c r="S226" s="44"/>
      <c r="T226" s="45"/>
      <c r="U226" s="45"/>
      <c r="V226" s="45"/>
      <c r="W226" s="45"/>
      <c r="X226" s="46"/>
      <c r="Y226" s="46"/>
      <c r="Z226" s="46"/>
      <c r="AA226" s="46"/>
      <c r="AB226" s="46"/>
      <c r="AC226" s="46"/>
      <c r="AD226" s="46"/>
      <c r="AE226" s="46"/>
      <c r="AF226" s="46"/>
      <c r="AG226" s="46"/>
    </row>
    <row r="227" spans="1:33" ht="13.5" customHeight="1">
      <c r="A227" s="46"/>
      <c r="B227" s="46"/>
      <c r="C227" s="41"/>
      <c r="D227" s="42"/>
      <c r="E227" s="42"/>
      <c r="F227" s="42"/>
      <c r="G227" s="43"/>
      <c r="H227" s="43"/>
      <c r="I227" s="43"/>
      <c r="J227" s="43"/>
      <c r="K227" s="43"/>
      <c r="L227" s="43"/>
      <c r="M227" s="43"/>
      <c r="N227" s="43"/>
      <c r="O227" s="43"/>
      <c r="P227" s="41"/>
      <c r="Q227" s="41"/>
      <c r="R227" s="41"/>
      <c r="S227" s="44"/>
      <c r="T227" s="45"/>
      <c r="U227" s="45"/>
      <c r="V227" s="45"/>
      <c r="W227" s="45"/>
      <c r="X227" s="46"/>
      <c r="Y227" s="46"/>
      <c r="Z227" s="46"/>
      <c r="AA227" s="46"/>
      <c r="AB227" s="46"/>
      <c r="AC227" s="46"/>
      <c r="AD227" s="46"/>
      <c r="AE227" s="46"/>
      <c r="AF227" s="46"/>
      <c r="AG227" s="46"/>
    </row>
    <row r="228" spans="1:33" ht="13.5" customHeight="1">
      <c r="A228" s="46"/>
      <c r="B228" s="46"/>
      <c r="C228" s="41"/>
      <c r="D228" s="42"/>
      <c r="E228" s="42"/>
      <c r="F228" s="42"/>
      <c r="G228" s="43"/>
      <c r="H228" s="43"/>
      <c r="I228" s="43"/>
      <c r="J228" s="43"/>
      <c r="K228" s="43"/>
      <c r="L228" s="43"/>
      <c r="M228" s="43"/>
      <c r="N228" s="43"/>
      <c r="O228" s="43"/>
      <c r="P228" s="41"/>
      <c r="Q228" s="41"/>
      <c r="R228" s="41"/>
      <c r="S228" s="44"/>
      <c r="T228" s="45"/>
      <c r="U228" s="45"/>
      <c r="V228" s="45"/>
      <c r="W228" s="45"/>
      <c r="X228" s="46"/>
      <c r="Y228" s="46"/>
      <c r="Z228" s="46"/>
      <c r="AA228" s="46"/>
      <c r="AB228" s="46"/>
      <c r="AC228" s="46"/>
      <c r="AD228" s="46"/>
      <c r="AE228" s="46"/>
      <c r="AF228" s="46"/>
      <c r="AG228" s="46"/>
    </row>
    <row r="229" spans="1:33" ht="13.5" customHeight="1">
      <c r="A229" s="46"/>
      <c r="B229" s="46"/>
      <c r="C229" s="41"/>
      <c r="D229" s="42"/>
      <c r="E229" s="42"/>
      <c r="F229" s="42"/>
      <c r="G229" s="43"/>
      <c r="H229" s="43"/>
      <c r="I229" s="43"/>
      <c r="J229" s="43"/>
      <c r="K229" s="43"/>
      <c r="L229" s="43"/>
      <c r="M229" s="43"/>
      <c r="N229" s="43"/>
      <c r="O229" s="43"/>
      <c r="P229" s="41"/>
      <c r="Q229" s="41"/>
      <c r="R229" s="41"/>
      <c r="S229" s="44"/>
      <c r="T229" s="45"/>
      <c r="U229" s="45"/>
      <c r="V229" s="45"/>
      <c r="W229" s="45"/>
      <c r="X229" s="46"/>
      <c r="Y229" s="46"/>
      <c r="Z229" s="46"/>
      <c r="AA229" s="46"/>
      <c r="AB229" s="46"/>
      <c r="AC229" s="46"/>
      <c r="AD229" s="46"/>
      <c r="AE229" s="46"/>
      <c r="AF229" s="46"/>
      <c r="AG229" s="46"/>
    </row>
    <row r="230" spans="1:33" ht="13.5" customHeight="1">
      <c r="A230" s="46"/>
      <c r="B230" s="46"/>
      <c r="C230" s="41"/>
      <c r="D230" s="42"/>
      <c r="E230" s="42"/>
      <c r="F230" s="42"/>
      <c r="G230" s="43"/>
      <c r="H230" s="43"/>
      <c r="I230" s="43"/>
      <c r="J230" s="43"/>
      <c r="K230" s="43"/>
      <c r="L230" s="43"/>
      <c r="M230" s="43"/>
      <c r="N230" s="43"/>
      <c r="O230" s="43"/>
      <c r="P230" s="41"/>
      <c r="Q230" s="41"/>
      <c r="R230" s="41"/>
      <c r="S230" s="44"/>
      <c r="T230" s="45"/>
      <c r="U230" s="45"/>
      <c r="V230" s="45"/>
      <c r="W230" s="45"/>
      <c r="X230" s="46"/>
      <c r="Y230" s="46"/>
      <c r="Z230" s="46"/>
      <c r="AA230" s="46"/>
      <c r="AB230" s="46"/>
      <c r="AC230" s="46"/>
      <c r="AD230" s="46"/>
      <c r="AE230" s="46"/>
      <c r="AF230" s="46"/>
      <c r="AG230" s="46"/>
    </row>
    <row r="231" spans="1:33" ht="13.5" customHeight="1">
      <c r="A231" s="46"/>
      <c r="B231" s="46"/>
      <c r="C231" s="41"/>
      <c r="D231" s="42"/>
      <c r="E231" s="42"/>
      <c r="F231" s="42"/>
      <c r="G231" s="43"/>
      <c r="H231" s="43"/>
      <c r="I231" s="43"/>
      <c r="J231" s="43"/>
      <c r="K231" s="43"/>
      <c r="L231" s="43"/>
      <c r="M231" s="43"/>
      <c r="N231" s="43"/>
      <c r="O231" s="43"/>
      <c r="P231" s="41"/>
      <c r="Q231" s="41"/>
      <c r="R231" s="41"/>
      <c r="S231" s="44"/>
      <c r="T231" s="45"/>
      <c r="U231" s="45"/>
      <c r="V231" s="45"/>
      <c r="W231" s="45"/>
      <c r="X231" s="46"/>
      <c r="Y231" s="46"/>
      <c r="Z231" s="46"/>
      <c r="AA231" s="46"/>
      <c r="AB231" s="46"/>
      <c r="AC231" s="46"/>
      <c r="AD231" s="46"/>
      <c r="AE231" s="46"/>
      <c r="AF231" s="46"/>
      <c r="AG231" s="46"/>
    </row>
    <row r="232" spans="1:33" ht="13.5" customHeight="1">
      <c r="A232" s="46"/>
      <c r="B232" s="46"/>
      <c r="C232" s="41"/>
      <c r="D232" s="42"/>
      <c r="E232" s="42"/>
      <c r="F232" s="42"/>
      <c r="G232" s="43"/>
      <c r="H232" s="43"/>
      <c r="I232" s="43"/>
      <c r="J232" s="43"/>
      <c r="K232" s="43"/>
      <c r="L232" s="43"/>
      <c r="M232" s="43"/>
      <c r="N232" s="43"/>
      <c r="O232" s="43"/>
      <c r="P232" s="41"/>
      <c r="Q232" s="41"/>
      <c r="R232" s="41"/>
      <c r="S232" s="44"/>
      <c r="T232" s="45"/>
      <c r="U232" s="45"/>
      <c r="V232" s="45"/>
      <c r="W232" s="45"/>
      <c r="X232" s="46"/>
      <c r="Y232" s="46"/>
      <c r="Z232" s="46"/>
      <c r="AA232" s="46"/>
      <c r="AB232" s="46"/>
      <c r="AC232" s="46"/>
      <c r="AD232" s="46"/>
      <c r="AE232" s="46"/>
      <c r="AF232" s="46"/>
      <c r="AG232" s="46"/>
    </row>
    <row r="233" spans="1:33" ht="13.5" customHeight="1">
      <c r="A233" s="46"/>
      <c r="B233" s="46"/>
      <c r="C233" s="41"/>
      <c r="D233" s="42"/>
      <c r="E233" s="42"/>
      <c r="F233" s="42"/>
      <c r="G233" s="43"/>
      <c r="H233" s="43"/>
      <c r="I233" s="43"/>
      <c r="J233" s="43"/>
      <c r="K233" s="43"/>
      <c r="L233" s="43"/>
      <c r="M233" s="43"/>
      <c r="N233" s="43"/>
      <c r="O233" s="43"/>
      <c r="P233" s="41"/>
      <c r="Q233" s="41"/>
      <c r="R233" s="41"/>
      <c r="S233" s="44"/>
      <c r="T233" s="45"/>
      <c r="U233" s="45"/>
      <c r="V233" s="45"/>
      <c r="W233" s="45"/>
      <c r="X233" s="46"/>
      <c r="Y233" s="46"/>
      <c r="Z233" s="46"/>
      <c r="AA233" s="46"/>
      <c r="AB233" s="46"/>
      <c r="AC233" s="46"/>
      <c r="AD233" s="46"/>
      <c r="AE233" s="46"/>
      <c r="AF233" s="46"/>
      <c r="AG233" s="46"/>
    </row>
    <row r="234" spans="1:33" ht="13.5" customHeight="1">
      <c r="A234" s="46"/>
      <c r="B234" s="46"/>
      <c r="C234" s="41"/>
      <c r="D234" s="42"/>
      <c r="E234" s="42"/>
      <c r="F234" s="42"/>
      <c r="G234" s="43"/>
      <c r="H234" s="43"/>
      <c r="I234" s="43"/>
      <c r="J234" s="43"/>
      <c r="K234" s="43"/>
      <c r="L234" s="43"/>
      <c r="M234" s="43"/>
      <c r="N234" s="43"/>
      <c r="O234" s="43"/>
      <c r="P234" s="41"/>
      <c r="Q234" s="41"/>
      <c r="R234" s="41"/>
      <c r="S234" s="44"/>
      <c r="T234" s="45"/>
      <c r="U234" s="45"/>
      <c r="V234" s="45"/>
      <c r="W234" s="45"/>
      <c r="X234" s="46"/>
      <c r="Y234" s="46"/>
      <c r="Z234" s="46"/>
      <c r="AA234" s="46"/>
      <c r="AB234" s="46"/>
      <c r="AC234" s="46"/>
      <c r="AD234" s="46"/>
      <c r="AE234" s="46"/>
      <c r="AF234" s="46"/>
      <c r="AG234" s="46"/>
    </row>
    <row r="235" spans="1:33" ht="13.5" customHeight="1">
      <c r="A235" s="46"/>
      <c r="B235" s="46"/>
      <c r="C235" s="41"/>
      <c r="D235" s="42"/>
      <c r="E235" s="42"/>
      <c r="F235" s="42"/>
      <c r="G235" s="43"/>
      <c r="H235" s="43"/>
      <c r="I235" s="43"/>
      <c r="J235" s="43"/>
      <c r="K235" s="43"/>
      <c r="L235" s="43"/>
      <c r="M235" s="43"/>
      <c r="N235" s="43"/>
      <c r="O235" s="43"/>
      <c r="P235" s="41"/>
      <c r="Q235" s="41"/>
      <c r="R235" s="41"/>
      <c r="S235" s="44"/>
      <c r="T235" s="45"/>
      <c r="U235" s="45"/>
      <c r="V235" s="45"/>
      <c r="W235" s="45"/>
      <c r="X235" s="46"/>
      <c r="Y235" s="46"/>
      <c r="Z235" s="46"/>
      <c r="AA235" s="46"/>
      <c r="AB235" s="46"/>
      <c r="AC235" s="46"/>
      <c r="AD235" s="46"/>
      <c r="AE235" s="46"/>
      <c r="AF235" s="46"/>
      <c r="AG235" s="46"/>
    </row>
    <row r="236" spans="1:33" ht="13.5" customHeight="1">
      <c r="A236" s="46"/>
      <c r="B236" s="46"/>
      <c r="C236" s="41"/>
      <c r="D236" s="42"/>
      <c r="E236" s="42"/>
      <c r="F236" s="42"/>
      <c r="G236" s="43"/>
      <c r="H236" s="43"/>
      <c r="I236" s="43"/>
      <c r="J236" s="43"/>
      <c r="K236" s="43"/>
      <c r="L236" s="43"/>
      <c r="M236" s="43"/>
      <c r="N236" s="43"/>
      <c r="O236" s="43"/>
      <c r="P236" s="41"/>
      <c r="Q236" s="41"/>
      <c r="R236" s="41"/>
      <c r="S236" s="44"/>
      <c r="T236" s="45"/>
      <c r="U236" s="45"/>
      <c r="V236" s="45"/>
      <c r="W236" s="45"/>
      <c r="X236" s="46"/>
      <c r="Y236" s="46"/>
      <c r="Z236" s="46"/>
      <c r="AA236" s="46"/>
      <c r="AB236" s="46"/>
      <c r="AC236" s="46"/>
      <c r="AD236" s="46"/>
      <c r="AE236" s="46"/>
      <c r="AF236" s="46"/>
      <c r="AG236" s="46"/>
    </row>
    <row r="237" spans="1:33" ht="13.5" customHeight="1">
      <c r="A237" s="46"/>
      <c r="B237" s="46"/>
      <c r="C237" s="41"/>
      <c r="D237" s="42"/>
      <c r="E237" s="42"/>
      <c r="F237" s="42"/>
      <c r="G237" s="43"/>
      <c r="H237" s="43"/>
      <c r="I237" s="43"/>
      <c r="J237" s="43"/>
      <c r="K237" s="43"/>
      <c r="L237" s="43"/>
      <c r="M237" s="43"/>
      <c r="N237" s="43"/>
      <c r="O237" s="43"/>
      <c r="P237" s="41"/>
      <c r="Q237" s="41"/>
      <c r="R237" s="41"/>
      <c r="S237" s="44"/>
      <c r="T237" s="45"/>
      <c r="U237" s="45"/>
      <c r="V237" s="45"/>
      <c r="W237" s="45"/>
      <c r="X237" s="46"/>
      <c r="Y237" s="46"/>
      <c r="Z237" s="46"/>
      <c r="AA237" s="46"/>
      <c r="AB237" s="46"/>
      <c r="AC237" s="46"/>
      <c r="AD237" s="46"/>
      <c r="AE237" s="46"/>
      <c r="AF237" s="46"/>
      <c r="AG237" s="46"/>
    </row>
    <row r="238" spans="1:33" ht="13.5" customHeight="1">
      <c r="A238" s="46"/>
      <c r="B238" s="46"/>
      <c r="C238" s="41"/>
      <c r="D238" s="42"/>
      <c r="E238" s="42"/>
      <c r="F238" s="42"/>
      <c r="G238" s="43"/>
      <c r="H238" s="43"/>
      <c r="I238" s="43"/>
      <c r="J238" s="43"/>
      <c r="K238" s="43"/>
      <c r="L238" s="43"/>
      <c r="M238" s="43"/>
      <c r="N238" s="43"/>
      <c r="O238" s="43"/>
      <c r="P238" s="41"/>
      <c r="Q238" s="41"/>
      <c r="R238" s="41"/>
      <c r="S238" s="44"/>
      <c r="T238" s="45"/>
      <c r="U238" s="45"/>
      <c r="V238" s="45"/>
      <c r="W238" s="45"/>
      <c r="X238" s="46"/>
      <c r="Y238" s="46"/>
      <c r="Z238" s="46"/>
      <c r="AA238" s="46"/>
      <c r="AB238" s="46"/>
      <c r="AC238" s="46"/>
      <c r="AD238" s="46"/>
      <c r="AE238" s="46"/>
      <c r="AF238" s="46"/>
      <c r="AG238" s="46"/>
    </row>
    <row r="239" spans="1:33" ht="13.5" customHeight="1">
      <c r="A239" s="46"/>
      <c r="B239" s="46"/>
      <c r="C239" s="41"/>
      <c r="D239" s="42"/>
      <c r="E239" s="42"/>
      <c r="F239" s="42"/>
      <c r="G239" s="43"/>
      <c r="H239" s="43"/>
      <c r="I239" s="43"/>
      <c r="J239" s="43"/>
      <c r="K239" s="43"/>
      <c r="L239" s="43"/>
      <c r="M239" s="43"/>
      <c r="N239" s="43"/>
      <c r="O239" s="43"/>
      <c r="P239" s="41"/>
      <c r="Q239" s="41"/>
      <c r="R239" s="41"/>
      <c r="S239" s="44"/>
      <c r="T239" s="45"/>
      <c r="U239" s="45"/>
      <c r="V239" s="45"/>
      <c r="W239" s="45"/>
      <c r="X239" s="46"/>
      <c r="Y239" s="46"/>
      <c r="Z239" s="46"/>
      <c r="AA239" s="46"/>
      <c r="AB239" s="46"/>
      <c r="AC239" s="46"/>
      <c r="AD239" s="46"/>
      <c r="AE239" s="46"/>
      <c r="AF239" s="46"/>
      <c r="AG239" s="46"/>
    </row>
    <row r="240" spans="1:33" ht="13.5" customHeight="1">
      <c r="A240" s="46"/>
      <c r="B240" s="46"/>
      <c r="C240" s="41"/>
      <c r="D240" s="42"/>
      <c r="E240" s="42"/>
      <c r="F240" s="42"/>
      <c r="G240" s="43"/>
      <c r="H240" s="43"/>
      <c r="I240" s="43"/>
      <c r="J240" s="43"/>
      <c r="K240" s="43"/>
      <c r="L240" s="43"/>
      <c r="M240" s="43"/>
      <c r="N240" s="43"/>
      <c r="O240" s="43"/>
      <c r="P240" s="41"/>
      <c r="Q240" s="41"/>
      <c r="R240" s="41"/>
      <c r="S240" s="44"/>
      <c r="T240" s="45"/>
      <c r="U240" s="45"/>
      <c r="V240" s="45"/>
      <c r="W240" s="45"/>
      <c r="X240" s="46"/>
      <c r="Y240" s="46"/>
      <c r="Z240" s="46"/>
      <c r="AA240" s="46"/>
      <c r="AB240" s="46"/>
      <c r="AC240" s="46"/>
      <c r="AD240" s="46"/>
      <c r="AE240" s="46"/>
      <c r="AF240" s="46"/>
      <c r="AG240" s="46"/>
    </row>
    <row r="241" spans="1:33" ht="13.5" customHeight="1">
      <c r="A241" s="46"/>
      <c r="B241" s="46"/>
      <c r="C241" s="41"/>
      <c r="D241" s="42"/>
      <c r="E241" s="42"/>
      <c r="F241" s="42"/>
      <c r="G241" s="43"/>
      <c r="H241" s="43"/>
      <c r="I241" s="43"/>
      <c r="J241" s="43"/>
      <c r="K241" s="43"/>
      <c r="L241" s="43"/>
      <c r="M241" s="43"/>
      <c r="N241" s="43"/>
      <c r="O241" s="43"/>
      <c r="P241" s="41"/>
      <c r="Q241" s="41"/>
      <c r="R241" s="41"/>
      <c r="S241" s="44"/>
      <c r="T241" s="45"/>
      <c r="U241" s="45"/>
      <c r="V241" s="45"/>
      <c r="W241" s="45"/>
      <c r="X241" s="46"/>
      <c r="Y241" s="46"/>
      <c r="Z241" s="46"/>
      <c r="AA241" s="46"/>
      <c r="AB241" s="46"/>
      <c r="AC241" s="46"/>
      <c r="AD241" s="46"/>
      <c r="AE241" s="46"/>
      <c r="AF241" s="46"/>
      <c r="AG241" s="46"/>
    </row>
    <row r="242" spans="1:33" ht="13.5" customHeight="1">
      <c r="A242" s="46"/>
      <c r="B242" s="46"/>
      <c r="C242" s="41"/>
      <c r="D242" s="42"/>
      <c r="E242" s="42"/>
      <c r="F242" s="42"/>
      <c r="G242" s="43"/>
      <c r="H242" s="43"/>
      <c r="I242" s="43"/>
      <c r="J242" s="43"/>
      <c r="K242" s="43"/>
      <c r="L242" s="43"/>
      <c r="M242" s="43"/>
      <c r="N242" s="43"/>
      <c r="O242" s="43"/>
      <c r="P242" s="41"/>
      <c r="Q242" s="41"/>
      <c r="R242" s="41"/>
      <c r="S242" s="44"/>
      <c r="T242" s="45"/>
      <c r="U242" s="45"/>
      <c r="V242" s="45"/>
      <c r="W242" s="45"/>
      <c r="X242" s="46"/>
      <c r="Y242" s="46"/>
      <c r="Z242" s="46"/>
      <c r="AA242" s="46"/>
      <c r="AB242" s="46"/>
      <c r="AC242" s="46"/>
      <c r="AD242" s="46"/>
      <c r="AE242" s="46"/>
      <c r="AF242" s="46"/>
      <c r="AG242" s="46"/>
    </row>
    <row r="243" spans="1:33" ht="13.5" customHeight="1">
      <c r="A243" s="46"/>
      <c r="B243" s="46"/>
      <c r="C243" s="41"/>
      <c r="D243" s="42"/>
      <c r="E243" s="42"/>
      <c r="F243" s="42"/>
      <c r="G243" s="43"/>
      <c r="H243" s="43"/>
      <c r="I243" s="43"/>
      <c r="J243" s="43"/>
      <c r="K243" s="43"/>
      <c r="L243" s="43"/>
      <c r="M243" s="43"/>
      <c r="N243" s="43"/>
      <c r="O243" s="43"/>
      <c r="P243" s="41"/>
      <c r="Q243" s="41"/>
      <c r="R243" s="41"/>
      <c r="S243" s="44"/>
      <c r="T243" s="45"/>
      <c r="U243" s="45"/>
      <c r="V243" s="45"/>
      <c r="W243" s="45"/>
      <c r="X243" s="46"/>
      <c r="Y243" s="46"/>
      <c r="Z243" s="46"/>
      <c r="AA243" s="46"/>
      <c r="AB243" s="46"/>
      <c r="AC243" s="46"/>
      <c r="AD243" s="46"/>
      <c r="AE243" s="46"/>
      <c r="AF243" s="46"/>
      <c r="AG243" s="46"/>
    </row>
    <row r="244" spans="1:33" ht="13.5" customHeight="1">
      <c r="A244" s="46"/>
      <c r="B244" s="46"/>
      <c r="C244" s="41"/>
      <c r="D244" s="42"/>
      <c r="E244" s="42"/>
      <c r="F244" s="42"/>
      <c r="G244" s="43"/>
      <c r="H244" s="43"/>
      <c r="I244" s="43"/>
      <c r="J244" s="43"/>
      <c r="K244" s="43"/>
      <c r="L244" s="43"/>
      <c r="M244" s="43"/>
      <c r="N244" s="43"/>
      <c r="O244" s="43"/>
      <c r="P244" s="41"/>
      <c r="Q244" s="41"/>
      <c r="R244" s="41"/>
      <c r="S244" s="44"/>
      <c r="T244" s="45"/>
      <c r="U244" s="45"/>
      <c r="V244" s="45"/>
      <c r="W244" s="45"/>
      <c r="X244" s="46"/>
      <c r="Y244" s="46"/>
      <c r="Z244" s="46"/>
      <c r="AA244" s="46"/>
      <c r="AB244" s="46"/>
      <c r="AC244" s="46"/>
      <c r="AD244" s="46"/>
      <c r="AE244" s="46"/>
      <c r="AF244" s="46"/>
      <c r="AG244" s="46"/>
    </row>
    <row r="245" spans="1:33" ht="13.5" customHeight="1">
      <c r="A245" s="46"/>
      <c r="B245" s="46"/>
      <c r="C245" s="41"/>
      <c r="D245" s="42"/>
      <c r="E245" s="42"/>
      <c r="F245" s="42"/>
      <c r="G245" s="43"/>
      <c r="H245" s="43"/>
      <c r="I245" s="43"/>
      <c r="J245" s="43"/>
      <c r="K245" s="43"/>
      <c r="L245" s="43"/>
      <c r="M245" s="43"/>
      <c r="N245" s="43"/>
      <c r="O245" s="43"/>
      <c r="P245" s="41"/>
      <c r="Q245" s="41"/>
      <c r="R245" s="41"/>
      <c r="S245" s="44"/>
      <c r="T245" s="45"/>
      <c r="U245" s="45"/>
      <c r="V245" s="45"/>
      <c r="W245" s="45"/>
      <c r="X245" s="46"/>
      <c r="Y245" s="46"/>
      <c r="Z245" s="46"/>
      <c r="AA245" s="46"/>
      <c r="AB245" s="46"/>
      <c r="AC245" s="46"/>
      <c r="AD245" s="46"/>
      <c r="AE245" s="46"/>
      <c r="AF245" s="46"/>
      <c r="AG245" s="46"/>
    </row>
    <row r="246" spans="1:33" ht="13.5" customHeight="1">
      <c r="A246" s="46"/>
      <c r="B246" s="46"/>
      <c r="C246" s="41"/>
      <c r="D246" s="42"/>
      <c r="E246" s="42"/>
      <c r="F246" s="42"/>
      <c r="G246" s="43"/>
      <c r="H246" s="43"/>
      <c r="I246" s="43"/>
      <c r="J246" s="43"/>
      <c r="K246" s="43"/>
      <c r="L246" s="43"/>
      <c r="M246" s="43"/>
      <c r="N246" s="43"/>
      <c r="O246" s="43"/>
      <c r="P246" s="41"/>
      <c r="Q246" s="41"/>
      <c r="R246" s="41"/>
      <c r="S246" s="44"/>
      <c r="T246" s="45"/>
      <c r="U246" s="45"/>
      <c r="V246" s="45"/>
      <c r="W246" s="45"/>
      <c r="X246" s="46"/>
      <c r="Y246" s="46"/>
      <c r="Z246" s="46"/>
      <c r="AA246" s="46"/>
      <c r="AB246" s="46"/>
      <c r="AC246" s="46"/>
      <c r="AD246" s="46"/>
      <c r="AE246" s="46"/>
      <c r="AF246" s="46"/>
      <c r="AG246" s="46"/>
    </row>
    <row r="247" spans="1:33" ht="13.5" customHeight="1">
      <c r="A247" s="46"/>
      <c r="B247" s="46"/>
      <c r="C247" s="41"/>
      <c r="D247" s="42"/>
      <c r="E247" s="42"/>
      <c r="F247" s="42"/>
      <c r="G247" s="43"/>
      <c r="H247" s="43"/>
      <c r="I247" s="43"/>
      <c r="J247" s="43"/>
      <c r="K247" s="43"/>
      <c r="L247" s="43"/>
      <c r="M247" s="43"/>
      <c r="N247" s="43"/>
      <c r="O247" s="43"/>
      <c r="P247" s="41"/>
      <c r="Q247" s="41"/>
      <c r="R247" s="41"/>
      <c r="S247" s="44"/>
      <c r="T247" s="45"/>
      <c r="U247" s="45"/>
      <c r="V247" s="45"/>
      <c r="W247" s="45"/>
      <c r="X247" s="46"/>
      <c r="Y247" s="46"/>
      <c r="Z247" s="46"/>
      <c r="AA247" s="46"/>
      <c r="AB247" s="46"/>
      <c r="AC247" s="46"/>
      <c r="AD247" s="46"/>
      <c r="AE247" s="46"/>
      <c r="AF247" s="46"/>
      <c r="AG247" s="46"/>
    </row>
    <row r="248" spans="1:33" ht="13.5" customHeight="1">
      <c r="A248" s="46"/>
      <c r="B248" s="46"/>
      <c r="C248" s="41"/>
      <c r="D248" s="42"/>
      <c r="E248" s="42"/>
      <c r="F248" s="42"/>
      <c r="G248" s="43"/>
      <c r="H248" s="43"/>
      <c r="I248" s="43"/>
      <c r="J248" s="43"/>
      <c r="K248" s="43"/>
      <c r="L248" s="43"/>
      <c r="M248" s="43"/>
      <c r="N248" s="43"/>
      <c r="O248" s="43"/>
      <c r="P248" s="41"/>
      <c r="Q248" s="41"/>
      <c r="R248" s="41"/>
      <c r="S248" s="44"/>
      <c r="T248" s="45"/>
      <c r="U248" s="45"/>
      <c r="V248" s="45"/>
      <c r="W248" s="45"/>
      <c r="X248" s="46"/>
      <c r="Y248" s="46"/>
      <c r="Z248" s="46"/>
      <c r="AA248" s="46"/>
      <c r="AB248" s="46"/>
      <c r="AC248" s="46"/>
      <c r="AD248" s="46"/>
      <c r="AE248" s="46"/>
      <c r="AF248" s="46"/>
      <c r="AG248" s="46"/>
    </row>
    <row r="249" spans="1:33" ht="13.5" customHeight="1">
      <c r="A249" s="46"/>
      <c r="B249" s="46"/>
      <c r="C249" s="41"/>
      <c r="D249" s="42"/>
      <c r="E249" s="42"/>
      <c r="F249" s="42"/>
      <c r="G249" s="43"/>
      <c r="H249" s="43"/>
      <c r="I249" s="43"/>
      <c r="J249" s="43"/>
      <c r="K249" s="43"/>
      <c r="L249" s="43"/>
      <c r="M249" s="43"/>
      <c r="N249" s="43"/>
      <c r="O249" s="43"/>
      <c r="P249" s="41"/>
      <c r="Q249" s="41"/>
      <c r="R249" s="41"/>
      <c r="S249" s="44"/>
      <c r="T249" s="45"/>
      <c r="U249" s="45"/>
      <c r="V249" s="45"/>
      <c r="W249" s="45"/>
      <c r="X249" s="46"/>
      <c r="Y249" s="46"/>
      <c r="Z249" s="46"/>
      <c r="AA249" s="46"/>
      <c r="AB249" s="46"/>
      <c r="AC249" s="46"/>
      <c r="AD249" s="46"/>
      <c r="AE249" s="46"/>
      <c r="AF249" s="46"/>
      <c r="AG249" s="46"/>
    </row>
    <row r="250" spans="1:33" ht="13.5" customHeight="1">
      <c r="A250" s="46"/>
      <c r="B250" s="46"/>
      <c r="C250" s="41"/>
      <c r="D250" s="42"/>
      <c r="E250" s="42"/>
      <c r="F250" s="42"/>
      <c r="G250" s="43"/>
      <c r="H250" s="43"/>
      <c r="I250" s="43"/>
      <c r="J250" s="43"/>
      <c r="K250" s="43"/>
      <c r="L250" s="43"/>
      <c r="M250" s="43"/>
      <c r="N250" s="43"/>
      <c r="O250" s="43"/>
      <c r="P250" s="41"/>
      <c r="Q250" s="41"/>
      <c r="R250" s="41"/>
      <c r="S250" s="44"/>
      <c r="T250" s="45"/>
      <c r="U250" s="45"/>
      <c r="V250" s="45"/>
      <c r="W250" s="45"/>
      <c r="X250" s="46"/>
      <c r="Y250" s="46"/>
      <c r="Z250" s="46"/>
      <c r="AA250" s="46"/>
      <c r="AB250" s="46"/>
      <c r="AC250" s="46"/>
      <c r="AD250" s="46"/>
      <c r="AE250" s="46"/>
      <c r="AF250" s="46"/>
      <c r="AG250" s="46"/>
    </row>
    <row r="251" spans="1:33" ht="13.5" customHeight="1">
      <c r="A251" s="46"/>
      <c r="B251" s="46"/>
      <c r="C251" s="41"/>
      <c r="D251" s="42"/>
      <c r="E251" s="42"/>
      <c r="F251" s="42"/>
      <c r="G251" s="43"/>
      <c r="H251" s="43"/>
      <c r="I251" s="43"/>
      <c r="J251" s="43"/>
      <c r="K251" s="43"/>
      <c r="L251" s="43"/>
      <c r="M251" s="43"/>
      <c r="N251" s="43"/>
      <c r="O251" s="43"/>
      <c r="P251" s="41"/>
      <c r="Q251" s="41"/>
      <c r="R251" s="41"/>
      <c r="S251" s="44"/>
      <c r="T251" s="45"/>
      <c r="U251" s="45"/>
      <c r="V251" s="45"/>
      <c r="W251" s="45"/>
      <c r="X251" s="46"/>
      <c r="Y251" s="46"/>
      <c r="Z251" s="46"/>
      <c r="AA251" s="46"/>
      <c r="AB251" s="46"/>
      <c r="AC251" s="46"/>
      <c r="AD251" s="46"/>
      <c r="AE251" s="46"/>
      <c r="AF251" s="46"/>
      <c r="AG251" s="46"/>
    </row>
    <row r="252" spans="1:33" ht="13.5" customHeight="1">
      <c r="A252" s="46"/>
      <c r="B252" s="46"/>
      <c r="C252" s="41"/>
      <c r="D252" s="42"/>
      <c r="E252" s="42"/>
      <c r="F252" s="42"/>
      <c r="G252" s="43"/>
      <c r="H252" s="43"/>
      <c r="I252" s="43"/>
      <c r="J252" s="43"/>
      <c r="K252" s="43"/>
      <c r="L252" s="43"/>
      <c r="M252" s="43"/>
      <c r="N252" s="43"/>
      <c r="O252" s="43"/>
      <c r="P252" s="41"/>
      <c r="Q252" s="41"/>
      <c r="R252" s="41"/>
      <c r="S252" s="44"/>
      <c r="T252" s="45"/>
      <c r="U252" s="45"/>
      <c r="V252" s="45"/>
      <c r="W252" s="45"/>
      <c r="X252" s="46"/>
      <c r="Y252" s="46"/>
      <c r="Z252" s="46"/>
      <c r="AA252" s="46"/>
      <c r="AB252" s="46"/>
      <c r="AC252" s="46"/>
      <c r="AD252" s="46"/>
      <c r="AE252" s="46"/>
      <c r="AF252" s="46"/>
      <c r="AG252" s="46"/>
    </row>
    <row r="253" spans="1:33" ht="13.5" customHeight="1">
      <c r="A253" s="46"/>
      <c r="B253" s="46"/>
      <c r="C253" s="41"/>
      <c r="D253" s="42"/>
      <c r="E253" s="42"/>
      <c r="F253" s="42"/>
      <c r="G253" s="43"/>
      <c r="H253" s="43"/>
      <c r="I253" s="43"/>
      <c r="J253" s="43"/>
      <c r="K253" s="43"/>
      <c r="L253" s="43"/>
      <c r="M253" s="43"/>
      <c r="N253" s="43"/>
      <c r="O253" s="43"/>
      <c r="P253" s="41"/>
      <c r="Q253" s="41"/>
      <c r="R253" s="41"/>
      <c r="S253" s="44"/>
      <c r="T253" s="45"/>
      <c r="U253" s="45"/>
      <c r="V253" s="45"/>
      <c r="W253" s="45"/>
      <c r="X253" s="46"/>
      <c r="Y253" s="46"/>
      <c r="Z253" s="46"/>
      <c r="AA253" s="46"/>
      <c r="AB253" s="46"/>
      <c r="AC253" s="46"/>
      <c r="AD253" s="46"/>
      <c r="AE253" s="46"/>
      <c r="AF253" s="46"/>
      <c r="AG253" s="46"/>
    </row>
    <row r="254" spans="1:33" ht="13.5" customHeight="1">
      <c r="A254" s="46"/>
      <c r="B254" s="46"/>
      <c r="C254" s="41"/>
      <c r="D254" s="42"/>
      <c r="E254" s="42"/>
      <c r="F254" s="42"/>
      <c r="G254" s="43"/>
      <c r="H254" s="43"/>
      <c r="I254" s="43"/>
      <c r="J254" s="43"/>
      <c r="K254" s="43"/>
      <c r="L254" s="43"/>
      <c r="M254" s="43"/>
      <c r="N254" s="43"/>
      <c r="O254" s="43"/>
      <c r="P254" s="41"/>
      <c r="Q254" s="41"/>
      <c r="R254" s="41"/>
      <c r="S254" s="44"/>
      <c r="T254" s="45"/>
      <c r="U254" s="45"/>
      <c r="V254" s="45"/>
      <c r="W254" s="45"/>
      <c r="X254" s="46"/>
      <c r="Y254" s="46"/>
      <c r="Z254" s="46"/>
      <c r="AA254" s="46"/>
      <c r="AB254" s="46"/>
      <c r="AC254" s="46"/>
      <c r="AD254" s="46"/>
      <c r="AE254" s="46"/>
      <c r="AF254" s="46"/>
      <c r="AG254" s="46"/>
    </row>
    <row r="255" spans="1:33" ht="13.5" customHeight="1">
      <c r="A255" s="46"/>
      <c r="B255" s="46"/>
      <c r="C255" s="41"/>
      <c r="D255" s="42"/>
      <c r="E255" s="42"/>
      <c r="F255" s="42"/>
      <c r="G255" s="43"/>
      <c r="H255" s="43"/>
      <c r="I255" s="43"/>
      <c r="J255" s="43"/>
      <c r="K255" s="43"/>
      <c r="L255" s="43"/>
      <c r="M255" s="43"/>
      <c r="N255" s="43"/>
      <c r="O255" s="43"/>
      <c r="P255" s="41"/>
      <c r="Q255" s="41"/>
      <c r="R255" s="41"/>
      <c r="S255" s="44"/>
      <c r="T255" s="45"/>
      <c r="U255" s="45"/>
      <c r="V255" s="45"/>
      <c r="W255" s="45"/>
      <c r="X255" s="46"/>
      <c r="Y255" s="46"/>
      <c r="Z255" s="46"/>
      <c r="AA255" s="46"/>
      <c r="AB255" s="46"/>
      <c r="AC255" s="46"/>
      <c r="AD255" s="46"/>
      <c r="AE255" s="46"/>
      <c r="AF255" s="46"/>
      <c r="AG255" s="46"/>
    </row>
    <row r="256" spans="1:33" ht="13.5" customHeight="1">
      <c r="A256" s="46"/>
      <c r="B256" s="46"/>
      <c r="C256" s="41"/>
      <c r="D256" s="42"/>
      <c r="E256" s="42"/>
      <c r="F256" s="42"/>
      <c r="G256" s="43"/>
      <c r="H256" s="43"/>
      <c r="I256" s="43"/>
      <c r="J256" s="43"/>
      <c r="K256" s="43"/>
      <c r="L256" s="43"/>
      <c r="M256" s="43"/>
      <c r="N256" s="43"/>
      <c r="O256" s="43"/>
      <c r="P256" s="41"/>
      <c r="Q256" s="41"/>
      <c r="R256" s="41"/>
      <c r="S256" s="44"/>
      <c r="T256" s="45"/>
      <c r="U256" s="45"/>
      <c r="V256" s="45"/>
      <c r="W256" s="45"/>
      <c r="X256" s="46"/>
      <c r="Y256" s="46"/>
      <c r="Z256" s="46"/>
      <c r="AA256" s="46"/>
      <c r="AB256" s="46"/>
      <c r="AC256" s="46"/>
      <c r="AD256" s="46"/>
      <c r="AE256" s="46"/>
      <c r="AF256" s="46"/>
      <c r="AG256" s="46"/>
    </row>
    <row r="257" spans="1:33" ht="13.5" customHeight="1">
      <c r="A257" s="46"/>
      <c r="B257" s="46"/>
      <c r="C257" s="41"/>
      <c r="D257" s="42"/>
      <c r="E257" s="42"/>
      <c r="F257" s="42"/>
      <c r="G257" s="43"/>
      <c r="H257" s="43"/>
      <c r="I257" s="43"/>
      <c r="J257" s="43"/>
      <c r="K257" s="43"/>
      <c r="L257" s="43"/>
      <c r="M257" s="43"/>
      <c r="N257" s="43"/>
      <c r="O257" s="43"/>
      <c r="P257" s="41"/>
      <c r="Q257" s="41"/>
      <c r="R257" s="41"/>
      <c r="S257" s="44"/>
      <c r="T257" s="45"/>
      <c r="U257" s="45"/>
      <c r="V257" s="45"/>
      <c r="W257" s="45"/>
      <c r="X257" s="46"/>
      <c r="Y257" s="46"/>
      <c r="Z257" s="46"/>
      <c r="AA257" s="46"/>
      <c r="AB257" s="46"/>
      <c r="AC257" s="46"/>
      <c r="AD257" s="46"/>
      <c r="AE257" s="46"/>
      <c r="AF257" s="46"/>
      <c r="AG257" s="46"/>
    </row>
    <row r="258" spans="1:33" ht="13.5" customHeight="1">
      <c r="A258" s="46"/>
      <c r="B258" s="46"/>
      <c r="C258" s="41"/>
      <c r="D258" s="42"/>
      <c r="E258" s="42"/>
      <c r="F258" s="42"/>
      <c r="G258" s="43"/>
      <c r="H258" s="43"/>
      <c r="I258" s="43"/>
      <c r="J258" s="43"/>
      <c r="K258" s="43"/>
      <c r="L258" s="43"/>
      <c r="M258" s="43"/>
      <c r="N258" s="43"/>
      <c r="O258" s="43"/>
      <c r="P258" s="41"/>
      <c r="Q258" s="41"/>
      <c r="R258" s="41"/>
      <c r="S258" s="44"/>
      <c r="T258" s="45"/>
      <c r="U258" s="45"/>
      <c r="V258" s="45"/>
      <c r="W258" s="45"/>
      <c r="X258" s="46"/>
      <c r="Y258" s="46"/>
      <c r="Z258" s="46"/>
      <c r="AA258" s="46"/>
      <c r="AB258" s="46"/>
      <c r="AC258" s="46"/>
      <c r="AD258" s="46"/>
      <c r="AE258" s="46"/>
      <c r="AF258" s="46"/>
      <c r="AG258" s="46"/>
    </row>
    <row r="259" spans="1:33" ht="13.5" customHeight="1">
      <c r="A259" s="46"/>
      <c r="B259" s="46"/>
      <c r="C259" s="41"/>
      <c r="D259" s="42"/>
      <c r="E259" s="42"/>
      <c r="F259" s="42"/>
      <c r="G259" s="43"/>
      <c r="H259" s="43"/>
      <c r="I259" s="43"/>
      <c r="J259" s="43"/>
      <c r="K259" s="43"/>
      <c r="L259" s="43"/>
      <c r="M259" s="43"/>
      <c r="N259" s="43"/>
      <c r="O259" s="43"/>
      <c r="P259" s="41"/>
      <c r="Q259" s="41"/>
      <c r="R259" s="41"/>
      <c r="S259" s="44"/>
      <c r="T259" s="45"/>
      <c r="U259" s="45"/>
      <c r="V259" s="45"/>
      <c r="W259" s="45"/>
      <c r="X259" s="46"/>
      <c r="Y259" s="46"/>
      <c r="Z259" s="46"/>
      <c r="AA259" s="46"/>
      <c r="AB259" s="46"/>
      <c r="AC259" s="46"/>
      <c r="AD259" s="46"/>
      <c r="AE259" s="46"/>
      <c r="AF259" s="46"/>
      <c r="AG259" s="46"/>
    </row>
    <row r="260" spans="1:33" ht="13.5" customHeight="1">
      <c r="A260" s="46"/>
      <c r="B260" s="46"/>
      <c r="C260" s="41"/>
      <c r="D260" s="42"/>
      <c r="E260" s="42"/>
      <c r="F260" s="42"/>
      <c r="G260" s="43"/>
      <c r="H260" s="43"/>
      <c r="I260" s="43"/>
      <c r="J260" s="43"/>
      <c r="K260" s="43"/>
      <c r="L260" s="43"/>
      <c r="M260" s="43"/>
      <c r="N260" s="43"/>
      <c r="O260" s="43"/>
      <c r="P260" s="41"/>
      <c r="Q260" s="41"/>
      <c r="R260" s="41"/>
      <c r="S260" s="44"/>
      <c r="T260" s="45"/>
      <c r="U260" s="45"/>
      <c r="V260" s="45"/>
      <c r="W260" s="45"/>
      <c r="X260" s="46"/>
      <c r="Y260" s="46"/>
      <c r="Z260" s="46"/>
      <c r="AA260" s="46"/>
      <c r="AB260" s="46"/>
      <c r="AC260" s="46"/>
      <c r="AD260" s="46"/>
      <c r="AE260" s="46"/>
      <c r="AF260" s="46"/>
      <c r="AG260" s="46"/>
    </row>
    <row r="261" spans="1:33" ht="13.5" customHeight="1">
      <c r="A261" s="46"/>
      <c r="B261" s="46"/>
      <c r="C261" s="41"/>
      <c r="D261" s="42"/>
      <c r="E261" s="42"/>
      <c r="F261" s="42"/>
      <c r="G261" s="43"/>
      <c r="H261" s="43"/>
      <c r="I261" s="43"/>
      <c r="J261" s="43"/>
      <c r="K261" s="43"/>
      <c r="L261" s="43"/>
      <c r="M261" s="43"/>
      <c r="N261" s="43"/>
      <c r="O261" s="43"/>
      <c r="P261" s="41"/>
      <c r="Q261" s="41"/>
      <c r="R261" s="41"/>
      <c r="S261" s="44"/>
      <c r="T261" s="45"/>
      <c r="U261" s="45"/>
      <c r="V261" s="45"/>
      <c r="W261" s="45"/>
      <c r="X261" s="46"/>
      <c r="Y261" s="46"/>
      <c r="Z261" s="46"/>
      <c r="AA261" s="46"/>
      <c r="AB261" s="46"/>
      <c r="AC261" s="46"/>
      <c r="AD261" s="46"/>
      <c r="AE261" s="46"/>
      <c r="AF261" s="46"/>
      <c r="AG261" s="46"/>
    </row>
    <row r="262" spans="1:33" ht="13.5" customHeight="1">
      <c r="A262" s="46"/>
      <c r="B262" s="46"/>
      <c r="C262" s="41"/>
      <c r="D262" s="42"/>
      <c r="E262" s="42"/>
      <c r="F262" s="42"/>
      <c r="G262" s="43"/>
      <c r="H262" s="43"/>
      <c r="I262" s="43"/>
      <c r="J262" s="43"/>
      <c r="K262" s="43"/>
      <c r="L262" s="43"/>
      <c r="M262" s="43"/>
      <c r="N262" s="43"/>
      <c r="O262" s="43"/>
      <c r="P262" s="41"/>
      <c r="Q262" s="41"/>
      <c r="R262" s="41"/>
      <c r="S262" s="44"/>
      <c r="T262" s="45"/>
      <c r="U262" s="45"/>
      <c r="V262" s="45"/>
      <c r="W262" s="45"/>
      <c r="X262" s="46"/>
      <c r="Y262" s="46"/>
      <c r="Z262" s="46"/>
      <c r="AA262" s="46"/>
      <c r="AB262" s="46"/>
      <c r="AC262" s="46"/>
      <c r="AD262" s="46"/>
      <c r="AE262" s="46"/>
      <c r="AF262" s="46"/>
      <c r="AG262" s="46"/>
    </row>
    <row r="263" spans="1:33" ht="13.5" customHeight="1">
      <c r="A263" s="46"/>
      <c r="B263" s="46"/>
      <c r="C263" s="41"/>
      <c r="D263" s="42"/>
      <c r="E263" s="42"/>
      <c r="F263" s="42"/>
      <c r="G263" s="43"/>
      <c r="H263" s="43"/>
      <c r="I263" s="43"/>
      <c r="J263" s="43"/>
      <c r="K263" s="43"/>
      <c r="L263" s="43"/>
      <c r="M263" s="43"/>
      <c r="N263" s="43"/>
      <c r="O263" s="43"/>
      <c r="P263" s="41"/>
      <c r="Q263" s="41"/>
      <c r="R263" s="41"/>
      <c r="S263" s="44"/>
      <c r="T263" s="45"/>
      <c r="U263" s="45"/>
      <c r="V263" s="45"/>
      <c r="W263" s="45"/>
      <c r="X263" s="46"/>
      <c r="Y263" s="46"/>
      <c r="Z263" s="46"/>
      <c r="AA263" s="46"/>
      <c r="AB263" s="46"/>
      <c r="AC263" s="46"/>
      <c r="AD263" s="46"/>
      <c r="AE263" s="46"/>
      <c r="AF263" s="46"/>
      <c r="AG263" s="46"/>
    </row>
    <row r="264" spans="1:33" ht="13.5" customHeight="1">
      <c r="A264" s="46"/>
      <c r="B264" s="46"/>
      <c r="C264" s="41"/>
      <c r="D264" s="42"/>
      <c r="E264" s="42"/>
      <c r="F264" s="42"/>
      <c r="G264" s="43"/>
      <c r="H264" s="43"/>
      <c r="I264" s="43"/>
      <c r="J264" s="43"/>
      <c r="K264" s="43"/>
      <c r="L264" s="43"/>
      <c r="M264" s="43"/>
      <c r="N264" s="43"/>
      <c r="O264" s="43"/>
      <c r="P264" s="41"/>
      <c r="Q264" s="41"/>
      <c r="R264" s="41"/>
      <c r="S264" s="44"/>
      <c r="T264" s="45"/>
      <c r="U264" s="45"/>
      <c r="V264" s="45"/>
      <c r="W264" s="45"/>
      <c r="X264" s="46"/>
      <c r="Y264" s="46"/>
      <c r="Z264" s="46"/>
      <c r="AA264" s="46"/>
      <c r="AB264" s="46"/>
      <c r="AC264" s="46"/>
      <c r="AD264" s="46"/>
      <c r="AE264" s="46"/>
      <c r="AF264" s="46"/>
      <c r="AG264" s="46"/>
    </row>
    <row r="265" spans="1:33" ht="13.5" customHeight="1">
      <c r="A265" s="46"/>
      <c r="B265" s="46"/>
      <c r="C265" s="41"/>
      <c r="D265" s="42"/>
      <c r="E265" s="42"/>
      <c r="F265" s="42"/>
      <c r="G265" s="43"/>
      <c r="H265" s="43"/>
      <c r="I265" s="43"/>
      <c r="J265" s="43"/>
      <c r="K265" s="43"/>
      <c r="L265" s="43"/>
      <c r="M265" s="43"/>
      <c r="N265" s="43"/>
      <c r="O265" s="43"/>
      <c r="P265" s="41"/>
      <c r="Q265" s="41"/>
      <c r="R265" s="41"/>
      <c r="S265" s="44"/>
      <c r="T265" s="45"/>
      <c r="U265" s="45"/>
      <c r="V265" s="45"/>
      <c r="W265" s="45"/>
      <c r="X265" s="46"/>
      <c r="Y265" s="46"/>
      <c r="Z265" s="46"/>
      <c r="AA265" s="46"/>
      <c r="AB265" s="46"/>
      <c r="AC265" s="46"/>
      <c r="AD265" s="46"/>
      <c r="AE265" s="46"/>
      <c r="AF265" s="46"/>
      <c r="AG265" s="46"/>
    </row>
    <row r="266" spans="1:33" ht="13.5" customHeight="1">
      <c r="A266" s="46"/>
      <c r="B266" s="46"/>
      <c r="C266" s="41"/>
      <c r="D266" s="42"/>
      <c r="E266" s="42"/>
      <c r="F266" s="42"/>
      <c r="G266" s="43"/>
      <c r="H266" s="43"/>
      <c r="I266" s="43"/>
      <c r="J266" s="43"/>
      <c r="K266" s="43"/>
      <c r="L266" s="43"/>
      <c r="M266" s="43"/>
      <c r="N266" s="43"/>
      <c r="O266" s="43"/>
      <c r="P266" s="41"/>
      <c r="Q266" s="41"/>
      <c r="R266" s="41"/>
      <c r="S266" s="44"/>
      <c r="T266" s="45"/>
      <c r="U266" s="45"/>
      <c r="V266" s="45"/>
      <c r="W266" s="45"/>
      <c r="X266" s="46"/>
      <c r="Y266" s="46"/>
      <c r="Z266" s="46"/>
      <c r="AA266" s="46"/>
      <c r="AB266" s="46"/>
      <c r="AC266" s="46"/>
      <c r="AD266" s="46"/>
      <c r="AE266" s="46"/>
      <c r="AF266" s="46"/>
      <c r="AG266" s="46"/>
    </row>
    <row r="267" spans="1:33" ht="13.5" customHeight="1">
      <c r="A267" s="46"/>
      <c r="B267" s="46"/>
      <c r="C267" s="41"/>
      <c r="D267" s="42"/>
      <c r="E267" s="42"/>
      <c r="F267" s="42"/>
      <c r="G267" s="43"/>
      <c r="H267" s="43"/>
      <c r="I267" s="43"/>
      <c r="J267" s="43"/>
      <c r="K267" s="43"/>
      <c r="L267" s="43"/>
      <c r="M267" s="43"/>
      <c r="N267" s="43"/>
      <c r="O267" s="43"/>
      <c r="P267" s="41"/>
      <c r="Q267" s="41"/>
      <c r="R267" s="41"/>
      <c r="S267" s="44"/>
      <c r="T267" s="45"/>
      <c r="U267" s="45"/>
      <c r="V267" s="45"/>
      <c r="W267" s="45"/>
      <c r="X267" s="46"/>
      <c r="Y267" s="46"/>
      <c r="Z267" s="46"/>
      <c r="AA267" s="46"/>
      <c r="AB267" s="46"/>
      <c r="AC267" s="46"/>
      <c r="AD267" s="46"/>
      <c r="AE267" s="46"/>
      <c r="AF267" s="46"/>
      <c r="AG267" s="46"/>
    </row>
    <row r="268" spans="1:33" ht="13.5" customHeight="1">
      <c r="A268" s="46"/>
      <c r="B268" s="46"/>
      <c r="C268" s="41"/>
      <c r="D268" s="42"/>
      <c r="E268" s="42"/>
      <c r="F268" s="42"/>
      <c r="G268" s="43"/>
      <c r="H268" s="43"/>
      <c r="I268" s="43"/>
      <c r="J268" s="43"/>
      <c r="K268" s="43"/>
      <c r="L268" s="43"/>
      <c r="M268" s="43"/>
      <c r="N268" s="43"/>
      <c r="O268" s="43"/>
      <c r="P268" s="41"/>
      <c r="Q268" s="41"/>
      <c r="R268" s="41"/>
      <c r="S268" s="44"/>
      <c r="T268" s="45"/>
      <c r="U268" s="45"/>
      <c r="V268" s="45"/>
      <c r="W268" s="45"/>
      <c r="X268" s="46"/>
      <c r="Y268" s="46"/>
      <c r="Z268" s="46"/>
      <c r="AA268" s="46"/>
      <c r="AB268" s="46"/>
      <c r="AC268" s="46"/>
      <c r="AD268" s="46"/>
      <c r="AE268" s="46"/>
      <c r="AF268" s="46"/>
      <c r="AG268" s="46"/>
    </row>
    <row r="269" spans="1:33" ht="13.5" customHeight="1">
      <c r="A269" s="46"/>
      <c r="B269" s="46"/>
      <c r="C269" s="41"/>
      <c r="D269" s="42"/>
      <c r="E269" s="42"/>
      <c r="F269" s="42"/>
      <c r="G269" s="43"/>
      <c r="H269" s="43"/>
      <c r="I269" s="43"/>
      <c r="J269" s="43"/>
      <c r="K269" s="43"/>
      <c r="L269" s="43"/>
      <c r="M269" s="43"/>
      <c r="N269" s="43"/>
      <c r="O269" s="43"/>
      <c r="P269" s="41"/>
      <c r="Q269" s="41"/>
      <c r="R269" s="41"/>
      <c r="S269" s="44"/>
      <c r="T269" s="45"/>
      <c r="U269" s="45"/>
      <c r="V269" s="45"/>
      <c r="W269" s="45"/>
      <c r="X269" s="46"/>
      <c r="Y269" s="46"/>
      <c r="Z269" s="46"/>
      <c r="AA269" s="46"/>
      <c r="AB269" s="46"/>
      <c r="AC269" s="46"/>
      <c r="AD269" s="46"/>
      <c r="AE269" s="46"/>
      <c r="AF269" s="46"/>
      <c r="AG269" s="46"/>
    </row>
    <row r="270" spans="1:33" ht="13.5" customHeight="1">
      <c r="A270" s="46"/>
      <c r="B270" s="46"/>
      <c r="C270" s="41"/>
      <c r="D270" s="42"/>
      <c r="E270" s="42"/>
      <c r="F270" s="42"/>
      <c r="G270" s="43"/>
      <c r="H270" s="43"/>
      <c r="I270" s="43"/>
      <c r="J270" s="43"/>
      <c r="K270" s="43"/>
      <c r="L270" s="43"/>
      <c r="M270" s="43"/>
      <c r="N270" s="43"/>
      <c r="O270" s="43"/>
      <c r="P270" s="41"/>
      <c r="Q270" s="41"/>
      <c r="R270" s="41"/>
      <c r="S270" s="44"/>
      <c r="T270" s="45"/>
      <c r="U270" s="45"/>
      <c r="V270" s="45"/>
      <c r="W270" s="45"/>
      <c r="X270" s="46"/>
      <c r="Y270" s="46"/>
      <c r="Z270" s="46"/>
      <c r="AA270" s="46"/>
      <c r="AB270" s="46"/>
      <c r="AC270" s="46"/>
      <c r="AD270" s="46"/>
      <c r="AE270" s="46"/>
      <c r="AF270" s="46"/>
      <c r="AG270" s="46"/>
    </row>
    <row r="271" spans="1:33" ht="13.5" customHeight="1">
      <c r="A271" s="46"/>
      <c r="B271" s="46"/>
      <c r="C271" s="41"/>
      <c r="D271" s="42"/>
      <c r="E271" s="42"/>
      <c r="F271" s="42"/>
      <c r="G271" s="43"/>
      <c r="H271" s="43"/>
      <c r="I271" s="43"/>
      <c r="J271" s="43"/>
      <c r="K271" s="43"/>
      <c r="L271" s="43"/>
      <c r="M271" s="43"/>
      <c r="N271" s="43"/>
      <c r="O271" s="43"/>
      <c r="P271" s="41"/>
      <c r="Q271" s="41"/>
      <c r="R271" s="41"/>
      <c r="S271" s="44"/>
      <c r="T271" s="45"/>
      <c r="U271" s="45"/>
      <c r="V271" s="45"/>
      <c r="W271" s="45"/>
      <c r="X271" s="46"/>
      <c r="Y271" s="46"/>
      <c r="Z271" s="46"/>
      <c r="AA271" s="46"/>
      <c r="AB271" s="46"/>
      <c r="AC271" s="46"/>
      <c r="AD271" s="46"/>
      <c r="AE271" s="46"/>
      <c r="AF271" s="46"/>
      <c r="AG271" s="46"/>
    </row>
    <row r="272" spans="1:33" ht="13.5" customHeight="1">
      <c r="A272" s="46"/>
      <c r="B272" s="46"/>
      <c r="C272" s="41"/>
      <c r="D272" s="42"/>
      <c r="E272" s="42"/>
      <c r="F272" s="42"/>
      <c r="G272" s="43"/>
      <c r="H272" s="43"/>
      <c r="I272" s="43"/>
      <c r="J272" s="43"/>
      <c r="K272" s="43"/>
      <c r="L272" s="43"/>
      <c r="M272" s="43"/>
      <c r="N272" s="43"/>
      <c r="O272" s="43"/>
      <c r="P272" s="41"/>
      <c r="Q272" s="41"/>
      <c r="R272" s="41"/>
      <c r="S272" s="44"/>
      <c r="T272" s="45"/>
      <c r="U272" s="45"/>
      <c r="V272" s="45"/>
      <c r="W272" s="45"/>
      <c r="X272" s="46"/>
      <c r="Y272" s="46"/>
      <c r="Z272" s="46"/>
      <c r="AA272" s="46"/>
      <c r="AB272" s="46"/>
      <c r="AC272" s="46"/>
      <c r="AD272" s="46"/>
      <c r="AE272" s="46"/>
      <c r="AF272" s="46"/>
      <c r="AG272" s="46"/>
    </row>
    <row r="273" spans="1:33" ht="13.5" customHeight="1">
      <c r="A273" s="46"/>
      <c r="B273" s="46"/>
      <c r="C273" s="41"/>
      <c r="D273" s="42"/>
      <c r="E273" s="42"/>
      <c r="F273" s="42"/>
      <c r="G273" s="43"/>
      <c r="H273" s="43"/>
      <c r="I273" s="43"/>
      <c r="J273" s="43"/>
      <c r="K273" s="43"/>
      <c r="L273" s="43"/>
      <c r="M273" s="43"/>
      <c r="N273" s="43"/>
      <c r="O273" s="43"/>
      <c r="P273" s="41"/>
      <c r="Q273" s="41"/>
      <c r="R273" s="41"/>
      <c r="S273" s="44"/>
      <c r="T273" s="45"/>
      <c r="U273" s="45"/>
      <c r="V273" s="45"/>
      <c r="W273" s="45"/>
      <c r="X273" s="46"/>
      <c r="Y273" s="46"/>
      <c r="Z273" s="46"/>
      <c r="AA273" s="46"/>
      <c r="AB273" s="46"/>
      <c r="AC273" s="46"/>
      <c r="AD273" s="46"/>
      <c r="AE273" s="46"/>
      <c r="AF273" s="46"/>
      <c r="AG273" s="46"/>
    </row>
    <row r="274" spans="1:33" ht="13.5" customHeight="1">
      <c r="A274" s="46"/>
      <c r="B274" s="46"/>
      <c r="C274" s="41"/>
      <c r="D274" s="42"/>
      <c r="E274" s="42"/>
      <c r="F274" s="42"/>
      <c r="G274" s="43"/>
      <c r="H274" s="43"/>
      <c r="I274" s="43"/>
      <c r="J274" s="43"/>
      <c r="K274" s="43"/>
      <c r="L274" s="43"/>
      <c r="M274" s="43"/>
      <c r="N274" s="43"/>
      <c r="O274" s="43"/>
      <c r="P274" s="41"/>
      <c r="Q274" s="41"/>
      <c r="R274" s="41"/>
      <c r="S274" s="44"/>
      <c r="T274" s="45"/>
      <c r="U274" s="45"/>
      <c r="V274" s="45"/>
      <c r="W274" s="45"/>
      <c r="X274" s="46"/>
      <c r="Y274" s="46"/>
      <c r="Z274" s="46"/>
      <c r="AA274" s="46"/>
      <c r="AB274" s="46"/>
      <c r="AC274" s="46"/>
      <c r="AD274" s="46"/>
      <c r="AE274" s="46"/>
      <c r="AF274" s="46"/>
      <c r="AG274" s="46"/>
    </row>
    <row r="275" spans="1:33" ht="13.5" customHeight="1">
      <c r="A275" s="46"/>
      <c r="B275" s="46"/>
      <c r="C275" s="41"/>
      <c r="D275" s="42"/>
      <c r="E275" s="42"/>
      <c r="F275" s="42"/>
      <c r="G275" s="43"/>
      <c r="H275" s="43"/>
      <c r="I275" s="43"/>
      <c r="J275" s="43"/>
      <c r="K275" s="43"/>
      <c r="L275" s="43"/>
      <c r="M275" s="43"/>
      <c r="N275" s="43"/>
      <c r="O275" s="43"/>
      <c r="P275" s="41"/>
      <c r="Q275" s="41"/>
      <c r="R275" s="41"/>
      <c r="S275" s="44"/>
      <c r="T275" s="45"/>
      <c r="U275" s="45"/>
      <c r="V275" s="45"/>
      <c r="W275" s="45"/>
      <c r="X275" s="46"/>
      <c r="Y275" s="46"/>
      <c r="Z275" s="46"/>
      <c r="AA275" s="46"/>
      <c r="AB275" s="46"/>
      <c r="AC275" s="46"/>
      <c r="AD275" s="46"/>
      <c r="AE275" s="46"/>
      <c r="AF275" s="46"/>
      <c r="AG275" s="46"/>
    </row>
    <row r="276" spans="1:33" ht="13.5" customHeight="1">
      <c r="A276" s="46"/>
      <c r="B276" s="46"/>
      <c r="C276" s="41"/>
      <c r="D276" s="42"/>
      <c r="E276" s="42"/>
      <c r="F276" s="42"/>
      <c r="G276" s="43"/>
      <c r="H276" s="43"/>
      <c r="I276" s="43"/>
      <c r="J276" s="43"/>
      <c r="K276" s="43"/>
      <c r="L276" s="43"/>
      <c r="M276" s="43"/>
      <c r="N276" s="43"/>
      <c r="O276" s="43"/>
      <c r="P276" s="41"/>
      <c r="Q276" s="41"/>
      <c r="R276" s="41"/>
      <c r="S276" s="44"/>
      <c r="T276" s="45"/>
      <c r="U276" s="45"/>
      <c r="V276" s="45"/>
      <c r="W276" s="45"/>
      <c r="X276" s="46"/>
      <c r="Y276" s="46"/>
      <c r="Z276" s="46"/>
      <c r="AA276" s="46"/>
      <c r="AB276" s="46"/>
      <c r="AC276" s="46"/>
      <c r="AD276" s="46"/>
      <c r="AE276" s="46"/>
      <c r="AF276" s="46"/>
      <c r="AG276" s="46"/>
    </row>
    <row r="277" spans="1:33" ht="13.5" customHeight="1">
      <c r="A277" s="46"/>
      <c r="B277" s="46"/>
      <c r="C277" s="41"/>
      <c r="D277" s="42"/>
      <c r="E277" s="42"/>
      <c r="F277" s="42"/>
      <c r="G277" s="43"/>
      <c r="H277" s="43"/>
      <c r="I277" s="43"/>
      <c r="J277" s="43"/>
      <c r="K277" s="43"/>
      <c r="L277" s="43"/>
      <c r="M277" s="43"/>
      <c r="N277" s="43"/>
      <c r="O277" s="43"/>
      <c r="P277" s="41"/>
      <c r="Q277" s="41"/>
      <c r="R277" s="41"/>
      <c r="S277" s="44"/>
      <c r="T277" s="45"/>
      <c r="U277" s="45"/>
      <c r="V277" s="45"/>
      <c r="W277" s="45"/>
      <c r="X277" s="46"/>
      <c r="Y277" s="46"/>
      <c r="Z277" s="46"/>
      <c r="AA277" s="46"/>
      <c r="AB277" s="46"/>
      <c r="AC277" s="46"/>
      <c r="AD277" s="46"/>
      <c r="AE277" s="46"/>
      <c r="AF277" s="46"/>
      <c r="AG277" s="46"/>
    </row>
    <row r="278" spans="1:33" ht="13.5" customHeight="1">
      <c r="A278" s="46"/>
      <c r="B278" s="46"/>
      <c r="C278" s="41"/>
      <c r="D278" s="42"/>
      <c r="E278" s="42"/>
      <c r="F278" s="42"/>
      <c r="G278" s="43"/>
      <c r="H278" s="43"/>
      <c r="I278" s="43"/>
      <c r="J278" s="43"/>
      <c r="K278" s="43"/>
      <c r="L278" s="43"/>
      <c r="M278" s="43"/>
      <c r="N278" s="43"/>
      <c r="O278" s="43"/>
      <c r="P278" s="41"/>
      <c r="Q278" s="41"/>
      <c r="R278" s="41"/>
      <c r="S278" s="44"/>
      <c r="T278" s="45"/>
      <c r="U278" s="45"/>
      <c r="V278" s="45"/>
      <c r="W278" s="45"/>
      <c r="X278" s="46"/>
      <c r="Y278" s="46"/>
      <c r="Z278" s="46"/>
      <c r="AA278" s="46"/>
      <c r="AB278" s="46"/>
      <c r="AC278" s="46"/>
      <c r="AD278" s="46"/>
      <c r="AE278" s="46"/>
      <c r="AF278" s="46"/>
      <c r="AG278" s="46"/>
    </row>
    <row r="279" spans="1:33" ht="13.5" customHeight="1">
      <c r="A279" s="46"/>
      <c r="B279" s="46"/>
      <c r="C279" s="41"/>
      <c r="D279" s="42"/>
      <c r="E279" s="42"/>
      <c r="F279" s="42"/>
      <c r="G279" s="43"/>
      <c r="H279" s="43"/>
      <c r="I279" s="43"/>
      <c r="J279" s="43"/>
      <c r="K279" s="43"/>
      <c r="L279" s="43"/>
      <c r="M279" s="43"/>
      <c r="N279" s="43"/>
      <c r="O279" s="43"/>
      <c r="P279" s="41"/>
      <c r="Q279" s="41"/>
      <c r="R279" s="41"/>
      <c r="S279" s="44"/>
      <c r="T279" s="45"/>
      <c r="U279" s="45"/>
      <c r="V279" s="45"/>
      <c r="W279" s="45"/>
      <c r="X279" s="46"/>
      <c r="Y279" s="46"/>
      <c r="Z279" s="46"/>
      <c r="AA279" s="46"/>
      <c r="AB279" s="46"/>
      <c r="AC279" s="46"/>
      <c r="AD279" s="46"/>
      <c r="AE279" s="46"/>
      <c r="AF279" s="46"/>
      <c r="AG279" s="46"/>
    </row>
    <row r="280" spans="1:33" ht="13.5" customHeight="1">
      <c r="A280" s="46"/>
      <c r="B280" s="46"/>
      <c r="C280" s="41"/>
      <c r="D280" s="42"/>
      <c r="E280" s="42"/>
      <c r="F280" s="42"/>
      <c r="G280" s="43"/>
      <c r="H280" s="43"/>
      <c r="I280" s="43"/>
      <c r="J280" s="43"/>
      <c r="K280" s="43"/>
      <c r="L280" s="43"/>
      <c r="M280" s="43"/>
      <c r="N280" s="43"/>
      <c r="O280" s="43"/>
      <c r="P280" s="41"/>
      <c r="Q280" s="41"/>
      <c r="R280" s="41"/>
      <c r="S280" s="44"/>
      <c r="T280" s="45"/>
      <c r="U280" s="45"/>
      <c r="V280" s="45"/>
      <c r="W280" s="45"/>
      <c r="X280" s="46"/>
      <c r="Y280" s="46"/>
      <c r="Z280" s="46"/>
      <c r="AA280" s="46"/>
      <c r="AB280" s="46"/>
      <c r="AC280" s="46"/>
      <c r="AD280" s="46"/>
      <c r="AE280" s="46"/>
      <c r="AF280" s="46"/>
      <c r="AG280" s="46"/>
    </row>
    <row r="281" spans="1:33" ht="13.5" customHeight="1">
      <c r="A281" s="46"/>
      <c r="B281" s="46"/>
      <c r="C281" s="41"/>
      <c r="D281" s="42"/>
      <c r="E281" s="42"/>
      <c r="F281" s="42"/>
      <c r="G281" s="43"/>
      <c r="H281" s="43"/>
      <c r="I281" s="43"/>
      <c r="J281" s="43"/>
      <c r="K281" s="43"/>
      <c r="L281" s="43"/>
      <c r="M281" s="43"/>
      <c r="N281" s="43"/>
      <c r="O281" s="43"/>
      <c r="P281" s="41"/>
      <c r="Q281" s="41"/>
      <c r="R281" s="41"/>
      <c r="S281" s="44"/>
      <c r="T281" s="45"/>
      <c r="U281" s="45"/>
      <c r="V281" s="45"/>
      <c r="W281" s="45"/>
      <c r="X281" s="46"/>
      <c r="Y281" s="46"/>
      <c r="Z281" s="46"/>
      <c r="AA281" s="46"/>
      <c r="AB281" s="46"/>
      <c r="AC281" s="46"/>
      <c r="AD281" s="46"/>
      <c r="AE281" s="46"/>
      <c r="AF281" s="46"/>
      <c r="AG281" s="46"/>
    </row>
    <row r="282" spans="1:33" ht="13.5" customHeight="1">
      <c r="A282" s="46"/>
      <c r="B282" s="46"/>
      <c r="C282" s="41"/>
      <c r="D282" s="42"/>
      <c r="E282" s="42"/>
      <c r="F282" s="42"/>
      <c r="G282" s="43"/>
      <c r="H282" s="43"/>
      <c r="I282" s="43"/>
      <c r="J282" s="43"/>
      <c r="K282" s="43"/>
      <c r="L282" s="43"/>
      <c r="M282" s="43"/>
      <c r="N282" s="43"/>
      <c r="O282" s="43"/>
      <c r="P282" s="41"/>
      <c r="Q282" s="41"/>
      <c r="R282" s="41"/>
      <c r="S282" s="44"/>
      <c r="T282" s="45"/>
      <c r="U282" s="45"/>
      <c r="V282" s="45"/>
      <c r="W282" s="45"/>
      <c r="X282" s="46"/>
      <c r="Y282" s="46"/>
      <c r="Z282" s="46"/>
      <c r="AA282" s="46"/>
      <c r="AB282" s="46"/>
      <c r="AC282" s="46"/>
      <c r="AD282" s="46"/>
      <c r="AE282" s="46"/>
      <c r="AF282" s="46"/>
      <c r="AG282" s="46"/>
    </row>
    <row r="283" spans="1:33" ht="13.5" customHeight="1">
      <c r="A283" s="46"/>
      <c r="B283" s="46"/>
      <c r="C283" s="41"/>
      <c r="D283" s="42"/>
      <c r="E283" s="42"/>
      <c r="F283" s="42"/>
      <c r="G283" s="43"/>
      <c r="H283" s="43"/>
      <c r="I283" s="43"/>
      <c r="J283" s="43"/>
      <c r="K283" s="43"/>
      <c r="L283" s="43"/>
      <c r="M283" s="43"/>
      <c r="N283" s="43"/>
      <c r="O283" s="43"/>
      <c r="P283" s="41"/>
      <c r="Q283" s="41"/>
      <c r="R283" s="41"/>
      <c r="S283" s="44"/>
      <c r="T283" s="45"/>
      <c r="U283" s="45"/>
      <c r="V283" s="45"/>
      <c r="W283" s="45"/>
      <c r="X283" s="46"/>
      <c r="Y283" s="46"/>
      <c r="Z283" s="46"/>
      <c r="AA283" s="46"/>
      <c r="AB283" s="46"/>
      <c r="AC283" s="46"/>
      <c r="AD283" s="46"/>
      <c r="AE283" s="46"/>
      <c r="AF283" s="46"/>
      <c r="AG283" s="46"/>
    </row>
    <row r="284" spans="1:33" ht="13.5" customHeight="1">
      <c r="A284" s="46"/>
      <c r="B284" s="46"/>
      <c r="C284" s="41"/>
      <c r="D284" s="42"/>
      <c r="E284" s="42"/>
      <c r="F284" s="42"/>
      <c r="G284" s="43"/>
      <c r="H284" s="43"/>
      <c r="I284" s="43"/>
      <c r="J284" s="43"/>
      <c r="K284" s="43"/>
      <c r="L284" s="43"/>
      <c r="M284" s="43"/>
      <c r="N284" s="43"/>
      <c r="O284" s="43"/>
      <c r="P284" s="41"/>
      <c r="Q284" s="41"/>
      <c r="R284" s="41"/>
      <c r="S284" s="44"/>
      <c r="T284" s="45"/>
      <c r="U284" s="45"/>
      <c r="V284" s="45"/>
      <c r="W284" s="45"/>
      <c r="X284" s="46"/>
      <c r="Y284" s="46"/>
      <c r="Z284" s="46"/>
      <c r="AA284" s="46"/>
      <c r="AB284" s="46"/>
      <c r="AC284" s="46"/>
      <c r="AD284" s="46"/>
      <c r="AE284" s="46"/>
      <c r="AF284" s="46"/>
      <c r="AG284" s="46"/>
    </row>
    <row r="285" spans="1:33" ht="13.5" customHeight="1">
      <c r="A285" s="46"/>
      <c r="B285" s="46"/>
      <c r="C285" s="41"/>
      <c r="D285" s="42"/>
      <c r="E285" s="42"/>
      <c r="F285" s="42"/>
      <c r="G285" s="43"/>
      <c r="H285" s="43"/>
      <c r="I285" s="43"/>
      <c r="J285" s="43"/>
      <c r="K285" s="43"/>
      <c r="L285" s="43"/>
      <c r="M285" s="43"/>
      <c r="N285" s="43"/>
      <c r="O285" s="43"/>
      <c r="P285" s="41"/>
      <c r="Q285" s="41"/>
      <c r="R285" s="41"/>
      <c r="S285" s="44"/>
      <c r="T285" s="45"/>
      <c r="U285" s="45"/>
      <c r="V285" s="45"/>
      <c r="W285" s="45"/>
      <c r="X285" s="46"/>
      <c r="Y285" s="46"/>
      <c r="Z285" s="46"/>
      <c r="AA285" s="46"/>
      <c r="AB285" s="46"/>
      <c r="AC285" s="46"/>
      <c r="AD285" s="46"/>
      <c r="AE285" s="46"/>
      <c r="AF285" s="46"/>
      <c r="AG285" s="46"/>
    </row>
    <row r="286" spans="1:33" ht="13.5" customHeight="1">
      <c r="A286" s="46"/>
      <c r="B286" s="46"/>
      <c r="C286" s="41"/>
      <c r="D286" s="42"/>
      <c r="E286" s="42"/>
      <c r="F286" s="42"/>
      <c r="G286" s="43"/>
      <c r="H286" s="43"/>
      <c r="I286" s="43"/>
      <c r="J286" s="43"/>
      <c r="K286" s="43"/>
      <c r="L286" s="43"/>
      <c r="M286" s="43"/>
      <c r="N286" s="43"/>
      <c r="O286" s="43"/>
      <c r="P286" s="41"/>
      <c r="Q286" s="41"/>
      <c r="R286" s="41"/>
      <c r="S286" s="44"/>
      <c r="T286" s="45"/>
      <c r="U286" s="45"/>
      <c r="V286" s="45"/>
      <c r="W286" s="45"/>
      <c r="X286" s="46"/>
      <c r="Y286" s="46"/>
      <c r="Z286" s="46"/>
      <c r="AA286" s="46"/>
      <c r="AB286" s="46"/>
      <c r="AC286" s="46"/>
      <c r="AD286" s="46"/>
      <c r="AE286" s="46"/>
      <c r="AF286" s="46"/>
      <c r="AG286" s="46"/>
    </row>
    <row r="287" spans="1:33" ht="13.5" customHeight="1">
      <c r="A287" s="46"/>
      <c r="B287" s="46"/>
      <c r="C287" s="41"/>
      <c r="D287" s="42"/>
      <c r="E287" s="42"/>
      <c r="F287" s="42"/>
      <c r="G287" s="43"/>
      <c r="H287" s="43"/>
      <c r="I287" s="43"/>
      <c r="J287" s="43"/>
      <c r="K287" s="43"/>
      <c r="L287" s="43"/>
      <c r="M287" s="43"/>
      <c r="N287" s="43"/>
      <c r="O287" s="43"/>
      <c r="P287" s="41"/>
      <c r="Q287" s="41"/>
      <c r="R287" s="41"/>
      <c r="S287" s="44"/>
      <c r="T287" s="45"/>
      <c r="U287" s="45"/>
      <c r="V287" s="45"/>
      <c r="W287" s="45"/>
      <c r="X287" s="46"/>
      <c r="Y287" s="46"/>
      <c r="Z287" s="46"/>
      <c r="AA287" s="46"/>
      <c r="AB287" s="46"/>
      <c r="AC287" s="46"/>
      <c r="AD287" s="46"/>
      <c r="AE287" s="46"/>
      <c r="AF287" s="46"/>
      <c r="AG287" s="46"/>
    </row>
    <row r="288" spans="1:33" ht="13.5" customHeight="1">
      <c r="A288" s="46"/>
      <c r="B288" s="46"/>
      <c r="C288" s="41"/>
      <c r="D288" s="42"/>
      <c r="E288" s="42"/>
      <c r="F288" s="42"/>
      <c r="G288" s="43"/>
      <c r="H288" s="43"/>
      <c r="I288" s="43"/>
      <c r="J288" s="43"/>
      <c r="K288" s="43"/>
      <c r="L288" s="43"/>
      <c r="M288" s="43"/>
      <c r="N288" s="43"/>
      <c r="O288" s="43"/>
      <c r="P288" s="41"/>
      <c r="Q288" s="41"/>
      <c r="R288" s="41"/>
      <c r="S288" s="44"/>
      <c r="T288" s="45"/>
      <c r="U288" s="45"/>
      <c r="V288" s="45"/>
      <c r="W288" s="45"/>
      <c r="X288" s="46"/>
      <c r="Y288" s="46"/>
      <c r="Z288" s="46"/>
      <c r="AA288" s="46"/>
      <c r="AB288" s="46"/>
      <c r="AC288" s="46"/>
      <c r="AD288" s="46"/>
      <c r="AE288" s="46"/>
      <c r="AF288" s="46"/>
      <c r="AG288" s="46"/>
    </row>
    <row r="289" spans="1:33" ht="13.5" customHeight="1">
      <c r="A289" s="46"/>
      <c r="B289" s="46"/>
      <c r="C289" s="41"/>
      <c r="D289" s="42"/>
      <c r="E289" s="42"/>
      <c r="F289" s="42"/>
      <c r="G289" s="43"/>
      <c r="H289" s="43"/>
      <c r="I289" s="43"/>
      <c r="J289" s="43"/>
      <c r="K289" s="43"/>
      <c r="L289" s="43"/>
      <c r="M289" s="43"/>
      <c r="N289" s="43"/>
      <c r="O289" s="43"/>
      <c r="P289" s="41"/>
      <c r="Q289" s="41"/>
      <c r="R289" s="41"/>
      <c r="S289" s="44"/>
      <c r="T289" s="45"/>
      <c r="U289" s="45"/>
      <c r="V289" s="45"/>
      <c r="W289" s="45"/>
      <c r="X289" s="46"/>
      <c r="Y289" s="46"/>
      <c r="Z289" s="46"/>
      <c r="AA289" s="46"/>
      <c r="AB289" s="46"/>
      <c r="AC289" s="46"/>
      <c r="AD289" s="46"/>
      <c r="AE289" s="46"/>
      <c r="AF289" s="46"/>
      <c r="AG289" s="46"/>
    </row>
    <row r="290" spans="1:33" ht="13.5" customHeight="1">
      <c r="A290" s="46"/>
      <c r="B290" s="46"/>
      <c r="C290" s="41"/>
      <c r="D290" s="42"/>
      <c r="E290" s="42"/>
      <c r="F290" s="42"/>
      <c r="G290" s="43"/>
      <c r="H290" s="43"/>
      <c r="I290" s="43"/>
      <c r="J290" s="43"/>
      <c r="K290" s="43"/>
      <c r="L290" s="43"/>
      <c r="M290" s="43"/>
      <c r="N290" s="43"/>
      <c r="O290" s="43"/>
      <c r="P290" s="41"/>
      <c r="Q290" s="41"/>
      <c r="R290" s="41"/>
      <c r="S290" s="44"/>
      <c r="T290" s="45"/>
      <c r="U290" s="45"/>
      <c r="V290" s="45"/>
      <c r="W290" s="45"/>
      <c r="X290" s="46"/>
      <c r="Y290" s="46"/>
      <c r="Z290" s="46"/>
      <c r="AA290" s="46"/>
      <c r="AB290" s="46"/>
      <c r="AC290" s="46"/>
      <c r="AD290" s="46"/>
      <c r="AE290" s="46"/>
      <c r="AF290" s="46"/>
      <c r="AG290" s="46"/>
    </row>
    <row r="291" spans="1:33" ht="13.5" customHeight="1">
      <c r="A291" s="46"/>
      <c r="B291" s="46"/>
      <c r="C291" s="41"/>
      <c r="D291" s="42"/>
      <c r="E291" s="42"/>
      <c r="F291" s="42"/>
      <c r="G291" s="43"/>
      <c r="H291" s="43"/>
      <c r="I291" s="43"/>
      <c r="J291" s="43"/>
      <c r="K291" s="43"/>
      <c r="L291" s="43"/>
      <c r="M291" s="43"/>
      <c r="N291" s="43"/>
      <c r="O291" s="43"/>
      <c r="P291" s="41"/>
      <c r="Q291" s="41"/>
      <c r="R291" s="41"/>
      <c r="S291" s="44"/>
      <c r="T291" s="45"/>
      <c r="U291" s="45"/>
      <c r="V291" s="45"/>
      <c r="W291" s="45"/>
      <c r="X291" s="46"/>
      <c r="Y291" s="46"/>
      <c r="Z291" s="46"/>
      <c r="AA291" s="46"/>
      <c r="AB291" s="46"/>
      <c r="AC291" s="46"/>
      <c r="AD291" s="46"/>
      <c r="AE291" s="46"/>
      <c r="AF291" s="46"/>
      <c r="AG291" s="46"/>
    </row>
    <row r="292" spans="1:33" ht="13.5" customHeight="1">
      <c r="A292" s="46"/>
      <c r="B292" s="46"/>
      <c r="C292" s="41"/>
      <c r="D292" s="42"/>
      <c r="E292" s="42"/>
      <c r="F292" s="42"/>
      <c r="G292" s="43"/>
      <c r="H292" s="43"/>
      <c r="I292" s="43"/>
      <c r="J292" s="43"/>
      <c r="K292" s="43"/>
      <c r="L292" s="43"/>
      <c r="M292" s="43"/>
      <c r="N292" s="43"/>
      <c r="O292" s="43"/>
      <c r="P292" s="41"/>
      <c r="Q292" s="41"/>
      <c r="R292" s="41"/>
      <c r="S292" s="44"/>
      <c r="T292" s="45"/>
      <c r="U292" s="45"/>
      <c r="V292" s="45"/>
      <c r="W292" s="45"/>
      <c r="X292" s="46"/>
      <c r="Y292" s="46"/>
      <c r="Z292" s="46"/>
      <c r="AA292" s="46"/>
      <c r="AB292" s="46"/>
      <c r="AC292" s="46"/>
      <c r="AD292" s="46"/>
      <c r="AE292" s="46"/>
      <c r="AF292" s="46"/>
      <c r="AG292" s="46"/>
    </row>
    <row r="293" spans="1:33" ht="13.5" customHeight="1">
      <c r="A293" s="46"/>
      <c r="B293" s="46"/>
      <c r="C293" s="41"/>
      <c r="D293" s="42"/>
      <c r="E293" s="42"/>
      <c r="F293" s="42"/>
      <c r="G293" s="43"/>
      <c r="H293" s="43"/>
      <c r="I293" s="43"/>
      <c r="J293" s="43"/>
      <c r="K293" s="43"/>
      <c r="L293" s="43"/>
      <c r="M293" s="43"/>
      <c r="N293" s="43"/>
      <c r="O293" s="43"/>
      <c r="P293" s="41"/>
      <c r="Q293" s="41"/>
      <c r="R293" s="41"/>
      <c r="S293" s="44"/>
      <c r="T293" s="45"/>
      <c r="U293" s="45"/>
      <c r="V293" s="45"/>
      <c r="W293" s="45"/>
      <c r="X293" s="46"/>
      <c r="Y293" s="46"/>
      <c r="Z293" s="46"/>
      <c r="AA293" s="46"/>
      <c r="AB293" s="46"/>
      <c r="AC293" s="46"/>
      <c r="AD293" s="46"/>
      <c r="AE293" s="46"/>
      <c r="AF293" s="46"/>
      <c r="AG293" s="46"/>
    </row>
    <row r="294" spans="1:33" ht="13.5" customHeight="1">
      <c r="A294" s="46"/>
      <c r="B294" s="46"/>
      <c r="C294" s="41"/>
      <c r="D294" s="42"/>
      <c r="E294" s="42"/>
      <c r="F294" s="42"/>
      <c r="G294" s="43"/>
      <c r="H294" s="43"/>
      <c r="I294" s="43"/>
      <c r="J294" s="43"/>
      <c r="K294" s="43"/>
      <c r="L294" s="43"/>
      <c r="M294" s="43"/>
      <c r="N294" s="43"/>
      <c r="O294" s="43"/>
      <c r="P294" s="41"/>
      <c r="Q294" s="41"/>
      <c r="R294" s="41"/>
      <c r="S294" s="44"/>
      <c r="T294" s="45"/>
      <c r="U294" s="45"/>
      <c r="V294" s="45"/>
      <c r="W294" s="45"/>
      <c r="X294" s="46"/>
      <c r="Y294" s="46"/>
      <c r="Z294" s="46"/>
      <c r="AA294" s="46"/>
      <c r="AB294" s="46"/>
      <c r="AC294" s="46"/>
      <c r="AD294" s="46"/>
      <c r="AE294" s="46"/>
      <c r="AF294" s="46"/>
      <c r="AG294" s="46"/>
    </row>
    <row r="295" spans="1:33" ht="13.5" customHeight="1">
      <c r="A295" s="46"/>
      <c r="B295" s="46"/>
      <c r="C295" s="41"/>
      <c r="D295" s="42"/>
      <c r="E295" s="42"/>
      <c r="F295" s="42"/>
      <c r="G295" s="43"/>
      <c r="H295" s="43"/>
      <c r="I295" s="43"/>
      <c r="J295" s="43"/>
      <c r="K295" s="43"/>
      <c r="L295" s="43"/>
      <c r="M295" s="43"/>
      <c r="N295" s="43"/>
      <c r="O295" s="43"/>
      <c r="P295" s="41"/>
      <c r="Q295" s="41"/>
      <c r="R295" s="41"/>
      <c r="S295" s="44"/>
      <c r="T295" s="45"/>
      <c r="U295" s="45"/>
      <c r="V295" s="45"/>
      <c r="W295" s="45"/>
      <c r="X295" s="46"/>
      <c r="Y295" s="46"/>
      <c r="Z295" s="46"/>
      <c r="AA295" s="46"/>
      <c r="AB295" s="46"/>
      <c r="AC295" s="46"/>
      <c r="AD295" s="46"/>
      <c r="AE295" s="46"/>
      <c r="AF295" s="46"/>
      <c r="AG295" s="46"/>
    </row>
    <row r="296" spans="1:33" ht="13.5" customHeight="1">
      <c r="A296" s="46"/>
      <c r="B296" s="46"/>
      <c r="C296" s="41"/>
      <c r="D296" s="42"/>
      <c r="E296" s="42"/>
      <c r="F296" s="42"/>
      <c r="G296" s="43"/>
      <c r="H296" s="43"/>
      <c r="I296" s="43"/>
      <c r="J296" s="43"/>
      <c r="K296" s="43"/>
      <c r="L296" s="43"/>
      <c r="M296" s="43"/>
      <c r="N296" s="43"/>
      <c r="O296" s="43"/>
      <c r="P296" s="41"/>
      <c r="Q296" s="41"/>
      <c r="R296" s="41"/>
      <c r="S296" s="44"/>
      <c r="T296" s="45"/>
      <c r="U296" s="45"/>
      <c r="V296" s="45"/>
      <c r="W296" s="45"/>
      <c r="X296" s="46"/>
      <c r="Y296" s="46"/>
      <c r="Z296" s="46"/>
      <c r="AA296" s="46"/>
      <c r="AB296" s="46"/>
      <c r="AC296" s="46"/>
      <c r="AD296" s="46"/>
      <c r="AE296" s="46"/>
      <c r="AF296" s="46"/>
      <c r="AG296" s="46"/>
    </row>
    <row r="297" spans="1:33" ht="13.5" customHeight="1">
      <c r="A297" s="46"/>
      <c r="B297" s="46"/>
      <c r="C297" s="41"/>
      <c r="D297" s="42"/>
      <c r="E297" s="42"/>
      <c r="F297" s="42"/>
      <c r="G297" s="43"/>
      <c r="H297" s="43"/>
      <c r="I297" s="43"/>
      <c r="J297" s="43"/>
      <c r="K297" s="43"/>
      <c r="L297" s="43"/>
      <c r="M297" s="43"/>
      <c r="N297" s="43"/>
      <c r="O297" s="43"/>
      <c r="P297" s="41"/>
      <c r="Q297" s="41"/>
      <c r="R297" s="41"/>
      <c r="S297" s="44"/>
      <c r="T297" s="45"/>
      <c r="U297" s="45"/>
      <c r="V297" s="45"/>
      <c r="W297" s="45"/>
      <c r="X297" s="46"/>
      <c r="Y297" s="46"/>
      <c r="Z297" s="46"/>
      <c r="AA297" s="46"/>
      <c r="AB297" s="46"/>
      <c r="AC297" s="46"/>
      <c r="AD297" s="46"/>
      <c r="AE297" s="46"/>
      <c r="AF297" s="46"/>
      <c r="AG297" s="46"/>
    </row>
    <row r="298" spans="1:33" ht="13.5" customHeight="1">
      <c r="A298" s="46"/>
      <c r="B298" s="46"/>
      <c r="C298" s="41"/>
      <c r="D298" s="42"/>
      <c r="E298" s="42"/>
      <c r="F298" s="42"/>
      <c r="G298" s="43"/>
      <c r="H298" s="43"/>
      <c r="I298" s="43"/>
      <c r="J298" s="43"/>
      <c r="K298" s="43"/>
      <c r="L298" s="43"/>
      <c r="M298" s="43"/>
      <c r="N298" s="43"/>
      <c r="O298" s="43"/>
      <c r="P298" s="41"/>
      <c r="Q298" s="41"/>
      <c r="R298" s="41"/>
      <c r="S298" s="44"/>
      <c r="T298" s="45"/>
      <c r="U298" s="45"/>
      <c r="V298" s="45"/>
      <c r="W298" s="45"/>
      <c r="X298" s="46"/>
      <c r="Y298" s="46"/>
      <c r="Z298" s="46"/>
      <c r="AA298" s="46"/>
      <c r="AB298" s="46"/>
      <c r="AC298" s="46"/>
      <c r="AD298" s="46"/>
      <c r="AE298" s="46"/>
      <c r="AF298" s="46"/>
      <c r="AG298" s="46"/>
    </row>
    <row r="299" spans="1:33" ht="13.5" customHeight="1">
      <c r="A299" s="46"/>
      <c r="B299" s="46"/>
      <c r="C299" s="41"/>
      <c r="D299" s="42"/>
      <c r="E299" s="42"/>
      <c r="F299" s="42"/>
      <c r="G299" s="43"/>
      <c r="H299" s="43"/>
      <c r="I299" s="43"/>
      <c r="J299" s="43"/>
      <c r="K299" s="43"/>
      <c r="L299" s="43"/>
      <c r="M299" s="43"/>
      <c r="N299" s="43"/>
      <c r="O299" s="43"/>
      <c r="P299" s="41"/>
      <c r="Q299" s="41"/>
      <c r="R299" s="41"/>
      <c r="S299" s="44"/>
      <c r="T299" s="45"/>
      <c r="U299" s="45"/>
      <c r="V299" s="45"/>
      <c r="W299" s="45"/>
      <c r="X299" s="46"/>
      <c r="Y299" s="46"/>
      <c r="Z299" s="46"/>
      <c r="AA299" s="46"/>
      <c r="AB299" s="46"/>
      <c r="AC299" s="46"/>
      <c r="AD299" s="46"/>
      <c r="AE299" s="46"/>
      <c r="AF299" s="46"/>
      <c r="AG299" s="46"/>
    </row>
    <row r="300" spans="1:33" ht="13.5" customHeight="1">
      <c r="A300" s="46"/>
      <c r="B300" s="46"/>
      <c r="C300" s="41"/>
      <c r="D300" s="42"/>
      <c r="E300" s="42"/>
      <c r="F300" s="42"/>
      <c r="G300" s="43"/>
      <c r="H300" s="43"/>
      <c r="I300" s="43"/>
      <c r="J300" s="43"/>
      <c r="K300" s="43"/>
      <c r="L300" s="43"/>
      <c r="M300" s="43"/>
      <c r="N300" s="43"/>
      <c r="O300" s="43"/>
      <c r="P300" s="41"/>
      <c r="Q300" s="41"/>
      <c r="R300" s="41"/>
      <c r="S300" s="44"/>
      <c r="T300" s="45"/>
      <c r="U300" s="45"/>
      <c r="V300" s="45"/>
      <c r="W300" s="45"/>
      <c r="X300" s="46"/>
      <c r="Y300" s="46"/>
      <c r="Z300" s="46"/>
      <c r="AA300" s="46"/>
      <c r="AB300" s="46"/>
      <c r="AC300" s="46"/>
      <c r="AD300" s="46"/>
      <c r="AE300" s="46"/>
      <c r="AF300" s="46"/>
      <c r="AG300" s="46"/>
    </row>
    <row r="301" spans="1:33" ht="13.5" customHeight="1">
      <c r="A301" s="46"/>
      <c r="B301" s="46"/>
      <c r="C301" s="41"/>
      <c r="D301" s="42"/>
      <c r="E301" s="42"/>
      <c r="F301" s="42"/>
      <c r="G301" s="43"/>
      <c r="H301" s="43"/>
      <c r="I301" s="43"/>
      <c r="J301" s="43"/>
      <c r="K301" s="43"/>
      <c r="L301" s="43"/>
      <c r="M301" s="43"/>
      <c r="N301" s="43"/>
      <c r="O301" s="43"/>
      <c r="P301" s="41"/>
      <c r="Q301" s="41"/>
      <c r="R301" s="41"/>
      <c r="S301" s="44"/>
      <c r="T301" s="45"/>
      <c r="U301" s="45"/>
      <c r="V301" s="45"/>
      <c r="W301" s="45"/>
      <c r="X301" s="46"/>
      <c r="Y301" s="46"/>
      <c r="Z301" s="46"/>
      <c r="AA301" s="46"/>
      <c r="AB301" s="46"/>
      <c r="AC301" s="46"/>
      <c r="AD301" s="46"/>
      <c r="AE301" s="46"/>
      <c r="AF301" s="46"/>
      <c r="AG301" s="46"/>
    </row>
    <row r="302" spans="1:33" ht="13.5" customHeight="1">
      <c r="A302" s="46"/>
      <c r="B302" s="46"/>
      <c r="C302" s="41"/>
      <c r="D302" s="42"/>
      <c r="E302" s="42"/>
      <c r="F302" s="42"/>
      <c r="G302" s="43"/>
      <c r="H302" s="43"/>
      <c r="I302" s="43"/>
      <c r="J302" s="43"/>
      <c r="K302" s="43"/>
      <c r="L302" s="43"/>
      <c r="M302" s="43"/>
      <c r="N302" s="43"/>
      <c r="O302" s="43"/>
      <c r="P302" s="41"/>
      <c r="Q302" s="41"/>
      <c r="R302" s="41"/>
      <c r="S302" s="44"/>
      <c r="T302" s="45"/>
      <c r="U302" s="45"/>
      <c r="V302" s="45"/>
      <c r="W302" s="45"/>
      <c r="X302" s="46"/>
      <c r="Y302" s="46"/>
      <c r="Z302" s="46"/>
      <c r="AA302" s="46"/>
      <c r="AB302" s="46"/>
      <c r="AC302" s="46"/>
      <c r="AD302" s="46"/>
      <c r="AE302" s="46"/>
      <c r="AF302" s="46"/>
      <c r="AG302" s="46"/>
    </row>
    <row r="303" spans="1:33" ht="13.5" customHeight="1">
      <c r="A303" s="46"/>
      <c r="B303" s="46"/>
      <c r="C303" s="41"/>
      <c r="D303" s="42"/>
      <c r="E303" s="42"/>
      <c r="F303" s="42"/>
      <c r="G303" s="43"/>
      <c r="H303" s="43"/>
      <c r="I303" s="43"/>
      <c r="J303" s="43"/>
      <c r="K303" s="43"/>
      <c r="L303" s="43"/>
      <c r="M303" s="43"/>
      <c r="N303" s="43"/>
      <c r="O303" s="43"/>
      <c r="P303" s="41"/>
      <c r="Q303" s="41"/>
      <c r="R303" s="41"/>
      <c r="S303" s="44"/>
      <c r="T303" s="45"/>
      <c r="U303" s="45"/>
      <c r="V303" s="45"/>
      <c r="W303" s="45"/>
      <c r="X303" s="46"/>
      <c r="Y303" s="46"/>
      <c r="Z303" s="46"/>
      <c r="AA303" s="46"/>
      <c r="AB303" s="46"/>
      <c r="AC303" s="46"/>
      <c r="AD303" s="46"/>
      <c r="AE303" s="46"/>
      <c r="AF303" s="46"/>
      <c r="AG303" s="46"/>
    </row>
    <row r="304" spans="1:33" ht="13.5" customHeight="1">
      <c r="A304" s="46"/>
      <c r="B304" s="46"/>
      <c r="C304" s="41"/>
      <c r="D304" s="42"/>
      <c r="E304" s="42"/>
      <c r="F304" s="42"/>
      <c r="G304" s="43"/>
      <c r="H304" s="43"/>
      <c r="I304" s="43"/>
      <c r="J304" s="43"/>
      <c r="K304" s="43"/>
      <c r="L304" s="43"/>
      <c r="M304" s="43"/>
      <c r="N304" s="43"/>
      <c r="O304" s="43"/>
      <c r="P304" s="41"/>
      <c r="Q304" s="41"/>
      <c r="R304" s="41"/>
      <c r="S304" s="44"/>
      <c r="T304" s="45"/>
      <c r="U304" s="45"/>
      <c r="V304" s="45"/>
      <c r="W304" s="45"/>
      <c r="X304" s="46"/>
      <c r="Y304" s="46"/>
      <c r="Z304" s="46"/>
      <c r="AA304" s="46"/>
      <c r="AB304" s="46"/>
      <c r="AC304" s="46"/>
      <c r="AD304" s="46"/>
      <c r="AE304" s="46"/>
      <c r="AF304" s="46"/>
      <c r="AG304" s="46"/>
    </row>
    <row r="305" spans="1:33" ht="13.5" customHeight="1">
      <c r="A305" s="46"/>
      <c r="B305" s="46"/>
      <c r="C305" s="41"/>
      <c r="D305" s="42"/>
      <c r="E305" s="42"/>
      <c r="F305" s="42"/>
      <c r="G305" s="43"/>
      <c r="H305" s="43"/>
      <c r="I305" s="43"/>
      <c r="J305" s="43"/>
      <c r="K305" s="43"/>
      <c r="L305" s="43"/>
      <c r="M305" s="43"/>
      <c r="N305" s="43"/>
      <c r="O305" s="43"/>
      <c r="P305" s="41"/>
      <c r="Q305" s="41"/>
      <c r="R305" s="41"/>
      <c r="S305" s="44"/>
      <c r="T305" s="45"/>
      <c r="U305" s="45"/>
      <c r="V305" s="45"/>
      <c r="W305" s="45"/>
      <c r="X305" s="46"/>
      <c r="Y305" s="46"/>
      <c r="Z305" s="46"/>
      <c r="AA305" s="46"/>
      <c r="AB305" s="46"/>
      <c r="AC305" s="46"/>
      <c r="AD305" s="46"/>
      <c r="AE305" s="46"/>
      <c r="AF305" s="46"/>
      <c r="AG305" s="46"/>
    </row>
    <row r="306" spans="1:33" ht="13.5" customHeight="1">
      <c r="A306" s="46"/>
      <c r="B306" s="46"/>
      <c r="C306" s="41"/>
      <c r="D306" s="42"/>
      <c r="E306" s="42"/>
      <c r="F306" s="42"/>
      <c r="G306" s="43"/>
      <c r="H306" s="43"/>
      <c r="I306" s="43"/>
      <c r="J306" s="43"/>
      <c r="K306" s="43"/>
      <c r="L306" s="43"/>
      <c r="M306" s="43"/>
      <c r="N306" s="43"/>
      <c r="O306" s="43"/>
      <c r="P306" s="41"/>
      <c r="Q306" s="41"/>
      <c r="R306" s="41"/>
      <c r="S306" s="44"/>
      <c r="T306" s="45"/>
      <c r="U306" s="45"/>
      <c r="V306" s="45"/>
      <c r="W306" s="45"/>
      <c r="X306" s="46"/>
      <c r="Y306" s="46"/>
      <c r="Z306" s="46"/>
      <c r="AA306" s="46"/>
      <c r="AB306" s="46"/>
      <c r="AC306" s="46"/>
      <c r="AD306" s="46"/>
      <c r="AE306" s="46"/>
      <c r="AF306" s="46"/>
      <c r="AG306" s="46"/>
    </row>
    <row r="307" spans="1:33" ht="13.5" customHeight="1">
      <c r="A307" s="46"/>
      <c r="B307" s="46"/>
      <c r="C307" s="41"/>
      <c r="D307" s="42"/>
      <c r="E307" s="42"/>
      <c r="F307" s="42"/>
      <c r="G307" s="43"/>
      <c r="H307" s="43"/>
      <c r="I307" s="43"/>
      <c r="J307" s="43"/>
      <c r="K307" s="43"/>
      <c r="L307" s="43"/>
      <c r="M307" s="43"/>
      <c r="N307" s="43"/>
      <c r="O307" s="43"/>
      <c r="P307" s="41"/>
      <c r="Q307" s="41"/>
      <c r="R307" s="41"/>
      <c r="S307" s="44"/>
      <c r="T307" s="45"/>
      <c r="U307" s="45"/>
      <c r="V307" s="45"/>
      <c r="W307" s="45"/>
      <c r="X307" s="46"/>
      <c r="Y307" s="46"/>
      <c r="Z307" s="46"/>
      <c r="AA307" s="46"/>
      <c r="AB307" s="46"/>
      <c r="AC307" s="46"/>
      <c r="AD307" s="46"/>
      <c r="AE307" s="46"/>
      <c r="AF307" s="46"/>
      <c r="AG307" s="46"/>
    </row>
    <row r="308" spans="1:33" ht="13.5" customHeight="1">
      <c r="A308" s="46"/>
      <c r="B308" s="46"/>
      <c r="C308" s="41"/>
      <c r="D308" s="42"/>
      <c r="E308" s="42"/>
      <c r="F308" s="42"/>
      <c r="G308" s="43"/>
      <c r="H308" s="43"/>
      <c r="I308" s="43"/>
      <c r="J308" s="43"/>
      <c r="K308" s="43"/>
      <c r="L308" s="43"/>
      <c r="M308" s="43"/>
      <c r="N308" s="43"/>
      <c r="O308" s="43"/>
      <c r="P308" s="41"/>
      <c r="Q308" s="41"/>
      <c r="R308" s="41"/>
      <c r="S308" s="44"/>
      <c r="T308" s="45"/>
      <c r="U308" s="45"/>
      <c r="V308" s="45"/>
      <c r="W308" s="45"/>
      <c r="X308" s="46"/>
      <c r="Y308" s="46"/>
      <c r="Z308" s="46"/>
      <c r="AA308" s="46"/>
      <c r="AB308" s="46"/>
      <c r="AC308" s="46"/>
      <c r="AD308" s="46"/>
      <c r="AE308" s="46"/>
      <c r="AF308" s="46"/>
      <c r="AG308" s="46"/>
    </row>
    <row r="309" spans="1:33" ht="13.5" customHeight="1">
      <c r="A309" s="46"/>
      <c r="B309" s="46"/>
      <c r="C309" s="41"/>
      <c r="D309" s="42"/>
      <c r="E309" s="42"/>
      <c r="F309" s="42"/>
      <c r="G309" s="43"/>
      <c r="H309" s="43"/>
      <c r="I309" s="43"/>
      <c r="J309" s="43"/>
      <c r="K309" s="43"/>
      <c r="L309" s="43"/>
      <c r="M309" s="43"/>
      <c r="N309" s="43"/>
      <c r="O309" s="43"/>
      <c r="P309" s="41"/>
      <c r="Q309" s="41"/>
      <c r="R309" s="41"/>
      <c r="S309" s="44"/>
      <c r="T309" s="45"/>
      <c r="U309" s="45"/>
      <c r="V309" s="45"/>
      <c r="W309" s="45"/>
      <c r="X309" s="46"/>
      <c r="Y309" s="46"/>
      <c r="Z309" s="46"/>
      <c r="AA309" s="46"/>
      <c r="AB309" s="46"/>
      <c r="AC309" s="46"/>
      <c r="AD309" s="46"/>
      <c r="AE309" s="46"/>
      <c r="AF309" s="46"/>
      <c r="AG309" s="46"/>
    </row>
    <row r="310" spans="1:33" ht="13.5" customHeight="1">
      <c r="A310" s="46"/>
      <c r="B310" s="46"/>
      <c r="C310" s="41"/>
      <c r="D310" s="42"/>
      <c r="E310" s="42"/>
      <c r="F310" s="42"/>
      <c r="G310" s="43"/>
      <c r="H310" s="43"/>
      <c r="I310" s="43"/>
      <c r="J310" s="43"/>
      <c r="K310" s="43"/>
      <c r="L310" s="43"/>
      <c r="M310" s="43"/>
      <c r="N310" s="43"/>
      <c r="O310" s="43"/>
      <c r="P310" s="41"/>
      <c r="Q310" s="41"/>
      <c r="R310" s="41"/>
      <c r="S310" s="44"/>
      <c r="T310" s="45"/>
      <c r="U310" s="45"/>
      <c r="V310" s="45"/>
      <c r="W310" s="45"/>
      <c r="X310" s="46"/>
      <c r="Y310" s="46"/>
      <c r="Z310" s="46"/>
      <c r="AA310" s="46"/>
      <c r="AB310" s="46"/>
      <c r="AC310" s="46"/>
      <c r="AD310" s="46"/>
      <c r="AE310" s="46"/>
      <c r="AF310" s="46"/>
      <c r="AG310" s="46"/>
    </row>
    <row r="311" spans="1:33" ht="13.5" customHeight="1">
      <c r="A311" s="46"/>
      <c r="B311" s="46"/>
      <c r="C311" s="41"/>
      <c r="D311" s="42"/>
      <c r="E311" s="42"/>
      <c r="F311" s="42"/>
      <c r="G311" s="43"/>
      <c r="H311" s="43"/>
      <c r="I311" s="43"/>
      <c r="J311" s="43"/>
      <c r="K311" s="43"/>
      <c r="L311" s="43"/>
      <c r="M311" s="43"/>
      <c r="N311" s="43"/>
      <c r="O311" s="43"/>
      <c r="P311" s="41"/>
      <c r="Q311" s="41"/>
      <c r="R311" s="41"/>
      <c r="S311" s="44"/>
      <c r="T311" s="45"/>
      <c r="U311" s="45"/>
      <c r="V311" s="45"/>
      <c r="W311" s="45"/>
      <c r="X311" s="46"/>
      <c r="Y311" s="46"/>
      <c r="Z311" s="46"/>
      <c r="AA311" s="46"/>
      <c r="AB311" s="46"/>
      <c r="AC311" s="46"/>
      <c r="AD311" s="46"/>
      <c r="AE311" s="46"/>
      <c r="AF311" s="46"/>
      <c r="AG311" s="46"/>
    </row>
    <row r="312" spans="1:33" ht="13.5" customHeight="1">
      <c r="A312" s="46"/>
      <c r="B312" s="46"/>
      <c r="C312" s="41"/>
      <c r="D312" s="42"/>
      <c r="E312" s="42"/>
      <c r="F312" s="42"/>
      <c r="G312" s="43"/>
      <c r="H312" s="43"/>
      <c r="I312" s="43"/>
      <c r="J312" s="43"/>
      <c r="K312" s="43"/>
      <c r="L312" s="43"/>
      <c r="M312" s="43"/>
      <c r="N312" s="43"/>
      <c r="O312" s="43"/>
      <c r="P312" s="41"/>
      <c r="Q312" s="41"/>
      <c r="R312" s="41"/>
      <c r="S312" s="44"/>
      <c r="T312" s="45"/>
      <c r="U312" s="45"/>
      <c r="V312" s="45"/>
      <c r="W312" s="45"/>
      <c r="X312" s="46"/>
      <c r="Y312" s="46"/>
      <c r="Z312" s="46"/>
      <c r="AA312" s="46"/>
      <c r="AB312" s="46"/>
      <c r="AC312" s="46"/>
      <c r="AD312" s="46"/>
      <c r="AE312" s="46"/>
      <c r="AF312" s="46"/>
      <c r="AG312" s="46"/>
    </row>
    <row r="313" spans="1:33" ht="13.5" customHeight="1">
      <c r="A313" s="46"/>
      <c r="B313" s="46"/>
      <c r="C313" s="41"/>
      <c r="D313" s="42"/>
      <c r="E313" s="42"/>
      <c r="F313" s="42"/>
      <c r="G313" s="43"/>
      <c r="H313" s="43"/>
      <c r="I313" s="43"/>
      <c r="J313" s="43"/>
      <c r="K313" s="43"/>
      <c r="L313" s="43"/>
      <c r="M313" s="43"/>
      <c r="N313" s="43"/>
      <c r="O313" s="43"/>
      <c r="P313" s="41"/>
      <c r="Q313" s="41"/>
      <c r="R313" s="41"/>
      <c r="S313" s="44"/>
      <c r="T313" s="45"/>
      <c r="U313" s="45"/>
      <c r="V313" s="45"/>
      <c r="W313" s="45"/>
      <c r="X313" s="46"/>
      <c r="Y313" s="46"/>
      <c r="Z313" s="46"/>
      <c r="AA313" s="46"/>
      <c r="AB313" s="46"/>
      <c r="AC313" s="46"/>
      <c r="AD313" s="46"/>
      <c r="AE313" s="46"/>
      <c r="AF313" s="46"/>
      <c r="AG313" s="46"/>
    </row>
    <row r="314" spans="1:33" ht="13.5" customHeight="1">
      <c r="A314" s="46"/>
      <c r="B314" s="46"/>
      <c r="C314" s="41"/>
      <c r="D314" s="42"/>
      <c r="E314" s="42"/>
      <c r="F314" s="42"/>
      <c r="G314" s="43"/>
      <c r="H314" s="43"/>
      <c r="I314" s="43"/>
      <c r="J314" s="43"/>
      <c r="K314" s="43"/>
      <c r="L314" s="43"/>
      <c r="M314" s="43"/>
      <c r="N314" s="43"/>
      <c r="O314" s="43"/>
      <c r="P314" s="41"/>
      <c r="Q314" s="41"/>
      <c r="R314" s="41"/>
      <c r="S314" s="44"/>
      <c r="T314" s="45"/>
      <c r="U314" s="45"/>
      <c r="V314" s="45"/>
      <c r="W314" s="45"/>
      <c r="X314" s="46"/>
      <c r="Y314" s="46"/>
      <c r="Z314" s="46"/>
      <c r="AA314" s="46"/>
      <c r="AB314" s="46"/>
      <c r="AC314" s="46"/>
      <c r="AD314" s="46"/>
      <c r="AE314" s="46"/>
      <c r="AF314" s="46"/>
      <c r="AG314" s="46"/>
    </row>
    <row r="315" spans="1:33" ht="13.5" customHeight="1">
      <c r="A315" s="46"/>
      <c r="B315" s="46"/>
      <c r="C315" s="41"/>
      <c r="D315" s="42"/>
      <c r="E315" s="42"/>
      <c r="F315" s="42"/>
      <c r="G315" s="43"/>
      <c r="H315" s="43"/>
      <c r="I315" s="43"/>
      <c r="J315" s="43"/>
      <c r="K315" s="43"/>
      <c r="L315" s="43"/>
      <c r="M315" s="43"/>
      <c r="N315" s="43"/>
      <c r="O315" s="43"/>
      <c r="P315" s="41"/>
      <c r="Q315" s="41"/>
      <c r="R315" s="41"/>
      <c r="S315" s="44"/>
      <c r="T315" s="45"/>
      <c r="U315" s="45"/>
      <c r="V315" s="45"/>
      <c r="W315" s="45"/>
      <c r="X315" s="46"/>
      <c r="Y315" s="46"/>
      <c r="Z315" s="46"/>
      <c r="AA315" s="46"/>
      <c r="AB315" s="46"/>
      <c r="AC315" s="46"/>
      <c r="AD315" s="46"/>
      <c r="AE315" s="46"/>
      <c r="AF315" s="46"/>
      <c r="AG315" s="46"/>
    </row>
    <row r="316" spans="1:33" ht="13.5" customHeight="1">
      <c r="A316" s="46"/>
      <c r="B316" s="46"/>
      <c r="C316" s="41"/>
      <c r="D316" s="42"/>
      <c r="E316" s="42"/>
      <c r="F316" s="42"/>
      <c r="G316" s="43"/>
      <c r="H316" s="43"/>
      <c r="I316" s="43"/>
      <c r="J316" s="43"/>
      <c r="K316" s="43"/>
      <c r="L316" s="43"/>
      <c r="M316" s="43"/>
      <c r="N316" s="43"/>
      <c r="O316" s="43"/>
      <c r="P316" s="41"/>
      <c r="Q316" s="41"/>
      <c r="R316" s="41"/>
      <c r="S316" s="44"/>
      <c r="T316" s="45"/>
      <c r="U316" s="45"/>
      <c r="V316" s="45"/>
      <c r="W316" s="45"/>
      <c r="X316" s="46"/>
      <c r="Y316" s="46"/>
      <c r="Z316" s="46"/>
      <c r="AA316" s="46"/>
      <c r="AB316" s="46"/>
      <c r="AC316" s="46"/>
      <c r="AD316" s="46"/>
      <c r="AE316" s="46"/>
      <c r="AF316" s="46"/>
      <c r="AG316" s="46"/>
    </row>
    <row r="317" spans="1:33" ht="13.5" customHeight="1">
      <c r="A317" s="46"/>
      <c r="B317" s="46"/>
      <c r="C317" s="41"/>
      <c r="D317" s="42"/>
      <c r="E317" s="42"/>
      <c r="F317" s="42"/>
      <c r="G317" s="43"/>
      <c r="H317" s="43"/>
      <c r="I317" s="43"/>
      <c r="J317" s="43"/>
      <c r="K317" s="43"/>
      <c r="L317" s="43"/>
      <c r="M317" s="43"/>
      <c r="N317" s="43"/>
      <c r="O317" s="43"/>
      <c r="P317" s="41"/>
      <c r="Q317" s="41"/>
      <c r="R317" s="41"/>
      <c r="S317" s="44"/>
      <c r="T317" s="45"/>
      <c r="U317" s="45"/>
      <c r="V317" s="45"/>
      <c r="W317" s="45"/>
      <c r="X317" s="46"/>
      <c r="Y317" s="46"/>
      <c r="Z317" s="46"/>
      <c r="AA317" s="46"/>
      <c r="AB317" s="46"/>
      <c r="AC317" s="46"/>
      <c r="AD317" s="46"/>
      <c r="AE317" s="46"/>
      <c r="AF317" s="46"/>
      <c r="AG317" s="46"/>
    </row>
    <row r="318" spans="1:33" ht="13.5" customHeight="1">
      <c r="A318" s="46"/>
      <c r="B318" s="46"/>
      <c r="C318" s="41"/>
      <c r="D318" s="42"/>
      <c r="E318" s="42"/>
      <c r="F318" s="42"/>
      <c r="G318" s="43"/>
      <c r="H318" s="43"/>
      <c r="I318" s="43"/>
      <c r="J318" s="43"/>
      <c r="K318" s="43"/>
      <c r="L318" s="43"/>
      <c r="M318" s="43"/>
      <c r="N318" s="43"/>
      <c r="O318" s="43"/>
      <c r="P318" s="41"/>
      <c r="Q318" s="41"/>
      <c r="R318" s="41"/>
      <c r="S318" s="44"/>
      <c r="T318" s="45"/>
      <c r="U318" s="45"/>
      <c r="V318" s="45"/>
      <c r="W318" s="45"/>
      <c r="X318" s="46"/>
      <c r="Y318" s="46"/>
      <c r="Z318" s="46"/>
      <c r="AA318" s="46"/>
      <c r="AB318" s="46"/>
      <c r="AC318" s="46"/>
      <c r="AD318" s="46"/>
      <c r="AE318" s="46"/>
      <c r="AF318" s="46"/>
      <c r="AG318" s="46"/>
    </row>
    <row r="319" spans="1:33" ht="13.5" customHeight="1">
      <c r="A319" s="46"/>
      <c r="B319" s="46"/>
      <c r="C319" s="41"/>
      <c r="D319" s="42"/>
      <c r="E319" s="42"/>
      <c r="F319" s="42"/>
      <c r="G319" s="43"/>
      <c r="H319" s="43"/>
      <c r="I319" s="43"/>
      <c r="J319" s="43"/>
      <c r="K319" s="43"/>
      <c r="L319" s="43"/>
      <c r="M319" s="43"/>
      <c r="N319" s="43"/>
      <c r="O319" s="43"/>
      <c r="P319" s="41"/>
      <c r="Q319" s="41"/>
      <c r="R319" s="41"/>
      <c r="S319" s="44"/>
      <c r="T319" s="45"/>
      <c r="U319" s="45"/>
      <c r="V319" s="45"/>
      <c r="W319" s="45"/>
      <c r="X319" s="46"/>
      <c r="Y319" s="46"/>
      <c r="Z319" s="46"/>
      <c r="AA319" s="46"/>
      <c r="AB319" s="46"/>
      <c r="AC319" s="46"/>
      <c r="AD319" s="46"/>
      <c r="AE319" s="46"/>
      <c r="AF319" s="46"/>
      <c r="AG319" s="46"/>
    </row>
    <row r="320" spans="1:33" ht="13.5" customHeight="1">
      <c r="A320" s="46"/>
      <c r="B320" s="46"/>
      <c r="C320" s="41"/>
      <c r="D320" s="42"/>
      <c r="E320" s="42"/>
      <c r="F320" s="42"/>
      <c r="G320" s="43"/>
      <c r="H320" s="43"/>
      <c r="I320" s="43"/>
      <c r="J320" s="43"/>
      <c r="K320" s="43"/>
      <c r="L320" s="43"/>
      <c r="M320" s="43"/>
      <c r="N320" s="43"/>
      <c r="O320" s="43"/>
      <c r="P320" s="41"/>
      <c r="Q320" s="41"/>
      <c r="R320" s="41"/>
      <c r="S320" s="44"/>
      <c r="T320" s="45"/>
      <c r="U320" s="45"/>
      <c r="V320" s="45"/>
      <c r="W320" s="45"/>
      <c r="X320" s="46"/>
      <c r="Y320" s="46"/>
      <c r="Z320" s="46"/>
      <c r="AA320" s="46"/>
      <c r="AB320" s="46"/>
      <c r="AC320" s="46"/>
      <c r="AD320" s="46"/>
      <c r="AE320" s="46"/>
      <c r="AF320" s="46"/>
      <c r="AG320" s="46"/>
    </row>
    <row r="321" spans="1:33" ht="13.5" customHeight="1">
      <c r="A321" s="46"/>
      <c r="B321" s="46"/>
      <c r="C321" s="41"/>
      <c r="D321" s="42"/>
      <c r="E321" s="42"/>
      <c r="F321" s="42"/>
      <c r="G321" s="43"/>
      <c r="H321" s="43"/>
      <c r="I321" s="43"/>
      <c r="J321" s="43"/>
      <c r="K321" s="43"/>
      <c r="L321" s="43"/>
      <c r="M321" s="43"/>
      <c r="N321" s="43"/>
      <c r="O321" s="43"/>
      <c r="P321" s="41"/>
      <c r="Q321" s="41"/>
      <c r="R321" s="41"/>
      <c r="S321" s="44"/>
      <c r="T321" s="45"/>
      <c r="U321" s="45"/>
      <c r="V321" s="45"/>
      <c r="W321" s="45"/>
      <c r="X321" s="46"/>
      <c r="Y321" s="46"/>
      <c r="Z321" s="46"/>
      <c r="AA321" s="46"/>
      <c r="AB321" s="46"/>
      <c r="AC321" s="46"/>
      <c r="AD321" s="46"/>
      <c r="AE321" s="46"/>
      <c r="AF321" s="46"/>
      <c r="AG321" s="46"/>
    </row>
    <row r="322" spans="1:33" ht="13.5" customHeight="1">
      <c r="A322" s="46"/>
      <c r="B322" s="46"/>
      <c r="C322" s="41"/>
      <c r="D322" s="42"/>
      <c r="E322" s="42"/>
      <c r="F322" s="42"/>
      <c r="G322" s="43"/>
      <c r="H322" s="43"/>
      <c r="I322" s="43"/>
      <c r="J322" s="43"/>
      <c r="K322" s="43"/>
      <c r="L322" s="43"/>
      <c r="M322" s="43"/>
      <c r="N322" s="43"/>
      <c r="O322" s="43"/>
      <c r="P322" s="41"/>
      <c r="Q322" s="41"/>
      <c r="R322" s="41"/>
      <c r="S322" s="44"/>
      <c r="T322" s="45"/>
      <c r="U322" s="45"/>
      <c r="V322" s="45"/>
      <c r="W322" s="45"/>
      <c r="X322" s="46"/>
      <c r="Y322" s="46"/>
      <c r="Z322" s="46"/>
      <c r="AA322" s="46"/>
      <c r="AB322" s="46"/>
      <c r="AC322" s="46"/>
      <c r="AD322" s="46"/>
      <c r="AE322" s="46"/>
      <c r="AF322" s="46"/>
      <c r="AG322" s="46"/>
    </row>
    <row r="323" spans="1:33" ht="13.5" customHeight="1">
      <c r="A323" s="46"/>
      <c r="B323" s="46"/>
      <c r="C323" s="41"/>
      <c r="D323" s="42"/>
      <c r="E323" s="42"/>
      <c r="F323" s="42"/>
      <c r="G323" s="43"/>
      <c r="H323" s="43"/>
      <c r="I323" s="43"/>
      <c r="J323" s="43"/>
      <c r="K323" s="43"/>
      <c r="L323" s="43"/>
      <c r="M323" s="43"/>
      <c r="N323" s="43"/>
      <c r="O323" s="43"/>
      <c r="P323" s="41"/>
      <c r="Q323" s="41"/>
      <c r="R323" s="41"/>
      <c r="S323" s="44"/>
      <c r="T323" s="45"/>
      <c r="U323" s="45"/>
      <c r="V323" s="45"/>
      <c r="W323" s="45"/>
      <c r="X323" s="46"/>
      <c r="Y323" s="46"/>
      <c r="Z323" s="46"/>
      <c r="AA323" s="46"/>
      <c r="AB323" s="46"/>
      <c r="AC323" s="46"/>
      <c r="AD323" s="46"/>
      <c r="AE323" s="46"/>
      <c r="AF323" s="46"/>
      <c r="AG323" s="46"/>
    </row>
    <row r="324" spans="1:33" ht="13.5" customHeight="1">
      <c r="A324" s="46"/>
      <c r="B324" s="46"/>
      <c r="C324" s="41"/>
      <c r="D324" s="42"/>
      <c r="E324" s="42"/>
      <c r="F324" s="42"/>
      <c r="G324" s="43"/>
      <c r="H324" s="43"/>
      <c r="I324" s="43"/>
      <c r="J324" s="43"/>
      <c r="K324" s="43"/>
      <c r="L324" s="43"/>
      <c r="M324" s="43"/>
      <c r="N324" s="43"/>
      <c r="O324" s="43"/>
      <c r="P324" s="41"/>
      <c r="Q324" s="41"/>
      <c r="R324" s="41"/>
      <c r="S324" s="44"/>
      <c r="T324" s="45"/>
      <c r="U324" s="45"/>
      <c r="V324" s="45"/>
      <c r="W324" s="45"/>
      <c r="X324" s="46"/>
      <c r="Y324" s="46"/>
      <c r="Z324" s="46"/>
      <c r="AA324" s="46"/>
      <c r="AB324" s="46"/>
      <c r="AC324" s="46"/>
      <c r="AD324" s="46"/>
      <c r="AE324" s="46"/>
      <c r="AF324" s="46"/>
      <c r="AG324" s="46"/>
    </row>
    <row r="325" spans="1:33" ht="13.5" customHeight="1">
      <c r="A325" s="46"/>
      <c r="B325" s="46"/>
      <c r="C325" s="41"/>
      <c r="D325" s="42"/>
      <c r="E325" s="42"/>
      <c r="F325" s="42"/>
      <c r="G325" s="43"/>
      <c r="H325" s="43"/>
      <c r="I325" s="43"/>
      <c r="J325" s="43"/>
      <c r="K325" s="43"/>
      <c r="L325" s="43"/>
      <c r="M325" s="43"/>
      <c r="N325" s="43"/>
      <c r="O325" s="43"/>
      <c r="P325" s="41"/>
      <c r="Q325" s="41"/>
      <c r="R325" s="41"/>
      <c r="S325" s="44"/>
      <c r="T325" s="45"/>
      <c r="U325" s="45"/>
      <c r="V325" s="45"/>
      <c r="W325" s="45"/>
      <c r="X325" s="46"/>
      <c r="Y325" s="46"/>
      <c r="Z325" s="46"/>
      <c r="AA325" s="46"/>
      <c r="AB325" s="46"/>
      <c r="AC325" s="46"/>
      <c r="AD325" s="46"/>
      <c r="AE325" s="46"/>
      <c r="AF325" s="46"/>
      <c r="AG325" s="46"/>
    </row>
    <row r="326" spans="1:33" ht="13.5" customHeight="1">
      <c r="A326" s="46"/>
      <c r="B326" s="46"/>
      <c r="C326" s="41"/>
      <c r="D326" s="42"/>
      <c r="E326" s="42"/>
      <c r="F326" s="42"/>
      <c r="G326" s="43"/>
      <c r="H326" s="43"/>
      <c r="I326" s="43"/>
      <c r="J326" s="43"/>
      <c r="K326" s="43"/>
      <c r="L326" s="43"/>
      <c r="M326" s="43"/>
      <c r="N326" s="43"/>
      <c r="O326" s="43"/>
      <c r="P326" s="41"/>
      <c r="Q326" s="41"/>
      <c r="R326" s="41"/>
      <c r="S326" s="44"/>
      <c r="T326" s="45"/>
      <c r="U326" s="45"/>
      <c r="V326" s="45"/>
      <c r="W326" s="45"/>
      <c r="X326" s="46"/>
      <c r="Y326" s="46"/>
      <c r="Z326" s="46"/>
      <c r="AA326" s="46"/>
      <c r="AB326" s="46"/>
      <c r="AC326" s="46"/>
      <c r="AD326" s="46"/>
      <c r="AE326" s="46"/>
      <c r="AF326" s="46"/>
      <c r="AG326" s="46"/>
    </row>
    <row r="327" spans="1:33" ht="13.5" customHeight="1">
      <c r="A327" s="46"/>
      <c r="B327" s="46"/>
      <c r="C327" s="41"/>
      <c r="D327" s="42"/>
      <c r="E327" s="42"/>
      <c r="F327" s="42"/>
      <c r="G327" s="43"/>
      <c r="H327" s="43"/>
      <c r="I327" s="43"/>
      <c r="J327" s="43"/>
      <c r="K327" s="43"/>
      <c r="L327" s="43"/>
      <c r="M327" s="43"/>
      <c r="N327" s="43"/>
      <c r="O327" s="43"/>
      <c r="P327" s="41"/>
      <c r="Q327" s="41"/>
      <c r="R327" s="41"/>
      <c r="S327" s="44"/>
      <c r="T327" s="45"/>
      <c r="U327" s="45"/>
      <c r="V327" s="45"/>
      <c r="W327" s="45"/>
      <c r="X327" s="46"/>
      <c r="Y327" s="46"/>
      <c r="Z327" s="46"/>
      <c r="AA327" s="46"/>
      <c r="AB327" s="46"/>
      <c r="AC327" s="46"/>
      <c r="AD327" s="46"/>
      <c r="AE327" s="46"/>
      <c r="AF327" s="46"/>
      <c r="AG327" s="46"/>
    </row>
    <row r="328" spans="1:33" ht="13.5" customHeight="1">
      <c r="A328" s="46"/>
      <c r="B328" s="46"/>
      <c r="C328" s="41"/>
      <c r="D328" s="42"/>
      <c r="E328" s="42"/>
      <c r="F328" s="42"/>
      <c r="G328" s="43"/>
      <c r="H328" s="43"/>
      <c r="I328" s="43"/>
      <c r="J328" s="43"/>
      <c r="K328" s="43"/>
      <c r="L328" s="43"/>
      <c r="M328" s="43"/>
      <c r="N328" s="43"/>
      <c r="O328" s="43"/>
      <c r="P328" s="41"/>
      <c r="Q328" s="41"/>
      <c r="R328" s="41"/>
      <c r="S328" s="44"/>
      <c r="T328" s="45"/>
      <c r="U328" s="45"/>
      <c r="V328" s="45"/>
      <c r="W328" s="45"/>
      <c r="X328" s="46"/>
      <c r="Y328" s="46"/>
      <c r="Z328" s="46"/>
      <c r="AA328" s="46"/>
      <c r="AB328" s="46"/>
      <c r="AC328" s="46"/>
      <c r="AD328" s="46"/>
      <c r="AE328" s="46"/>
      <c r="AF328" s="46"/>
      <c r="AG328" s="46"/>
    </row>
    <row r="329" spans="1:33" ht="13.5" customHeight="1">
      <c r="A329" s="46"/>
      <c r="B329" s="46"/>
      <c r="C329" s="41"/>
      <c r="D329" s="42"/>
      <c r="E329" s="42"/>
      <c r="F329" s="42"/>
      <c r="G329" s="43"/>
      <c r="H329" s="43"/>
      <c r="I329" s="43"/>
      <c r="J329" s="43"/>
      <c r="K329" s="43"/>
      <c r="L329" s="43"/>
      <c r="M329" s="43"/>
      <c r="N329" s="43"/>
      <c r="O329" s="43"/>
      <c r="P329" s="41"/>
      <c r="Q329" s="41"/>
      <c r="R329" s="41"/>
      <c r="S329" s="44"/>
      <c r="T329" s="45"/>
      <c r="U329" s="45"/>
      <c r="V329" s="45"/>
      <c r="W329" s="45"/>
      <c r="X329" s="46"/>
      <c r="Y329" s="46"/>
      <c r="Z329" s="46"/>
      <c r="AA329" s="46"/>
      <c r="AB329" s="46"/>
      <c r="AC329" s="46"/>
      <c r="AD329" s="46"/>
      <c r="AE329" s="46"/>
      <c r="AF329" s="46"/>
      <c r="AG329" s="46"/>
    </row>
    <row r="330" spans="1:33" ht="13.5" customHeight="1">
      <c r="A330" s="46"/>
      <c r="B330" s="46"/>
      <c r="C330" s="41"/>
      <c r="D330" s="42"/>
      <c r="E330" s="42"/>
      <c r="F330" s="42"/>
      <c r="G330" s="43"/>
      <c r="H330" s="43"/>
      <c r="I330" s="43"/>
      <c r="J330" s="43"/>
      <c r="K330" s="43"/>
      <c r="L330" s="43"/>
      <c r="M330" s="43"/>
      <c r="N330" s="43"/>
      <c r="O330" s="43"/>
      <c r="P330" s="41"/>
      <c r="Q330" s="41"/>
      <c r="R330" s="41"/>
      <c r="S330" s="44"/>
      <c r="T330" s="45"/>
      <c r="U330" s="45"/>
      <c r="V330" s="45"/>
      <c r="W330" s="45"/>
      <c r="X330" s="46"/>
      <c r="Y330" s="46"/>
      <c r="Z330" s="46"/>
      <c r="AA330" s="46"/>
      <c r="AB330" s="46"/>
      <c r="AC330" s="46"/>
      <c r="AD330" s="46"/>
      <c r="AE330" s="46"/>
      <c r="AF330" s="46"/>
      <c r="AG330" s="46"/>
    </row>
    <row r="331" spans="1:33" ht="13.5" customHeight="1">
      <c r="A331" s="46"/>
      <c r="B331" s="46"/>
      <c r="C331" s="41"/>
      <c r="D331" s="42"/>
      <c r="E331" s="42"/>
      <c r="F331" s="42"/>
      <c r="G331" s="43"/>
      <c r="H331" s="43"/>
      <c r="I331" s="43"/>
      <c r="J331" s="43"/>
      <c r="K331" s="43"/>
      <c r="L331" s="43"/>
      <c r="M331" s="43"/>
      <c r="N331" s="43"/>
      <c r="O331" s="43"/>
      <c r="P331" s="41"/>
      <c r="Q331" s="41"/>
      <c r="R331" s="41"/>
      <c r="S331" s="44"/>
      <c r="T331" s="45"/>
      <c r="U331" s="45"/>
      <c r="V331" s="45"/>
      <c r="W331" s="45"/>
      <c r="X331" s="46"/>
      <c r="Y331" s="46"/>
      <c r="Z331" s="46"/>
      <c r="AA331" s="46"/>
      <c r="AB331" s="46"/>
      <c r="AC331" s="46"/>
      <c r="AD331" s="46"/>
      <c r="AE331" s="46"/>
      <c r="AF331" s="46"/>
      <c r="AG331" s="46"/>
    </row>
    <row r="332" spans="1:33" ht="13.5" customHeight="1">
      <c r="A332" s="46"/>
      <c r="B332" s="46"/>
      <c r="C332" s="41"/>
      <c r="D332" s="42"/>
      <c r="E332" s="42"/>
      <c r="F332" s="42"/>
      <c r="G332" s="43"/>
      <c r="H332" s="43"/>
      <c r="I332" s="43"/>
      <c r="J332" s="43"/>
      <c r="K332" s="43"/>
      <c r="L332" s="43"/>
      <c r="M332" s="43"/>
      <c r="N332" s="43"/>
      <c r="O332" s="43"/>
      <c r="P332" s="41"/>
      <c r="Q332" s="41"/>
      <c r="R332" s="41"/>
      <c r="S332" s="44"/>
      <c r="T332" s="45"/>
      <c r="U332" s="45"/>
      <c r="V332" s="45"/>
      <c r="W332" s="45"/>
      <c r="X332" s="46"/>
      <c r="Y332" s="46"/>
      <c r="Z332" s="46"/>
      <c r="AA332" s="46"/>
      <c r="AB332" s="46"/>
      <c r="AC332" s="46"/>
      <c r="AD332" s="46"/>
      <c r="AE332" s="46"/>
      <c r="AF332" s="46"/>
      <c r="AG332" s="46"/>
    </row>
    <row r="333" spans="1:33" ht="13.5" customHeight="1">
      <c r="A333" s="46"/>
      <c r="B333" s="46"/>
      <c r="C333" s="41"/>
      <c r="D333" s="42"/>
      <c r="E333" s="42"/>
      <c r="F333" s="42"/>
      <c r="G333" s="43"/>
      <c r="H333" s="43"/>
      <c r="I333" s="43"/>
      <c r="J333" s="43"/>
      <c r="K333" s="43"/>
      <c r="L333" s="43"/>
      <c r="M333" s="43"/>
      <c r="N333" s="43"/>
      <c r="O333" s="43"/>
      <c r="P333" s="41"/>
      <c r="Q333" s="41"/>
      <c r="R333" s="41"/>
      <c r="S333" s="44"/>
      <c r="T333" s="45"/>
      <c r="U333" s="45"/>
      <c r="V333" s="45"/>
      <c r="W333" s="45"/>
      <c r="X333" s="46"/>
      <c r="Y333" s="46"/>
      <c r="Z333" s="46"/>
      <c r="AA333" s="46"/>
      <c r="AB333" s="46"/>
      <c r="AC333" s="46"/>
      <c r="AD333" s="46"/>
      <c r="AE333" s="46"/>
      <c r="AF333" s="46"/>
      <c r="AG333" s="46"/>
    </row>
    <row r="334" spans="1:33" ht="13.5" customHeight="1">
      <c r="A334" s="46"/>
      <c r="B334" s="46"/>
      <c r="C334" s="41"/>
      <c r="D334" s="42"/>
      <c r="E334" s="42"/>
      <c r="F334" s="42"/>
      <c r="G334" s="43"/>
      <c r="H334" s="43"/>
      <c r="I334" s="43"/>
      <c r="J334" s="43"/>
      <c r="K334" s="43"/>
      <c r="L334" s="43"/>
      <c r="M334" s="43"/>
      <c r="N334" s="43"/>
      <c r="O334" s="43"/>
      <c r="P334" s="41"/>
      <c r="Q334" s="41"/>
      <c r="R334" s="41"/>
      <c r="S334" s="44"/>
      <c r="T334" s="45"/>
      <c r="U334" s="45"/>
      <c r="V334" s="45"/>
      <c r="W334" s="45"/>
      <c r="X334" s="46"/>
      <c r="Y334" s="46"/>
      <c r="Z334" s="46"/>
      <c r="AA334" s="46"/>
      <c r="AB334" s="46"/>
      <c r="AC334" s="46"/>
      <c r="AD334" s="46"/>
      <c r="AE334" s="46"/>
      <c r="AF334" s="46"/>
      <c r="AG334" s="46"/>
    </row>
    <row r="335" spans="1:33" ht="13.5" customHeight="1">
      <c r="A335" s="46"/>
      <c r="B335" s="46"/>
      <c r="C335" s="41"/>
      <c r="D335" s="42"/>
      <c r="E335" s="42"/>
      <c r="F335" s="42"/>
      <c r="G335" s="43"/>
      <c r="H335" s="43"/>
      <c r="I335" s="43"/>
      <c r="J335" s="43"/>
      <c r="K335" s="43"/>
      <c r="L335" s="43"/>
      <c r="M335" s="43"/>
      <c r="N335" s="43"/>
      <c r="O335" s="43"/>
      <c r="P335" s="41"/>
      <c r="Q335" s="41"/>
      <c r="R335" s="41"/>
      <c r="S335" s="44"/>
      <c r="T335" s="45"/>
      <c r="U335" s="45"/>
      <c r="V335" s="45"/>
      <c r="W335" s="45"/>
      <c r="X335" s="46"/>
      <c r="Y335" s="46"/>
      <c r="Z335" s="46"/>
      <c r="AA335" s="46"/>
      <c r="AB335" s="46"/>
      <c r="AC335" s="46"/>
      <c r="AD335" s="46"/>
      <c r="AE335" s="46"/>
      <c r="AF335" s="46"/>
      <c r="AG335" s="46"/>
    </row>
    <row r="336" spans="1:33" ht="13.5" customHeight="1">
      <c r="A336" s="46"/>
      <c r="B336" s="46"/>
      <c r="C336" s="41"/>
      <c r="D336" s="42"/>
      <c r="E336" s="42"/>
      <c r="F336" s="42"/>
      <c r="G336" s="43"/>
      <c r="H336" s="43"/>
      <c r="I336" s="43"/>
      <c r="J336" s="43"/>
      <c r="K336" s="43"/>
      <c r="L336" s="43"/>
      <c r="M336" s="43"/>
      <c r="N336" s="43"/>
      <c r="O336" s="43"/>
      <c r="P336" s="41"/>
      <c r="Q336" s="41"/>
      <c r="R336" s="41"/>
      <c r="S336" s="44"/>
      <c r="T336" s="45"/>
      <c r="U336" s="45"/>
      <c r="V336" s="45"/>
      <c r="W336" s="45"/>
      <c r="X336" s="46"/>
      <c r="Y336" s="46"/>
      <c r="Z336" s="46"/>
      <c r="AA336" s="46"/>
      <c r="AB336" s="46"/>
      <c r="AC336" s="46"/>
      <c r="AD336" s="46"/>
      <c r="AE336" s="46"/>
      <c r="AF336" s="46"/>
      <c r="AG336" s="46"/>
    </row>
    <row r="337" spans="1:33" ht="13.5" customHeight="1">
      <c r="A337" s="46"/>
      <c r="B337" s="46"/>
      <c r="C337" s="41"/>
      <c r="D337" s="42"/>
      <c r="E337" s="42"/>
      <c r="F337" s="42"/>
      <c r="G337" s="43"/>
      <c r="H337" s="43"/>
      <c r="I337" s="43"/>
      <c r="J337" s="43"/>
      <c r="K337" s="43"/>
      <c r="L337" s="43"/>
      <c r="M337" s="43"/>
      <c r="N337" s="43"/>
      <c r="O337" s="43"/>
      <c r="P337" s="41"/>
      <c r="Q337" s="41"/>
      <c r="R337" s="41"/>
      <c r="S337" s="44"/>
      <c r="T337" s="45"/>
      <c r="U337" s="45"/>
      <c r="V337" s="45"/>
      <c r="W337" s="45"/>
      <c r="X337" s="46"/>
      <c r="Y337" s="46"/>
      <c r="Z337" s="46"/>
      <c r="AA337" s="46"/>
      <c r="AB337" s="46"/>
      <c r="AC337" s="46"/>
      <c r="AD337" s="46"/>
      <c r="AE337" s="46"/>
      <c r="AF337" s="46"/>
      <c r="AG337" s="46"/>
    </row>
    <row r="338" spans="1:33" ht="13.5" customHeight="1">
      <c r="A338" s="46"/>
      <c r="B338" s="46"/>
      <c r="C338" s="41"/>
      <c r="D338" s="42"/>
      <c r="E338" s="42"/>
      <c r="F338" s="42"/>
      <c r="G338" s="43"/>
      <c r="H338" s="43"/>
      <c r="I338" s="43"/>
      <c r="J338" s="43"/>
      <c r="K338" s="43"/>
      <c r="L338" s="43"/>
      <c r="M338" s="43"/>
      <c r="N338" s="43"/>
      <c r="O338" s="43"/>
      <c r="P338" s="41"/>
      <c r="Q338" s="41"/>
      <c r="R338" s="41"/>
      <c r="S338" s="44"/>
      <c r="T338" s="45"/>
      <c r="U338" s="45"/>
      <c r="V338" s="45"/>
      <c r="W338" s="45"/>
      <c r="X338" s="46"/>
      <c r="Y338" s="46"/>
      <c r="Z338" s="46"/>
      <c r="AA338" s="46"/>
      <c r="AB338" s="46"/>
      <c r="AC338" s="46"/>
      <c r="AD338" s="46"/>
      <c r="AE338" s="46"/>
      <c r="AF338" s="46"/>
      <c r="AG338" s="46"/>
    </row>
    <row r="339" spans="1:33" ht="13.5" customHeight="1">
      <c r="A339" s="46"/>
      <c r="B339" s="46"/>
      <c r="C339" s="41"/>
      <c r="D339" s="42"/>
      <c r="E339" s="42"/>
      <c r="F339" s="42"/>
      <c r="G339" s="43"/>
      <c r="H339" s="43"/>
      <c r="I339" s="43"/>
      <c r="J339" s="43"/>
      <c r="K339" s="43"/>
      <c r="L339" s="43"/>
      <c r="M339" s="43"/>
      <c r="N339" s="43"/>
      <c r="O339" s="43"/>
      <c r="P339" s="41"/>
      <c r="Q339" s="41"/>
      <c r="R339" s="41"/>
      <c r="S339" s="44"/>
      <c r="T339" s="45"/>
      <c r="U339" s="45"/>
      <c r="V339" s="45"/>
      <c r="W339" s="45"/>
      <c r="X339" s="46"/>
      <c r="Y339" s="46"/>
      <c r="Z339" s="46"/>
      <c r="AA339" s="46"/>
      <c r="AB339" s="46"/>
      <c r="AC339" s="46"/>
      <c r="AD339" s="46"/>
      <c r="AE339" s="46"/>
      <c r="AF339" s="46"/>
      <c r="AG339" s="46"/>
    </row>
    <row r="340" spans="1:33" ht="13.5" customHeight="1">
      <c r="A340" s="46"/>
      <c r="B340" s="46"/>
      <c r="C340" s="41"/>
      <c r="D340" s="42"/>
      <c r="E340" s="42"/>
      <c r="F340" s="42"/>
      <c r="G340" s="43"/>
      <c r="H340" s="43"/>
      <c r="I340" s="43"/>
      <c r="J340" s="43"/>
      <c r="K340" s="43"/>
      <c r="L340" s="43"/>
      <c r="M340" s="43"/>
      <c r="N340" s="43"/>
      <c r="O340" s="43"/>
      <c r="P340" s="41"/>
      <c r="Q340" s="41"/>
      <c r="R340" s="41"/>
      <c r="S340" s="44"/>
      <c r="T340" s="45"/>
      <c r="U340" s="45"/>
      <c r="V340" s="45"/>
      <c r="W340" s="45"/>
      <c r="X340" s="46"/>
      <c r="Y340" s="46"/>
      <c r="Z340" s="46"/>
      <c r="AA340" s="46"/>
      <c r="AB340" s="46"/>
      <c r="AC340" s="46"/>
      <c r="AD340" s="46"/>
      <c r="AE340" s="46"/>
      <c r="AF340" s="46"/>
      <c r="AG340" s="46"/>
    </row>
    <row r="341" spans="1:33" ht="13.5" customHeight="1">
      <c r="A341" s="46"/>
      <c r="B341" s="46"/>
      <c r="C341" s="41"/>
      <c r="D341" s="42"/>
      <c r="E341" s="42"/>
      <c r="F341" s="42"/>
      <c r="G341" s="43"/>
      <c r="H341" s="43"/>
      <c r="I341" s="43"/>
      <c r="J341" s="43"/>
      <c r="K341" s="43"/>
      <c r="L341" s="43"/>
      <c r="M341" s="43"/>
      <c r="N341" s="43"/>
      <c r="O341" s="43"/>
      <c r="P341" s="41"/>
      <c r="Q341" s="41"/>
      <c r="R341" s="41"/>
      <c r="S341" s="44"/>
      <c r="T341" s="45"/>
      <c r="U341" s="45"/>
      <c r="V341" s="45"/>
      <c r="W341" s="45"/>
      <c r="X341" s="46"/>
      <c r="Y341" s="46"/>
      <c r="Z341" s="46"/>
      <c r="AA341" s="46"/>
      <c r="AB341" s="46"/>
      <c r="AC341" s="46"/>
      <c r="AD341" s="46"/>
      <c r="AE341" s="46"/>
      <c r="AF341" s="46"/>
      <c r="AG341" s="46"/>
    </row>
    <row r="342" spans="1:33" ht="13.5" customHeight="1">
      <c r="A342" s="46"/>
      <c r="B342" s="46"/>
      <c r="C342" s="41"/>
      <c r="D342" s="42"/>
      <c r="E342" s="42"/>
      <c r="F342" s="42"/>
      <c r="G342" s="43"/>
      <c r="H342" s="43"/>
      <c r="I342" s="43"/>
      <c r="J342" s="43"/>
      <c r="K342" s="43"/>
      <c r="L342" s="43"/>
      <c r="M342" s="43"/>
      <c r="N342" s="43"/>
      <c r="O342" s="43"/>
      <c r="P342" s="41"/>
      <c r="Q342" s="41"/>
      <c r="R342" s="41"/>
      <c r="S342" s="44"/>
      <c r="T342" s="45"/>
      <c r="U342" s="45"/>
      <c r="V342" s="45"/>
      <c r="W342" s="45"/>
      <c r="X342" s="46"/>
      <c r="Y342" s="46"/>
      <c r="Z342" s="46"/>
      <c r="AA342" s="46"/>
      <c r="AB342" s="46"/>
      <c r="AC342" s="46"/>
      <c r="AD342" s="46"/>
      <c r="AE342" s="46"/>
      <c r="AF342" s="46"/>
      <c r="AG342" s="46"/>
    </row>
    <row r="343" spans="1:33" ht="13.5" customHeight="1">
      <c r="A343" s="46"/>
      <c r="B343" s="46"/>
      <c r="C343" s="41"/>
      <c r="D343" s="42"/>
      <c r="E343" s="42"/>
      <c r="F343" s="42"/>
      <c r="G343" s="43"/>
      <c r="H343" s="43"/>
      <c r="I343" s="43"/>
      <c r="J343" s="43"/>
      <c r="K343" s="43"/>
      <c r="L343" s="43"/>
      <c r="M343" s="43"/>
      <c r="N343" s="43"/>
      <c r="O343" s="43"/>
      <c r="P343" s="41"/>
      <c r="Q343" s="41"/>
      <c r="R343" s="41"/>
      <c r="S343" s="44"/>
      <c r="T343" s="45"/>
      <c r="U343" s="45"/>
      <c r="V343" s="45"/>
      <c r="W343" s="45"/>
      <c r="X343" s="46"/>
      <c r="Y343" s="46"/>
      <c r="Z343" s="46"/>
      <c r="AA343" s="46"/>
      <c r="AB343" s="46"/>
      <c r="AC343" s="46"/>
      <c r="AD343" s="46"/>
      <c r="AE343" s="46"/>
      <c r="AF343" s="46"/>
      <c r="AG343" s="46"/>
    </row>
    <row r="344" spans="1:33" ht="13.5" customHeight="1">
      <c r="A344" s="46"/>
      <c r="B344" s="46"/>
      <c r="C344" s="41"/>
      <c r="D344" s="42"/>
      <c r="E344" s="42"/>
      <c r="F344" s="42"/>
      <c r="G344" s="43"/>
      <c r="H344" s="43"/>
      <c r="I344" s="43"/>
      <c r="J344" s="43"/>
      <c r="K344" s="43"/>
      <c r="L344" s="43"/>
      <c r="M344" s="43"/>
      <c r="N344" s="43"/>
      <c r="O344" s="43"/>
      <c r="P344" s="41"/>
      <c r="Q344" s="41"/>
      <c r="R344" s="41"/>
      <c r="S344" s="44"/>
      <c r="T344" s="45"/>
      <c r="U344" s="45"/>
      <c r="V344" s="45"/>
      <c r="W344" s="45"/>
      <c r="X344" s="46"/>
      <c r="Y344" s="46"/>
      <c r="Z344" s="46"/>
      <c r="AA344" s="46"/>
      <c r="AB344" s="46"/>
      <c r="AC344" s="46"/>
      <c r="AD344" s="46"/>
      <c r="AE344" s="46"/>
      <c r="AF344" s="46"/>
      <c r="AG344" s="46"/>
    </row>
    <row r="345" spans="1:33" ht="13.5" customHeight="1">
      <c r="A345" s="46"/>
      <c r="B345" s="46"/>
      <c r="C345" s="41"/>
      <c r="D345" s="42"/>
      <c r="E345" s="42"/>
      <c r="F345" s="42"/>
      <c r="G345" s="43"/>
      <c r="H345" s="43"/>
      <c r="I345" s="43"/>
      <c r="J345" s="43"/>
      <c r="K345" s="43"/>
      <c r="L345" s="43"/>
      <c r="M345" s="43"/>
      <c r="N345" s="43"/>
      <c r="O345" s="43"/>
      <c r="P345" s="41"/>
      <c r="Q345" s="41"/>
      <c r="R345" s="41"/>
      <c r="S345" s="44"/>
      <c r="T345" s="45"/>
      <c r="U345" s="45"/>
      <c r="V345" s="45"/>
      <c r="W345" s="45"/>
      <c r="X345" s="46"/>
      <c r="Y345" s="46"/>
      <c r="Z345" s="46"/>
      <c r="AA345" s="46"/>
      <c r="AB345" s="46"/>
      <c r="AC345" s="46"/>
      <c r="AD345" s="46"/>
      <c r="AE345" s="46"/>
      <c r="AF345" s="46"/>
      <c r="AG345" s="46"/>
    </row>
    <row r="346" spans="1:33" ht="13.5" customHeight="1">
      <c r="A346" s="46"/>
      <c r="B346" s="46"/>
      <c r="C346" s="41"/>
      <c r="D346" s="42"/>
      <c r="E346" s="42"/>
      <c r="F346" s="42"/>
      <c r="G346" s="43"/>
      <c r="H346" s="43"/>
      <c r="I346" s="43"/>
      <c r="J346" s="43"/>
      <c r="K346" s="43"/>
      <c r="L346" s="43"/>
      <c r="M346" s="43"/>
      <c r="N346" s="43"/>
      <c r="O346" s="43"/>
      <c r="P346" s="41"/>
      <c r="Q346" s="41"/>
      <c r="R346" s="41"/>
      <c r="S346" s="44"/>
      <c r="T346" s="45"/>
      <c r="U346" s="45"/>
      <c r="V346" s="45"/>
      <c r="W346" s="45"/>
      <c r="X346" s="46"/>
      <c r="Y346" s="46"/>
      <c r="Z346" s="46"/>
      <c r="AA346" s="46"/>
      <c r="AB346" s="46"/>
      <c r="AC346" s="46"/>
      <c r="AD346" s="46"/>
      <c r="AE346" s="46"/>
      <c r="AF346" s="46"/>
      <c r="AG346" s="46"/>
    </row>
    <row r="347" spans="1:33" ht="13.5" customHeight="1">
      <c r="A347" s="46"/>
      <c r="B347" s="46"/>
      <c r="C347" s="41"/>
      <c r="D347" s="42"/>
      <c r="E347" s="42"/>
      <c r="F347" s="42"/>
      <c r="G347" s="43"/>
      <c r="H347" s="43"/>
      <c r="I347" s="43"/>
      <c r="J347" s="43"/>
      <c r="K347" s="43"/>
      <c r="L347" s="43"/>
      <c r="M347" s="43"/>
      <c r="N347" s="43"/>
      <c r="O347" s="43"/>
      <c r="P347" s="41"/>
      <c r="Q347" s="41"/>
      <c r="R347" s="41"/>
      <c r="S347" s="44"/>
      <c r="T347" s="45"/>
      <c r="U347" s="45"/>
      <c r="V347" s="45"/>
      <c r="W347" s="45"/>
      <c r="X347" s="46"/>
      <c r="Y347" s="46"/>
      <c r="Z347" s="46"/>
      <c r="AA347" s="46"/>
      <c r="AB347" s="46"/>
      <c r="AC347" s="46"/>
      <c r="AD347" s="46"/>
      <c r="AE347" s="46"/>
      <c r="AF347" s="46"/>
      <c r="AG347" s="46"/>
    </row>
    <row r="348" spans="1:33" ht="13.5" customHeight="1">
      <c r="A348" s="46"/>
      <c r="B348" s="46"/>
      <c r="C348" s="41"/>
      <c r="D348" s="42"/>
      <c r="E348" s="42"/>
      <c r="F348" s="42"/>
      <c r="G348" s="43"/>
      <c r="H348" s="43"/>
      <c r="I348" s="43"/>
      <c r="J348" s="43"/>
      <c r="K348" s="43"/>
      <c r="L348" s="43"/>
      <c r="M348" s="43"/>
      <c r="N348" s="43"/>
      <c r="O348" s="43"/>
      <c r="P348" s="41"/>
      <c r="Q348" s="41"/>
      <c r="R348" s="41"/>
      <c r="S348" s="44"/>
      <c r="T348" s="45"/>
      <c r="U348" s="45"/>
      <c r="V348" s="45"/>
      <c r="W348" s="45"/>
      <c r="X348" s="46"/>
      <c r="Y348" s="46"/>
      <c r="Z348" s="46"/>
      <c r="AA348" s="46"/>
      <c r="AB348" s="46"/>
      <c r="AC348" s="46"/>
      <c r="AD348" s="46"/>
      <c r="AE348" s="46"/>
      <c r="AF348" s="46"/>
      <c r="AG348" s="46"/>
    </row>
    <row r="349" spans="1:33" ht="13.5" customHeight="1">
      <c r="A349" s="46"/>
      <c r="B349" s="46"/>
      <c r="C349" s="41"/>
      <c r="D349" s="42"/>
      <c r="E349" s="42"/>
      <c r="F349" s="42"/>
      <c r="G349" s="43"/>
      <c r="H349" s="43"/>
      <c r="I349" s="43"/>
      <c r="J349" s="43"/>
      <c r="K349" s="43"/>
      <c r="L349" s="43"/>
      <c r="M349" s="43"/>
      <c r="N349" s="43"/>
      <c r="O349" s="43"/>
      <c r="P349" s="41"/>
      <c r="Q349" s="41"/>
      <c r="R349" s="41"/>
      <c r="S349" s="44"/>
      <c r="T349" s="45"/>
      <c r="U349" s="45"/>
      <c r="V349" s="45"/>
      <c r="W349" s="45"/>
      <c r="X349" s="46"/>
      <c r="Y349" s="46"/>
      <c r="Z349" s="46"/>
      <c r="AA349" s="46"/>
      <c r="AB349" s="46"/>
      <c r="AC349" s="46"/>
      <c r="AD349" s="46"/>
      <c r="AE349" s="46"/>
      <c r="AF349" s="46"/>
      <c r="AG349" s="46"/>
    </row>
    <row r="350" spans="1:33" ht="13.5" customHeight="1">
      <c r="A350" s="46"/>
      <c r="B350" s="46"/>
      <c r="C350" s="41"/>
      <c r="D350" s="42"/>
      <c r="E350" s="42"/>
      <c r="F350" s="42"/>
      <c r="G350" s="43"/>
      <c r="H350" s="43"/>
      <c r="I350" s="43"/>
      <c r="J350" s="43"/>
      <c r="K350" s="43"/>
      <c r="L350" s="43"/>
      <c r="M350" s="43"/>
      <c r="N350" s="43"/>
      <c r="O350" s="43"/>
      <c r="P350" s="41"/>
      <c r="Q350" s="41"/>
      <c r="R350" s="41"/>
      <c r="S350" s="44"/>
      <c r="T350" s="45"/>
      <c r="U350" s="45"/>
      <c r="V350" s="45"/>
      <c r="W350" s="45"/>
      <c r="X350" s="46"/>
      <c r="Y350" s="46"/>
      <c r="Z350" s="46"/>
      <c r="AA350" s="46"/>
      <c r="AB350" s="46"/>
      <c r="AC350" s="46"/>
      <c r="AD350" s="46"/>
      <c r="AE350" s="46"/>
      <c r="AF350" s="46"/>
      <c r="AG350" s="46"/>
    </row>
    <row r="351" spans="1:33" ht="13.5" customHeight="1">
      <c r="A351" s="46"/>
      <c r="B351" s="46"/>
      <c r="C351" s="41"/>
      <c r="D351" s="42"/>
      <c r="E351" s="42"/>
      <c r="F351" s="42"/>
      <c r="G351" s="43"/>
      <c r="H351" s="43"/>
      <c r="I351" s="43"/>
      <c r="J351" s="43"/>
      <c r="K351" s="43"/>
      <c r="L351" s="43"/>
      <c r="M351" s="43"/>
      <c r="N351" s="43"/>
      <c r="O351" s="43"/>
      <c r="P351" s="41"/>
      <c r="Q351" s="41"/>
      <c r="R351" s="41"/>
      <c r="S351" s="44"/>
      <c r="T351" s="45"/>
      <c r="U351" s="45"/>
      <c r="V351" s="45"/>
      <c r="W351" s="45"/>
      <c r="X351" s="46"/>
      <c r="Y351" s="46"/>
      <c r="Z351" s="46"/>
      <c r="AA351" s="46"/>
      <c r="AB351" s="46"/>
      <c r="AC351" s="46"/>
      <c r="AD351" s="46"/>
      <c r="AE351" s="46"/>
      <c r="AF351" s="46"/>
      <c r="AG351" s="46"/>
    </row>
    <row r="352" spans="1:33" ht="13.5" customHeight="1">
      <c r="A352" s="46"/>
      <c r="B352" s="46"/>
      <c r="C352" s="41"/>
      <c r="D352" s="42"/>
      <c r="E352" s="42"/>
      <c r="F352" s="42"/>
      <c r="G352" s="43"/>
      <c r="H352" s="43"/>
      <c r="I352" s="43"/>
      <c r="J352" s="43"/>
      <c r="K352" s="43"/>
      <c r="L352" s="43"/>
      <c r="M352" s="43"/>
      <c r="N352" s="43"/>
      <c r="O352" s="43"/>
      <c r="P352" s="41"/>
      <c r="Q352" s="41"/>
      <c r="R352" s="41"/>
      <c r="S352" s="44"/>
      <c r="T352" s="45"/>
      <c r="U352" s="45"/>
      <c r="V352" s="45"/>
      <c r="W352" s="45"/>
      <c r="X352" s="46"/>
      <c r="Y352" s="46"/>
      <c r="Z352" s="46"/>
      <c r="AA352" s="46"/>
      <c r="AB352" s="46"/>
      <c r="AC352" s="46"/>
      <c r="AD352" s="46"/>
      <c r="AE352" s="46"/>
      <c r="AF352" s="46"/>
      <c r="AG352" s="46"/>
    </row>
    <row r="353" spans="1:33" ht="13.5" customHeight="1">
      <c r="A353" s="46"/>
      <c r="B353" s="46"/>
      <c r="C353" s="41"/>
      <c r="D353" s="42"/>
      <c r="E353" s="42"/>
      <c r="F353" s="42"/>
      <c r="G353" s="43"/>
      <c r="H353" s="43"/>
      <c r="I353" s="43"/>
      <c r="J353" s="43"/>
      <c r="K353" s="43"/>
      <c r="L353" s="43"/>
      <c r="M353" s="43"/>
      <c r="N353" s="43"/>
      <c r="O353" s="43"/>
      <c r="P353" s="41"/>
      <c r="Q353" s="41"/>
      <c r="R353" s="41"/>
      <c r="S353" s="44"/>
      <c r="T353" s="45"/>
      <c r="U353" s="45"/>
      <c r="V353" s="45"/>
      <c r="W353" s="45"/>
      <c r="X353" s="46"/>
      <c r="Y353" s="46"/>
      <c r="Z353" s="46"/>
      <c r="AA353" s="46"/>
      <c r="AB353" s="46"/>
      <c r="AC353" s="46"/>
      <c r="AD353" s="46"/>
      <c r="AE353" s="46"/>
      <c r="AF353" s="46"/>
      <c r="AG353" s="46"/>
    </row>
    <row r="354" spans="1:33" ht="13.5" customHeight="1">
      <c r="A354" s="46"/>
      <c r="B354" s="46"/>
      <c r="C354" s="41"/>
      <c r="D354" s="42"/>
      <c r="E354" s="42"/>
      <c r="F354" s="42"/>
      <c r="G354" s="43"/>
      <c r="H354" s="43"/>
      <c r="I354" s="43"/>
      <c r="J354" s="43"/>
      <c r="K354" s="43"/>
      <c r="L354" s="43"/>
      <c r="M354" s="43"/>
      <c r="N354" s="43"/>
      <c r="O354" s="43"/>
      <c r="P354" s="41"/>
      <c r="Q354" s="41"/>
      <c r="R354" s="41"/>
      <c r="S354" s="44"/>
      <c r="T354" s="45"/>
      <c r="U354" s="45"/>
      <c r="V354" s="45"/>
      <c r="W354" s="45"/>
      <c r="X354" s="46"/>
      <c r="Y354" s="46"/>
      <c r="Z354" s="46"/>
      <c r="AA354" s="46"/>
      <c r="AB354" s="46"/>
      <c r="AC354" s="46"/>
      <c r="AD354" s="46"/>
      <c r="AE354" s="46"/>
      <c r="AF354" s="46"/>
      <c r="AG354" s="46"/>
    </row>
    <row r="355" spans="1:33" ht="13.5" customHeight="1">
      <c r="A355" s="46"/>
      <c r="B355" s="46"/>
      <c r="C355" s="41"/>
      <c r="D355" s="42"/>
      <c r="E355" s="42"/>
      <c r="F355" s="42"/>
      <c r="G355" s="43"/>
      <c r="H355" s="43"/>
      <c r="I355" s="43"/>
      <c r="J355" s="43"/>
      <c r="K355" s="43"/>
      <c r="L355" s="43"/>
      <c r="M355" s="43"/>
      <c r="N355" s="43"/>
      <c r="O355" s="43"/>
      <c r="P355" s="41"/>
      <c r="Q355" s="41"/>
      <c r="R355" s="41"/>
      <c r="S355" s="44"/>
      <c r="T355" s="45"/>
      <c r="U355" s="45"/>
      <c r="V355" s="45"/>
      <c r="W355" s="45"/>
      <c r="X355" s="46"/>
      <c r="Y355" s="46"/>
      <c r="Z355" s="46"/>
      <c r="AA355" s="46"/>
      <c r="AB355" s="46"/>
      <c r="AC355" s="46"/>
      <c r="AD355" s="46"/>
      <c r="AE355" s="46"/>
      <c r="AF355" s="46"/>
      <c r="AG355" s="46"/>
    </row>
    <row r="356" spans="1:33" ht="13.5" customHeight="1">
      <c r="A356" s="46"/>
      <c r="B356" s="46"/>
      <c r="C356" s="41"/>
      <c r="D356" s="42"/>
      <c r="E356" s="42"/>
      <c r="F356" s="42"/>
      <c r="G356" s="43"/>
      <c r="H356" s="43"/>
      <c r="I356" s="43"/>
      <c r="J356" s="43"/>
      <c r="K356" s="43"/>
      <c r="L356" s="43"/>
      <c r="M356" s="43"/>
      <c r="N356" s="43"/>
      <c r="O356" s="43"/>
      <c r="P356" s="41"/>
      <c r="Q356" s="41"/>
      <c r="R356" s="41"/>
      <c r="S356" s="44"/>
      <c r="T356" s="45"/>
      <c r="U356" s="45"/>
      <c r="V356" s="45"/>
      <c r="W356" s="45"/>
      <c r="X356" s="46"/>
      <c r="Y356" s="46"/>
      <c r="Z356" s="46"/>
      <c r="AA356" s="46"/>
      <c r="AB356" s="46"/>
      <c r="AC356" s="46"/>
      <c r="AD356" s="46"/>
      <c r="AE356" s="46"/>
      <c r="AF356" s="46"/>
      <c r="AG356" s="46"/>
    </row>
    <row r="357" spans="1:33" ht="13.5" customHeight="1">
      <c r="A357" s="46"/>
      <c r="B357" s="46"/>
      <c r="C357" s="41"/>
      <c r="D357" s="42"/>
      <c r="E357" s="42"/>
      <c r="F357" s="42"/>
      <c r="G357" s="43"/>
      <c r="H357" s="43"/>
      <c r="I357" s="43"/>
      <c r="J357" s="43"/>
      <c r="K357" s="43"/>
      <c r="L357" s="43"/>
      <c r="M357" s="43"/>
      <c r="N357" s="43"/>
      <c r="O357" s="43"/>
      <c r="P357" s="41"/>
      <c r="Q357" s="41"/>
      <c r="R357" s="41"/>
      <c r="S357" s="44"/>
      <c r="T357" s="45"/>
      <c r="U357" s="45"/>
      <c r="V357" s="45"/>
      <c r="W357" s="45"/>
      <c r="X357" s="46"/>
      <c r="Y357" s="46"/>
      <c r="Z357" s="46"/>
      <c r="AA357" s="46"/>
      <c r="AB357" s="46"/>
      <c r="AC357" s="46"/>
      <c r="AD357" s="46"/>
      <c r="AE357" s="46"/>
      <c r="AF357" s="46"/>
      <c r="AG357" s="46"/>
    </row>
    <row r="358" spans="1:33" ht="13.5" customHeight="1">
      <c r="A358" s="46"/>
      <c r="B358" s="46"/>
      <c r="C358" s="41"/>
      <c r="D358" s="42"/>
      <c r="E358" s="42"/>
      <c r="F358" s="42"/>
      <c r="G358" s="43"/>
      <c r="H358" s="43"/>
      <c r="I358" s="43"/>
      <c r="J358" s="43"/>
      <c r="K358" s="43"/>
      <c r="L358" s="43"/>
      <c r="M358" s="43"/>
      <c r="N358" s="43"/>
      <c r="O358" s="43"/>
      <c r="P358" s="41"/>
      <c r="Q358" s="41"/>
      <c r="R358" s="41"/>
      <c r="S358" s="44"/>
      <c r="T358" s="45"/>
      <c r="U358" s="45"/>
      <c r="V358" s="45"/>
      <c r="W358" s="45"/>
      <c r="X358" s="46"/>
      <c r="Y358" s="46"/>
      <c r="Z358" s="46"/>
      <c r="AA358" s="46"/>
      <c r="AB358" s="46"/>
      <c r="AC358" s="46"/>
      <c r="AD358" s="46"/>
      <c r="AE358" s="46"/>
      <c r="AF358" s="46"/>
      <c r="AG358" s="46"/>
    </row>
    <row r="359" spans="1:33" ht="13.5" customHeight="1">
      <c r="A359" s="46"/>
      <c r="B359" s="46"/>
      <c r="C359" s="41"/>
      <c r="D359" s="42"/>
      <c r="E359" s="42"/>
      <c r="F359" s="42"/>
      <c r="G359" s="43"/>
      <c r="H359" s="43"/>
      <c r="I359" s="43"/>
      <c r="J359" s="43"/>
      <c r="K359" s="43"/>
      <c r="L359" s="43"/>
      <c r="M359" s="43"/>
      <c r="N359" s="43"/>
      <c r="O359" s="43"/>
      <c r="P359" s="41"/>
      <c r="Q359" s="41"/>
      <c r="R359" s="41"/>
      <c r="S359" s="44"/>
      <c r="T359" s="45"/>
      <c r="U359" s="45"/>
      <c r="V359" s="45"/>
      <c r="W359" s="45"/>
      <c r="X359" s="46"/>
      <c r="Y359" s="46"/>
      <c r="Z359" s="46"/>
      <c r="AA359" s="46"/>
      <c r="AB359" s="46"/>
      <c r="AC359" s="46"/>
      <c r="AD359" s="46"/>
      <c r="AE359" s="46"/>
      <c r="AF359" s="46"/>
      <c r="AG359" s="46"/>
    </row>
    <row r="360" spans="1:33" ht="13.5" customHeight="1">
      <c r="A360" s="46"/>
      <c r="B360" s="46"/>
      <c r="C360" s="41"/>
      <c r="D360" s="42"/>
      <c r="E360" s="42"/>
      <c r="F360" s="42"/>
      <c r="G360" s="43"/>
      <c r="H360" s="43"/>
      <c r="I360" s="43"/>
      <c r="J360" s="43"/>
      <c r="K360" s="43"/>
      <c r="L360" s="43"/>
      <c r="M360" s="43"/>
      <c r="N360" s="43"/>
      <c r="O360" s="43"/>
      <c r="P360" s="41"/>
      <c r="Q360" s="41"/>
      <c r="R360" s="41"/>
      <c r="S360" s="44"/>
      <c r="T360" s="45"/>
      <c r="U360" s="45"/>
      <c r="V360" s="45"/>
      <c r="W360" s="45"/>
      <c r="X360" s="46"/>
      <c r="Y360" s="46"/>
      <c r="Z360" s="46"/>
      <c r="AA360" s="46"/>
      <c r="AB360" s="46"/>
      <c r="AC360" s="46"/>
      <c r="AD360" s="46"/>
      <c r="AE360" s="46"/>
      <c r="AF360" s="46"/>
      <c r="AG360" s="46"/>
    </row>
    <row r="361" spans="1:33" ht="13.5" customHeight="1">
      <c r="A361" s="46"/>
      <c r="B361" s="46"/>
      <c r="C361" s="41"/>
      <c r="D361" s="42"/>
      <c r="E361" s="42"/>
      <c r="F361" s="42"/>
      <c r="G361" s="43"/>
      <c r="H361" s="43"/>
      <c r="I361" s="43"/>
      <c r="J361" s="43"/>
      <c r="K361" s="43"/>
      <c r="L361" s="43"/>
      <c r="M361" s="43"/>
      <c r="N361" s="43"/>
      <c r="O361" s="43"/>
      <c r="P361" s="41"/>
      <c r="Q361" s="41"/>
      <c r="R361" s="41"/>
      <c r="S361" s="44"/>
      <c r="T361" s="45"/>
      <c r="U361" s="45"/>
      <c r="V361" s="45"/>
      <c r="W361" s="45"/>
      <c r="X361" s="46"/>
      <c r="Y361" s="46"/>
      <c r="Z361" s="46"/>
      <c r="AA361" s="46"/>
      <c r="AB361" s="46"/>
      <c r="AC361" s="46"/>
      <c r="AD361" s="46"/>
      <c r="AE361" s="46"/>
      <c r="AF361" s="46"/>
      <c r="AG361" s="46"/>
    </row>
    <row r="362" spans="1:33" ht="13.5" customHeight="1">
      <c r="A362" s="46"/>
      <c r="B362" s="46"/>
      <c r="C362" s="41"/>
      <c r="D362" s="42"/>
      <c r="E362" s="42"/>
      <c r="F362" s="42"/>
      <c r="G362" s="43"/>
      <c r="H362" s="43"/>
      <c r="I362" s="43"/>
      <c r="J362" s="43"/>
      <c r="K362" s="43"/>
      <c r="L362" s="43"/>
      <c r="M362" s="43"/>
      <c r="N362" s="43"/>
      <c r="O362" s="43"/>
      <c r="P362" s="41"/>
      <c r="Q362" s="41"/>
      <c r="R362" s="41"/>
      <c r="S362" s="44"/>
      <c r="T362" s="45"/>
      <c r="U362" s="45"/>
      <c r="V362" s="45"/>
      <c r="W362" s="45"/>
      <c r="X362" s="46"/>
      <c r="Y362" s="46"/>
      <c r="Z362" s="46"/>
      <c r="AA362" s="46"/>
      <c r="AB362" s="46"/>
      <c r="AC362" s="46"/>
      <c r="AD362" s="46"/>
      <c r="AE362" s="46"/>
      <c r="AF362" s="46"/>
      <c r="AG362" s="46"/>
    </row>
    <row r="363" spans="1:33" ht="13.5" customHeight="1">
      <c r="A363" s="46"/>
      <c r="B363" s="46"/>
      <c r="C363" s="41"/>
      <c r="D363" s="42"/>
      <c r="E363" s="42"/>
      <c r="F363" s="42"/>
      <c r="G363" s="43"/>
      <c r="H363" s="43"/>
      <c r="I363" s="43"/>
      <c r="J363" s="43"/>
      <c r="K363" s="43"/>
      <c r="L363" s="43"/>
      <c r="M363" s="43"/>
      <c r="N363" s="43"/>
      <c r="O363" s="43"/>
      <c r="P363" s="41"/>
      <c r="Q363" s="41"/>
      <c r="R363" s="41"/>
      <c r="S363" s="44"/>
      <c r="T363" s="45"/>
      <c r="U363" s="45"/>
      <c r="V363" s="45"/>
      <c r="W363" s="45"/>
      <c r="X363" s="46"/>
      <c r="Y363" s="46"/>
      <c r="Z363" s="46"/>
      <c r="AA363" s="46"/>
      <c r="AB363" s="46"/>
      <c r="AC363" s="46"/>
      <c r="AD363" s="46"/>
      <c r="AE363" s="46"/>
      <c r="AF363" s="46"/>
      <c r="AG363" s="46"/>
    </row>
    <row r="364" spans="1:33" ht="13.5" customHeight="1">
      <c r="A364" s="46"/>
      <c r="B364" s="46"/>
      <c r="C364" s="41"/>
      <c r="D364" s="42"/>
      <c r="E364" s="42"/>
      <c r="F364" s="42"/>
      <c r="G364" s="43"/>
      <c r="H364" s="43"/>
      <c r="I364" s="43"/>
      <c r="J364" s="43"/>
      <c r="K364" s="43"/>
      <c r="L364" s="43"/>
      <c r="M364" s="43"/>
      <c r="N364" s="43"/>
      <c r="O364" s="43"/>
      <c r="P364" s="41"/>
      <c r="Q364" s="41"/>
      <c r="R364" s="41"/>
      <c r="S364" s="44"/>
      <c r="T364" s="45"/>
      <c r="U364" s="45"/>
      <c r="V364" s="45"/>
      <c r="W364" s="45"/>
      <c r="X364" s="46"/>
      <c r="Y364" s="46"/>
      <c r="Z364" s="46"/>
      <c r="AA364" s="46"/>
      <c r="AB364" s="46"/>
      <c r="AC364" s="46"/>
      <c r="AD364" s="46"/>
      <c r="AE364" s="46"/>
      <c r="AF364" s="46"/>
      <c r="AG364" s="46"/>
    </row>
    <row r="365" spans="1:33" ht="13.5" customHeight="1">
      <c r="A365" s="46"/>
      <c r="B365" s="46"/>
      <c r="C365" s="41"/>
      <c r="D365" s="42"/>
      <c r="E365" s="42"/>
      <c r="F365" s="42"/>
      <c r="G365" s="43"/>
      <c r="H365" s="43"/>
      <c r="I365" s="43"/>
      <c r="J365" s="43"/>
      <c r="K365" s="43"/>
      <c r="L365" s="43"/>
      <c r="M365" s="43"/>
      <c r="N365" s="43"/>
      <c r="O365" s="43"/>
      <c r="P365" s="41"/>
      <c r="Q365" s="41"/>
      <c r="R365" s="41"/>
      <c r="S365" s="44"/>
      <c r="T365" s="45"/>
      <c r="U365" s="45"/>
      <c r="V365" s="45"/>
      <c r="W365" s="45"/>
      <c r="X365" s="46"/>
      <c r="Y365" s="46"/>
      <c r="Z365" s="46"/>
      <c r="AA365" s="46"/>
      <c r="AB365" s="46"/>
      <c r="AC365" s="46"/>
      <c r="AD365" s="46"/>
      <c r="AE365" s="46"/>
      <c r="AF365" s="46"/>
      <c r="AG365" s="46"/>
    </row>
    <row r="366" spans="1:33" ht="13.5" customHeight="1">
      <c r="A366" s="46"/>
      <c r="B366" s="46"/>
      <c r="C366" s="41"/>
      <c r="D366" s="42"/>
      <c r="E366" s="42"/>
      <c r="F366" s="42"/>
      <c r="G366" s="43"/>
      <c r="H366" s="43"/>
      <c r="I366" s="43"/>
      <c r="J366" s="43"/>
      <c r="K366" s="43"/>
      <c r="L366" s="43"/>
      <c r="M366" s="43"/>
      <c r="N366" s="43"/>
      <c r="O366" s="43"/>
      <c r="P366" s="41"/>
      <c r="Q366" s="41"/>
      <c r="R366" s="41"/>
      <c r="S366" s="44"/>
      <c r="T366" s="45"/>
      <c r="U366" s="45"/>
      <c r="V366" s="45"/>
      <c r="W366" s="45"/>
      <c r="X366" s="46"/>
      <c r="Y366" s="46"/>
      <c r="Z366" s="46"/>
      <c r="AA366" s="46"/>
      <c r="AB366" s="46"/>
      <c r="AC366" s="46"/>
      <c r="AD366" s="46"/>
      <c r="AE366" s="46"/>
      <c r="AF366" s="46"/>
      <c r="AG366" s="46"/>
    </row>
    <row r="367" spans="1:33" ht="13.5" customHeight="1">
      <c r="A367" s="46"/>
      <c r="B367" s="46"/>
      <c r="C367" s="41"/>
      <c r="D367" s="42"/>
      <c r="E367" s="42"/>
      <c r="F367" s="42"/>
      <c r="G367" s="43"/>
      <c r="H367" s="43"/>
      <c r="I367" s="43"/>
      <c r="J367" s="43"/>
      <c r="K367" s="43"/>
      <c r="L367" s="43"/>
      <c r="M367" s="43"/>
      <c r="N367" s="43"/>
      <c r="O367" s="43"/>
      <c r="P367" s="41"/>
      <c r="Q367" s="41"/>
      <c r="R367" s="41"/>
      <c r="S367" s="44"/>
      <c r="T367" s="45"/>
      <c r="U367" s="45"/>
      <c r="V367" s="45"/>
      <c r="W367" s="45"/>
      <c r="X367" s="46"/>
      <c r="Y367" s="46"/>
      <c r="Z367" s="46"/>
      <c r="AA367" s="46"/>
      <c r="AB367" s="46"/>
      <c r="AC367" s="46"/>
      <c r="AD367" s="46"/>
      <c r="AE367" s="46"/>
      <c r="AF367" s="46"/>
      <c r="AG367" s="46"/>
    </row>
    <row r="368" spans="1:33" ht="13.5" customHeight="1">
      <c r="A368" s="46"/>
      <c r="B368" s="46"/>
      <c r="C368" s="41"/>
      <c r="D368" s="42"/>
      <c r="E368" s="42"/>
      <c r="F368" s="42"/>
      <c r="G368" s="43"/>
      <c r="H368" s="43"/>
      <c r="I368" s="43"/>
      <c r="J368" s="43"/>
      <c r="K368" s="43"/>
      <c r="L368" s="43"/>
      <c r="M368" s="43"/>
      <c r="N368" s="43"/>
      <c r="O368" s="43"/>
      <c r="P368" s="41"/>
      <c r="Q368" s="41"/>
      <c r="R368" s="41"/>
      <c r="S368" s="44"/>
      <c r="T368" s="45"/>
      <c r="U368" s="45"/>
      <c r="V368" s="45"/>
      <c r="W368" s="45"/>
      <c r="X368" s="46"/>
      <c r="Y368" s="46"/>
      <c r="Z368" s="46"/>
      <c r="AA368" s="46"/>
      <c r="AB368" s="46"/>
      <c r="AC368" s="46"/>
      <c r="AD368" s="46"/>
      <c r="AE368" s="46"/>
      <c r="AF368" s="46"/>
      <c r="AG368" s="46"/>
    </row>
    <row r="369" spans="1:33" ht="13.5" customHeight="1">
      <c r="A369" s="46"/>
      <c r="B369" s="46"/>
      <c r="C369" s="41"/>
      <c r="D369" s="42"/>
      <c r="E369" s="42"/>
      <c r="F369" s="42"/>
      <c r="G369" s="43"/>
      <c r="H369" s="43"/>
      <c r="I369" s="43"/>
      <c r="J369" s="43"/>
      <c r="K369" s="43"/>
      <c r="L369" s="43"/>
      <c r="M369" s="43"/>
      <c r="N369" s="43"/>
      <c r="O369" s="43"/>
      <c r="P369" s="41"/>
      <c r="Q369" s="41"/>
      <c r="R369" s="41"/>
      <c r="S369" s="44"/>
      <c r="T369" s="45"/>
      <c r="U369" s="45"/>
      <c r="V369" s="45"/>
      <c r="W369" s="45"/>
      <c r="X369" s="46"/>
      <c r="Y369" s="46"/>
      <c r="Z369" s="46"/>
      <c r="AA369" s="46"/>
      <c r="AB369" s="46"/>
      <c r="AC369" s="46"/>
      <c r="AD369" s="46"/>
      <c r="AE369" s="46"/>
      <c r="AF369" s="46"/>
      <c r="AG369" s="46"/>
    </row>
    <row r="370" spans="1:33" ht="13.5" customHeight="1">
      <c r="A370" s="46"/>
      <c r="B370" s="46"/>
      <c r="C370" s="41"/>
      <c r="D370" s="42"/>
      <c r="E370" s="42"/>
      <c r="F370" s="42"/>
      <c r="G370" s="43"/>
      <c r="H370" s="43"/>
      <c r="I370" s="43"/>
      <c r="J370" s="43"/>
      <c r="K370" s="43"/>
      <c r="L370" s="43"/>
      <c r="M370" s="43"/>
      <c r="N370" s="43"/>
      <c r="O370" s="43"/>
      <c r="P370" s="41"/>
      <c r="Q370" s="41"/>
      <c r="R370" s="41"/>
      <c r="S370" s="44"/>
      <c r="T370" s="45"/>
      <c r="U370" s="45"/>
      <c r="V370" s="45"/>
      <c r="W370" s="45"/>
      <c r="X370" s="46"/>
      <c r="Y370" s="46"/>
      <c r="Z370" s="46"/>
      <c r="AA370" s="46"/>
      <c r="AB370" s="46"/>
      <c r="AC370" s="46"/>
      <c r="AD370" s="46"/>
      <c r="AE370" s="46"/>
      <c r="AF370" s="46"/>
      <c r="AG370" s="46"/>
    </row>
    <row r="371" spans="1:33" ht="13.5" customHeight="1">
      <c r="A371" s="46"/>
      <c r="B371" s="46"/>
      <c r="C371" s="41"/>
      <c r="D371" s="42"/>
      <c r="E371" s="42"/>
      <c r="F371" s="42"/>
      <c r="G371" s="43"/>
      <c r="H371" s="43"/>
      <c r="I371" s="43"/>
      <c r="J371" s="43"/>
      <c r="K371" s="43"/>
      <c r="L371" s="43"/>
      <c r="M371" s="43"/>
      <c r="N371" s="43"/>
      <c r="O371" s="43"/>
      <c r="P371" s="41"/>
      <c r="Q371" s="41"/>
      <c r="R371" s="41"/>
      <c r="S371" s="44"/>
      <c r="T371" s="45"/>
      <c r="U371" s="45"/>
      <c r="V371" s="45"/>
      <c r="W371" s="45"/>
      <c r="X371" s="46"/>
      <c r="Y371" s="46"/>
      <c r="Z371" s="46"/>
      <c r="AA371" s="46"/>
      <c r="AB371" s="46"/>
      <c r="AC371" s="46"/>
      <c r="AD371" s="46"/>
      <c r="AE371" s="46"/>
      <c r="AF371" s="46"/>
      <c r="AG371" s="46"/>
    </row>
    <row r="372" spans="1:33" ht="13.5" customHeight="1">
      <c r="A372" s="46"/>
      <c r="B372" s="46"/>
      <c r="C372" s="41"/>
      <c r="D372" s="42"/>
      <c r="E372" s="42"/>
      <c r="F372" s="42"/>
      <c r="G372" s="43"/>
      <c r="H372" s="43"/>
      <c r="I372" s="43"/>
      <c r="J372" s="43"/>
      <c r="K372" s="43"/>
      <c r="L372" s="43"/>
      <c r="M372" s="43"/>
      <c r="N372" s="43"/>
      <c r="O372" s="43"/>
      <c r="P372" s="41"/>
      <c r="Q372" s="41"/>
      <c r="R372" s="41"/>
      <c r="S372" s="44"/>
      <c r="T372" s="45"/>
      <c r="U372" s="45"/>
      <c r="V372" s="45"/>
      <c r="W372" s="45"/>
      <c r="X372" s="46"/>
      <c r="Y372" s="46"/>
      <c r="Z372" s="46"/>
      <c r="AA372" s="46"/>
      <c r="AB372" s="46"/>
      <c r="AC372" s="46"/>
      <c r="AD372" s="46"/>
      <c r="AE372" s="46"/>
      <c r="AF372" s="46"/>
      <c r="AG372" s="46"/>
    </row>
    <row r="373" spans="1:33" ht="13.5" customHeight="1">
      <c r="A373" s="46"/>
      <c r="B373" s="46"/>
      <c r="C373" s="41"/>
      <c r="D373" s="42"/>
      <c r="E373" s="42"/>
      <c r="F373" s="42"/>
      <c r="G373" s="43"/>
      <c r="H373" s="43"/>
      <c r="I373" s="43"/>
      <c r="J373" s="43"/>
      <c r="K373" s="43"/>
      <c r="L373" s="43"/>
      <c r="M373" s="43"/>
      <c r="N373" s="43"/>
      <c r="O373" s="43"/>
      <c r="P373" s="41"/>
      <c r="Q373" s="41"/>
      <c r="R373" s="41"/>
      <c r="S373" s="44"/>
      <c r="T373" s="45"/>
      <c r="U373" s="45"/>
      <c r="V373" s="45"/>
      <c r="W373" s="45"/>
      <c r="X373" s="46"/>
      <c r="Y373" s="46"/>
      <c r="Z373" s="46"/>
      <c r="AA373" s="46"/>
      <c r="AB373" s="46"/>
      <c r="AC373" s="46"/>
      <c r="AD373" s="46"/>
      <c r="AE373" s="46"/>
      <c r="AF373" s="46"/>
      <c r="AG373" s="46"/>
    </row>
    <row r="374" spans="1:33" ht="13.5" customHeight="1">
      <c r="A374" s="46"/>
      <c r="B374" s="46"/>
      <c r="C374" s="41"/>
      <c r="D374" s="42"/>
      <c r="E374" s="42"/>
      <c r="F374" s="42"/>
      <c r="G374" s="43"/>
      <c r="H374" s="43"/>
      <c r="I374" s="43"/>
      <c r="J374" s="43"/>
      <c r="K374" s="43"/>
      <c r="L374" s="43"/>
      <c r="M374" s="43"/>
      <c r="N374" s="43"/>
      <c r="O374" s="43"/>
      <c r="P374" s="41"/>
      <c r="Q374" s="41"/>
      <c r="R374" s="41"/>
      <c r="S374" s="44"/>
      <c r="T374" s="45"/>
      <c r="U374" s="45"/>
      <c r="V374" s="45"/>
      <c r="W374" s="45"/>
      <c r="X374" s="46"/>
      <c r="Y374" s="46"/>
      <c r="Z374" s="46"/>
      <c r="AA374" s="46"/>
      <c r="AB374" s="46"/>
      <c r="AC374" s="46"/>
      <c r="AD374" s="46"/>
      <c r="AE374" s="46"/>
      <c r="AF374" s="46"/>
      <c r="AG374" s="46"/>
    </row>
    <row r="375" spans="1:33" ht="13.5" customHeight="1">
      <c r="A375" s="46"/>
      <c r="B375" s="46"/>
      <c r="C375" s="41"/>
      <c r="D375" s="42"/>
      <c r="E375" s="42"/>
      <c r="F375" s="42"/>
      <c r="G375" s="43"/>
      <c r="H375" s="43"/>
      <c r="I375" s="43"/>
      <c r="J375" s="43"/>
      <c r="K375" s="43"/>
      <c r="L375" s="43"/>
      <c r="M375" s="43"/>
      <c r="N375" s="43"/>
      <c r="O375" s="43"/>
      <c r="P375" s="41"/>
      <c r="Q375" s="41"/>
      <c r="R375" s="41"/>
      <c r="S375" s="44"/>
      <c r="T375" s="45"/>
      <c r="U375" s="45"/>
      <c r="V375" s="45"/>
      <c r="W375" s="45"/>
      <c r="X375" s="46"/>
      <c r="Y375" s="46"/>
      <c r="Z375" s="46"/>
      <c r="AA375" s="46"/>
      <c r="AB375" s="46"/>
      <c r="AC375" s="46"/>
      <c r="AD375" s="46"/>
      <c r="AE375" s="46"/>
      <c r="AF375" s="46"/>
      <c r="AG375" s="46"/>
    </row>
    <row r="376" spans="1:33" ht="13.5" customHeight="1">
      <c r="A376" s="46"/>
      <c r="B376" s="46"/>
      <c r="C376" s="41"/>
      <c r="D376" s="42"/>
      <c r="E376" s="42"/>
      <c r="F376" s="42"/>
      <c r="G376" s="43"/>
      <c r="H376" s="43"/>
      <c r="I376" s="43"/>
      <c r="J376" s="43"/>
      <c r="K376" s="43"/>
      <c r="L376" s="43"/>
      <c r="M376" s="43"/>
      <c r="N376" s="43"/>
      <c r="O376" s="43"/>
      <c r="P376" s="41"/>
      <c r="Q376" s="41"/>
      <c r="R376" s="41"/>
      <c r="S376" s="44"/>
      <c r="T376" s="45"/>
      <c r="U376" s="45"/>
      <c r="V376" s="45"/>
      <c r="W376" s="45"/>
      <c r="X376" s="46"/>
      <c r="Y376" s="46"/>
      <c r="Z376" s="46"/>
      <c r="AA376" s="46"/>
      <c r="AB376" s="46"/>
      <c r="AC376" s="46"/>
      <c r="AD376" s="46"/>
      <c r="AE376" s="46"/>
      <c r="AF376" s="46"/>
      <c r="AG376" s="46"/>
    </row>
    <row r="377" spans="1:33" ht="13.5" customHeight="1">
      <c r="A377" s="46"/>
      <c r="B377" s="46"/>
      <c r="C377" s="41"/>
      <c r="D377" s="42"/>
      <c r="E377" s="42"/>
      <c r="F377" s="42"/>
      <c r="G377" s="43"/>
      <c r="H377" s="43"/>
      <c r="I377" s="43"/>
      <c r="J377" s="43"/>
      <c r="K377" s="43"/>
      <c r="L377" s="43"/>
      <c r="M377" s="43"/>
      <c r="N377" s="43"/>
      <c r="O377" s="43"/>
      <c r="P377" s="41"/>
      <c r="Q377" s="41"/>
      <c r="R377" s="41"/>
      <c r="S377" s="44"/>
      <c r="T377" s="45"/>
      <c r="U377" s="45"/>
      <c r="V377" s="45"/>
      <c r="W377" s="45"/>
      <c r="X377" s="46"/>
      <c r="Y377" s="46"/>
      <c r="Z377" s="46"/>
      <c r="AA377" s="46"/>
      <c r="AB377" s="46"/>
      <c r="AC377" s="46"/>
      <c r="AD377" s="46"/>
      <c r="AE377" s="46"/>
      <c r="AF377" s="46"/>
      <c r="AG377" s="46"/>
    </row>
    <row r="378" spans="1:33" ht="13.5" customHeight="1">
      <c r="A378" s="46"/>
      <c r="B378" s="46"/>
      <c r="C378" s="41"/>
      <c r="D378" s="42"/>
      <c r="E378" s="42"/>
      <c r="F378" s="42"/>
      <c r="G378" s="43"/>
      <c r="H378" s="43"/>
      <c r="I378" s="43"/>
      <c r="J378" s="43"/>
      <c r="K378" s="43"/>
      <c r="L378" s="43"/>
      <c r="M378" s="43"/>
      <c r="N378" s="43"/>
      <c r="O378" s="43"/>
      <c r="P378" s="41"/>
      <c r="Q378" s="41"/>
      <c r="R378" s="41"/>
      <c r="S378" s="44"/>
      <c r="T378" s="45"/>
      <c r="U378" s="45"/>
      <c r="V378" s="45"/>
      <c r="W378" s="45"/>
      <c r="X378" s="46"/>
      <c r="Y378" s="46"/>
      <c r="Z378" s="46"/>
      <c r="AA378" s="46"/>
      <c r="AB378" s="46"/>
      <c r="AC378" s="46"/>
      <c r="AD378" s="46"/>
      <c r="AE378" s="46"/>
      <c r="AF378" s="46"/>
      <c r="AG378" s="46"/>
    </row>
    <row r="379" spans="1:33" ht="13.5" customHeight="1">
      <c r="A379" s="46"/>
      <c r="B379" s="46"/>
      <c r="C379" s="41"/>
      <c r="D379" s="42"/>
      <c r="E379" s="42"/>
      <c r="F379" s="42"/>
      <c r="G379" s="43"/>
      <c r="H379" s="43"/>
      <c r="I379" s="43"/>
      <c r="J379" s="43"/>
      <c r="K379" s="43"/>
      <c r="L379" s="43"/>
      <c r="M379" s="43"/>
      <c r="N379" s="43"/>
      <c r="O379" s="43"/>
      <c r="P379" s="41"/>
      <c r="Q379" s="41"/>
      <c r="R379" s="41"/>
      <c r="S379" s="44"/>
      <c r="T379" s="45"/>
      <c r="U379" s="45"/>
      <c r="V379" s="45"/>
      <c r="W379" s="45"/>
      <c r="X379" s="46"/>
      <c r="Y379" s="46"/>
      <c r="Z379" s="46"/>
      <c r="AA379" s="46"/>
      <c r="AB379" s="46"/>
      <c r="AC379" s="46"/>
      <c r="AD379" s="46"/>
      <c r="AE379" s="46"/>
      <c r="AF379" s="46"/>
      <c r="AG379" s="46"/>
    </row>
    <row r="380" spans="1:33" ht="13.5" customHeight="1">
      <c r="A380" s="46"/>
      <c r="B380" s="46"/>
      <c r="C380" s="41"/>
      <c r="D380" s="42"/>
      <c r="E380" s="42"/>
      <c r="F380" s="42"/>
      <c r="G380" s="43"/>
      <c r="H380" s="43"/>
      <c r="I380" s="43"/>
      <c r="J380" s="43"/>
      <c r="K380" s="43"/>
      <c r="L380" s="43"/>
      <c r="M380" s="43"/>
      <c r="N380" s="43"/>
      <c r="O380" s="43"/>
      <c r="P380" s="41"/>
      <c r="Q380" s="41"/>
      <c r="R380" s="41"/>
      <c r="S380" s="44"/>
      <c r="T380" s="45"/>
      <c r="U380" s="45"/>
      <c r="V380" s="45"/>
      <c r="W380" s="45"/>
      <c r="X380" s="46"/>
      <c r="Y380" s="46"/>
      <c r="Z380" s="46"/>
      <c r="AA380" s="46"/>
      <c r="AB380" s="46"/>
      <c r="AC380" s="46"/>
      <c r="AD380" s="46"/>
      <c r="AE380" s="46"/>
      <c r="AF380" s="46"/>
      <c r="AG380" s="46"/>
    </row>
    <row r="381" spans="1:33" ht="13.5" customHeight="1">
      <c r="A381" s="46"/>
      <c r="B381" s="46"/>
      <c r="C381" s="41"/>
      <c r="D381" s="42"/>
      <c r="E381" s="42"/>
      <c r="F381" s="42"/>
      <c r="G381" s="43"/>
      <c r="H381" s="43"/>
      <c r="I381" s="43"/>
      <c r="J381" s="43"/>
      <c r="K381" s="43"/>
      <c r="L381" s="43"/>
      <c r="M381" s="43"/>
      <c r="N381" s="43"/>
      <c r="O381" s="43"/>
      <c r="P381" s="41"/>
      <c r="Q381" s="41"/>
      <c r="R381" s="41"/>
      <c r="S381" s="44"/>
      <c r="T381" s="45"/>
      <c r="U381" s="45"/>
      <c r="V381" s="45"/>
      <c r="W381" s="45"/>
      <c r="X381" s="46"/>
      <c r="Y381" s="46"/>
      <c r="Z381" s="46"/>
      <c r="AA381" s="46"/>
      <c r="AB381" s="46"/>
      <c r="AC381" s="46"/>
      <c r="AD381" s="46"/>
      <c r="AE381" s="46"/>
      <c r="AF381" s="46"/>
      <c r="AG381" s="46"/>
    </row>
    <row r="382" spans="1:33" ht="13.5" customHeight="1">
      <c r="A382" s="46"/>
      <c r="B382" s="46"/>
      <c r="C382" s="41"/>
      <c r="D382" s="42"/>
      <c r="E382" s="42"/>
      <c r="F382" s="42"/>
      <c r="G382" s="43"/>
      <c r="H382" s="43"/>
      <c r="I382" s="43"/>
      <c r="J382" s="43"/>
      <c r="K382" s="43"/>
      <c r="L382" s="43"/>
      <c r="M382" s="43"/>
      <c r="N382" s="43"/>
      <c r="O382" s="43"/>
      <c r="P382" s="41"/>
      <c r="Q382" s="41"/>
      <c r="R382" s="41"/>
      <c r="S382" s="44"/>
      <c r="T382" s="45"/>
      <c r="U382" s="45"/>
      <c r="V382" s="45"/>
      <c r="W382" s="45"/>
      <c r="X382" s="46"/>
      <c r="Y382" s="46"/>
      <c r="Z382" s="46"/>
      <c r="AA382" s="46"/>
      <c r="AB382" s="46"/>
      <c r="AC382" s="46"/>
      <c r="AD382" s="46"/>
      <c r="AE382" s="46"/>
      <c r="AF382" s="46"/>
      <c r="AG382" s="46"/>
    </row>
    <row r="383" spans="1:33" ht="13.5" customHeight="1">
      <c r="A383" s="46"/>
      <c r="B383" s="46"/>
      <c r="C383" s="41"/>
      <c r="D383" s="42"/>
      <c r="E383" s="42"/>
      <c r="F383" s="42"/>
      <c r="G383" s="43"/>
      <c r="H383" s="43"/>
      <c r="I383" s="43"/>
      <c r="J383" s="43"/>
      <c r="K383" s="43"/>
      <c r="L383" s="43"/>
      <c r="M383" s="43"/>
      <c r="N383" s="43"/>
      <c r="O383" s="43"/>
      <c r="P383" s="41"/>
      <c r="Q383" s="41"/>
      <c r="R383" s="41"/>
      <c r="S383" s="44"/>
      <c r="T383" s="45"/>
      <c r="U383" s="45"/>
      <c r="V383" s="45"/>
      <c r="W383" s="45"/>
      <c r="X383" s="46"/>
      <c r="Y383" s="46"/>
      <c r="Z383" s="46"/>
      <c r="AA383" s="46"/>
      <c r="AB383" s="46"/>
      <c r="AC383" s="46"/>
      <c r="AD383" s="46"/>
      <c r="AE383" s="46"/>
      <c r="AF383" s="46"/>
      <c r="AG383" s="46"/>
    </row>
    <row r="384" spans="1:33" ht="13.5" customHeight="1">
      <c r="A384" s="46"/>
      <c r="B384" s="46"/>
      <c r="C384" s="41"/>
      <c r="D384" s="42"/>
      <c r="E384" s="42"/>
      <c r="F384" s="42"/>
      <c r="G384" s="43"/>
      <c r="H384" s="43"/>
      <c r="I384" s="43"/>
      <c r="J384" s="43"/>
      <c r="K384" s="43"/>
      <c r="L384" s="43"/>
      <c r="M384" s="43"/>
      <c r="N384" s="43"/>
      <c r="O384" s="43"/>
      <c r="P384" s="41"/>
      <c r="Q384" s="41"/>
      <c r="R384" s="41"/>
      <c r="S384" s="44"/>
      <c r="T384" s="45"/>
      <c r="U384" s="45"/>
      <c r="V384" s="45"/>
      <c r="W384" s="45"/>
      <c r="X384" s="46"/>
      <c r="Y384" s="46"/>
      <c r="Z384" s="46"/>
      <c r="AA384" s="46"/>
      <c r="AB384" s="46"/>
      <c r="AC384" s="46"/>
      <c r="AD384" s="46"/>
      <c r="AE384" s="46"/>
      <c r="AF384" s="46"/>
      <c r="AG384" s="46"/>
    </row>
    <row r="385" spans="1:33" ht="13.5" customHeight="1">
      <c r="A385" s="46"/>
      <c r="B385" s="46"/>
      <c r="C385" s="41"/>
      <c r="D385" s="42"/>
      <c r="E385" s="42"/>
      <c r="F385" s="42"/>
      <c r="G385" s="43"/>
      <c r="H385" s="43"/>
      <c r="I385" s="43"/>
      <c r="J385" s="43"/>
      <c r="K385" s="43"/>
      <c r="L385" s="43"/>
      <c r="M385" s="43"/>
      <c r="N385" s="43"/>
      <c r="O385" s="43"/>
      <c r="P385" s="41"/>
      <c r="Q385" s="41"/>
      <c r="R385" s="41"/>
      <c r="S385" s="44"/>
      <c r="T385" s="45"/>
      <c r="U385" s="45"/>
      <c r="V385" s="45"/>
      <c r="W385" s="45"/>
      <c r="X385" s="46"/>
      <c r="Y385" s="46"/>
      <c r="Z385" s="46"/>
      <c r="AA385" s="46"/>
      <c r="AB385" s="46"/>
      <c r="AC385" s="46"/>
      <c r="AD385" s="46"/>
      <c r="AE385" s="46"/>
      <c r="AF385" s="46"/>
      <c r="AG385" s="46"/>
    </row>
    <row r="386" spans="1:33" ht="13.5" customHeight="1">
      <c r="A386" s="46"/>
      <c r="B386" s="46"/>
      <c r="C386" s="41"/>
      <c r="D386" s="42"/>
      <c r="E386" s="42"/>
      <c r="F386" s="42"/>
      <c r="G386" s="43"/>
      <c r="H386" s="43"/>
      <c r="I386" s="43"/>
      <c r="J386" s="43"/>
      <c r="K386" s="43"/>
      <c r="L386" s="43"/>
      <c r="M386" s="43"/>
      <c r="N386" s="43"/>
      <c r="O386" s="43"/>
      <c r="P386" s="41"/>
      <c r="Q386" s="41"/>
      <c r="R386" s="41"/>
      <c r="S386" s="44"/>
      <c r="T386" s="45"/>
      <c r="U386" s="45"/>
      <c r="V386" s="45"/>
      <c r="W386" s="45"/>
      <c r="X386" s="46"/>
      <c r="Y386" s="46"/>
      <c r="Z386" s="46"/>
      <c r="AA386" s="46"/>
      <c r="AB386" s="46"/>
      <c r="AC386" s="46"/>
      <c r="AD386" s="46"/>
      <c r="AE386" s="46"/>
      <c r="AF386" s="46"/>
      <c r="AG386" s="46"/>
    </row>
    <row r="387" spans="1:33" ht="13.5" customHeight="1">
      <c r="A387" s="46"/>
      <c r="B387" s="46"/>
      <c r="C387" s="41"/>
      <c r="D387" s="42"/>
      <c r="E387" s="42"/>
      <c r="F387" s="42"/>
      <c r="G387" s="43"/>
      <c r="H387" s="43"/>
      <c r="I387" s="43"/>
      <c r="J387" s="43"/>
      <c r="K387" s="43"/>
      <c r="L387" s="43"/>
      <c r="M387" s="43"/>
      <c r="N387" s="43"/>
      <c r="O387" s="43"/>
      <c r="P387" s="41"/>
      <c r="Q387" s="41"/>
      <c r="R387" s="41"/>
      <c r="S387" s="44"/>
      <c r="T387" s="45"/>
      <c r="U387" s="45"/>
      <c r="V387" s="45"/>
      <c r="W387" s="45"/>
      <c r="X387" s="46"/>
      <c r="Y387" s="46"/>
      <c r="Z387" s="46"/>
      <c r="AA387" s="46"/>
      <c r="AB387" s="46"/>
      <c r="AC387" s="46"/>
      <c r="AD387" s="46"/>
      <c r="AE387" s="46"/>
      <c r="AF387" s="46"/>
      <c r="AG387" s="46"/>
    </row>
    <row r="388" spans="1:33" ht="13.5" customHeight="1">
      <c r="A388" s="46"/>
      <c r="B388" s="46"/>
      <c r="C388" s="41"/>
      <c r="D388" s="42"/>
      <c r="E388" s="42"/>
      <c r="F388" s="42"/>
      <c r="G388" s="43"/>
      <c r="H388" s="43"/>
      <c r="I388" s="43"/>
      <c r="J388" s="43"/>
      <c r="K388" s="43"/>
      <c r="L388" s="43"/>
      <c r="M388" s="43"/>
      <c r="N388" s="43"/>
      <c r="O388" s="43"/>
      <c r="P388" s="41"/>
      <c r="Q388" s="41"/>
      <c r="R388" s="41"/>
      <c r="S388" s="44"/>
      <c r="T388" s="45"/>
      <c r="U388" s="45"/>
      <c r="V388" s="45"/>
      <c r="W388" s="45"/>
      <c r="X388" s="46"/>
      <c r="Y388" s="46"/>
      <c r="Z388" s="46"/>
      <c r="AA388" s="46"/>
      <c r="AB388" s="46"/>
      <c r="AC388" s="46"/>
      <c r="AD388" s="46"/>
      <c r="AE388" s="46"/>
      <c r="AF388" s="46"/>
      <c r="AG388" s="46"/>
    </row>
    <row r="389" spans="1:33" ht="13.5" customHeight="1">
      <c r="A389" s="46"/>
      <c r="B389" s="46"/>
      <c r="C389" s="41"/>
      <c r="D389" s="42"/>
      <c r="E389" s="42"/>
      <c r="F389" s="42"/>
      <c r="G389" s="43"/>
      <c r="H389" s="43"/>
      <c r="I389" s="43"/>
      <c r="J389" s="43"/>
      <c r="K389" s="43"/>
      <c r="L389" s="43"/>
      <c r="M389" s="43"/>
      <c r="N389" s="43"/>
      <c r="O389" s="43"/>
      <c r="P389" s="41"/>
      <c r="Q389" s="41"/>
      <c r="R389" s="41"/>
      <c r="S389" s="44"/>
      <c r="T389" s="45"/>
      <c r="U389" s="45"/>
      <c r="V389" s="45"/>
      <c r="W389" s="45"/>
      <c r="X389" s="46"/>
      <c r="Y389" s="46"/>
      <c r="Z389" s="46"/>
      <c r="AA389" s="46"/>
      <c r="AB389" s="46"/>
      <c r="AC389" s="46"/>
      <c r="AD389" s="46"/>
      <c r="AE389" s="46"/>
      <c r="AF389" s="46"/>
      <c r="AG389" s="46"/>
    </row>
    <row r="390" spans="1:33" ht="13.5" customHeight="1">
      <c r="A390" s="46"/>
      <c r="B390" s="46"/>
      <c r="C390" s="41"/>
      <c r="D390" s="42"/>
      <c r="E390" s="42"/>
      <c r="F390" s="42"/>
      <c r="G390" s="43"/>
      <c r="H390" s="43"/>
      <c r="I390" s="43"/>
      <c r="J390" s="43"/>
      <c r="K390" s="43"/>
      <c r="L390" s="43"/>
      <c r="M390" s="43"/>
      <c r="N390" s="43"/>
      <c r="O390" s="43"/>
      <c r="P390" s="41"/>
      <c r="Q390" s="41"/>
      <c r="R390" s="41"/>
      <c r="S390" s="44"/>
      <c r="T390" s="45"/>
      <c r="U390" s="45"/>
      <c r="V390" s="45"/>
      <c r="W390" s="45"/>
      <c r="X390" s="46"/>
      <c r="Y390" s="46"/>
      <c r="Z390" s="46"/>
      <c r="AA390" s="46"/>
      <c r="AB390" s="46"/>
      <c r="AC390" s="46"/>
      <c r="AD390" s="46"/>
      <c r="AE390" s="46"/>
      <c r="AF390" s="46"/>
      <c r="AG390" s="46"/>
    </row>
    <row r="391" spans="1:33" ht="13.5" customHeight="1">
      <c r="A391" s="46"/>
      <c r="B391" s="46"/>
      <c r="C391" s="41"/>
      <c r="D391" s="42"/>
      <c r="E391" s="42"/>
      <c r="F391" s="42"/>
      <c r="G391" s="43"/>
      <c r="H391" s="43"/>
      <c r="I391" s="43"/>
      <c r="J391" s="43"/>
      <c r="K391" s="43"/>
      <c r="L391" s="43"/>
      <c r="M391" s="43"/>
      <c r="N391" s="43"/>
      <c r="O391" s="43"/>
      <c r="P391" s="41"/>
      <c r="Q391" s="41"/>
      <c r="R391" s="41"/>
      <c r="S391" s="44"/>
      <c r="T391" s="45"/>
      <c r="U391" s="45"/>
      <c r="V391" s="45"/>
      <c r="W391" s="45"/>
      <c r="X391" s="46"/>
      <c r="Y391" s="46"/>
      <c r="Z391" s="46"/>
      <c r="AA391" s="46"/>
      <c r="AB391" s="46"/>
      <c r="AC391" s="46"/>
      <c r="AD391" s="46"/>
      <c r="AE391" s="46"/>
      <c r="AF391" s="46"/>
      <c r="AG391" s="46"/>
    </row>
    <row r="392" spans="1:33" ht="13.5" customHeight="1">
      <c r="A392" s="46"/>
      <c r="B392" s="46"/>
      <c r="C392" s="41"/>
      <c r="D392" s="42"/>
      <c r="E392" s="42"/>
      <c r="F392" s="42"/>
      <c r="G392" s="43"/>
      <c r="H392" s="43"/>
      <c r="I392" s="43"/>
      <c r="J392" s="43"/>
      <c r="K392" s="43"/>
      <c r="L392" s="43"/>
      <c r="M392" s="43"/>
      <c r="N392" s="43"/>
      <c r="O392" s="43"/>
      <c r="P392" s="41"/>
      <c r="Q392" s="41"/>
      <c r="R392" s="41"/>
      <c r="S392" s="44"/>
      <c r="T392" s="45"/>
      <c r="U392" s="45"/>
      <c r="V392" s="45"/>
      <c r="W392" s="45"/>
      <c r="X392" s="46"/>
      <c r="Y392" s="46"/>
      <c r="Z392" s="46"/>
      <c r="AA392" s="46"/>
      <c r="AB392" s="46"/>
      <c r="AC392" s="46"/>
      <c r="AD392" s="46"/>
      <c r="AE392" s="46"/>
      <c r="AF392" s="46"/>
      <c r="AG392" s="46"/>
    </row>
    <row r="393" spans="1:33" ht="13.5" customHeight="1">
      <c r="A393" s="46"/>
      <c r="B393" s="46"/>
      <c r="C393" s="41"/>
      <c r="D393" s="42"/>
      <c r="E393" s="42"/>
      <c r="F393" s="42"/>
      <c r="G393" s="43"/>
      <c r="H393" s="43"/>
      <c r="I393" s="43"/>
      <c r="J393" s="43"/>
      <c r="K393" s="43"/>
      <c r="L393" s="43"/>
      <c r="M393" s="43"/>
      <c r="N393" s="43"/>
      <c r="O393" s="43"/>
      <c r="P393" s="41"/>
      <c r="Q393" s="41"/>
      <c r="R393" s="41"/>
      <c r="S393" s="44"/>
      <c r="T393" s="45"/>
      <c r="U393" s="45"/>
      <c r="V393" s="45"/>
      <c r="W393" s="45"/>
      <c r="X393" s="46"/>
      <c r="Y393" s="46"/>
      <c r="Z393" s="46"/>
      <c r="AA393" s="46"/>
      <c r="AB393" s="46"/>
      <c r="AC393" s="46"/>
      <c r="AD393" s="46"/>
      <c r="AE393" s="46"/>
      <c r="AF393" s="46"/>
      <c r="AG393" s="46"/>
    </row>
    <row r="394" spans="1:33" ht="13.5" customHeight="1">
      <c r="A394" s="46"/>
      <c r="B394" s="46"/>
      <c r="C394" s="41"/>
      <c r="D394" s="42"/>
      <c r="E394" s="42"/>
      <c r="F394" s="42"/>
      <c r="G394" s="43"/>
      <c r="H394" s="43"/>
      <c r="I394" s="43"/>
      <c r="J394" s="43"/>
      <c r="K394" s="43"/>
      <c r="L394" s="43"/>
      <c r="M394" s="43"/>
      <c r="N394" s="43"/>
      <c r="O394" s="43"/>
      <c r="P394" s="41"/>
      <c r="Q394" s="41"/>
      <c r="R394" s="41"/>
      <c r="S394" s="44"/>
      <c r="T394" s="45"/>
      <c r="U394" s="45"/>
      <c r="V394" s="45"/>
      <c r="W394" s="45"/>
      <c r="X394" s="46"/>
      <c r="Y394" s="46"/>
      <c r="Z394" s="46"/>
      <c r="AA394" s="46"/>
      <c r="AB394" s="46"/>
      <c r="AC394" s="46"/>
      <c r="AD394" s="46"/>
      <c r="AE394" s="46"/>
      <c r="AF394" s="46"/>
      <c r="AG394" s="46"/>
    </row>
    <row r="395" spans="1:33" ht="13.5" customHeight="1">
      <c r="A395" s="46"/>
      <c r="B395" s="46"/>
      <c r="C395" s="41"/>
      <c r="D395" s="42"/>
      <c r="E395" s="42"/>
      <c r="F395" s="42"/>
      <c r="G395" s="43"/>
      <c r="H395" s="43"/>
      <c r="I395" s="43"/>
      <c r="J395" s="43"/>
      <c r="K395" s="43"/>
      <c r="L395" s="43"/>
      <c r="M395" s="43"/>
      <c r="N395" s="43"/>
      <c r="O395" s="43"/>
      <c r="P395" s="41"/>
      <c r="Q395" s="41"/>
      <c r="R395" s="41"/>
      <c r="S395" s="44"/>
      <c r="T395" s="45"/>
      <c r="U395" s="45"/>
      <c r="V395" s="45"/>
      <c r="W395" s="45"/>
      <c r="X395" s="46"/>
      <c r="Y395" s="46"/>
      <c r="Z395" s="46"/>
      <c r="AA395" s="46"/>
      <c r="AB395" s="46"/>
      <c r="AC395" s="46"/>
      <c r="AD395" s="46"/>
      <c r="AE395" s="46"/>
      <c r="AF395" s="46"/>
      <c r="AG395" s="46"/>
    </row>
    <row r="396" spans="1:33" ht="13.5" customHeight="1">
      <c r="A396" s="46"/>
      <c r="B396" s="46"/>
      <c r="C396" s="41"/>
      <c r="D396" s="42"/>
      <c r="E396" s="42"/>
      <c r="F396" s="42"/>
      <c r="G396" s="43"/>
      <c r="H396" s="43"/>
      <c r="I396" s="43"/>
      <c r="J396" s="43"/>
      <c r="K396" s="43"/>
      <c r="L396" s="43"/>
      <c r="M396" s="43"/>
      <c r="N396" s="43"/>
      <c r="O396" s="43"/>
      <c r="P396" s="41"/>
      <c r="Q396" s="41"/>
      <c r="R396" s="41"/>
      <c r="S396" s="44"/>
      <c r="T396" s="45"/>
      <c r="U396" s="45"/>
      <c r="V396" s="45"/>
      <c r="W396" s="45"/>
      <c r="X396" s="46"/>
      <c r="Y396" s="46"/>
      <c r="Z396" s="46"/>
      <c r="AA396" s="46"/>
      <c r="AB396" s="46"/>
      <c r="AC396" s="46"/>
      <c r="AD396" s="46"/>
      <c r="AE396" s="46"/>
      <c r="AF396" s="46"/>
      <c r="AG396" s="46"/>
    </row>
    <row r="397" spans="1:33" ht="13.5" customHeight="1">
      <c r="A397" s="46"/>
      <c r="B397" s="46"/>
      <c r="C397" s="41"/>
      <c r="D397" s="42"/>
      <c r="E397" s="42"/>
      <c r="F397" s="42"/>
      <c r="G397" s="43"/>
      <c r="H397" s="43"/>
      <c r="I397" s="43"/>
      <c r="J397" s="43"/>
      <c r="K397" s="43"/>
      <c r="L397" s="43"/>
      <c r="M397" s="43"/>
      <c r="N397" s="43"/>
      <c r="O397" s="43"/>
      <c r="P397" s="41"/>
      <c r="Q397" s="41"/>
      <c r="R397" s="41"/>
      <c r="S397" s="44"/>
      <c r="T397" s="45"/>
      <c r="U397" s="45"/>
      <c r="V397" s="45"/>
      <c r="W397" s="45"/>
      <c r="X397" s="46"/>
      <c r="Y397" s="46"/>
      <c r="Z397" s="46"/>
      <c r="AA397" s="46"/>
      <c r="AB397" s="46"/>
      <c r="AC397" s="46"/>
      <c r="AD397" s="46"/>
      <c r="AE397" s="46"/>
      <c r="AF397" s="46"/>
      <c r="AG397" s="46"/>
    </row>
    <row r="398" spans="1:33" ht="13.5" customHeight="1">
      <c r="A398" s="46"/>
      <c r="B398" s="46"/>
      <c r="C398" s="41"/>
      <c r="D398" s="42"/>
      <c r="E398" s="42"/>
      <c r="F398" s="42"/>
      <c r="G398" s="43"/>
      <c r="H398" s="43"/>
      <c r="I398" s="43"/>
      <c r="J398" s="43"/>
      <c r="K398" s="43"/>
      <c r="L398" s="43"/>
      <c r="M398" s="43"/>
      <c r="N398" s="43"/>
      <c r="O398" s="43"/>
      <c r="P398" s="41"/>
      <c r="Q398" s="41"/>
      <c r="R398" s="41"/>
      <c r="S398" s="44"/>
      <c r="T398" s="45"/>
      <c r="U398" s="45"/>
      <c r="V398" s="45"/>
      <c r="W398" s="45"/>
      <c r="X398" s="46"/>
      <c r="Y398" s="46"/>
      <c r="Z398" s="46"/>
      <c r="AA398" s="46"/>
      <c r="AB398" s="46"/>
      <c r="AC398" s="46"/>
      <c r="AD398" s="46"/>
      <c r="AE398" s="46"/>
      <c r="AF398" s="46"/>
      <c r="AG398" s="46"/>
    </row>
    <row r="399" spans="1:33" ht="13.5" customHeight="1">
      <c r="A399" s="46"/>
      <c r="B399" s="46"/>
      <c r="C399" s="41"/>
      <c r="D399" s="42"/>
      <c r="E399" s="42"/>
      <c r="F399" s="42"/>
      <c r="G399" s="43"/>
      <c r="H399" s="43"/>
      <c r="I399" s="43"/>
      <c r="J399" s="43"/>
      <c r="K399" s="43"/>
      <c r="L399" s="43"/>
      <c r="M399" s="43"/>
      <c r="N399" s="43"/>
      <c r="O399" s="43"/>
      <c r="P399" s="41"/>
      <c r="Q399" s="41"/>
      <c r="R399" s="41"/>
      <c r="S399" s="44"/>
      <c r="T399" s="45"/>
      <c r="U399" s="45"/>
      <c r="V399" s="45"/>
      <c r="W399" s="45"/>
      <c r="X399" s="46"/>
      <c r="Y399" s="46"/>
      <c r="Z399" s="46"/>
      <c r="AA399" s="46"/>
      <c r="AB399" s="46"/>
      <c r="AC399" s="46"/>
      <c r="AD399" s="46"/>
      <c r="AE399" s="46"/>
      <c r="AF399" s="46"/>
      <c r="AG399" s="46"/>
    </row>
    <row r="400" spans="1:33" ht="13.5" customHeight="1">
      <c r="A400" s="46"/>
      <c r="B400" s="46"/>
      <c r="C400" s="41"/>
      <c r="D400" s="42"/>
      <c r="E400" s="42"/>
      <c r="F400" s="42"/>
      <c r="G400" s="43"/>
      <c r="H400" s="43"/>
      <c r="I400" s="43"/>
      <c r="J400" s="43"/>
      <c r="K400" s="43"/>
      <c r="L400" s="43"/>
      <c r="M400" s="43"/>
      <c r="N400" s="43"/>
      <c r="O400" s="43"/>
      <c r="P400" s="41"/>
      <c r="Q400" s="41"/>
      <c r="R400" s="41"/>
      <c r="S400" s="44"/>
      <c r="T400" s="45"/>
      <c r="U400" s="45"/>
      <c r="V400" s="45"/>
      <c r="W400" s="45"/>
      <c r="X400" s="46"/>
      <c r="Y400" s="46"/>
      <c r="Z400" s="46"/>
      <c r="AA400" s="46"/>
      <c r="AB400" s="46"/>
      <c r="AC400" s="46"/>
      <c r="AD400" s="46"/>
      <c r="AE400" s="46"/>
      <c r="AF400" s="46"/>
      <c r="AG400" s="46"/>
    </row>
    <row r="401" spans="1:33" ht="13.5" customHeight="1">
      <c r="A401" s="46"/>
      <c r="B401" s="46"/>
      <c r="C401" s="41"/>
      <c r="D401" s="42"/>
      <c r="E401" s="42"/>
      <c r="F401" s="42"/>
      <c r="G401" s="43"/>
      <c r="H401" s="43"/>
      <c r="I401" s="43"/>
      <c r="J401" s="43"/>
      <c r="K401" s="43"/>
      <c r="L401" s="43"/>
      <c r="M401" s="43"/>
      <c r="N401" s="43"/>
      <c r="O401" s="43"/>
      <c r="P401" s="41"/>
      <c r="Q401" s="41"/>
      <c r="R401" s="41"/>
      <c r="S401" s="44"/>
      <c r="T401" s="45"/>
      <c r="U401" s="45"/>
      <c r="V401" s="45"/>
      <c r="W401" s="45"/>
      <c r="X401" s="46"/>
      <c r="Y401" s="46"/>
      <c r="Z401" s="46"/>
      <c r="AA401" s="46"/>
      <c r="AB401" s="46"/>
      <c r="AC401" s="46"/>
      <c r="AD401" s="46"/>
      <c r="AE401" s="46"/>
      <c r="AF401" s="46"/>
      <c r="AG401" s="46"/>
    </row>
    <row r="402" spans="1:33" ht="13.5" customHeight="1">
      <c r="A402" s="46"/>
      <c r="B402" s="46"/>
      <c r="C402" s="41"/>
      <c r="D402" s="42"/>
      <c r="E402" s="42"/>
      <c r="F402" s="42"/>
      <c r="G402" s="43"/>
      <c r="H402" s="43"/>
      <c r="I402" s="43"/>
      <c r="J402" s="43"/>
      <c r="K402" s="43"/>
      <c r="L402" s="43"/>
      <c r="M402" s="43"/>
      <c r="N402" s="43"/>
      <c r="O402" s="43"/>
      <c r="P402" s="41"/>
      <c r="Q402" s="41"/>
      <c r="R402" s="41"/>
      <c r="S402" s="44"/>
      <c r="T402" s="45"/>
      <c r="U402" s="45"/>
      <c r="V402" s="45"/>
      <c r="W402" s="45"/>
      <c r="X402" s="46"/>
      <c r="Y402" s="46"/>
      <c r="Z402" s="46"/>
      <c r="AA402" s="46"/>
      <c r="AB402" s="46"/>
      <c r="AC402" s="46"/>
      <c r="AD402" s="46"/>
      <c r="AE402" s="46"/>
      <c r="AF402" s="46"/>
      <c r="AG402" s="46"/>
    </row>
    <row r="403" spans="1:33" ht="13.5" customHeight="1">
      <c r="A403" s="46"/>
      <c r="B403" s="46"/>
      <c r="C403" s="41"/>
      <c r="D403" s="42"/>
      <c r="E403" s="42"/>
      <c r="F403" s="42"/>
      <c r="G403" s="43"/>
      <c r="H403" s="43"/>
      <c r="I403" s="43"/>
      <c r="J403" s="43"/>
      <c r="K403" s="43"/>
      <c r="L403" s="43"/>
      <c r="M403" s="43"/>
      <c r="N403" s="43"/>
      <c r="O403" s="43"/>
      <c r="P403" s="41"/>
      <c r="Q403" s="41"/>
      <c r="R403" s="41"/>
      <c r="S403" s="44"/>
      <c r="T403" s="45"/>
      <c r="U403" s="45"/>
      <c r="V403" s="45"/>
      <c r="W403" s="45"/>
      <c r="X403" s="46"/>
      <c r="Y403" s="46"/>
      <c r="Z403" s="46"/>
      <c r="AA403" s="46"/>
      <c r="AB403" s="46"/>
      <c r="AC403" s="46"/>
      <c r="AD403" s="46"/>
      <c r="AE403" s="46"/>
      <c r="AF403" s="46"/>
      <c r="AG403" s="46"/>
    </row>
    <row r="404" spans="1:33" ht="13.5" customHeight="1">
      <c r="A404" s="46"/>
      <c r="B404" s="46"/>
      <c r="C404" s="41"/>
      <c r="D404" s="42"/>
      <c r="E404" s="42"/>
      <c r="F404" s="42"/>
      <c r="G404" s="43"/>
      <c r="H404" s="43"/>
      <c r="I404" s="43"/>
      <c r="J404" s="43"/>
      <c r="K404" s="43"/>
      <c r="L404" s="43"/>
      <c r="M404" s="43"/>
      <c r="N404" s="43"/>
      <c r="O404" s="43"/>
      <c r="P404" s="41"/>
      <c r="Q404" s="41"/>
      <c r="R404" s="41"/>
      <c r="S404" s="44"/>
      <c r="T404" s="45"/>
      <c r="U404" s="45"/>
      <c r="V404" s="45"/>
      <c r="W404" s="45"/>
      <c r="X404" s="46"/>
      <c r="Y404" s="46"/>
      <c r="Z404" s="46"/>
      <c r="AA404" s="46"/>
      <c r="AB404" s="46"/>
      <c r="AC404" s="46"/>
      <c r="AD404" s="46"/>
      <c r="AE404" s="46"/>
      <c r="AF404" s="46"/>
      <c r="AG404" s="46"/>
    </row>
    <row r="405" spans="1:33" ht="13.5" customHeight="1">
      <c r="A405" s="46"/>
      <c r="B405" s="46"/>
      <c r="C405" s="41"/>
      <c r="D405" s="42"/>
      <c r="E405" s="42"/>
      <c r="F405" s="42"/>
      <c r="G405" s="43"/>
      <c r="H405" s="43"/>
      <c r="I405" s="43"/>
      <c r="J405" s="43"/>
      <c r="K405" s="43"/>
      <c r="L405" s="43"/>
      <c r="M405" s="43"/>
      <c r="N405" s="43"/>
      <c r="O405" s="43"/>
      <c r="P405" s="41"/>
      <c r="Q405" s="41"/>
      <c r="R405" s="41"/>
      <c r="S405" s="44"/>
      <c r="T405" s="45"/>
      <c r="U405" s="45"/>
      <c r="V405" s="45"/>
      <c r="W405" s="45"/>
      <c r="X405" s="46"/>
      <c r="Y405" s="46"/>
      <c r="Z405" s="46"/>
      <c r="AA405" s="46"/>
      <c r="AB405" s="46"/>
      <c r="AC405" s="46"/>
      <c r="AD405" s="46"/>
      <c r="AE405" s="46"/>
      <c r="AF405" s="46"/>
      <c r="AG405" s="46"/>
    </row>
    <row r="406" spans="1:33" ht="13.5" customHeight="1">
      <c r="A406" s="46"/>
      <c r="B406" s="46"/>
      <c r="C406" s="41"/>
      <c r="D406" s="42"/>
      <c r="E406" s="42"/>
      <c r="F406" s="42"/>
      <c r="G406" s="43"/>
      <c r="H406" s="43"/>
      <c r="I406" s="43"/>
      <c r="J406" s="43"/>
      <c r="K406" s="43"/>
      <c r="L406" s="43"/>
      <c r="M406" s="43"/>
      <c r="N406" s="43"/>
      <c r="O406" s="43"/>
      <c r="P406" s="41"/>
      <c r="Q406" s="41"/>
      <c r="R406" s="41"/>
      <c r="S406" s="44"/>
      <c r="T406" s="45"/>
      <c r="U406" s="45"/>
      <c r="V406" s="45"/>
      <c r="W406" s="45"/>
      <c r="X406" s="46"/>
      <c r="Y406" s="46"/>
      <c r="Z406" s="46"/>
      <c r="AA406" s="46"/>
      <c r="AB406" s="46"/>
      <c r="AC406" s="46"/>
      <c r="AD406" s="46"/>
      <c r="AE406" s="46"/>
      <c r="AF406" s="46"/>
      <c r="AG406" s="46"/>
    </row>
    <row r="407" spans="1:33" ht="13.5" customHeight="1">
      <c r="A407" s="46"/>
      <c r="B407" s="46"/>
      <c r="C407" s="41"/>
      <c r="D407" s="42"/>
      <c r="E407" s="42"/>
      <c r="F407" s="42"/>
      <c r="G407" s="43"/>
      <c r="H407" s="43"/>
      <c r="I407" s="43"/>
      <c r="J407" s="43"/>
      <c r="K407" s="43"/>
      <c r="L407" s="43"/>
      <c r="M407" s="43"/>
      <c r="N407" s="43"/>
      <c r="O407" s="43"/>
      <c r="P407" s="41"/>
      <c r="Q407" s="41"/>
      <c r="R407" s="41"/>
      <c r="S407" s="44"/>
      <c r="T407" s="45"/>
      <c r="U407" s="45"/>
      <c r="V407" s="45"/>
      <c r="W407" s="45"/>
      <c r="X407" s="46"/>
      <c r="Y407" s="46"/>
      <c r="Z407" s="46"/>
      <c r="AA407" s="46"/>
      <c r="AB407" s="46"/>
      <c r="AC407" s="46"/>
      <c r="AD407" s="46"/>
      <c r="AE407" s="46"/>
      <c r="AF407" s="46"/>
      <c r="AG407" s="46"/>
    </row>
    <row r="408" spans="1:33" ht="13.5" customHeight="1">
      <c r="A408" s="46"/>
      <c r="B408" s="46"/>
      <c r="C408" s="41"/>
      <c r="D408" s="42"/>
      <c r="E408" s="42"/>
      <c r="F408" s="42"/>
      <c r="G408" s="43"/>
      <c r="H408" s="43"/>
      <c r="I408" s="43"/>
      <c r="J408" s="43"/>
      <c r="K408" s="43"/>
      <c r="L408" s="43"/>
      <c r="M408" s="43"/>
      <c r="N408" s="43"/>
      <c r="O408" s="43"/>
      <c r="P408" s="41"/>
      <c r="Q408" s="41"/>
      <c r="R408" s="41"/>
      <c r="S408" s="44"/>
      <c r="T408" s="45"/>
      <c r="U408" s="45"/>
      <c r="V408" s="45"/>
      <c r="W408" s="45"/>
      <c r="X408" s="46"/>
      <c r="Y408" s="46"/>
      <c r="Z408" s="46"/>
      <c r="AA408" s="46"/>
      <c r="AB408" s="46"/>
      <c r="AC408" s="46"/>
      <c r="AD408" s="46"/>
      <c r="AE408" s="46"/>
      <c r="AF408" s="46"/>
      <c r="AG408" s="46"/>
    </row>
    <row r="409" spans="1:33" ht="13.5" customHeight="1">
      <c r="A409" s="46"/>
      <c r="B409" s="46"/>
      <c r="C409" s="41"/>
      <c r="D409" s="42"/>
      <c r="E409" s="42"/>
      <c r="F409" s="42"/>
      <c r="G409" s="43"/>
      <c r="H409" s="43"/>
      <c r="I409" s="43"/>
      <c r="J409" s="43"/>
      <c r="K409" s="43"/>
      <c r="L409" s="43"/>
      <c r="M409" s="43"/>
      <c r="N409" s="43"/>
      <c r="O409" s="43"/>
      <c r="P409" s="41"/>
      <c r="Q409" s="41"/>
      <c r="R409" s="41"/>
      <c r="S409" s="44"/>
      <c r="T409" s="45"/>
      <c r="U409" s="45"/>
      <c r="V409" s="45"/>
      <c r="W409" s="45"/>
      <c r="X409" s="46"/>
      <c r="Y409" s="46"/>
      <c r="Z409" s="46"/>
      <c r="AA409" s="46"/>
      <c r="AB409" s="46"/>
      <c r="AC409" s="46"/>
      <c r="AD409" s="46"/>
      <c r="AE409" s="46"/>
      <c r="AF409" s="46"/>
      <c r="AG409" s="46"/>
    </row>
    <row r="410" spans="1:33" ht="13.5" customHeight="1">
      <c r="A410" s="46"/>
      <c r="B410" s="46"/>
      <c r="C410" s="41"/>
      <c r="D410" s="42"/>
      <c r="E410" s="42"/>
      <c r="F410" s="42"/>
      <c r="G410" s="43"/>
      <c r="H410" s="43"/>
      <c r="I410" s="43"/>
      <c r="J410" s="43"/>
      <c r="K410" s="43"/>
      <c r="L410" s="43"/>
      <c r="M410" s="43"/>
      <c r="N410" s="43"/>
      <c r="O410" s="43"/>
      <c r="P410" s="41"/>
      <c r="Q410" s="41"/>
      <c r="R410" s="41"/>
      <c r="S410" s="44"/>
      <c r="T410" s="45"/>
      <c r="U410" s="45"/>
      <c r="V410" s="45"/>
      <c r="W410" s="45"/>
      <c r="X410" s="46"/>
      <c r="Y410" s="46"/>
      <c r="Z410" s="46"/>
      <c r="AA410" s="46"/>
      <c r="AB410" s="46"/>
      <c r="AC410" s="46"/>
      <c r="AD410" s="46"/>
      <c r="AE410" s="46"/>
      <c r="AF410" s="46"/>
      <c r="AG410" s="46"/>
    </row>
    <row r="411" spans="1:33" ht="13.5" customHeight="1">
      <c r="A411" s="46"/>
      <c r="B411" s="46"/>
      <c r="C411" s="41"/>
      <c r="D411" s="42"/>
      <c r="E411" s="42"/>
      <c r="F411" s="42"/>
      <c r="G411" s="43"/>
      <c r="H411" s="43"/>
      <c r="I411" s="43"/>
      <c r="J411" s="43"/>
      <c r="K411" s="43"/>
      <c r="L411" s="43"/>
      <c r="M411" s="43"/>
      <c r="N411" s="43"/>
      <c r="O411" s="43"/>
      <c r="P411" s="41"/>
      <c r="Q411" s="41"/>
      <c r="R411" s="41"/>
      <c r="S411" s="44"/>
      <c r="T411" s="45"/>
      <c r="U411" s="45"/>
      <c r="V411" s="45"/>
      <c r="W411" s="45"/>
      <c r="X411" s="46"/>
      <c r="Y411" s="46"/>
      <c r="Z411" s="46"/>
      <c r="AA411" s="46"/>
      <c r="AB411" s="46"/>
      <c r="AC411" s="46"/>
      <c r="AD411" s="46"/>
      <c r="AE411" s="46"/>
      <c r="AF411" s="46"/>
      <c r="AG411" s="46"/>
    </row>
    <row r="412" spans="1:33" ht="13.5" customHeight="1">
      <c r="A412" s="46"/>
      <c r="B412" s="46"/>
      <c r="C412" s="41"/>
      <c r="D412" s="42"/>
      <c r="E412" s="42"/>
      <c r="F412" s="42"/>
      <c r="G412" s="43"/>
      <c r="H412" s="43"/>
      <c r="I412" s="43"/>
      <c r="J412" s="43"/>
      <c r="K412" s="43"/>
      <c r="L412" s="43"/>
      <c r="M412" s="43"/>
      <c r="N412" s="43"/>
      <c r="O412" s="43"/>
      <c r="P412" s="41"/>
      <c r="Q412" s="41"/>
      <c r="R412" s="41"/>
      <c r="S412" s="44"/>
      <c r="T412" s="45"/>
      <c r="U412" s="45"/>
      <c r="V412" s="45"/>
      <c r="W412" s="45"/>
      <c r="X412" s="46"/>
      <c r="Y412" s="46"/>
      <c r="Z412" s="46"/>
      <c r="AA412" s="46"/>
      <c r="AB412" s="46"/>
      <c r="AC412" s="46"/>
      <c r="AD412" s="46"/>
      <c r="AE412" s="46"/>
      <c r="AF412" s="46"/>
      <c r="AG412" s="46"/>
    </row>
    <row r="413" spans="1:33" ht="13.5" customHeight="1">
      <c r="A413" s="46"/>
      <c r="B413" s="46"/>
      <c r="C413" s="41"/>
      <c r="D413" s="42"/>
      <c r="E413" s="42"/>
      <c r="F413" s="42"/>
      <c r="G413" s="43"/>
      <c r="H413" s="43"/>
      <c r="I413" s="43"/>
      <c r="J413" s="43"/>
      <c r="K413" s="43"/>
      <c r="L413" s="43"/>
      <c r="M413" s="43"/>
      <c r="N413" s="43"/>
      <c r="O413" s="43"/>
      <c r="P413" s="41"/>
      <c r="Q413" s="41"/>
      <c r="R413" s="41"/>
      <c r="S413" s="44"/>
      <c r="T413" s="45"/>
      <c r="U413" s="45"/>
      <c r="V413" s="45"/>
      <c r="W413" s="45"/>
      <c r="X413" s="46"/>
      <c r="Y413" s="46"/>
      <c r="Z413" s="46"/>
      <c r="AA413" s="46"/>
      <c r="AB413" s="46"/>
      <c r="AC413" s="46"/>
      <c r="AD413" s="46"/>
      <c r="AE413" s="46"/>
      <c r="AF413" s="46"/>
      <c r="AG413" s="46"/>
    </row>
    <row r="414" spans="1:33" ht="13.5" customHeight="1">
      <c r="A414" s="46"/>
      <c r="B414" s="46"/>
      <c r="C414" s="41"/>
      <c r="D414" s="42"/>
      <c r="E414" s="42"/>
      <c r="F414" s="42"/>
      <c r="G414" s="43"/>
      <c r="H414" s="43"/>
      <c r="I414" s="43"/>
      <c r="J414" s="43"/>
      <c r="K414" s="43"/>
      <c r="L414" s="43"/>
      <c r="M414" s="43"/>
      <c r="N414" s="43"/>
      <c r="O414" s="43"/>
      <c r="P414" s="41"/>
      <c r="Q414" s="41"/>
      <c r="R414" s="41"/>
      <c r="S414" s="44"/>
      <c r="T414" s="45"/>
      <c r="U414" s="45"/>
      <c r="V414" s="45"/>
      <c r="W414" s="45"/>
      <c r="X414" s="46"/>
      <c r="Y414" s="46"/>
      <c r="Z414" s="46"/>
      <c r="AA414" s="46"/>
      <c r="AB414" s="46"/>
      <c r="AC414" s="46"/>
      <c r="AD414" s="46"/>
      <c r="AE414" s="46"/>
      <c r="AF414" s="46"/>
      <c r="AG414" s="46"/>
    </row>
    <row r="415" spans="1:33" ht="13.5" customHeight="1">
      <c r="A415" s="46"/>
      <c r="B415" s="46"/>
      <c r="C415" s="41"/>
      <c r="D415" s="42"/>
      <c r="E415" s="42"/>
      <c r="F415" s="42"/>
      <c r="G415" s="43"/>
      <c r="H415" s="43"/>
      <c r="I415" s="43"/>
      <c r="J415" s="43"/>
      <c r="K415" s="43"/>
      <c r="L415" s="43"/>
      <c r="M415" s="43"/>
      <c r="N415" s="43"/>
      <c r="O415" s="43"/>
      <c r="P415" s="41"/>
      <c r="Q415" s="41"/>
      <c r="R415" s="41"/>
      <c r="S415" s="44"/>
      <c r="T415" s="45"/>
      <c r="U415" s="45"/>
      <c r="V415" s="45"/>
      <c r="W415" s="45"/>
      <c r="X415" s="46"/>
      <c r="Y415" s="46"/>
      <c r="Z415" s="46"/>
      <c r="AA415" s="46"/>
      <c r="AB415" s="46"/>
      <c r="AC415" s="46"/>
      <c r="AD415" s="46"/>
      <c r="AE415" s="46"/>
      <c r="AF415" s="46"/>
      <c r="AG415" s="46"/>
    </row>
    <row r="416" spans="1:33" ht="13.5" customHeight="1">
      <c r="A416" s="46"/>
      <c r="B416" s="46"/>
      <c r="C416" s="41"/>
      <c r="D416" s="42"/>
      <c r="E416" s="42"/>
      <c r="F416" s="42"/>
      <c r="G416" s="43"/>
      <c r="H416" s="43"/>
      <c r="I416" s="43"/>
      <c r="J416" s="43"/>
      <c r="K416" s="43"/>
      <c r="L416" s="43"/>
      <c r="M416" s="43"/>
      <c r="N416" s="43"/>
      <c r="O416" s="43"/>
      <c r="P416" s="41"/>
      <c r="Q416" s="41"/>
      <c r="R416" s="41"/>
      <c r="S416" s="44"/>
      <c r="T416" s="45"/>
      <c r="U416" s="45"/>
      <c r="V416" s="45"/>
      <c r="W416" s="45"/>
      <c r="X416" s="46"/>
      <c r="Y416" s="46"/>
      <c r="Z416" s="46"/>
      <c r="AA416" s="46"/>
      <c r="AB416" s="46"/>
      <c r="AC416" s="46"/>
      <c r="AD416" s="46"/>
      <c r="AE416" s="46"/>
      <c r="AF416" s="46"/>
      <c r="AG416" s="46"/>
    </row>
    <row r="417" spans="1:33" ht="13.5" customHeight="1">
      <c r="A417" s="46"/>
      <c r="B417" s="46"/>
      <c r="C417" s="41"/>
      <c r="D417" s="42"/>
      <c r="E417" s="42"/>
      <c r="F417" s="42"/>
      <c r="G417" s="43"/>
      <c r="H417" s="43"/>
      <c r="I417" s="43"/>
      <c r="J417" s="43"/>
      <c r="K417" s="43"/>
      <c r="L417" s="43"/>
      <c r="M417" s="43"/>
      <c r="N417" s="43"/>
      <c r="O417" s="43"/>
      <c r="P417" s="41"/>
      <c r="Q417" s="41"/>
      <c r="R417" s="41"/>
      <c r="S417" s="44"/>
      <c r="T417" s="45"/>
      <c r="U417" s="45"/>
      <c r="V417" s="45"/>
      <c r="W417" s="45"/>
      <c r="X417" s="46"/>
      <c r="Y417" s="46"/>
      <c r="Z417" s="46"/>
      <c r="AA417" s="46"/>
      <c r="AB417" s="46"/>
      <c r="AC417" s="46"/>
      <c r="AD417" s="46"/>
      <c r="AE417" s="46"/>
      <c r="AF417" s="46"/>
      <c r="AG417" s="46"/>
    </row>
    <row r="418" spans="1:33" ht="13.5" customHeight="1">
      <c r="A418" s="46"/>
      <c r="B418" s="46"/>
      <c r="C418" s="41"/>
      <c r="D418" s="42"/>
      <c r="E418" s="42"/>
      <c r="F418" s="42"/>
      <c r="G418" s="43"/>
      <c r="H418" s="43"/>
      <c r="I418" s="43"/>
      <c r="J418" s="43"/>
      <c r="K418" s="43"/>
      <c r="L418" s="43"/>
      <c r="M418" s="43"/>
      <c r="N418" s="43"/>
      <c r="O418" s="43"/>
      <c r="P418" s="41"/>
      <c r="Q418" s="41"/>
      <c r="R418" s="41"/>
      <c r="S418" s="44"/>
      <c r="T418" s="45"/>
      <c r="U418" s="45"/>
      <c r="V418" s="45"/>
      <c r="W418" s="45"/>
      <c r="X418" s="46"/>
      <c r="Y418" s="46"/>
      <c r="Z418" s="46"/>
      <c r="AA418" s="46"/>
      <c r="AB418" s="46"/>
      <c r="AC418" s="46"/>
      <c r="AD418" s="46"/>
      <c r="AE418" s="46"/>
      <c r="AF418" s="46"/>
      <c r="AG418" s="46"/>
    </row>
    <row r="419" spans="1:33" ht="13.5" customHeight="1">
      <c r="A419" s="46"/>
      <c r="B419" s="46"/>
      <c r="C419" s="41"/>
      <c r="D419" s="42"/>
      <c r="E419" s="42"/>
      <c r="F419" s="42"/>
      <c r="G419" s="43"/>
      <c r="H419" s="43"/>
      <c r="I419" s="43"/>
      <c r="J419" s="43"/>
      <c r="K419" s="43"/>
      <c r="L419" s="43"/>
      <c r="M419" s="43"/>
      <c r="N419" s="43"/>
      <c r="O419" s="43"/>
      <c r="P419" s="41"/>
      <c r="Q419" s="41"/>
      <c r="R419" s="41"/>
      <c r="S419" s="44"/>
      <c r="T419" s="45"/>
      <c r="U419" s="45"/>
      <c r="V419" s="45"/>
      <c r="W419" s="45"/>
      <c r="X419" s="46"/>
      <c r="Y419" s="46"/>
      <c r="Z419" s="46"/>
      <c r="AA419" s="46"/>
      <c r="AB419" s="46"/>
      <c r="AC419" s="46"/>
      <c r="AD419" s="46"/>
      <c r="AE419" s="46"/>
      <c r="AF419" s="46"/>
      <c r="AG419" s="46"/>
    </row>
    <row r="420" spans="1:33" ht="13.5" customHeight="1">
      <c r="A420" s="46"/>
      <c r="B420" s="46"/>
      <c r="C420" s="41"/>
      <c r="D420" s="42"/>
      <c r="E420" s="42"/>
      <c r="F420" s="42"/>
      <c r="G420" s="43"/>
      <c r="H420" s="43"/>
      <c r="I420" s="43"/>
      <c r="J420" s="43"/>
      <c r="K420" s="43"/>
      <c r="L420" s="43"/>
      <c r="M420" s="43"/>
      <c r="N420" s="43"/>
      <c r="O420" s="43"/>
      <c r="P420" s="41"/>
      <c r="Q420" s="41"/>
      <c r="R420" s="41"/>
      <c r="S420" s="44"/>
      <c r="T420" s="45"/>
      <c r="U420" s="45"/>
      <c r="V420" s="45"/>
      <c r="W420" s="45"/>
      <c r="X420" s="46"/>
      <c r="Y420" s="46"/>
      <c r="Z420" s="46"/>
      <c r="AA420" s="46"/>
      <c r="AB420" s="46"/>
      <c r="AC420" s="46"/>
      <c r="AD420" s="46"/>
      <c r="AE420" s="46"/>
      <c r="AF420" s="46"/>
      <c r="AG420" s="46"/>
    </row>
    <row r="421" spans="1:33" ht="13.5" customHeight="1">
      <c r="A421" s="46"/>
      <c r="B421" s="46"/>
      <c r="C421" s="41"/>
      <c r="D421" s="42"/>
      <c r="E421" s="42"/>
      <c r="F421" s="42"/>
      <c r="G421" s="43"/>
      <c r="H421" s="43"/>
      <c r="I421" s="43"/>
      <c r="J421" s="43"/>
      <c r="K421" s="43"/>
      <c r="L421" s="43"/>
      <c r="M421" s="43"/>
      <c r="N421" s="43"/>
      <c r="O421" s="43"/>
      <c r="P421" s="41"/>
      <c r="Q421" s="41"/>
      <c r="R421" s="41"/>
      <c r="S421" s="44"/>
      <c r="T421" s="45"/>
      <c r="U421" s="45"/>
      <c r="V421" s="45"/>
      <c r="W421" s="45"/>
      <c r="X421" s="46"/>
      <c r="Y421" s="46"/>
      <c r="Z421" s="46"/>
      <c r="AA421" s="46"/>
      <c r="AB421" s="46"/>
      <c r="AC421" s="46"/>
      <c r="AD421" s="46"/>
      <c r="AE421" s="46"/>
      <c r="AF421" s="46"/>
      <c r="AG421" s="46"/>
    </row>
    <row r="422" spans="1:33" ht="13.5" customHeight="1">
      <c r="A422" s="46"/>
      <c r="B422" s="46"/>
      <c r="C422" s="41"/>
      <c r="D422" s="42"/>
      <c r="E422" s="42"/>
      <c r="F422" s="42"/>
      <c r="G422" s="43"/>
      <c r="H422" s="43"/>
      <c r="I422" s="43"/>
      <c r="J422" s="43"/>
      <c r="K422" s="43"/>
      <c r="L422" s="43"/>
      <c r="M422" s="43"/>
      <c r="N422" s="43"/>
      <c r="O422" s="43"/>
      <c r="P422" s="41"/>
      <c r="Q422" s="41"/>
      <c r="R422" s="41"/>
      <c r="S422" s="44"/>
      <c r="T422" s="45"/>
      <c r="U422" s="45"/>
      <c r="V422" s="45"/>
      <c r="W422" s="45"/>
      <c r="X422" s="46"/>
      <c r="Y422" s="46"/>
      <c r="Z422" s="46"/>
      <c r="AA422" s="46"/>
      <c r="AB422" s="46"/>
      <c r="AC422" s="46"/>
      <c r="AD422" s="46"/>
      <c r="AE422" s="46"/>
      <c r="AF422" s="46"/>
      <c r="AG422" s="46"/>
    </row>
    <row r="423" spans="1:33" ht="13.5" customHeight="1">
      <c r="A423" s="46"/>
      <c r="B423" s="46"/>
      <c r="C423" s="41"/>
      <c r="D423" s="42"/>
      <c r="E423" s="42"/>
      <c r="F423" s="42"/>
      <c r="G423" s="43"/>
      <c r="H423" s="43"/>
      <c r="I423" s="43"/>
      <c r="J423" s="43"/>
      <c r="K423" s="43"/>
      <c r="L423" s="43"/>
      <c r="M423" s="43"/>
      <c r="N423" s="43"/>
      <c r="O423" s="43"/>
      <c r="P423" s="41"/>
      <c r="Q423" s="41"/>
      <c r="R423" s="41"/>
      <c r="S423" s="44"/>
      <c r="T423" s="45"/>
      <c r="U423" s="45"/>
      <c r="V423" s="45"/>
      <c r="W423" s="45"/>
      <c r="X423" s="46"/>
      <c r="Y423" s="46"/>
      <c r="Z423" s="46"/>
      <c r="AA423" s="46"/>
      <c r="AB423" s="46"/>
      <c r="AC423" s="46"/>
      <c r="AD423" s="46"/>
      <c r="AE423" s="46"/>
      <c r="AF423" s="46"/>
      <c r="AG423" s="46"/>
    </row>
    <row r="424" spans="1:33" ht="13.5" customHeight="1">
      <c r="A424" s="46"/>
      <c r="B424" s="46"/>
      <c r="C424" s="41"/>
      <c r="D424" s="42"/>
      <c r="E424" s="42"/>
      <c r="F424" s="42"/>
      <c r="G424" s="43"/>
      <c r="H424" s="43"/>
      <c r="I424" s="43"/>
      <c r="J424" s="43"/>
      <c r="K424" s="43"/>
      <c r="L424" s="43"/>
      <c r="M424" s="43"/>
      <c r="N424" s="43"/>
      <c r="O424" s="43"/>
      <c r="P424" s="41"/>
      <c r="Q424" s="41"/>
      <c r="R424" s="41"/>
      <c r="S424" s="44"/>
      <c r="T424" s="45"/>
      <c r="U424" s="45"/>
      <c r="V424" s="45"/>
      <c r="W424" s="45"/>
      <c r="X424" s="46"/>
      <c r="Y424" s="46"/>
      <c r="Z424" s="46"/>
      <c r="AA424" s="46"/>
      <c r="AB424" s="46"/>
      <c r="AC424" s="46"/>
      <c r="AD424" s="46"/>
      <c r="AE424" s="46"/>
      <c r="AF424" s="46"/>
      <c r="AG424" s="46"/>
    </row>
    <row r="425" spans="1:33" ht="13.5" customHeight="1">
      <c r="A425" s="46"/>
      <c r="B425" s="46"/>
      <c r="C425" s="41"/>
      <c r="D425" s="42"/>
      <c r="E425" s="42"/>
      <c r="F425" s="42"/>
      <c r="G425" s="43"/>
      <c r="H425" s="43"/>
      <c r="I425" s="43"/>
      <c r="J425" s="43"/>
      <c r="K425" s="43"/>
      <c r="L425" s="43"/>
      <c r="M425" s="43"/>
      <c r="N425" s="43"/>
      <c r="O425" s="43"/>
      <c r="P425" s="41"/>
      <c r="Q425" s="41"/>
      <c r="R425" s="41"/>
      <c r="S425" s="44"/>
      <c r="T425" s="45"/>
      <c r="U425" s="45"/>
      <c r="V425" s="45"/>
      <c r="W425" s="45"/>
      <c r="X425" s="46"/>
      <c r="Y425" s="46"/>
      <c r="Z425" s="46"/>
      <c r="AA425" s="46"/>
      <c r="AB425" s="46"/>
      <c r="AC425" s="46"/>
      <c r="AD425" s="46"/>
      <c r="AE425" s="46"/>
      <c r="AF425" s="46"/>
      <c r="AG425" s="46"/>
    </row>
    <row r="426" spans="1:33" ht="13.5" customHeight="1">
      <c r="A426" s="46"/>
      <c r="B426" s="46"/>
      <c r="C426" s="41"/>
      <c r="D426" s="42"/>
      <c r="E426" s="42"/>
      <c r="F426" s="42"/>
      <c r="G426" s="43"/>
      <c r="H426" s="43"/>
      <c r="I426" s="43"/>
      <c r="J426" s="43"/>
      <c r="K426" s="43"/>
      <c r="L426" s="43"/>
      <c r="M426" s="43"/>
      <c r="N426" s="43"/>
      <c r="O426" s="43"/>
      <c r="P426" s="41"/>
      <c r="Q426" s="41"/>
      <c r="R426" s="41"/>
      <c r="S426" s="44"/>
      <c r="T426" s="45"/>
      <c r="U426" s="45"/>
      <c r="V426" s="45"/>
      <c r="W426" s="45"/>
      <c r="X426" s="46"/>
      <c r="Y426" s="46"/>
      <c r="Z426" s="46"/>
      <c r="AA426" s="46"/>
      <c r="AB426" s="46"/>
      <c r="AC426" s="46"/>
      <c r="AD426" s="46"/>
      <c r="AE426" s="46"/>
      <c r="AF426" s="46"/>
      <c r="AG426" s="46"/>
    </row>
    <row r="427" spans="1:33" ht="13.5" customHeight="1">
      <c r="A427" s="46"/>
      <c r="B427" s="46"/>
      <c r="C427" s="41"/>
      <c r="D427" s="42"/>
      <c r="E427" s="42"/>
      <c r="F427" s="42"/>
      <c r="G427" s="43"/>
      <c r="H427" s="43"/>
      <c r="I427" s="43"/>
      <c r="J427" s="43"/>
      <c r="K427" s="43"/>
      <c r="L427" s="43"/>
      <c r="M427" s="43"/>
      <c r="N427" s="43"/>
      <c r="O427" s="43"/>
      <c r="P427" s="41"/>
      <c r="Q427" s="41"/>
      <c r="R427" s="41"/>
      <c r="S427" s="44"/>
      <c r="T427" s="45"/>
      <c r="U427" s="45"/>
      <c r="V427" s="45"/>
      <c r="W427" s="45"/>
      <c r="X427" s="46"/>
      <c r="Y427" s="46"/>
      <c r="Z427" s="46"/>
      <c r="AA427" s="46"/>
      <c r="AB427" s="46"/>
      <c r="AC427" s="46"/>
      <c r="AD427" s="46"/>
      <c r="AE427" s="46"/>
      <c r="AF427" s="46"/>
      <c r="AG427" s="46"/>
    </row>
    <row r="428" spans="1:33" ht="13.5" customHeight="1">
      <c r="A428" s="46"/>
      <c r="B428" s="46"/>
      <c r="C428" s="41"/>
      <c r="D428" s="42"/>
      <c r="E428" s="42"/>
      <c r="F428" s="42"/>
      <c r="G428" s="43"/>
      <c r="H428" s="43"/>
      <c r="I428" s="43"/>
      <c r="J428" s="43"/>
      <c r="K428" s="43"/>
      <c r="L428" s="43"/>
      <c r="M428" s="43"/>
      <c r="N428" s="43"/>
      <c r="O428" s="43"/>
      <c r="P428" s="41"/>
      <c r="Q428" s="41"/>
      <c r="R428" s="41"/>
      <c r="S428" s="44"/>
      <c r="T428" s="45"/>
      <c r="U428" s="45"/>
      <c r="V428" s="45"/>
      <c r="W428" s="45"/>
      <c r="X428" s="46"/>
      <c r="Y428" s="46"/>
      <c r="Z428" s="46"/>
      <c r="AA428" s="46"/>
      <c r="AB428" s="46"/>
      <c r="AC428" s="46"/>
      <c r="AD428" s="46"/>
      <c r="AE428" s="46"/>
      <c r="AF428" s="46"/>
      <c r="AG428" s="46"/>
    </row>
    <row r="429" spans="1:33" ht="13.5" customHeight="1">
      <c r="A429" s="46"/>
      <c r="B429" s="46"/>
      <c r="C429" s="41"/>
      <c r="D429" s="42"/>
      <c r="E429" s="42"/>
      <c r="F429" s="42"/>
      <c r="G429" s="43"/>
      <c r="H429" s="43"/>
      <c r="I429" s="43"/>
      <c r="J429" s="43"/>
      <c r="K429" s="43"/>
      <c r="L429" s="43"/>
      <c r="M429" s="43"/>
      <c r="N429" s="43"/>
      <c r="O429" s="43"/>
      <c r="P429" s="41"/>
      <c r="Q429" s="41"/>
      <c r="R429" s="41"/>
      <c r="S429" s="44"/>
      <c r="T429" s="45"/>
      <c r="U429" s="45"/>
      <c r="V429" s="45"/>
      <c r="W429" s="45"/>
      <c r="X429" s="46"/>
      <c r="Y429" s="46"/>
      <c r="Z429" s="46"/>
      <c r="AA429" s="46"/>
      <c r="AB429" s="46"/>
      <c r="AC429" s="46"/>
      <c r="AD429" s="46"/>
      <c r="AE429" s="46"/>
      <c r="AF429" s="46"/>
      <c r="AG429" s="46"/>
    </row>
    <row r="430" spans="1:33" ht="13.5" customHeight="1">
      <c r="A430" s="46"/>
      <c r="B430" s="46"/>
      <c r="C430" s="41"/>
      <c r="D430" s="42"/>
      <c r="E430" s="42"/>
      <c r="F430" s="42"/>
      <c r="G430" s="43"/>
      <c r="H430" s="43"/>
      <c r="I430" s="43"/>
      <c r="J430" s="43"/>
      <c r="K430" s="43"/>
      <c r="L430" s="43"/>
      <c r="M430" s="43"/>
      <c r="N430" s="43"/>
      <c r="O430" s="43"/>
      <c r="P430" s="41"/>
      <c r="Q430" s="41"/>
      <c r="R430" s="41"/>
      <c r="S430" s="44"/>
      <c r="T430" s="45"/>
      <c r="U430" s="45"/>
      <c r="V430" s="45"/>
      <c r="W430" s="45"/>
      <c r="X430" s="46"/>
      <c r="Y430" s="46"/>
      <c r="Z430" s="46"/>
      <c r="AA430" s="46"/>
      <c r="AB430" s="46"/>
      <c r="AC430" s="46"/>
      <c r="AD430" s="46"/>
      <c r="AE430" s="46"/>
      <c r="AF430" s="46"/>
      <c r="AG430" s="46"/>
    </row>
    <row r="431" spans="1:33" ht="13.5" customHeight="1">
      <c r="A431" s="46"/>
      <c r="B431" s="46"/>
      <c r="C431" s="41"/>
      <c r="D431" s="42"/>
      <c r="E431" s="42"/>
      <c r="F431" s="42"/>
      <c r="G431" s="43"/>
      <c r="H431" s="43"/>
      <c r="I431" s="43"/>
      <c r="J431" s="43"/>
      <c r="K431" s="43"/>
      <c r="L431" s="43"/>
      <c r="M431" s="43"/>
      <c r="N431" s="43"/>
      <c r="O431" s="43"/>
      <c r="P431" s="41"/>
      <c r="Q431" s="41"/>
      <c r="R431" s="41"/>
      <c r="S431" s="44"/>
      <c r="T431" s="45"/>
      <c r="U431" s="45"/>
      <c r="V431" s="45"/>
      <c r="W431" s="45"/>
      <c r="X431" s="46"/>
      <c r="Y431" s="46"/>
      <c r="Z431" s="46"/>
      <c r="AA431" s="46"/>
      <c r="AB431" s="46"/>
      <c r="AC431" s="46"/>
      <c r="AD431" s="46"/>
      <c r="AE431" s="46"/>
      <c r="AF431" s="46"/>
      <c r="AG431" s="46"/>
    </row>
    <row r="432" spans="1:33" ht="13.5" customHeight="1">
      <c r="A432" s="46"/>
      <c r="B432" s="46"/>
      <c r="C432" s="41"/>
      <c r="D432" s="42"/>
      <c r="E432" s="42"/>
      <c r="F432" s="42"/>
      <c r="G432" s="43"/>
      <c r="H432" s="43"/>
      <c r="I432" s="43"/>
      <c r="J432" s="43"/>
      <c r="K432" s="43"/>
      <c r="L432" s="43"/>
      <c r="M432" s="43"/>
      <c r="N432" s="43"/>
      <c r="O432" s="43"/>
      <c r="P432" s="41"/>
      <c r="Q432" s="41"/>
      <c r="R432" s="41"/>
      <c r="S432" s="44"/>
      <c r="T432" s="45"/>
      <c r="U432" s="45"/>
      <c r="V432" s="45"/>
      <c r="W432" s="45"/>
      <c r="X432" s="46"/>
      <c r="Y432" s="46"/>
      <c r="Z432" s="46"/>
      <c r="AA432" s="46"/>
      <c r="AB432" s="46"/>
      <c r="AC432" s="46"/>
      <c r="AD432" s="46"/>
      <c r="AE432" s="46"/>
      <c r="AF432" s="46"/>
      <c r="AG432" s="46"/>
    </row>
    <row r="433" spans="1:33" ht="13.5" customHeight="1">
      <c r="A433" s="46"/>
      <c r="B433" s="46"/>
      <c r="C433" s="41"/>
      <c r="D433" s="42"/>
      <c r="E433" s="42"/>
      <c r="F433" s="42"/>
      <c r="G433" s="43"/>
      <c r="H433" s="43"/>
      <c r="I433" s="43"/>
      <c r="J433" s="43"/>
      <c r="K433" s="43"/>
      <c r="L433" s="43"/>
      <c r="M433" s="43"/>
      <c r="N433" s="43"/>
      <c r="O433" s="43"/>
      <c r="P433" s="41"/>
      <c r="Q433" s="41"/>
      <c r="R433" s="41"/>
      <c r="S433" s="44"/>
      <c r="T433" s="45"/>
      <c r="U433" s="45"/>
      <c r="V433" s="45"/>
      <c r="W433" s="45"/>
      <c r="X433" s="46"/>
      <c r="Y433" s="46"/>
      <c r="Z433" s="46"/>
      <c r="AA433" s="46"/>
      <c r="AB433" s="46"/>
      <c r="AC433" s="46"/>
      <c r="AD433" s="46"/>
      <c r="AE433" s="46"/>
      <c r="AF433" s="46"/>
      <c r="AG433" s="46"/>
    </row>
    <row r="434" spans="1:33" ht="13.5" customHeight="1">
      <c r="A434" s="46"/>
      <c r="B434" s="46"/>
      <c r="C434" s="41"/>
      <c r="D434" s="42"/>
      <c r="E434" s="42"/>
      <c r="F434" s="42"/>
      <c r="G434" s="43"/>
      <c r="H434" s="43"/>
      <c r="I434" s="43"/>
      <c r="J434" s="43"/>
      <c r="K434" s="43"/>
      <c r="L434" s="43"/>
      <c r="M434" s="43"/>
      <c r="N434" s="43"/>
      <c r="O434" s="43"/>
      <c r="P434" s="41"/>
      <c r="Q434" s="41"/>
      <c r="R434" s="41"/>
      <c r="S434" s="44"/>
      <c r="T434" s="45"/>
      <c r="U434" s="45"/>
      <c r="V434" s="45"/>
      <c r="W434" s="45"/>
      <c r="X434" s="46"/>
      <c r="Y434" s="46"/>
      <c r="Z434" s="46"/>
      <c r="AA434" s="46"/>
      <c r="AB434" s="46"/>
      <c r="AC434" s="46"/>
      <c r="AD434" s="46"/>
      <c r="AE434" s="46"/>
      <c r="AF434" s="46"/>
      <c r="AG434" s="46"/>
    </row>
    <row r="435" spans="1:33" ht="13.5" customHeight="1">
      <c r="A435" s="46"/>
      <c r="B435" s="46"/>
      <c r="C435" s="41"/>
      <c r="D435" s="42"/>
      <c r="E435" s="42"/>
      <c r="F435" s="42"/>
      <c r="G435" s="43"/>
      <c r="H435" s="43"/>
      <c r="I435" s="43"/>
      <c r="J435" s="43"/>
      <c r="K435" s="43"/>
      <c r="L435" s="43"/>
      <c r="M435" s="43"/>
      <c r="N435" s="43"/>
      <c r="O435" s="43"/>
      <c r="P435" s="41"/>
      <c r="Q435" s="41"/>
      <c r="R435" s="41"/>
      <c r="S435" s="44"/>
      <c r="T435" s="45"/>
      <c r="U435" s="45"/>
      <c r="V435" s="45"/>
      <c r="W435" s="45"/>
      <c r="X435" s="46"/>
      <c r="Y435" s="46"/>
      <c r="Z435" s="46"/>
      <c r="AA435" s="46"/>
      <c r="AB435" s="46"/>
      <c r="AC435" s="46"/>
      <c r="AD435" s="46"/>
      <c r="AE435" s="46"/>
      <c r="AF435" s="46"/>
      <c r="AG435" s="46"/>
    </row>
    <row r="436" spans="1:33" ht="13.5" customHeight="1">
      <c r="A436" s="46"/>
      <c r="B436" s="46"/>
      <c r="C436" s="41"/>
      <c r="D436" s="42"/>
      <c r="E436" s="42"/>
      <c r="F436" s="42"/>
      <c r="G436" s="43"/>
      <c r="H436" s="43"/>
      <c r="I436" s="43"/>
      <c r="J436" s="43"/>
      <c r="K436" s="43"/>
      <c r="L436" s="43"/>
      <c r="M436" s="43"/>
      <c r="N436" s="43"/>
      <c r="O436" s="43"/>
      <c r="P436" s="41"/>
      <c r="Q436" s="41"/>
      <c r="R436" s="41"/>
      <c r="S436" s="44"/>
      <c r="T436" s="45"/>
      <c r="U436" s="45"/>
      <c r="V436" s="45"/>
      <c r="W436" s="45"/>
      <c r="X436" s="46"/>
      <c r="Y436" s="46"/>
      <c r="Z436" s="46"/>
      <c r="AA436" s="46"/>
      <c r="AB436" s="46"/>
      <c r="AC436" s="46"/>
      <c r="AD436" s="46"/>
      <c r="AE436" s="46"/>
      <c r="AF436" s="46"/>
      <c r="AG436" s="46"/>
    </row>
    <row r="437" spans="1:33" ht="13.5" customHeight="1">
      <c r="A437" s="46"/>
      <c r="B437" s="46"/>
      <c r="C437" s="41"/>
      <c r="D437" s="42"/>
      <c r="E437" s="42"/>
      <c r="F437" s="42"/>
      <c r="G437" s="43"/>
      <c r="H437" s="43"/>
      <c r="I437" s="43"/>
      <c r="J437" s="43"/>
      <c r="K437" s="43"/>
      <c r="L437" s="43"/>
      <c r="M437" s="43"/>
      <c r="N437" s="43"/>
      <c r="O437" s="43"/>
      <c r="P437" s="41"/>
      <c r="Q437" s="41"/>
      <c r="R437" s="41"/>
      <c r="S437" s="44"/>
      <c r="T437" s="45"/>
      <c r="U437" s="45"/>
      <c r="V437" s="45"/>
      <c r="W437" s="45"/>
      <c r="X437" s="46"/>
      <c r="Y437" s="46"/>
      <c r="Z437" s="46"/>
      <c r="AA437" s="46"/>
      <c r="AB437" s="46"/>
      <c r="AC437" s="46"/>
      <c r="AD437" s="46"/>
      <c r="AE437" s="46"/>
      <c r="AF437" s="46"/>
      <c r="AG437" s="46"/>
    </row>
    <row r="438" spans="1:33" ht="13.5" customHeight="1">
      <c r="A438" s="46"/>
      <c r="B438" s="46"/>
      <c r="C438" s="41"/>
      <c r="D438" s="42"/>
      <c r="E438" s="42"/>
      <c r="F438" s="42"/>
      <c r="G438" s="43"/>
      <c r="H438" s="43"/>
      <c r="I438" s="43"/>
      <c r="J438" s="43"/>
      <c r="K438" s="43"/>
      <c r="L438" s="43"/>
      <c r="M438" s="43"/>
      <c r="N438" s="43"/>
      <c r="O438" s="43"/>
      <c r="P438" s="41"/>
      <c r="Q438" s="41"/>
      <c r="R438" s="41"/>
      <c r="S438" s="44"/>
      <c r="T438" s="45"/>
      <c r="U438" s="45"/>
      <c r="V438" s="45"/>
      <c r="W438" s="45"/>
      <c r="X438" s="46"/>
      <c r="Y438" s="46"/>
      <c r="Z438" s="46"/>
      <c r="AA438" s="46"/>
      <c r="AB438" s="46"/>
      <c r="AC438" s="46"/>
      <c r="AD438" s="46"/>
      <c r="AE438" s="46"/>
      <c r="AF438" s="46"/>
      <c r="AG438" s="46"/>
    </row>
    <row r="439" spans="1:33" ht="13.5" customHeight="1">
      <c r="A439" s="46"/>
      <c r="B439" s="46"/>
      <c r="C439" s="41"/>
      <c r="D439" s="42"/>
      <c r="E439" s="42"/>
      <c r="F439" s="42"/>
      <c r="G439" s="43"/>
      <c r="H439" s="43"/>
      <c r="I439" s="43"/>
      <c r="J439" s="43"/>
      <c r="K439" s="43"/>
      <c r="L439" s="43"/>
      <c r="M439" s="43"/>
      <c r="N439" s="43"/>
      <c r="O439" s="43"/>
      <c r="P439" s="41"/>
      <c r="Q439" s="41"/>
      <c r="R439" s="41"/>
      <c r="S439" s="44"/>
      <c r="T439" s="45"/>
      <c r="U439" s="45"/>
      <c r="V439" s="45"/>
      <c r="W439" s="45"/>
      <c r="X439" s="46"/>
      <c r="Y439" s="46"/>
      <c r="Z439" s="46"/>
      <c r="AA439" s="46"/>
      <c r="AB439" s="46"/>
      <c r="AC439" s="46"/>
      <c r="AD439" s="46"/>
      <c r="AE439" s="46"/>
      <c r="AF439" s="46"/>
      <c r="AG439" s="46"/>
    </row>
    <row r="440" spans="1:33" ht="13.5" customHeight="1">
      <c r="A440" s="46"/>
      <c r="B440" s="46"/>
      <c r="C440" s="41"/>
      <c r="D440" s="42"/>
      <c r="E440" s="42"/>
      <c r="F440" s="42"/>
      <c r="G440" s="43"/>
      <c r="H440" s="43"/>
      <c r="I440" s="43"/>
      <c r="J440" s="43"/>
      <c r="K440" s="43"/>
      <c r="L440" s="43"/>
      <c r="M440" s="43"/>
      <c r="N440" s="43"/>
      <c r="O440" s="43"/>
      <c r="P440" s="41"/>
      <c r="Q440" s="41"/>
      <c r="R440" s="41"/>
      <c r="S440" s="44"/>
      <c r="T440" s="45"/>
      <c r="U440" s="45"/>
      <c r="V440" s="45"/>
      <c r="W440" s="45"/>
      <c r="X440" s="46"/>
      <c r="Y440" s="46"/>
      <c r="Z440" s="46"/>
      <c r="AA440" s="46"/>
      <c r="AB440" s="46"/>
      <c r="AC440" s="46"/>
      <c r="AD440" s="46"/>
      <c r="AE440" s="46"/>
      <c r="AF440" s="46"/>
      <c r="AG440" s="46"/>
    </row>
    <row r="441" spans="1:33" ht="13.5" customHeight="1">
      <c r="A441" s="46"/>
      <c r="B441" s="46"/>
      <c r="C441" s="41"/>
      <c r="D441" s="42"/>
      <c r="E441" s="42"/>
      <c r="F441" s="42"/>
      <c r="G441" s="43"/>
      <c r="H441" s="43"/>
      <c r="I441" s="43"/>
      <c r="J441" s="43"/>
      <c r="K441" s="43"/>
      <c r="L441" s="43"/>
      <c r="M441" s="43"/>
      <c r="N441" s="43"/>
      <c r="O441" s="43"/>
      <c r="P441" s="41"/>
      <c r="Q441" s="41"/>
      <c r="R441" s="41"/>
      <c r="S441" s="44"/>
      <c r="T441" s="45"/>
      <c r="U441" s="45"/>
      <c r="V441" s="45"/>
      <c r="W441" s="45"/>
      <c r="X441" s="46"/>
      <c r="Y441" s="46"/>
      <c r="Z441" s="46"/>
      <c r="AA441" s="46"/>
      <c r="AB441" s="46"/>
      <c r="AC441" s="46"/>
      <c r="AD441" s="46"/>
      <c r="AE441" s="46"/>
      <c r="AF441" s="46"/>
      <c r="AG441" s="46"/>
    </row>
    <row r="442" spans="1:33" ht="13.5" customHeight="1">
      <c r="A442" s="46"/>
      <c r="B442" s="46"/>
      <c r="C442" s="41"/>
      <c r="D442" s="42"/>
      <c r="E442" s="42"/>
      <c r="F442" s="42"/>
      <c r="G442" s="43"/>
      <c r="H442" s="43"/>
      <c r="I442" s="43"/>
      <c r="J442" s="43"/>
      <c r="K442" s="43"/>
      <c r="L442" s="43"/>
      <c r="M442" s="43"/>
      <c r="N442" s="43"/>
      <c r="O442" s="43"/>
      <c r="P442" s="41"/>
      <c r="Q442" s="41"/>
      <c r="R442" s="41"/>
      <c r="S442" s="44"/>
      <c r="T442" s="45"/>
      <c r="U442" s="45"/>
      <c r="V442" s="45"/>
      <c r="W442" s="45"/>
      <c r="X442" s="46"/>
      <c r="Y442" s="46"/>
      <c r="Z442" s="46"/>
      <c r="AA442" s="46"/>
      <c r="AB442" s="46"/>
      <c r="AC442" s="46"/>
      <c r="AD442" s="46"/>
      <c r="AE442" s="46"/>
      <c r="AF442" s="46"/>
      <c r="AG442" s="46"/>
    </row>
    <row r="443" spans="1:33" ht="13.5" customHeight="1">
      <c r="A443" s="46"/>
      <c r="B443" s="46"/>
      <c r="C443" s="41"/>
      <c r="D443" s="42"/>
      <c r="E443" s="42"/>
      <c r="F443" s="42"/>
      <c r="G443" s="43"/>
      <c r="H443" s="43"/>
      <c r="I443" s="43"/>
      <c r="J443" s="43"/>
      <c r="K443" s="43"/>
      <c r="L443" s="43"/>
      <c r="M443" s="43"/>
      <c r="N443" s="43"/>
      <c r="O443" s="43"/>
      <c r="P443" s="41"/>
      <c r="Q443" s="41"/>
      <c r="R443" s="41"/>
      <c r="S443" s="44"/>
      <c r="T443" s="45"/>
      <c r="U443" s="45"/>
      <c r="V443" s="45"/>
      <c r="W443" s="45"/>
      <c r="X443" s="46"/>
      <c r="Y443" s="46"/>
      <c r="Z443" s="46"/>
      <c r="AA443" s="46"/>
      <c r="AB443" s="46"/>
      <c r="AC443" s="46"/>
      <c r="AD443" s="46"/>
      <c r="AE443" s="46"/>
      <c r="AF443" s="46"/>
      <c r="AG443" s="46"/>
    </row>
    <row r="444" spans="1:33" ht="13.5" customHeight="1">
      <c r="A444" s="46"/>
      <c r="B444" s="46"/>
      <c r="C444" s="41"/>
      <c r="D444" s="42"/>
      <c r="E444" s="42"/>
      <c r="F444" s="42"/>
      <c r="G444" s="43"/>
      <c r="H444" s="43"/>
      <c r="I444" s="43"/>
      <c r="J444" s="43"/>
      <c r="K444" s="43"/>
      <c r="L444" s="43"/>
      <c r="M444" s="43"/>
      <c r="N444" s="43"/>
      <c r="O444" s="43"/>
      <c r="P444" s="41"/>
      <c r="Q444" s="41"/>
      <c r="R444" s="41"/>
      <c r="S444" s="44"/>
      <c r="T444" s="45"/>
      <c r="U444" s="45"/>
      <c r="V444" s="45"/>
      <c r="W444" s="45"/>
      <c r="X444" s="46"/>
      <c r="Y444" s="46"/>
      <c r="Z444" s="46"/>
      <c r="AA444" s="46"/>
      <c r="AB444" s="46"/>
      <c r="AC444" s="46"/>
      <c r="AD444" s="46"/>
      <c r="AE444" s="46"/>
      <c r="AF444" s="46"/>
      <c r="AG444" s="46"/>
    </row>
    <row r="445" spans="1:33" ht="13.5" customHeight="1">
      <c r="A445" s="46"/>
      <c r="B445" s="46"/>
      <c r="C445" s="41"/>
      <c r="D445" s="42"/>
      <c r="E445" s="42"/>
      <c r="F445" s="42"/>
      <c r="G445" s="43"/>
      <c r="H445" s="43"/>
      <c r="I445" s="43"/>
      <c r="J445" s="43"/>
      <c r="K445" s="43"/>
      <c r="L445" s="43"/>
      <c r="M445" s="43"/>
      <c r="N445" s="43"/>
      <c r="O445" s="43"/>
      <c r="P445" s="41"/>
      <c r="Q445" s="41"/>
      <c r="R445" s="41"/>
      <c r="S445" s="44"/>
      <c r="T445" s="45"/>
      <c r="U445" s="45"/>
      <c r="V445" s="45"/>
      <c r="W445" s="45"/>
      <c r="X445" s="46"/>
      <c r="Y445" s="46"/>
      <c r="Z445" s="46"/>
      <c r="AA445" s="46"/>
      <c r="AB445" s="46"/>
      <c r="AC445" s="46"/>
      <c r="AD445" s="46"/>
      <c r="AE445" s="46"/>
      <c r="AF445" s="46"/>
      <c r="AG445" s="46"/>
    </row>
    <row r="446" spans="1:33" ht="13.5" customHeight="1">
      <c r="A446" s="46"/>
      <c r="B446" s="46"/>
      <c r="C446" s="41"/>
      <c r="D446" s="42"/>
      <c r="E446" s="42"/>
      <c r="F446" s="42"/>
      <c r="G446" s="43"/>
      <c r="H446" s="43"/>
      <c r="I446" s="43"/>
      <c r="J446" s="43"/>
      <c r="K446" s="43"/>
      <c r="L446" s="43"/>
      <c r="M446" s="43"/>
      <c r="N446" s="43"/>
      <c r="O446" s="43"/>
      <c r="P446" s="41"/>
      <c r="Q446" s="41"/>
      <c r="R446" s="41"/>
      <c r="S446" s="44"/>
      <c r="T446" s="45"/>
      <c r="U446" s="45"/>
      <c r="V446" s="45"/>
      <c r="W446" s="45"/>
      <c r="X446" s="46"/>
      <c r="Y446" s="46"/>
      <c r="Z446" s="46"/>
      <c r="AA446" s="46"/>
      <c r="AB446" s="46"/>
      <c r="AC446" s="46"/>
      <c r="AD446" s="46"/>
      <c r="AE446" s="46"/>
      <c r="AF446" s="46"/>
      <c r="AG446" s="46"/>
    </row>
    <row r="447" spans="1:33" ht="13.5" customHeight="1">
      <c r="A447" s="46"/>
      <c r="B447" s="46"/>
      <c r="C447" s="41"/>
      <c r="D447" s="42"/>
      <c r="E447" s="42"/>
      <c r="F447" s="42"/>
      <c r="G447" s="43"/>
      <c r="H447" s="43"/>
      <c r="I447" s="43"/>
      <c r="J447" s="43"/>
      <c r="K447" s="43"/>
      <c r="L447" s="43"/>
      <c r="M447" s="43"/>
      <c r="N447" s="43"/>
      <c r="O447" s="43"/>
      <c r="P447" s="41"/>
      <c r="Q447" s="41"/>
      <c r="R447" s="41"/>
      <c r="S447" s="44"/>
      <c r="T447" s="45"/>
      <c r="U447" s="45"/>
      <c r="V447" s="45"/>
      <c r="W447" s="45"/>
      <c r="X447" s="46"/>
      <c r="Y447" s="46"/>
      <c r="Z447" s="46"/>
      <c r="AA447" s="46"/>
      <c r="AB447" s="46"/>
      <c r="AC447" s="46"/>
      <c r="AD447" s="46"/>
      <c r="AE447" s="46"/>
      <c r="AF447" s="46"/>
      <c r="AG447" s="46"/>
    </row>
    <row r="448" spans="1:33" ht="13.5" customHeight="1">
      <c r="A448" s="46"/>
      <c r="B448" s="46"/>
      <c r="C448" s="41"/>
      <c r="D448" s="42"/>
      <c r="E448" s="42"/>
      <c r="F448" s="42"/>
      <c r="G448" s="43"/>
      <c r="H448" s="43"/>
      <c r="I448" s="43"/>
      <c r="J448" s="43"/>
      <c r="K448" s="43"/>
      <c r="L448" s="43"/>
      <c r="M448" s="43"/>
      <c r="N448" s="43"/>
      <c r="O448" s="43"/>
      <c r="P448" s="41"/>
      <c r="Q448" s="41"/>
      <c r="R448" s="41"/>
      <c r="S448" s="44"/>
      <c r="T448" s="45"/>
      <c r="U448" s="45"/>
      <c r="V448" s="45"/>
      <c r="W448" s="45"/>
      <c r="X448" s="46"/>
      <c r="Y448" s="46"/>
      <c r="Z448" s="46"/>
      <c r="AA448" s="46"/>
      <c r="AB448" s="46"/>
      <c r="AC448" s="46"/>
      <c r="AD448" s="46"/>
      <c r="AE448" s="46"/>
      <c r="AF448" s="46"/>
      <c r="AG448" s="46"/>
    </row>
    <row r="449" spans="1:33" ht="13.5" customHeight="1">
      <c r="A449" s="46"/>
      <c r="B449" s="46"/>
      <c r="C449" s="41"/>
      <c r="D449" s="42"/>
      <c r="E449" s="42"/>
      <c r="F449" s="42"/>
      <c r="G449" s="43"/>
      <c r="H449" s="43"/>
      <c r="I449" s="43"/>
      <c r="J449" s="43"/>
      <c r="K449" s="43"/>
      <c r="L449" s="43"/>
      <c r="M449" s="43"/>
      <c r="N449" s="43"/>
      <c r="O449" s="43"/>
      <c r="P449" s="41"/>
      <c r="Q449" s="41"/>
      <c r="R449" s="41"/>
      <c r="S449" s="44"/>
      <c r="T449" s="45"/>
      <c r="U449" s="45"/>
      <c r="V449" s="45"/>
      <c r="W449" s="45"/>
      <c r="X449" s="46"/>
      <c r="Y449" s="46"/>
      <c r="Z449" s="46"/>
      <c r="AA449" s="46"/>
      <c r="AB449" s="46"/>
      <c r="AC449" s="46"/>
      <c r="AD449" s="46"/>
      <c r="AE449" s="46"/>
      <c r="AF449" s="46"/>
      <c r="AG449" s="46"/>
    </row>
    <row r="450" spans="1:33" ht="13.5" customHeight="1">
      <c r="A450" s="46"/>
      <c r="B450" s="46"/>
      <c r="C450" s="41"/>
      <c r="D450" s="42"/>
      <c r="E450" s="42"/>
      <c r="F450" s="42"/>
      <c r="G450" s="43"/>
      <c r="H450" s="43"/>
      <c r="I450" s="43"/>
      <c r="J450" s="43"/>
      <c r="K450" s="43"/>
      <c r="L450" s="43"/>
      <c r="M450" s="43"/>
      <c r="N450" s="43"/>
      <c r="O450" s="43"/>
      <c r="P450" s="41"/>
      <c r="Q450" s="41"/>
      <c r="R450" s="41"/>
      <c r="S450" s="44"/>
      <c r="T450" s="45"/>
      <c r="U450" s="45"/>
      <c r="V450" s="45"/>
      <c r="W450" s="45"/>
      <c r="X450" s="46"/>
      <c r="Y450" s="46"/>
      <c r="Z450" s="46"/>
      <c r="AA450" s="46"/>
      <c r="AB450" s="46"/>
      <c r="AC450" s="46"/>
      <c r="AD450" s="46"/>
      <c r="AE450" s="46"/>
      <c r="AF450" s="46"/>
      <c r="AG450" s="46"/>
    </row>
    <row r="451" spans="1:33" ht="13.5" customHeight="1">
      <c r="A451" s="46"/>
      <c r="B451" s="46"/>
      <c r="C451" s="41"/>
      <c r="D451" s="42"/>
      <c r="E451" s="42"/>
      <c r="F451" s="42"/>
      <c r="G451" s="43"/>
      <c r="H451" s="43"/>
      <c r="I451" s="43"/>
      <c r="J451" s="43"/>
      <c r="K451" s="43"/>
      <c r="L451" s="43"/>
      <c r="M451" s="43"/>
      <c r="N451" s="43"/>
      <c r="O451" s="43"/>
      <c r="P451" s="41"/>
      <c r="Q451" s="41"/>
      <c r="R451" s="41"/>
      <c r="S451" s="44"/>
      <c r="T451" s="45"/>
      <c r="U451" s="45"/>
      <c r="V451" s="45"/>
      <c r="W451" s="45"/>
      <c r="X451" s="46"/>
      <c r="Y451" s="46"/>
      <c r="Z451" s="46"/>
      <c r="AA451" s="46"/>
      <c r="AB451" s="46"/>
      <c r="AC451" s="46"/>
      <c r="AD451" s="46"/>
      <c r="AE451" s="46"/>
      <c r="AF451" s="46"/>
      <c r="AG451" s="46"/>
    </row>
    <row r="452" spans="1:33" ht="13.5" customHeight="1">
      <c r="A452" s="46"/>
      <c r="B452" s="46"/>
      <c r="C452" s="41"/>
      <c r="D452" s="42"/>
      <c r="E452" s="42"/>
      <c r="F452" s="42"/>
      <c r="G452" s="43"/>
      <c r="H452" s="43"/>
      <c r="I452" s="43"/>
      <c r="J452" s="43"/>
      <c r="K452" s="43"/>
      <c r="L452" s="43"/>
      <c r="M452" s="43"/>
      <c r="N452" s="43"/>
      <c r="O452" s="43"/>
      <c r="P452" s="41"/>
      <c r="Q452" s="41"/>
      <c r="R452" s="41"/>
      <c r="S452" s="44"/>
      <c r="T452" s="45"/>
      <c r="U452" s="45"/>
      <c r="V452" s="45"/>
      <c r="W452" s="45"/>
      <c r="X452" s="46"/>
      <c r="Y452" s="46"/>
      <c r="Z452" s="46"/>
      <c r="AA452" s="46"/>
      <c r="AB452" s="46"/>
      <c r="AC452" s="46"/>
      <c r="AD452" s="46"/>
      <c r="AE452" s="46"/>
      <c r="AF452" s="46"/>
      <c r="AG452" s="46"/>
    </row>
    <row r="453" spans="1:33" ht="13.5" customHeight="1">
      <c r="A453" s="46"/>
      <c r="B453" s="46"/>
      <c r="C453" s="41"/>
      <c r="D453" s="42"/>
      <c r="E453" s="42"/>
      <c r="F453" s="42"/>
      <c r="G453" s="43"/>
      <c r="H453" s="43"/>
      <c r="I453" s="43"/>
      <c r="J453" s="43"/>
      <c r="K453" s="43"/>
      <c r="L453" s="43"/>
      <c r="M453" s="43"/>
      <c r="N453" s="43"/>
      <c r="O453" s="43"/>
      <c r="P453" s="41"/>
      <c r="Q453" s="41"/>
      <c r="R453" s="41"/>
      <c r="S453" s="44"/>
      <c r="T453" s="45"/>
      <c r="U453" s="45"/>
      <c r="V453" s="45"/>
      <c r="W453" s="45"/>
      <c r="X453" s="46"/>
      <c r="Y453" s="46"/>
      <c r="Z453" s="46"/>
      <c r="AA453" s="46"/>
      <c r="AB453" s="46"/>
      <c r="AC453" s="46"/>
      <c r="AD453" s="46"/>
      <c r="AE453" s="46"/>
      <c r="AF453" s="46"/>
      <c r="AG453" s="46"/>
    </row>
    <row r="454" spans="1:33" ht="13.5" customHeight="1">
      <c r="A454" s="46"/>
      <c r="B454" s="46"/>
      <c r="C454" s="41"/>
      <c r="D454" s="42"/>
      <c r="E454" s="42"/>
      <c r="F454" s="42"/>
      <c r="G454" s="43"/>
      <c r="H454" s="43"/>
      <c r="I454" s="43"/>
      <c r="J454" s="43"/>
      <c r="K454" s="43"/>
      <c r="L454" s="43"/>
      <c r="M454" s="43"/>
      <c r="N454" s="43"/>
      <c r="O454" s="43"/>
      <c r="P454" s="41"/>
      <c r="Q454" s="41"/>
      <c r="R454" s="41"/>
      <c r="S454" s="44"/>
      <c r="T454" s="45"/>
      <c r="U454" s="45"/>
      <c r="V454" s="45"/>
      <c r="W454" s="45"/>
      <c r="X454" s="46"/>
      <c r="Y454" s="46"/>
      <c r="Z454" s="46"/>
      <c r="AA454" s="46"/>
      <c r="AB454" s="46"/>
      <c r="AC454" s="46"/>
      <c r="AD454" s="46"/>
      <c r="AE454" s="46"/>
      <c r="AF454" s="46"/>
      <c r="AG454" s="46"/>
    </row>
    <row r="455" spans="1:33" ht="13.5" customHeight="1">
      <c r="A455" s="46"/>
      <c r="B455" s="46"/>
      <c r="C455" s="41"/>
      <c r="D455" s="42"/>
      <c r="E455" s="42"/>
      <c r="F455" s="42"/>
      <c r="G455" s="43"/>
      <c r="H455" s="43"/>
      <c r="I455" s="43"/>
      <c r="J455" s="43"/>
      <c r="K455" s="43"/>
      <c r="L455" s="43"/>
      <c r="M455" s="43"/>
      <c r="N455" s="43"/>
      <c r="O455" s="43"/>
      <c r="P455" s="41"/>
      <c r="Q455" s="41"/>
      <c r="R455" s="41"/>
      <c r="S455" s="44"/>
      <c r="T455" s="45"/>
      <c r="U455" s="45"/>
      <c r="V455" s="45"/>
      <c r="W455" s="45"/>
      <c r="X455" s="46"/>
      <c r="Y455" s="46"/>
      <c r="Z455" s="46"/>
      <c r="AA455" s="46"/>
      <c r="AB455" s="46"/>
      <c r="AC455" s="46"/>
      <c r="AD455" s="46"/>
      <c r="AE455" s="46"/>
      <c r="AF455" s="46"/>
      <c r="AG455" s="46"/>
    </row>
    <row r="456" spans="1:33" ht="13.5" customHeight="1">
      <c r="A456" s="46"/>
      <c r="B456" s="46"/>
      <c r="C456" s="41"/>
      <c r="D456" s="42"/>
      <c r="E456" s="42"/>
      <c r="F456" s="42"/>
      <c r="G456" s="43"/>
      <c r="H456" s="43"/>
      <c r="I456" s="43"/>
      <c r="J456" s="43"/>
      <c r="K456" s="43"/>
      <c r="L456" s="43"/>
      <c r="M456" s="43"/>
      <c r="N456" s="43"/>
      <c r="O456" s="43"/>
      <c r="P456" s="41"/>
      <c r="Q456" s="41"/>
      <c r="R456" s="41"/>
      <c r="S456" s="44"/>
      <c r="T456" s="45"/>
      <c r="U456" s="45"/>
      <c r="V456" s="45"/>
      <c r="W456" s="45"/>
      <c r="X456" s="46"/>
      <c r="Y456" s="46"/>
      <c r="Z456" s="46"/>
      <c r="AA456" s="46"/>
      <c r="AB456" s="46"/>
      <c r="AC456" s="46"/>
      <c r="AD456" s="46"/>
      <c r="AE456" s="46"/>
      <c r="AF456" s="46"/>
      <c r="AG456" s="46"/>
    </row>
    <row r="457" spans="1:33" ht="13.5" customHeight="1">
      <c r="A457" s="46"/>
      <c r="B457" s="46"/>
      <c r="C457" s="41"/>
      <c r="D457" s="42"/>
      <c r="E457" s="42"/>
      <c r="F457" s="42"/>
      <c r="G457" s="43"/>
      <c r="H457" s="43"/>
      <c r="I457" s="43"/>
      <c r="J457" s="43"/>
      <c r="K457" s="43"/>
      <c r="L457" s="43"/>
      <c r="M457" s="43"/>
      <c r="N457" s="43"/>
      <c r="O457" s="43"/>
      <c r="P457" s="41"/>
      <c r="Q457" s="41"/>
      <c r="R457" s="41"/>
      <c r="S457" s="44"/>
      <c r="T457" s="45"/>
      <c r="U457" s="45"/>
      <c r="V457" s="45"/>
      <c r="W457" s="45"/>
      <c r="X457" s="46"/>
      <c r="Y457" s="46"/>
      <c r="Z457" s="46"/>
      <c r="AA457" s="46"/>
      <c r="AB457" s="46"/>
      <c r="AC457" s="46"/>
      <c r="AD457" s="46"/>
      <c r="AE457" s="46"/>
      <c r="AF457" s="46"/>
      <c r="AG457" s="46"/>
    </row>
    <row r="458" spans="1:33" ht="13.5" customHeight="1">
      <c r="A458" s="46"/>
      <c r="B458" s="46"/>
      <c r="C458" s="41"/>
      <c r="D458" s="42"/>
      <c r="E458" s="42"/>
      <c r="F458" s="42"/>
      <c r="G458" s="43"/>
      <c r="H458" s="43"/>
      <c r="I458" s="43"/>
      <c r="J458" s="43"/>
      <c r="K458" s="43"/>
      <c r="L458" s="43"/>
      <c r="M458" s="43"/>
      <c r="N458" s="43"/>
      <c r="O458" s="43"/>
      <c r="P458" s="41"/>
      <c r="Q458" s="41"/>
      <c r="R458" s="41"/>
      <c r="S458" s="44"/>
      <c r="T458" s="45"/>
      <c r="U458" s="45"/>
      <c r="V458" s="45"/>
      <c r="W458" s="45"/>
      <c r="X458" s="46"/>
      <c r="Y458" s="46"/>
      <c r="Z458" s="46"/>
      <c r="AA458" s="46"/>
      <c r="AB458" s="46"/>
      <c r="AC458" s="46"/>
      <c r="AD458" s="46"/>
      <c r="AE458" s="46"/>
      <c r="AF458" s="46"/>
      <c r="AG458" s="46"/>
    </row>
    <row r="459" spans="1:33" ht="13.5" customHeight="1">
      <c r="A459" s="46"/>
      <c r="B459" s="46"/>
      <c r="C459" s="41"/>
      <c r="D459" s="42"/>
      <c r="E459" s="42"/>
      <c r="F459" s="42"/>
      <c r="G459" s="43"/>
      <c r="H459" s="43"/>
      <c r="I459" s="43"/>
      <c r="J459" s="43"/>
      <c r="K459" s="43"/>
      <c r="L459" s="43"/>
      <c r="M459" s="43"/>
      <c r="N459" s="43"/>
      <c r="O459" s="43"/>
      <c r="P459" s="41"/>
      <c r="Q459" s="41"/>
      <c r="R459" s="41"/>
      <c r="S459" s="44"/>
      <c r="T459" s="45"/>
      <c r="U459" s="45"/>
      <c r="V459" s="45"/>
      <c r="W459" s="45"/>
      <c r="X459" s="46"/>
      <c r="Y459" s="46"/>
      <c r="Z459" s="46"/>
      <c r="AA459" s="46"/>
      <c r="AB459" s="46"/>
      <c r="AC459" s="46"/>
      <c r="AD459" s="46"/>
      <c r="AE459" s="46"/>
      <c r="AF459" s="46"/>
      <c r="AG459" s="46"/>
    </row>
    <row r="460" spans="1:33" ht="13.5" customHeight="1">
      <c r="A460" s="46"/>
      <c r="B460" s="46"/>
      <c r="C460" s="41"/>
      <c r="D460" s="42"/>
      <c r="E460" s="42"/>
      <c r="F460" s="42"/>
      <c r="G460" s="43"/>
      <c r="H460" s="43"/>
      <c r="I460" s="43"/>
      <c r="J460" s="43"/>
      <c r="K460" s="43"/>
      <c r="L460" s="43"/>
      <c r="M460" s="43"/>
      <c r="N460" s="43"/>
      <c r="O460" s="43"/>
      <c r="P460" s="41"/>
      <c r="Q460" s="41"/>
      <c r="R460" s="41"/>
      <c r="S460" s="44"/>
      <c r="T460" s="45"/>
      <c r="U460" s="45"/>
      <c r="V460" s="45"/>
      <c r="W460" s="45"/>
      <c r="X460" s="46"/>
      <c r="Y460" s="46"/>
      <c r="Z460" s="46"/>
      <c r="AA460" s="46"/>
      <c r="AB460" s="46"/>
      <c r="AC460" s="46"/>
      <c r="AD460" s="46"/>
      <c r="AE460" s="46"/>
      <c r="AF460" s="46"/>
      <c r="AG460" s="46"/>
    </row>
    <row r="461" spans="1:33" ht="13.5" customHeight="1">
      <c r="A461" s="46"/>
      <c r="B461" s="46"/>
      <c r="C461" s="41"/>
      <c r="D461" s="42"/>
      <c r="E461" s="42"/>
      <c r="F461" s="42"/>
      <c r="G461" s="43"/>
      <c r="H461" s="43"/>
      <c r="I461" s="43"/>
      <c r="J461" s="43"/>
      <c r="K461" s="43"/>
      <c r="L461" s="43"/>
      <c r="M461" s="43"/>
      <c r="N461" s="43"/>
      <c r="O461" s="43"/>
      <c r="P461" s="41"/>
      <c r="Q461" s="41"/>
      <c r="R461" s="41"/>
      <c r="S461" s="44"/>
      <c r="T461" s="45"/>
      <c r="U461" s="45"/>
      <c r="V461" s="45"/>
      <c r="W461" s="45"/>
      <c r="X461" s="46"/>
      <c r="Y461" s="46"/>
      <c r="Z461" s="46"/>
      <c r="AA461" s="46"/>
      <c r="AB461" s="46"/>
      <c r="AC461" s="46"/>
      <c r="AD461" s="46"/>
      <c r="AE461" s="46"/>
      <c r="AF461" s="46"/>
      <c r="AG461" s="46"/>
    </row>
    <row r="462" spans="1:33" ht="13.5" customHeight="1">
      <c r="A462" s="46"/>
      <c r="B462" s="46"/>
      <c r="C462" s="41"/>
      <c r="D462" s="42"/>
      <c r="E462" s="42"/>
      <c r="F462" s="42"/>
      <c r="G462" s="43"/>
      <c r="H462" s="43"/>
      <c r="I462" s="43"/>
      <c r="J462" s="43"/>
      <c r="K462" s="43"/>
      <c r="L462" s="43"/>
      <c r="M462" s="43"/>
      <c r="N462" s="43"/>
      <c r="O462" s="43"/>
      <c r="P462" s="41"/>
      <c r="Q462" s="41"/>
      <c r="R462" s="41"/>
      <c r="S462" s="44"/>
      <c r="T462" s="45"/>
      <c r="U462" s="45"/>
      <c r="V462" s="45"/>
      <c r="W462" s="45"/>
      <c r="X462" s="46"/>
      <c r="Y462" s="46"/>
      <c r="Z462" s="46"/>
      <c r="AA462" s="46"/>
      <c r="AB462" s="46"/>
      <c r="AC462" s="46"/>
      <c r="AD462" s="46"/>
      <c r="AE462" s="46"/>
      <c r="AF462" s="46"/>
      <c r="AG462" s="46"/>
    </row>
    <row r="463" spans="1:33" ht="13.5" customHeight="1">
      <c r="A463" s="46"/>
      <c r="B463" s="46"/>
      <c r="C463" s="41"/>
      <c r="D463" s="42"/>
      <c r="E463" s="42"/>
      <c r="F463" s="42"/>
      <c r="G463" s="43"/>
      <c r="H463" s="43"/>
      <c r="I463" s="43"/>
      <c r="J463" s="43"/>
      <c r="K463" s="43"/>
      <c r="L463" s="43"/>
      <c r="M463" s="43"/>
      <c r="N463" s="43"/>
      <c r="O463" s="43"/>
      <c r="P463" s="41"/>
      <c r="Q463" s="41"/>
      <c r="R463" s="41"/>
      <c r="S463" s="44"/>
      <c r="T463" s="45"/>
      <c r="U463" s="45"/>
      <c r="V463" s="45"/>
      <c r="W463" s="45"/>
      <c r="X463" s="46"/>
      <c r="Y463" s="46"/>
      <c r="Z463" s="46"/>
      <c r="AA463" s="46"/>
      <c r="AB463" s="46"/>
      <c r="AC463" s="46"/>
      <c r="AD463" s="46"/>
      <c r="AE463" s="46"/>
      <c r="AF463" s="46"/>
      <c r="AG463" s="46"/>
    </row>
    <row r="464" spans="1:33" ht="13.5" customHeight="1">
      <c r="A464" s="46"/>
      <c r="B464" s="46"/>
      <c r="C464" s="41"/>
      <c r="D464" s="42"/>
      <c r="E464" s="42"/>
      <c r="F464" s="42"/>
      <c r="G464" s="43"/>
      <c r="H464" s="43"/>
      <c r="I464" s="43"/>
      <c r="J464" s="43"/>
      <c r="K464" s="43"/>
      <c r="L464" s="43"/>
      <c r="M464" s="43"/>
      <c r="N464" s="43"/>
      <c r="O464" s="43"/>
      <c r="P464" s="41"/>
      <c r="Q464" s="41"/>
      <c r="R464" s="41"/>
      <c r="S464" s="44"/>
      <c r="T464" s="45"/>
      <c r="U464" s="45"/>
      <c r="V464" s="45"/>
      <c r="W464" s="45"/>
      <c r="X464" s="46"/>
      <c r="Y464" s="46"/>
      <c r="Z464" s="46"/>
      <c r="AA464" s="46"/>
      <c r="AB464" s="46"/>
      <c r="AC464" s="46"/>
      <c r="AD464" s="46"/>
      <c r="AE464" s="46"/>
      <c r="AF464" s="46"/>
      <c r="AG464" s="46"/>
    </row>
    <row r="465" spans="1:33" ht="13.5" customHeight="1">
      <c r="A465" s="46"/>
      <c r="B465" s="46"/>
      <c r="C465" s="41"/>
      <c r="D465" s="42"/>
      <c r="E465" s="42"/>
      <c r="F465" s="42"/>
      <c r="G465" s="43"/>
      <c r="H465" s="43"/>
      <c r="I465" s="43"/>
      <c r="J465" s="43"/>
      <c r="K465" s="43"/>
      <c r="L465" s="43"/>
      <c r="M465" s="43"/>
      <c r="N465" s="43"/>
      <c r="O465" s="43"/>
      <c r="P465" s="41"/>
      <c r="Q465" s="41"/>
      <c r="R465" s="41"/>
      <c r="S465" s="44"/>
      <c r="T465" s="45"/>
      <c r="U465" s="45"/>
      <c r="V465" s="45"/>
      <c r="W465" s="45"/>
      <c r="X465" s="46"/>
      <c r="Y465" s="46"/>
      <c r="Z465" s="46"/>
      <c r="AA465" s="46"/>
      <c r="AB465" s="46"/>
      <c r="AC465" s="46"/>
      <c r="AD465" s="46"/>
      <c r="AE465" s="46"/>
      <c r="AF465" s="46"/>
      <c r="AG465" s="46"/>
    </row>
    <row r="466" spans="1:33" ht="13.5" customHeight="1">
      <c r="A466" s="46"/>
      <c r="B466" s="46"/>
      <c r="C466" s="41"/>
      <c r="D466" s="42"/>
      <c r="E466" s="42"/>
      <c r="F466" s="42"/>
      <c r="G466" s="43"/>
      <c r="H466" s="43"/>
      <c r="I466" s="43"/>
      <c r="J466" s="43"/>
      <c r="K466" s="43"/>
      <c r="L466" s="43"/>
      <c r="M466" s="43"/>
      <c r="N466" s="43"/>
      <c r="O466" s="43"/>
      <c r="P466" s="41"/>
      <c r="Q466" s="41"/>
      <c r="R466" s="41"/>
      <c r="S466" s="44"/>
      <c r="T466" s="45"/>
      <c r="U466" s="45"/>
      <c r="V466" s="45"/>
      <c r="W466" s="45"/>
      <c r="X466" s="46"/>
      <c r="Y466" s="46"/>
      <c r="Z466" s="46"/>
      <c r="AA466" s="46"/>
      <c r="AB466" s="46"/>
      <c r="AC466" s="46"/>
      <c r="AD466" s="46"/>
      <c r="AE466" s="46"/>
      <c r="AF466" s="46"/>
      <c r="AG466" s="46"/>
    </row>
    <row r="467" spans="1:33" ht="13.5" customHeight="1">
      <c r="A467" s="46"/>
      <c r="B467" s="46"/>
      <c r="C467" s="41"/>
      <c r="D467" s="42"/>
      <c r="E467" s="42"/>
      <c r="F467" s="42"/>
      <c r="G467" s="43"/>
      <c r="H467" s="43"/>
      <c r="I467" s="43"/>
      <c r="J467" s="43"/>
      <c r="K467" s="43"/>
      <c r="L467" s="43"/>
      <c r="M467" s="43"/>
      <c r="N467" s="43"/>
      <c r="O467" s="43"/>
      <c r="P467" s="41"/>
      <c r="Q467" s="41"/>
      <c r="R467" s="41"/>
      <c r="S467" s="44"/>
      <c r="T467" s="45"/>
      <c r="U467" s="45"/>
      <c r="V467" s="45"/>
      <c r="W467" s="45"/>
      <c r="X467" s="46"/>
      <c r="Y467" s="46"/>
      <c r="Z467" s="46"/>
      <c r="AA467" s="46"/>
      <c r="AB467" s="46"/>
      <c r="AC467" s="46"/>
      <c r="AD467" s="46"/>
      <c r="AE467" s="46"/>
      <c r="AF467" s="46"/>
      <c r="AG467" s="46"/>
    </row>
    <row r="468" spans="1:33" ht="13.5" customHeight="1">
      <c r="A468" s="46"/>
      <c r="B468" s="46"/>
      <c r="C468" s="41"/>
      <c r="D468" s="42"/>
      <c r="E468" s="42"/>
      <c r="F468" s="42"/>
      <c r="G468" s="43"/>
      <c r="H468" s="43"/>
      <c r="I468" s="43"/>
      <c r="J468" s="43"/>
      <c r="K468" s="43"/>
      <c r="L468" s="43"/>
      <c r="M468" s="43"/>
      <c r="N468" s="43"/>
      <c r="O468" s="43"/>
      <c r="P468" s="41"/>
      <c r="Q468" s="41"/>
      <c r="R468" s="41"/>
      <c r="S468" s="44"/>
      <c r="T468" s="45"/>
      <c r="U468" s="45"/>
      <c r="V468" s="45"/>
      <c r="W468" s="45"/>
      <c r="X468" s="46"/>
      <c r="Y468" s="46"/>
      <c r="Z468" s="46"/>
      <c r="AA468" s="46"/>
      <c r="AB468" s="46"/>
      <c r="AC468" s="46"/>
      <c r="AD468" s="46"/>
      <c r="AE468" s="46"/>
      <c r="AF468" s="46"/>
      <c r="AG468" s="46"/>
    </row>
    <row r="469" spans="1:33" ht="13.5" customHeight="1">
      <c r="A469" s="46"/>
      <c r="B469" s="46"/>
      <c r="C469" s="41"/>
      <c r="D469" s="42"/>
      <c r="E469" s="42"/>
      <c r="F469" s="42"/>
      <c r="G469" s="43"/>
      <c r="H469" s="43"/>
      <c r="I469" s="43"/>
      <c r="J469" s="43"/>
      <c r="K469" s="43"/>
      <c r="L469" s="43"/>
      <c r="M469" s="43"/>
      <c r="N469" s="43"/>
      <c r="O469" s="43"/>
      <c r="P469" s="41"/>
      <c r="Q469" s="41"/>
      <c r="R469" s="41"/>
      <c r="S469" s="44"/>
      <c r="T469" s="45"/>
      <c r="U469" s="45"/>
      <c r="V469" s="45"/>
      <c r="W469" s="45"/>
      <c r="X469" s="46"/>
      <c r="Y469" s="46"/>
      <c r="Z469" s="46"/>
      <c r="AA469" s="46"/>
      <c r="AB469" s="46"/>
      <c r="AC469" s="46"/>
      <c r="AD469" s="46"/>
      <c r="AE469" s="46"/>
      <c r="AF469" s="46"/>
      <c r="AG469" s="46"/>
    </row>
    <row r="470" spans="1:33" ht="13.5" customHeight="1">
      <c r="A470" s="46"/>
      <c r="B470" s="46"/>
      <c r="C470" s="41"/>
      <c r="D470" s="42"/>
      <c r="E470" s="42"/>
      <c r="F470" s="42"/>
      <c r="G470" s="43"/>
      <c r="H470" s="43"/>
      <c r="I470" s="43"/>
      <c r="J470" s="43"/>
      <c r="K470" s="43"/>
      <c r="L470" s="43"/>
      <c r="M470" s="43"/>
      <c r="N470" s="43"/>
      <c r="O470" s="43"/>
      <c r="P470" s="41"/>
      <c r="Q470" s="41"/>
      <c r="R470" s="41"/>
      <c r="S470" s="44"/>
      <c r="T470" s="45"/>
      <c r="U470" s="45"/>
      <c r="V470" s="45"/>
      <c r="W470" s="45"/>
      <c r="X470" s="46"/>
      <c r="Y470" s="46"/>
      <c r="Z470" s="46"/>
      <c r="AA470" s="46"/>
      <c r="AB470" s="46"/>
      <c r="AC470" s="46"/>
      <c r="AD470" s="46"/>
      <c r="AE470" s="46"/>
      <c r="AF470" s="46"/>
      <c r="AG470" s="46"/>
    </row>
    <row r="471" spans="1:33" ht="13.5" customHeight="1">
      <c r="A471" s="46"/>
      <c r="B471" s="46"/>
      <c r="C471" s="41"/>
      <c r="D471" s="42"/>
      <c r="E471" s="42"/>
      <c r="F471" s="42"/>
      <c r="G471" s="43"/>
      <c r="H471" s="43"/>
      <c r="I471" s="43"/>
      <c r="J471" s="43"/>
      <c r="K471" s="43"/>
      <c r="L471" s="43"/>
      <c r="M471" s="43"/>
      <c r="N471" s="43"/>
      <c r="O471" s="43"/>
      <c r="P471" s="41"/>
      <c r="Q471" s="41"/>
      <c r="R471" s="41"/>
      <c r="S471" s="44"/>
      <c r="T471" s="45"/>
      <c r="U471" s="45"/>
      <c r="V471" s="45"/>
      <c r="W471" s="45"/>
      <c r="X471" s="46"/>
      <c r="Y471" s="46"/>
      <c r="Z471" s="46"/>
      <c r="AA471" s="46"/>
      <c r="AB471" s="46"/>
      <c r="AC471" s="46"/>
      <c r="AD471" s="46"/>
      <c r="AE471" s="46"/>
      <c r="AF471" s="46"/>
      <c r="AG471" s="46"/>
    </row>
    <row r="472" spans="1:33" ht="13.5" customHeight="1">
      <c r="A472" s="46"/>
      <c r="B472" s="46"/>
      <c r="C472" s="41"/>
      <c r="D472" s="42"/>
      <c r="E472" s="42"/>
      <c r="F472" s="42"/>
      <c r="G472" s="43"/>
      <c r="H472" s="43"/>
      <c r="I472" s="43"/>
      <c r="J472" s="43"/>
      <c r="K472" s="43"/>
      <c r="L472" s="43"/>
      <c r="M472" s="43"/>
      <c r="N472" s="43"/>
      <c r="O472" s="43"/>
      <c r="P472" s="41"/>
      <c r="Q472" s="41"/>
      <c r="R472" s="41"/>
      <c r="S472" s="44"/>
      <c r="T472" s="45"/>
      <c r="U472" s="45"/>
      <c r="V472" s="45"/>
      <c r="W472" s="45"/>
      <c r="X472" s="46"/>
      <c r="Y472" s="46"/>
      <c r="Z472" s="46"/>
      <c r="AA472" s="46"/>
      <c r="AB472" s="46"/>
      <c r="AC472" s="46"/>
      <c r="AD472" s="46"/>
      <c r="AE472" s="46"/>
      <c r="AF472" s="46"/>
      <c r="AG472" s="46"/>
    </row>
    <row r="473" spans="1:33" ht="13.5" customHeight="1">
      <c r="A473" s="46"/>
      <c r="B473" s="46"/>
      <c r="C473" s="41"/>
      <c r="D473" s="42"/>
      <c r="E473" s="42"/>
      <c r="F473" s="42"/>
      <c r="G473" s="43"/>
      <c r="H473" s="43"/>
      <c r="I473" s="43"/>
      <c r="J473" s="43"/>
      <c r="K473" s="43"/>
      <c r="L473" s="43"/>
      <c r="M473" s="43"/>
      <c r="N473" s="43"/>
      <c r="O473" s="43"/>
      <c r="P473" s="41"/>
      <c r="Q473" s="41"/>
      <c r="R473" s="41"/>
      <c r="S473" s="44"/>
      <c r="T473" s="45"/>
      <c r="U473" s="45"/>
      <c r="V473" s="45"/>
      <c r="W473" s="45"/>
      <c r="X473" s="46"/>
      <c r="Y473" s="46"/>
      <c r="Z473" s="46"/>
      <c r="AA473" s="46"/>
      <c r="AB473" s="46"/>
      <c r="AC473" s="46"/>
      <c r="AD473" s="46"/>
      <c r="AE473" s="46"/>
      <c r="AF473" s="46"/>
      <c r="AG473" s="46"/>
    </row>
    <row r="474" spans="1:33" ht="13.5" customHeight="1">
      <c r="A474" s="46"/>
      <c r="B474" s="46"/>
      <c r="C474" s="41"/>
      <c r="D474" s="42"/>
      <c r="E474" s="42"/>
      <c r="F474" s="42"/>
      <c r="G474" s="43"/>
      <c r="H474" s="43"/>
      <c r="I474" s="43"/>
      <c r="J474" s="43"/>
      <c r="K474" s="43"/>
      <c r="L474" s="43"/>
      <c r="M474" s="43"/>
      <c r="N474" s="43"/>
      <c r="O474" s="43"/>
      <c r="P474" s="41"/>
      <c r="Q474" s="41"/>
      <c r="R474" s="41"/>
      <c r="S474" s="44"/>
      <c r="T474" s="45"/>
      <c r="U474" s="45"/>
      <c r="V474" s="45"/>
      <c r="W474" s="45"/>
      <c r="X474" s="46"/>
      <c r="Y474" s="46"/>
      <c r="Z474" s="46"/>
      <c r="AA474" s="46"/>
      <c r="AB474" s="46"/>
      <c r="AC474" s="46"/>
      <c r="AD474" s="46"/>
      <c r="AE474" s="46"/>
      <c r="AF474" s="46"/>
      <c r="AG474" s="46"/>
    </row>
    <row r="475" spans="1:33" ht="13.5" customHeight="1">
      <c r="A475" s="46"/>
      <c r="B475" s="46"/>
      <c r="C475" s="41"/>
      <c r="D475" s="42"/>
      <c r="E475" s="42"/>
      <c r="F475" s="42"/>
      <c r="G475" s="43"/>
      <c r="H475" s="43"/>
      <c r="I475" s="43"/>
      <c r="J475" s="43"/>
      <c r="K475" s="43"/>
      <c r="L475" s="43"/>
      <c r="M475" s="43"/>
      <c r="N475" s="43"/>
      <c r="O475" s="43"/>
      <c r="P475" s="41"/>
      <c r="Q475" s="41"/>
      <c r="R475" s="41"/>
      <c r="S475" s="44"/>
      <c r="T475" s="45"/>
      <c r="U475" s="45"/>
      <c r="V475" s="45"/>
      <c r="W475" s="45"/>
      <c r="X475" s="46"/>
      <c r="Y475" s="46"/>
      <c r="Z475" s="46"/>
      <c r="AA475" s="46"/>
      <c r="AB475" s="46"/>
      <c r="AC475" s="46"/>
      <c r="AD475" s="46"/>
      <c r="AE475" s="46"/>
      <c r="AF475" s="46"/>
      <c r="AG475" s="46"/>
    </row>
    <row r="476" spans="1:33" ht="13.5" customHeight="1">
      <c r="A476" s="46"/>
      <c r="B476" s="46"/>
      <c r="C476" s="41"/>
      <c r="D476" s="42"/>
      <c r="E476" s="42"/>
      <c r="F476" s="42"/>
      <c r="G476" s="43"/>
      <c r="H476" s="43"/>
      <c r="I476" s="43"/>
      <c r="J476" s="43"/>
      <c r="K476" s="43"/>
      <c r="L476" s="43"/>
      <c r="M476" s="43"/>
      <c r="N476" s="43"/>
      <c r="O476" s="43"/>
      <c r="P476" s="41"/>
      <c r="Q476" s="41"/>
      <c r="R476" s="41"/>
      <c r="S476" s="44"/>
      <c r="T476" s="45"/>
      <c r="U476" s="45"/>
      <c r="V476" s="45"/>
      <c r="W476" s="45"/>
      <c r="X476" s="46"/>
      <c r="Y476" s="46"/>
      <c r="Z476" s="46"/>
      <c r="AA476" s="46"/>
      <c r="AB476" s="46"/>
      <c r="AC476" s="46"/>
      <c r="AD476" s="46"/>
      <c r="AE476" s="46"/>
      <c r="AF476" s="46"/>
      <c r="AG476" s="46"/>
    </row>
    <row r="477" spans="1:33" ht="13.5" customHeight="1">
      <c r="A477" s="46"/>
      <c r="B477" s="46"/>
      <c r="C477" s="41"/>
      <c r="D477" s="42"/>
      <c r="E477" s="42"/>
      <c r="F477" s="42"/>
      <c r="G477" s="43"/>
      <c r="H477" s="43"/>
      <c r="I477" s="43"/>
      <c r="J477" s="43"/>
      <c r="K477" s="43"/>
      <c r="L477" s="43"/>
      <c r="M477" s="43"/>
      <c r="N477" s="43"/>
      <c r="O477" s="43"/>
      <c r="P477" s="41"/>
      <c r="Q477" s="41"/>
      <c r="R477" s="41"/>
      <c r="S477" s="44"/>
      <c r="T477" s="45"/>
      <c r="U477" s="45"/>
      <c r="V477" s="45"/>
      <c r="W477" s="45"/>
      <c r="X477" s="46"/>
      <c r="Y477" s="46"/>
      <c r="Z477" s="46"/>
      <c r="AA477" s="46"/>
      <c r="AB477" s="46"/>
      <c r="AC477" s="46"/>
      <c r="AD477" s="46"/>
      <c r="AE477" s="46"/>
      <c r="AF477" s="46"/>
      <c r="AG477" s="46"/>
    </row>
    <row r="478" spans="1:33" ht="13.5" customHeight="1">
      <c r="A478" s="46"/>
      <c r="B478" s="46"/>
      <c r="C478" s="41"/>
      <c r="D478" s="42"/>
      <c r="E478" s="42"/>
      <c r="F478" s="42"/>
      <c r="G478" s="43"/>
      <c r="H478" s="43"/>
      <c r="I478" s="43"/>
      <c r="J478" s="43"/>
      <c r="K478" s="43"/>
      <c r="L478" s="43"/>
      <c r="M478" s="43"/>
      <c r="N478" s="43"/>
      <c r="O478" s="43"/>
      <c r="P478" s="41"/>
      <c r="Q478" s="41"/>
      <c r="R478" s="41"/>
      <c r="S478" s="44"/>
      <c r="T478" s="45"/>
      <c r="U478" s="45"/>
      <c r="V478" s="45"/>
      <c r="W478" s="45"/>
      <c r="X478" s="46"/>
      <c r="Y478" s="46"/>
      <c r="Z478" s="46"/>
      <c r="AA478" s="46"/>
      <c r="AB478" s="46"/>
      <c r="AC478" s="46"/>
      <c r="AD478" s="46"/>
      <c r="AE478" s="46"/>
      <c r="AF478" s="46"/>
      <c r="AG478" s="46"/>
    </row>
    <row r="479" spans="1:33" ht="13.5" customHeight="1">
      <c r="A479" s="46"/>
      <c r="B479" s="46"/>
      <c r="C479" s="41"/>
      <c r="D479" s="42"/>
      <c r="E479" s="42"/>
      <c r="F479" s="42"/>
      <c r="G479" s="43"/>
      <c r="H479" s="43"/>
      <c r="I479" s="43"/>
      <c r="J479" s="43"/>
      <c r="K479" s="43"/>
      <c r="L479" s="43"/>
      <c r="M479" s="43"/>
      <c r="N479" s="43"/>
      <c r="O479" s="43"/>
      <c r="P479" s="41"/>
      <c r="Q479" s="41"/>
      <c r="R479" s="41"/>
      <c r="S479" s="44"/>
      <c r="T479" s="45"/>
      <c r="U479" s="45"/>
      <c r="V479" s="45"/>
      <c r="W479" s="45"/>
      <c r="X479" s="46"/>
      <c r="Y479" s="46"/>
      <c r="Z479" s="46"/>
      <c r="AA479" s="46"/>
      <c r="AB479" s="46"/>
      <c r="AC479" s="46"/>
      <c r="AD479" s="46"/>
      <c r="AE479" s="46"/>
      <c r="AF479" s="46"/>
      <c r="AG479" s="46"/>
    </row>
    <row r="480" spans="1:33" ht="13.5" customHeight="1">
      <c r="A480" s="46"/>
      <c r="B480" s="46"/>
      <c r="C480" s="41"/>
      <c r="D480" s="42"/>
      <c r="E480" s="42"/>
      <c r="F480" s="42"/>
      <c r="G480" s="43"/>
      <c r="H480" s="43"/>
      <c r="I480" s="43"/>
      <c r="J480" s="43"/>
      <c r="K480" s="43"/>
      <c r="L480" s="43"/>
      <c r="M480" s="43"/>
      <c r="N480" s="43"/>
      <c r="O480" s="43"/>
      <c r="P480" s="41"/>
      <c r="Q480" s="41"/>
      <c r="R480" s="41"/>
      <c r="S480" s="44"/>
      <c r="T480" s="45"/>
      <c r="U480" s="45"/>
      <c r="V480" s="45"/>
      <c r="W480" s="45"/>
      <c r="X480" s="46"/>
      <c r="Y480" s="46"/>
      <c r="Z480" s="46"/>
      <c r="AA480" s="46"/>
      <c r="AB480" s="46"/>
      <c r="AC480" s="46"/>
      <c r="AD480" s="46"/>
      <c r="AE480" s="46"/>
      <c r="AF480" s="46"/>
      <c r="AG480" s="46"/>
    </row>
    <row r="481" spans="1:33" ht="13.5" customHeight="1">
      <c r="A481" s="46"/>
      <c r="B481" s="46"/>
      <c r="C481" s="41"/>
      <c r="D481" s="42"/>
      <c r="E481" s="42"/>
      <c r="F481" s="42"/>
      <c r="G481" s="43"/>
      <c r="H481" s="43"/>
      <c r="I481" s="43"/>
      <c r="J481" s="43"/>
      <c r="K481" s="43"/>
      <c r="L481" s="43"/>
      <c r="M481" s="43"/>
      <c r="N481" s="43"/>
      <c r="O481" s="43"/>
      <c r="P481" s="41"/>
      <c r="Q481" s="41"/>
      <c r="R481" s="41"/>
      <c r="S481" s="44"/>
      <c r="T481" s="45"/>
      <c r="U481" s="45"/>
      <c r="V481" s="45"/>
      <c r="W481" s="45"/>
      <c r="X481" s="46"/>
      <c r="Y481" s="46"/>
      <c r="Z481" s="46"/>
      <c r="AA481" s="46"/>
      <c r="AB481" s="46"/>
      <c r="AC481" s="46"/>
      <c r="AD481" s="46"/>
      <c r="AE481" s="46"/>
      <c r="AF481" s="46"/>
      <c r="AG481" s="46"/>
    </row>
    <row r="482" spans="1:33" ht="13.5" customHeight="1">
      <c r="A482" s="46"/>
      <c r="B482" s="46"/>
      <c r="C482" s="41"/>
      <c r="D482" s="42"/>
      <c r="E482" s="42"/>
      <c r="F482" s="42"/>
      <c r="G482" s="43"/>
      <c r="H482" s="43"/>
      <c r="I482" s="43"/>
      <c r="J482" s="43"/>
      <c r="K482" s="43"/>
      <c r="L482" s="43"/>
      <c r="M482" s="43"/>
      <c r="N482" s="43"/>
      <c r="O482" s="43"/>
      <c r="P482" s="41"/>
      <c r="Q482" s="41"/>
      <c r="R482" s="41"/>
      <c r="S482" s="44"/>
      <c r="T482" s="45"/>
      <c r="U482" s="45"/>
      <c r="V482" s="45"/>
      <c r="W482" s="45"/>
      <c r="X482" s="46"/>
      <c r="Y482" s="46"/>
      <c r="Z482" s="46"/>
      <c r="AA482" s="46"/>
      <c r="AB482" s="46"/>
      <c r="AC482" s="46"/>
      <c r="AD482" s="46"/>
      <c r="AE482" s="46"/>
      <c r="AF482" s="46"/>
      <c r="AG482" s="46"/>
    </row>
    <row r="483" spans="1:33" ht="13.5" customHeight="1">
      <c r="A483" s="46"/>
      <c r="B483" s="46"/>
      <c r="C483" s="41"/>
      <c r="D483" s="42"/>
      <c r="E483" s="42"/>
      <c r="F483" s="42"/>
      <c r="G483" s="43"/>
      <c r="H483" s="43"/>
      <c r="I483" s="43"/>
      <c r="J483" s="43"/>
      <c r="K483" s="43"/>
      <c r="L483" s="43"/>
      <c r="M483" s="43"/>
      <c r="N483" s="43"/>
      <c r="O483" s="43"/>
      <c r="P483" s="41"/>
      <c r="Q483" s="41"/>
      <c r="R483" s="41"/>
      <c r="S483" s="44"/>
      <c r="T483" s="45"/>
      <c r="U483" s="45"/>
      <c r="V483" s="45"/>
      <c r="W483" s="45"/>
      <c r="X483" s="46"/>
      <c r="Y483" s="46"/>
      <c r="Z483" s="46"/>
      <c r="AA483" s="46"/>
      <c r="AB483" s="46"/>
      <c r="AC483" s="46"/>
      <c r="AD483" s="46"/>
      <c r="AE483" s="46"/>
      <c r="AF483" s="46"/>
      <c r="AG483" s="46"/>
    </row>
    <row r="484" spans="1:33" ht="13.5" customHeight="1">
      <c r="A484" s="46"/>
      <c r="B484" s="46"/>
      <c r="C484" s="41"/>
      <c r="D484" s="42"/>
      <c r="E484" s="42"/>
      <c r="F484" s="42"/>
      <c r="G484" s="43"/>
      <c r="H484" s="43"/>
      <c r="I484" s="43"/>
      <c r="J484" s="43"/>
      <c r="K484" s="43"/>
      <c r="L484" s="43"/>
      <c r="M484" s="43"/>
      <c r="N484" s="43"/>
      <c r="O484" s="43"/>
      <c r="P484" s="41"/>
      <c r="Q484" s="41"/>
      <c r="R484" s="41"/>
      <c r="S484" s="44"/>
      <c r="T484" s="45"/>
      <c r="U484" s="45"/>
      <c r="V484" s="45"/>
      <c r="W484" s="45"/>
      <c r="X484" s="46"/>
      <c r="Y484" s="46"/>
      <c r="Z484" s="46"/>
      <c r="AA484" s="46"/>
      <c r="AB484" s="46"/>
      <c r="AC484" s="46"/>
      <c r="AD484" s="46"/>
      <c r="AE484" s="46"/>
      <c r="AF484" s="46"/>
      <c r="AG484" s="46"/>
    </row>
    <row r="485" spans="1:33" ht="13.5" customHeight="1">
      <c r="A485" s="46"/>
      <c r="B485" s="46"/>
      <c r="C485" s="41"/>
      <c r="D485" s="42"/>
      <c r="E485" s="42"/>
      <c r="F485" s="42"/>
      <c r="G485" s="43"/>
      <c r="H485" s="43"/>
      <c r="I485" s="43"/>
      <c r="J485" s="43"/>
      <c r="K485" s="43"/>
      <c r="L485" s="43"/>
      <c r="M485" s="43"/>
      <c r="N485" s="43"/>
      <c r="O485" s="43"/>
      <c r="P485" s="41"/>
      <c r="Q485" s="41"/>
      <c r="R485" s="41"/>
      <c r="S485" s="44"/>
      <c r="T485" s="45"/>
      <c r="U485" s="45"/>
      <c r="V485" s="45"/>
      <c r="W485" s="45"/>
      <c r="X485" s="46"/>
      <c r="Y485" s="46"/>
      <c r="Z485" s="46"/>
      <c r="AA485" s="46"/>
      <c r="AB485" s="46"/>
      <c r="AC485" s="46"/>
      <c r="AD485" s="46"/>
      <c r="AE485" s="46"/>
      <c r="AF485" s="46"/>
      <c r="AG485" s="46"/>
    </row>
    <row r="486" spans="1:33" ht="13.5" customHeight="1">
      <c r="A486" s="46"/>
      <c r="B486" s="46"/>
      <c r="C486" s="41"/>
      <c r="D486" s="42"/>
      <c r="E486" s="42"/>
      <c r="F486" s="42"/>
      <c r="G486" s="43"/>
      <c r="H486" s="43"/>
      <c r="I486" s="43"/>
      <c r="J486" s="43"/>
      <c r="K486" s="43"/>
      <c r="L486" s="43"/>
      <c r="M486" s="43"/>
      <c r="N486" s="43"/>
      <c r="O486" s="43"/>
      <c r="P486" s="41"/>
      <c r="Q486" s="41"/>
      <c r="R486" s="41"/>
      <c r="S486" s="44"/>
      <c r="T486" s="45"/>
      <c r="U486" s="45"/>
      <c r="V486" s="45"/>
      <c r="W486" s="45"/>
      <c r="X486" s="46"/>
      <c r="Y486" s="46"/>
      <c r="Z486" s="46"/>
      <c r="AA486" s="46"/>
      <c r="AB486" s="46"/>
      <c r="AC486" s="46"/>
      <c r="AD486" s="46"/>
      <c r="AE486" s="46"/>
      <c r="AF486" s="46"/>
      <c r="AG486" s="46"/>
    </row>
    <row r="487" spans="1:33" ht="13.5" customHeight="1">
      <c r="A487" s="46"/>
      <c r="B487" s="46"/>
      <c r="C487" s="41"/>
      <c r="D487" s="42"/>
      <c r="E487" s="42"/>
      <c r="F487" s="42"/>
      <c r="G487" s="43"/>
      <c r="H487" s="43"/>
      <c r="I487" s="43"/>
      <c r="J487" s="43"/>
      <c r="K487" s="43"/>
      <c r="L487" s="43"/>
      <c r="M487" s="43"/>
      <c r="N487" s="43"/>
      <c r="O487" s="43"/>
      <c r="P487" s="41"/>
      <c r="Q487" s="41"/>
      <c r="R487" s="41"/>
      <c r="S487" s="44"/>
      <c r="T487" s="45"/>
      <c r="U487" s="45"/>
      <c r="V487" s="45"/>
      <c r="W487" s="45"/>
      <c r="X487" s="46"/>
      <c r="Y487" s="46"/>
      <c r="Z487" s="46"/>
      <c r="AA487" s="46"/>
      <c r="AB487" s="46"/>
      <c r="AC487" s="46"/>
      <c r="AD487" s="46"/>
      <c r="AE487" s="46"/>
      <c r="AF487" s="46"/>
      <c r="AG487" s="46"/>
    </row>
    <row r="488" spans="1:33" ht="13.5" customHeight="1">
      <c r="A488" s="46"/>
      <c r="B488" s="46"/>
      <c r="C488" s="41"/>
      <c r="D488" s="42"/>
      <c r="E488" s="42"/>
      <c r="F488" s="42"/>
      <c r="G488" s="43"/>
      <c r="H488" s="43"/>
      <c r="I488" s="43"/>
      <c r="J488" s="43"/>
      <c r="K488" s="43"/>
      <c r="L488" s="43"/>
      <c r="M488" s="43"/>
      <c r="N488" s="43"/>
      <c r="O488" s="43"/>
      <c r="P488" s="41"/>
      <c r="Q488" s="41"/>
      <c r="R488" s="41"/>
      <c r="S488" s="44"/>
      <c r="T488" s="45"/>
      <c r="U488" s="45"/>
      <c r="V488" s="45"/>
      <c r="W488" s="45"/>
      <c r="X488" s="46"/>
      <c r="Y488" s="46"/>
      <c r="Z488" s="46"/>
      <c r="AA488" s="46"/>
      <c r="AB488" s="46"/>
      <c r="AC488" s="46"/>
      <c r="AD488" s="46"/>
      <c r="AE488" s="46"/>
      <c r="AF488" s="46"/>
      <c r="AG488" s="46"/>
    </row>
    <row r="489" spans="1:33" ht="13.5" customHeight="1">
      <c r="A489" s="46"/>
      <c r="B489" s="46"/>
      <c r="C489" s="41"/>
      <c r="D489" s="42"/>
      <c r="E489" s="42"/>
      <c r="F489" s="42"/>
      <c r="G489" s="43"/>
      <c r="H489" s="43"/>
      <c r="I489" s="43"/>
      <c r="J489" s="43"/>
      <c r="K489" s="43"/>
      <c r="L489" s="43"/>
      <c r="M489" s="43"/>
      <c r="N489" s="43"/>
      <c r="O489" s="43"/>
      <c r="P489" s="41"/>
      <c r="Q489" s="41"/>
      <c r="R489" s="41"/>
      <c r="S489" s="44"/>
      <c r="T489" s="45"/>
      <c r="U489" s="45"/>
      <c r="V489" s="45"/>
      <c r="W489" s="45"/>
      <c r="X489" s="46"/>
      <c r="Y489" s="46"/>
      <c r="Z489" s="46"/>
      <c r="AA489" s="46"/>
      <c r="AB489" s="46"/>
      <c r="AC489" s="46"/>
      <c r="AD489" s="46"/>
      <c r="AE489" s="46"/>
      <c r="AF489" s="46"/>
      <c r="AG489" s="46"/>
    </row>
    <row r="490" spans="1:33" ht="13.5" customHeight="1">
      <c r="A490" s="46"/>
      <c r="B490" s="46"/>
      <c r="C490" s="41"/>
      <c r="D490" s="42"/>
      <c r="E490" s="42"/>
      <c r="F490" s="42"/>
      <c r="G490" s="43"/>
      <c r="H490" s="43"/>
      <c r="I490" s="43"/>
      <c r="J490" s="43"/>
      <c r="K490" s="43"/>
      <c r="L490" s="43"/>
      <c r="M490" s="43"/>
      <c r="N490" s="43"/>
      <c r="O490" s="43"/>
      <c r="P490" s="41"/>
      <c r="Q490" s="41"/>
      <c r="R490" s="41"/>
      <c r="S490" s="44"/>
      <c r="T490" s="45"/>
      <c r="U490" s="45"/>
      <c r="V490" s="45"/>
      <c r="W490" s="45"/>
      <c r="X490" s="46"/>
      <c r="Y490" s="46"/>
      <c r="Z490" s="46"/>
      <c r="AA490" s="46"/>
      <c r="AB490" s="46"/>
      <c r="AC490" s="46"/>
      <c r="AD490" s="46"/>
      <c r="AE490" s="46"/>
      <c r="AF490" s="46"/>
      <c r="AG490" s="46"/>
    </row>
    <row r="491" spans="1:33" ht="13.5" customHeight="1">
      <c r="A491" s="46"/>
      <c r="B491" s="46"/>
      <c r="C491" s="41"/>
      <c r="D491" s="42"/>
      <c r="E491" s="42"/>
      <c r="F491" s="42"/>
      <c r="G491" s="43"/>
      <c r="H491" s="43"/>
      <c r="I491" s="43"/>
      <c r="J491" s="43"/>
      <c r="K491" s="43"/>
      <c r="L491" s="43"/>
      <c r="M491" s="43"/>
      <c r="N491" s="43"/>
      <c r="O491" s="43"/>
      <c r="P491" s="41"/>
      <c r="Q491" s="41"/>
      <c r="R491" s="41"/>
      <c r="S491" s="44"/>
      <c r="T491" s="45"/>
      <c r="U491" s="45"/>
      <c r="V491" s="45"/>
      <c r="W491" s="45"/>
      <c r="X491" s="46"/>
      <c r="Y491" s="46"/>
      <c r="Z491" s="46"/>
      <c r="AA491" s="46"/>
      <c r="AB491" s="46"/>
      <c r="AC491" s="46"/>
      <c r="AD491" s="46"/>
      <c r="AE491" s="46"/>
      <c r="AF491" s="46"/>
      <c r="AG491" s="46"/>
    </row>
    <row r="492" spans="1:33" ht="13.5" customHeight="1">
      <c r="A492" s="46"/>
      <c r="B492" s="46"/>
      <c r="C492" s="41"/>
      <c r="D492" s="42"/>
      <c r="E492" s="42"/>
      <c r="F492" s="42"/>
      <c r="G492" s="43"/>
      <c r="H492" s="43"/>
      <c r="I492" s="43"/>
      <c r="J492" s="43"/>
      <c r="K492" s="43"/>
      <c r="L492" s="43"/>
      <c r="M492" s="43"/>
      <c r="N492" s="43"/>
      <c r="O492" s="43"/>
      <c r="P492" s="41"/>
      <c r="Q492" s="41"/>
      <c r="R492" s="41"/>
      <c r="S492" s="44"/>
      <c r="T492" s="45"/>
      <c r="U492" s="45"/>
      <c r="V492" s="45"/>
      <c r="W492" s="45"/>
      <c r="X492" s="46"/>
      <c r="Y492" s="46"/>
      <c r="Z492" s="46"/>
      <c r="AA492" s="46"/>
      <c r="AB492" s="46"/>
      <c r="AC492" s="46"/>
      <c r="AD492" s="46"/>
      <c r="AE492" s="46"/>
      <c r="AF492" s="46"/>
      <c r="AG492" s="46"/>
    </row>
    <row r="493" spans="1:33" ht="13.5" customHeight="1">
      <c r="A493" s="46"/>
      <c r="B493" s="46"/>
      <c r="C493" s="41"/>
      <c r="D493" s="42"/>
      <c r="E493" s="42"/>
      <c r="F493" s="42"/>
      <c r="G493" s="43"/>
      <c r="H493" s="43"/>
      <c r="I493" s="43"/>
      <c r="J493" s="43"/>
      <c r="K493" s="43"/>
      <c r="L493" s="43"/>
      <c r="M493" s="43"/>
      <c r="N493" s="43"/>
      <c r="O493" s="43"/>
      <c r="P493" s="41"/>
      <c r="Q493" s="41"/>
      <c r="R493" s="41"/>
      <c r="S493" s="44"/>
      <c r="T493" s="45"/>
      <c r="U493" s="45"/>
      <c r="V493" s="45"/>
      <c r="W493" s="45"/>
      <c r="X493" s="46"/>
      <c r="Y493" s="46"/>
      <c r="Z493" s="46"/>
      <c r="AA493" s="46"/>
      <c r="AB493" s="46"/>
      <c r="AC493" s="46"/>
      <c r="AD493" s="46"/>
      <c r="AE493" s="46"/>
      <c r="AF493" s="46"/>
      <c r="AG493" s="46"/>
    </row>
    <row r="494" spans="1:33" ht="13.5" customHeight="1">
      <c r="A494" s="46"/>
      <c r="B494" s="46"/>
      <c r="C494" s="41"/>
      <c r="D494" s="42"/>
      <c r="E494" s="42"/>
      <c r="F494" s="42"/>
      <c r="G494" s="43"/>
      <c r="H494" s="43"/>
      <c r="I494" s="43"/>
      <c r="J494" s="43"/>
      <c r="K494" s="43"/>
      <c r="L494" s="43"/>
      <c r="M494" s="43"/>
      <c r="N494" s="43"/>
      <c r="O494" s="43"/>
      <c r="P494" s="41"/>
      <c r="Q494" s="41"/>
      <c r="R494" s="41"/>
      <c r="S494" s="44"/>
      <c r="T494" s="45"/>
      <c r="U494" s="45"/>
      <c r="V494" s="45"/>
      <c r="W494" s="45"/>
      <c r="X494" s="46"/>
      <c r="Y494" s="46"/>
      <c r="Z494" s="46"/>
      <c r="AA494" s="46"/>
      <c r="AB494" s="46"/>
      <c r="AC494" s="46"/>
      <c r="AD494" s="46"/>
      <c r="AE494" s="46"/>
      <c r="AF494" s="46"/>
      <c r="AG494" s="46"/>
    </row>
    <row r="495" spans="1:33" ht="13.5" customHeight="1">
      <c r="A495" s="46"/>
      <c r="B495" s="46"/>
      <c r="C495" s="41"/>
      <c r="D495" s="42"/>
      <c r="E495" s="42"/>
      <c r="F495" s="42"/>
      <c r="G495" s="43"/>
      <c r="H495" s="43"/>
      <c r="I495" s="43"/>
      <c r="J495" s="43"/>
      <c r="K495" s="43"/>
      <c r="L495" s="43"/>
      <c r="M495" s="43"/>
      <c r="N495" s="43"/>
      <c r="O495" s="43"/>
      <c r="P495" s="41"/>
      <c r="Q495" s="41"/>
      <c r="R495" s="41"/>
      <c r="S495" s="44"/>
      <c r="T495" s="45"/>
      <c r="U495" s="45"/>
      <c r="V495" s="45"/>
      <c r="W495" s="45"/>
      <c r="X495" s="46"/>
      <c r="Y495" s="46"/>
      <c r="Z495" s="46"/>
      <c r="AA495" s="46"/>
      <c r="AB495" s="46"/>
      <c r="AC495" s="46"/>
      <c r="AD495" s="46"/>
      <c r="AE495" s="46"/>
      <c r="AF495" s="46"/>
      <c r="AG495" s="46"/>
    </row>
    <row r="496" spans="1:33" ht="13.5" customHeight="1">
      <c r="A496" s="46"/>
      <c r="B496" s="46"/>
      <c r="C496" s="41"/>
      <c r="D496" s="42"/>
      <c r="E496" s="42"/>
      <c r="F496" s="42"/>
      <c r="G496" s="43"/>
      <c r="H496" s="43"/>
      <c r="I496" s="43"/>
      <c r="J496" s="43"/>
      <c r="K496" s="43"/>
      <c r="L496" s="43"/>
      <c r="M496" s="43"/>
      <c r="N496" s="43"/>
      <c r="O496" s="43"/>
      <c r="P496" s="41"/>
      <c r="Q496" s="41"/>
      <c r="R496" s="41"/>
      <c r="S496" s="44"/>
      <c r="T496" s="45"/>
      <c r="U496" s="45"/>
      <c r="V496" s="45"/>
      <c r="W496" s="45"/>
      <c r="X496" s="46"/>
      <c r="Y496" s="46"/>
      <c r="Z496" s="46"/>
      <c r="AA496" s="46"/>
      <c r="AB496" s="46"/>
      <c r="AC496" s="46"/>
      <c r="AD496" s="46"/>
      <c r="AE496" s="46"/>
      <c r="AF496" s="46"/>
      <c r="AG496" s="46"/>
    </row>
    <row r="497" spans="1:33" ht="13.5" customHeight="1">
      <c r="A497" s="46"/>
      <c r="B497" s="46"/>
      <c r="C497" s="41"/>
      <c r="D497" s="42"/>
      <c r="E497" s="42"/>
      <c r="F497" s="42"/>
      <c r="G497" s="43"/>
      <c r="H497" s="43"/>
      <c r="I497" s="43"/>
      <c r="J497" s="43"/>
      <c r="K497" s="43"/>
      <c r="L497" s="43"/>
      <c r="M497" s="43"/>
      <c r="N497" s="43"/>
      <c r="O497" s="43"/>
      <c r="P497" s="41"/>
      <c r="Q497" s="41"/>
      <c r="R497" s="41"/>
      <c r="S497" s="44"/>
      <c r="T497" s="45"/>
      <c r="U497" s="45"/>
      <c r="V497" s="45"/>
      <c r="W497" s="45"/>
      <c r="X497" s="46"/>
      <c r="Y497" s="46"/>
      <c r="Z497" s="46"/>
      <c r="AA497" s="46"/>
      <c r="AB497" s="46"/>
      <c r="AC497" s="46"/>
      <c r="AD497" s="46"/>
      <c r="AE497" s="46"/>
      <c r="AF497" s="46"/>
      <c r="AG497" s="46"/>
    </row>
    <row r="498" spans="1:33" ht="13.5" customHeight="1">
      <c r="A498" s="46"/>
      <c r="B498" s="46"/>
      <c r="C498" s="41"/>
      <c r="D498" s="42"/>
      <c r="E498" s="42"/>
      <c r="F498" s="42"/>
      <c r="G498" s="43"/>
      <c r="H498" s="43"/>
      <c r="I498" s="43"/>
      <c r="J498" s="43"/>
      <c r="K498" s="43"/>
      <c r="L498" s="43"/>
      <c r="M498" s="43"/>
      <c r="N498" s="43"/>
      <c r="O498" s="43"/>
      <c r="P498" s="41"/>
      <c r="Q498" s="41"/>
      <c r="R498" s="41"/>
      <c r="S498" s="44"/>
      <c r="T498" s="45"/>
      <c r="U498" s="45"/>
      <c r="V498" s="45"/>
      <c r="W498" s="45"/>
      <c r="X498" s="46"/>
      <c r="Y498" s="46"/>
      <c r="Z498" s="46"/>
      <c r="AA498" s="46"/>
      <c r="AB498" s="46"/>
      <c r="AC498" s="46"/>
      <c r="AD498" s="46"/>
      <c r="AE498" s="46"/>
      <c r="AF498" s="46"/>
      <c r="AG498" s="46"/>
    </row>
    <row r="499" spans="1:33" ht="13.5" customHeight="1">
      <c r="A499" s="46"/>
      <c r="B499" s="46"/>
      <c r="C499" s="41"/>
      <c r="D499" s="42"/>
      <c r="E499" s="42"/>
      <c r="F499" s="42"/>
      <c r="G499" s="43"/>
      <c r="H499" s="43"/>
      <c r="I499" s="43"/>
      <c r="J499" s="43"/>
      <c r="K499" s="43"/>
      <c r="L499" s="43"/>
      <c r="M499" s="43"/>
      <c r="N499" s="43"/>
      <c r="O499" s="43"/>
      <c r="P499" s="41"/>
      <c r="Q499" s="41"/>
      <c r="R499" s="41"/>
      <c r="S499" s="44"/>
      <c r="T499" s="45"/>
      <c r="U499" s="45"/>
      <c r="V499" s="45"/>
      <c r="W499" s="45"/>
      <c r="X499" s="46"/>
      <c r="Y499" s="46"/>
      <c r="Z499" s="46"/>
      <c r="AA499" s="46"/>
      <c r="AB499" s="46"/>
      <c r="AC499" s="46"/>
      <c r="AD499" s="46"/>
      <c r="AE499" s="46"/>
      <c r="AF499" s="46"/>
      <c r="AG499" s="46"/>
    </row>
    <row r="500" spans="1:33" ht="13.5" customHeight="1">
      <c r="A500" s="46"/>
      <c r="B500" s="46"/>
      <c r="C500" s="41"/>
      <c r="D500" s="42"/>
      <c r="E500" s="42"/>
      <c r="F500" s="42"/>
      <c r="G500" s="43"/>
      <c r="H500" s="43"/>
      <c r="I500" s="43"/>
      <c r="J500" s="43"/>
      <c r="K500" s="43"/>
      <c r="L500" s="43"/>
      <c r="M500" s="43"/>
      <c r="N500" s="43"/>
      <c r="O500" s="43"/>
      <c r="P500" s="41"/>
      <c r="Q500" s="41"/>
      <c r="R500" s="41"/>
      <c r="S500" s="44"/>
      <c r="T500" s="45"/>
      <c r="U500" s="45"/>
      <c r="V500" s="45"/>
      <c r="W500" s="45"/>
      <c r="X500" s="46"/>
      <c r="Y500" s="46"/>
      <c r="Z500" s="46"/>
      <c r="AA500" s="46"/>
      <c r="AB500" s="46"/>
      <c r="AC500" s="46"/>
      <c r="AD500" s="46"/>
      <c r="AE500" s="46"/>
      <c r="AF500" s="46"/>
      <c r="AG500" s="46"/>
    </row>
    <row r="501" spans="1:33" ht="13.5" customHeight="1">
      <c r="A501" s="46"/>
      <c r="B501" s="46"/>
      <c r="C501" s="41"/>
      <c r="D501" s="42"/>
      <c r="E501" s="42"/>
      <c r="F501" s="42"/>
      <c r="G501" s="43"/>
      <c r="H501" s="43"/>
      <c r="I501" s="43"/>
      <c r="J501" s="43"/>
      <c r="K501" s="43"/>
      <c r="L501" s="43"/>
      <c r="M501" s="43"/>
      <c r="N501" s="43"/>
      <c r="O501" s="43"/>
      <c r="P501" s="41"/>
      <c r="Q501" s="41"/>
      <c r="R501" s="41"/>
      <c r="S501" s="44"/>
      <c r="T501" s="45"/>
      <c r="U501" s="45"/>
      <c r="V501" s="45"/>
      <c r="W501" s="45"/>
      <c r="X501" s="46"/>
      <c r="Y501" s="46"/>
      <c r="Z501" s="46"/>
      <c r="AA501" s="46"/>
      <c r="AB501" s="46"/>
      <c r="AC501" s="46"/>
      <c r="AD501" s="46"/>
      <c r="AE501" s="46"/>
      <c r="AF501" s="46"/>
      <c r="AG501" s="46"/>
    </row>
    <row r="502" spans="1:33" ht="13.5" customHeight="1">
      <c r="A502" s="46"/>
      <c r="B502" s="46"/>
      <c r="C502" s="41"/>
      <c r="D502" s="42"/>
      <c r="E502" s="42"/>
      <c r="F502" s="42"/>
      <c r="G502" s="43"/>
      <c r="H502" s="43"/>
      <c r="I502" s="43"/>
      <c r="J502" s="43"/>
      <c r="K502" s="43"/>
      <c r="L502" s="43"/>
      <c r="M502" s="43"/>
      <c r="N502" s="43"/>
      <c r="O502" s="43"/>
      <c r="P502" s="41"/>
      <c r="Q502" s="41"/>
      <c r="R502" s="41"/>
      <c r="S502" s="44"/>
      <c r="T502" s="45"/>
      <c r="U502" s="45"/>
      <c r="V502" s="45"/>
      <c r="W502" s="45"/>
      <c r="X502" s="46"/>
      <c r="Y502" s="46"/>
      <c r="Z502" s="46"/>
      <c r="AA502" s="46"/>
      <c r="AB502" s="46"/>
      <c r="AC502" s="46"/>
      <c r="AD502" s="46"/>
      <c r="AE502" s="46"/>
      <c r="AF502" s="46"/>
      <c r="AG502" s="46"/>
    </row>
    <row r="503" spans="1:33" ht="13.5" customHeight="1">
      <c r="A503" s="46"/>
      <c r="B503" s="46"/>
      <c r="C503" s="41"/>
      <c r="D503" s="42"/>
      <c r="E503" s="42"/>
      <c r="F503" s="42"/>
      <c r="G503" s="43"/>
      <c r="H503" s="43"/>
      <c r="I503" s="43"/>
      <c r="J503" s="43"/>
      <c r="K503" s="43"/>
      <c r="L503" s="43"/>
      <c r="M503" s="43"/>
      <c r="N503" s="43"/>
      <c r="O503" s="43"/>
      <c r="P503" s="41"/>
      <c r="Q503" s="41"/>
      <c r="R503" s="41"/>
      <c r="S503" s="44"/>
      <c r="T503" s="45"/>
      <c r="U503" s="45"/>
      <c r="V503" s="45"/>
      <c r="W503" s="45"/>
      <c r="X503" s="46"/>
      <c r="Y503" s="46"/>
      <c r="Z503" s="46"/>
      <c r="AA503" s="46"/>
      <c r="AB503" s="46"/>
      <c r="AC503" s="46"/>
      <c r="AD503" s="46"/>
      <c r="AE503" s="46"/>
      <c r="AF503" s="46"/>
      <c r="AG503" s="46"/>
    </row>
    <row r="504" spans="1:33" ht="13.5" customHeight="1">
      <c r="A504" s="46"/>
      <c r="B504" s="46"/>
      <c r="C504" s="41"/>
      <c r="D504" s="42"/>
      <c r="E504" s="42"/>
      <c r="F504" s="42"/>
      <c r="G504" s="43"/>
      <c r="H504" s="43"/>
      <c r="I504" s="43"/>
      <c r="J504" s="43"/>
      <c r="K504" s="43"/>
      <c r="L504" s="43"/>
      <c r="M504" s="43"/>
      <c r="N504" s="43"/>
      <c r="O504" s="43"/>
      <c r="P504" s="41"/>
      <c r="Q504" s="41"/>
      <c r="R504" s="41"/>
      <c r="S504" s="44"/>
      <c r="T504" s="45"/>
      <c r="U504" s="45"/>
      <c r="V504" s="45"/>
      <c r="W504" s="45"/>
      <c r="X504" s="46"/>
      <c r="Y504" s="46"/>
      <c r="Z504" s="46"/>
      <c r="AA504" s="46"/>
      <c r="AB504" s="46"/>
      <c r="AC504" s="46"/>
      <c r="AD504" s="46"/>
      <c r="AE504" s="46"/>
      <c r="AF504" s="46"/>
      <c r="AG504" s="46"/>
    </row>
    <row r="505" spans="1:33" ht="13.5" customHeight="1">
      <c r="A505" s="46"/>
      <c r="B505" s="46"/>
      <c r="C505" s="41"/>
      <c r="D505" s="42"/>
      <c r="E505" s="42"/>
      <c r="F505" s="42"/>
      <c r="G505" s="43"/>
      <c r="H505" s="43"/>
      <c r="I505" s="43"/>
      <c r="J505" s="43"/>
      <c r="K505" s="43"/>
      <c r="L505" s="43"/>
      <c r="M505" s="43"/>
      <c r="N505" s="43"/>
      <c r="O505" s="43"/>
      <c r="P505" s="41"/>
      <c r="Q505" s="41"/>
      <c r="R505" s="41"/>
      <c r="S505" s="44"/>
      <c r="T505" s="45"/>
      <c r="U505" s="45"/>
      <c r="V505" s="45"/>
      <c r="W505" s="45"/>
      <c r="X505" s="46"/>
      <c r="Y505" s="46"/>
      <c r="Z505" s="46"/>
      <c r="AA505" s="46"/>
      <c r="AB505" s="46"/>
      <c r="AC505" s="46"/>
      <c r="AD505" s="46"/>
      <c r="AE505" s="46"/>
      <c r="AF505" s="46"/>
      <c r="AG505" s="46"/>
    </row>
    <row r="506" spans="1:33" ht="13.5" customHeight="1">
      <c r="A506" s="46"/>
      <c r="B506" s="46"/>
      <c r="C506" s="41"/>
      <c r="D506" s="42"/>
      <c r="E506" s="42"/>
      <c r="F506" s="42"/>
      <c r="G506" s="43"/>
      <c r="H506" s="43"/>
      <c r="I506" s="43"/>
      <c r="J506" s="43"/>
      <c r="K506" s="43"/>
      <c r="L506" s="43"/>
      <c r="M506" s="43"/>
      <c r="N506" s="43"/>
      <c r="O506" s="43"/>
      <c r="P506" s="41"/>
      <c r="Q506" s="41"/>
      <c r="R506" s="41"/>
      <c r="S506" s="44"/>
      <c r="T506" s="45"/>
      <c r="U506" s="45"/>
      <c r="V506" s="45"/>
      <c r="W506" s="45"/>
      <c r="X506" s="46"/>
      <c r="Y506" s="46"/>
      <c r="Z506" s="46"/>
      <c r="AA506" s="46"/>
      <c r="AB506" s="46"/>
      <c r="AC506" s="46"/>
      <c r="AD506" s="46"/>
      <c r="AE506" s="46"/>
      <c r="AF506" s="46"/>
      <c r="AG506" s="46"/>
    </row>
    <row r="507" spans="1:33" ht="13.5" customHeight="1">
      <c r="A507" s="46"/>
      <c r="B507" s="46"/>
      <c r="C507" s="41"/>
      <c r="D507" s="42"/>
      <c r="E507" s="42"/>
      <c r="F507" s="42"/>
      <c r="G507" s="43"/>
      <c r="H507" s="43"/>
      <c r="I507" s="43"/>
      <c r="J507" s="43"/>
      <c r="K507" s="43"/>
      <c r="L507" s="43"/>
      <c r="M507" s="43"/>
      <c r="N507" s="43"/>
      <c r="O507" s="43"/>
      <c r="P507" s="41"/>
      <c r="Q507" s="41"/>
      <c r="R507" s="41"/>
      <c r="S507" s="44"/>
      <c r="T507" s="45"/>
      <c r="U507" s="45"/>
      <c r="V507" s="45"/>
      <c r="W507" s="45"/>
      <c r="X507" s="46"/>
      <c r="Y507" s="46"/>
      <c r="Z507" s="46"/>
      <c r="AA507" s="46"/>
      <c r="AB507" s="46"/>
      <c r="AC507" s="46"/>
      <c r="AD507" s="46"/>
      <c r="AE507" s="46"/>
      <c r="AF507" s="46"/>
      <c r="AG507" s="46"/>
    </row>
    <row r="508" spans="1:33" ht="13.5" customHeight="1">
      <c r="A508" s="46"/>
      <c r="B508" s="46"/>
      <c r="C508" s="41"/>
      <c r="D508" s="42"/>
      <c r="E508" s="42"/>
      <c r="F508" s="42"/>
      <c r="G508" s="43"/>
      <c r="H508" s="43"/>
      <c r="I508" s="43"/>
      <c r="J508" s="43"/>
      <c r="K508" s="43"/>
      <c r="L508" s="43"/>
      <c r="M508" s="43"/>
      <c r="N508" s="43"/>
      <c r="O508" s="43"/>
      <c r="P508" s="41"/>
      <c r="Q508" s="41"/>
      <c r="R508" s="41"/>
      <c r="S508" s="44"/>
      <c r="T508" s="45"/>
      <c r="U508" s="45"/>
      <c r="V508" s="45"/>
      <c r="W508" s="45"/>
      <c r="X508" s="46"/>
      <c r="Y508" s="46"/>
      <c r="Z508" s="46"/>
      <c r="AA508" s="46"/>
      <c r="AB508" s="46"/>
      <c r="AC508" s="46"/>
      <c r="AD508" s="46"/>
      <c r="AE508" s="46"/>
      <c r="AF508" s="46"/>
      <c r="AG508" s="46"/>
    </row>
    <row r="509" spans="1:33" ht="13.5" customHeight="1">
      <c r="A509" s="46"/>
      <c r="B509" s="46"/>
      <c r="C509" s="41"/>
      <c r="D509" s="42"/>
      <c r="E509" s="42"/>
      <c r="F509" s="42"/>
      <c r="G509" s="43"/>
      <c r="H509" s="43"/>
      <c r="I509" s="43"/>
      <c r="J509" s="43"/>
      <c r="K509" s="43"/>
      <c r="L509" s="43"/>
      <c r="M509" s="43"/>
      <c r="N509" s="43"/>
      <c r="O509" s="43"/>
      <c r="P509" s="41"/>
      <c r="Q509" s="41"/>
      <c r="R509" s="41"/>
      <c r="S509" s="44"/>
      <c r="T509" s="45"/>
      <c r="U509" s="45"/>
      <c r="V509" s="45"/>
      <c r="W509" s="45"/>
      <c r="X509" s="46"/>
      <c r="Y509" s="46"/>
      <c r="Z509" s="46"/>
      <c r="AA509" s="46"/>
      <c r="AB509" s="46"/>
      <c r="AC509" s="46"/>
      <c r="AD509" s="46"/>
      <c r="AE509" s="46"/>
      <c r="AF509" s="46"/>
      <c r="AG509" s="46"/>
    </row>
    <row r="510" spans="1:33" ht="13.5" customHeight="1">
      <c r="A510" s="46"/>
      <c r="B510" s="46"/>
      <c r="C510" s="41"/>
      <c r="D510" s="42"/>
      <c r="E510" s="42"/>
      <c r="F510" s="42"/>
      <c r="G510" s="43"/>
      <c r="H510" s="43"/>
      <c r="I510" s="43"/>
      <c r="J510" s="43"/>
      <c r="K510" s="43"/>
      <c r="L510" s="43"/>
      <c r="M510" s="43"/>
      <c r="N510" s="43"/>
      <c r="O510" s="43"/>
      <c r="P510" s="41"/>
      <c r="Q510" s="41"/>
      <c r="R510" s="41"/>
      <c r="S510" s="44"/>
      <c r="T510" s="45"/>
      <c r="U510" s="45"/>
      <c r="V510" s="45"/>
      <c r="W510" s="45"/>
      <c r="X510" s="46"/>
      <c r="Y510" s="46"/>
      <c r="Z510" s="46"/>
      <c r="AA510" s="46"/>
      <c r="AB510" s="46"/>
      <c r="AC510" s="46"/>
      <c r="AD510" s="46"/>
      <c r="AE510" s="46"/>
      <c r="AF510" s="46"/>
      <c r="AG510" s="46"/>
    </row>
    <row r="511" spans="1:33" ht="13.5" customHeight="1">
      <c r="A511" s="46"/>
      <c r="B511" s="46"/>
      <c r="C511" s="41"/>
      <c r="D511" s="42"/>
      <c r="E511" s="42"/>
      <c r="F511" s="42"/>
      <c r="G511" s="43"/>
      <c r="H511" s="43"/>
      <c r="I511" s="43"/>
      <c r="J511" s="43"/>
      <c r="K511" s="43"/>
      <c r="L511" s="43"/>
      <c r="M511" s="43"/>
      <c r="N511" s="43"/>
      <c r="O511" s="43"/>
      <c r="P511" s="41"/>
      <c r="Q511" s="41"/>
      <c r="R511" s="41"/>
      <c r="S511" s="44"/>
      <c r="T511" s="45"/>
      <c r="U511" s="45"/>
      <c r="V511" s="45"/>
      <c r="W511" s="45"/>
      <c r="X511" s="46"/>
      <c r="Y511" s="46"/>
      <c r="Z511" s="46"/>
      <c r="AA511" s="46"/>
      <c r="AB511" s="46"/>
      <c r="AC511" s="46"/>
      <c r="AD511" s="46"/>
      <c r="AE511" s="46"/>
      <c r="AF511" s="46"/>
      <c r="AG511" s="46"/>
    </row>
    <row r="512" spans="1:33" ht="13.5" customHeight="1">
      <c r="A512" s="46"/>
      <c r="B512" s="46"/>
      <c r="C512" s="41"/>
      <c r="D512" s="42"/>
      <c r="E512" s="42"/>
      <c r="F512" s="42"/>
      <c r="G512" s="43"/>
      <c r="H512" s="43"/>
      <c r="I512" s="43"/>
      <c r="J512" s="43"/>
      <c r="K512" s="43"/>
      <c r="L512" s="43"/>
      <c r="M512" s="43"/>
      <c r="N512" s="43"/>
      <c r="O512" s="43"/>
      <c r="P512" s="41"/>
      <c r="Q512" s="41"/>
      <c r="R512" s="41"/>
      <c r="S512" s="44"/>
      <c r="T512" s="45"/>
      <c r="U512" s="45"/>
      <c r="V512" s="45"/>
      <c r="W512" s="45"/>
      <c r="X512" s="46"/>
      <c r="Y512" s="46"/>
      <c r="Z512" s="46"/>
      <c r="AA512" s="46"/>
      <c r="AB512" s="46"/>
      <c r="AC512" s="46"/>
      <c r="AD512" s="46"/>
      <c r="AE512" s="46"/>
      <c r="AF512" s="46"/>
      <c r="AG512" s="46"/>
    </row>
    <row r="513" spans="1:33" ht="13.5" customHeight="1">
      <c r="A513" s="46"/>
      <c r="B513" s="46"/>
      <c r="C513" s="41"/>
      <c r="D513" s="42"/>
      <c r="E513" s="42"/>
      <c r="F513" s="42"/>
      <c r="G513" s="43"/>
      <c r="H513" s="43"/>
      <c r="I513" s="43"/>
      <c r="J513" s="43"/>
      <c r="K513" s="43"/>
      <c r="L513" s="43"/>
      <c r="M513" s="43"/>
      <c r="N513" s="43"/>
      <c r="O513" s="43"/>
      <c r="P513" s="41"/>
      <c r="Q513" s="41"/>
      <c r="R513" s="41"/>
      <c r="S513" s="44"/>
      <c r="T513" s="45"/>
      <c r="U513" s="45"/>
      <c r="V513" s="45"/>
      <c r="W513" s="45"/>
      <c r="X513" s="46"/>
      <c r="Y513" s="46"/>
      <c r="Z513" s="46"/>
      <c r="AA513" s="46"/>
      <c r="AB513" s="46"/>
      <c r="AC513" s="46"/>
      <c r="AD513" s="46"/>
      <c r="AE513" s="46"/>
      <c r="AF513" s="46"/>
      <c r="AG513" s="46"/>
    </row>
    <row r="514" spans="1:33" ht="13.5" customHeight="1">
      <c r="A514" s="46"/>
      <c r="B514" s="46"/>
      <c r="C514" s="41"/>
      <c r="D514" s="42"/>
      <c r="E514" s="42"/>
      <c r="F514" s="42"/>
      <c r="G514" s="43"/>
      <c r="H514" s="43"/>
      <c r="I514" s="43"/>
      <c r="J514" s="43"/>
      <c r="K514" s="43"/>
      <c r="L514" s="43"/>
      <c r="M514" s="43"/>
      <c r="N514" s="43"/>
      <c r="O514" s="43"/>
      <c r="P514" s="41"/>
      <c r="Q514" s="41"/>
      <c r="R514" s="41"/>
      <c r="S514" s="44"/>
      <c r="T514" s="45"/>
      <c r="U514" s="45"/>
      <c r="V514" s="45"/>
      <c r="W514" s="45"/>
      <c r="X514" s="46"/>
      <c r="Y514" s="46"/>
      <c r="Z514" s="46"/>
      <c r="AA514" s="46"/>
      <c r="AB514" s="46"/>
      <c r="AC514" s="46"/>
      <c r="AD514" s="46"/>
      <c r="AE514" s="46"/>
      <c r="AF514" s="46"/>
      <c r="AG514" s="46"/>
    </row>
    <row r="515" spans="1:33" ht="13.5" customHeight="1">
      <c r="A515" s="46"/>
      <c r="B515" s="46"/>
      <c r="C515" s="41"/>
      <c r="D515" s="42"/>
      <c r="E515" s="42"/>
      <c r="F515" s="42"/>
      <c r="G515" s="43"/>
      <c r="H515" s="43"/>
      <c r="I515" s="43"/>
      <c r="J515" s="43"/>
      <c r="K515" s="43"/>
      <c r="L515" s="43"/>
      <c r="M515" s="43"/>
      <c r="N515" s="43"/>
      <c r="O515" s="43"/>
      <c r="P515" s="41"/>
      <c r="Q515" s="41"/>
      <c r="R515" s="41"/>
      <c r="S515" s="44"/>
      <c r="T515" s="45"/>
      <c r="U515" s="45"/>
      <c r="V515" s="45"/>
      <c r="W515" s="45"/>
      <c r="X515" s="46"/>
      <c r="Y515" s="46"/>
      <c r="Z515" s="46"/>
      <c r="AA515" s="46"/>
      <c r="AB515" s="46"/>
      <c r="AC515" s="46"/>
      <c r="AD515" s="46"/>
      <c r="AE515" s="46"/>
      <c r="AF515" s="46"/>
      <c r="AG515" s="46"/>
    </row>
    <row r="516" spans="1:33" ht="13.5" customHeight="1">
      <c r="A516" s="46"/>
      <c r="B516" s="46"/>
      <c r="C516" s="41"/>
      <c r="D516" s="42"/>
      <c r="E516" s="42"/>
      <c r="F516" s="42"/>
      <c r="G516" s="43"/>
      <c r="H516" s="43"/>
      <c r="I516" s="43"/>
      <c r="J516" s="43"/>
      <c r="K516" s="43"/>
      <c r="L516" s="43"/>
      <c r="M516" s="43"/>
      <c r="N516" s="43"/>
      <c r="O516" s="43"/>
      <c r="P516" s="41"/>
      <c r="Q516" s="41"/>
      <c r="R516" s="41"/>
      <c r="S516" s="44"/>
      <c r="T516" s="45"/>
      <c r="U516" s="45"/>
      <c r="V516" s="45"/>
      <c r="W516" s="45"/>
      <c r="X516" s="46"/>
      <c r="Y516" s="46"/>
      <c r="Z516" s="46"/>
      <c r="AA516" s="46"/>
      <c r="AB516" s="46"/>
      <c r="AC516" s="46"/>
      <c r="AD516" s="46"/>
      <c r="AE516" s="46"/>
      <c r="AF516" s="46"/>
      <c r="AG516" s="46"/>
    </row>
    <row r="517" spans="1:33" ht="13.5" customHeight="1">
      <c r="A517" s="46"/>
      <c r="B517" s="46"/>
      <c r="C517" s="41"/>
      <c r="D517" s="42"/>
      <c r="E517" s="42"/>
      <c r="F517" s="42"/>
      <c r="G517" s="43"/>
      <c r="H517" s="43"/>
      <c r="I517" s="43"/>
      <c r="J517" s="43"/>
      <c r="K517" s="43"/>
      <c r="L517" s="43"/>
      <c r="M517" s="43"/>
      <c r="N517" s="43"/>
      <c r="O517" s="43"/>
      <c r="P517" s="41"/>
      <c r="Q517" s="41"/>
      <c r="R517" s="41"/>
      <c r="S517" s="44"/>
      <c r="T517" s="45"/>
      <c r="U517" s="45"/>
      <c r="V517" s="45"/>
      <c r="W517" s="45"/>
      <c r="X517" s="46"/>
      <c r="Y517" s="46"/>
      <c r="Z517" s="46"/>
      <c r="AA517" s="46"/>
      <c r="AB517" s="46"/>
      <c r="AC517" s="46"/>
      <c r="AD517" s="46"/>
      <c r="AE517" s="46"/>
      <c r="AF517" s="46"/>
      <c r="AG517" s="46"/>
    </row>
    <row r="518" spans="1:33" ht="13.5" customHeight="1">
      <c r="A518" s="46"/>
      <c r="B518" s="46"/>
      <c r="C518" s="41"/>
      <c r="D518" s="42"/>
      <c r="E518" s="42"/>
      <c r="F518" s="42"/>
      <c r="G518" s="43"/>
      <c r="H518" s="43"/>
      <c r="I518" s="43"/>
      <c r="J518" s="43"/>
      <c r="K518" s="43"/>
      <c r="L518" s="43"/>
      <c r="M518" s="43"/>
      <c r="N518" s="43"/>
      <c r="O518" s="43"/>
      <c r="P518" s="41"/>
      <c r="Q518" s="41"/>
      <c r="R518" s="41"/>
      <c r="S518" s="44"/>
      <c r="T518" s="45"/>
      <c r="U518" s="45"/>
      <c r="V518" s="45"/>
      <c r="W518" s="45"/>
      <c r="X518" s="46"/>
      <c r="Y518" s="46"/>
      <c r="Z518" s="46"/>
      <c r="AA518" s="46"/>
      <c r="AB518" s="46"/>
      <c r="AC518" s="46"/>
      <c r="AD518" s="46"/>
      <c r="AE518" s="46"/>
      <c r="AF518" s="46"/>
      <c r="AG518" s="46"/>
    </row>
    <row r="519" spans="1:33" ht="13.5" customHeight="1">
      <c r="A519" s="46"/>
      <c r="B519" s="46"/>
      <c r="C519" s="41"/>
      <c r="D519" s="42"/>
      <c r="E519" s="42"/>
      <c r="F519" s="42"/>
      <c r="G519" s="43"/>
      <c r="H519" s="43"/>
      <c r="I519" s="43"/>
      <c r="J519" s="43"/>
      <c r="K519" s="43"/>
      <c r="L519" s="43"/>
      <c r="M519" s="43"/>
      <c r="N519" s="43"/>
      <c r="O519" s="43"/>
      <c r="P519" s="41"/>
      <c r="Q519" s="41"/>
      <c r="R519" s="41"/>
      <c r="S519" s="44"/>
      <c r="T519" s="45"/>
      <c r="U519" s="45"/>
      <c r="V519" s="45"/>
      <c r="W519" s="45"/>
      <c r="X519" s="46"/>
      <c r="Y519" s="46"/>
      <c r="Z519" s="46"/>
      <c r="AA519" s="46"/>
      <c r="AB519" s="46"/>
      <c r="AC519" s="46"/>
      <c r="AD519" s="46"/>
      <c r="AE519" s="46"/>
      <c r="AF519" s="46"/>
      <c r="AG519" s="46"/>
    </row>
    <row r="520" spans="1:33" ht="13.5" customHeight="1">
      <c r="A520" s="46"/>
      <c r="B520" s="46"/>
      <c r="C520" s="41"/>
      <c r="D520" s="42"/>
      <c r="E520" s="42"/>
      <c r="F520" s="42"/>
      <c r="G520" s="43"/>
      <c r="H520" s="43"/>
      <c r="I520" s="43"/>
      <c r="J520" s="43"/>
      <c r="K520" s="43"/>
      <c r="L520" s="43"/>
      <c r="M520" s="43"/>
      <c r="N520" s="43"/>
      <c r="O520" s="43"/>
      <c r="P520" s="41"/>
      <c r="Q520" s="41"/>
      <c r="R520" s="41"/>
      <c r="S520" s="44"/>
      <c r="T520" s="45"/>
      <c r="U520" s="45"/>
      <c r="V520" s="45"/>
      <c r="W520" s="45"/>
      <c r="X520" s="46"/>
      <c r="Y520" s="46"/>
      <c r="Z520" s="46"/>
      <c r="AA520" s="46"/>
      <c r="AB520" s="46"/>
      <c r="AC520" s="46"/>
      <c r="AD520" s="46"/>
      <c r="AE520" s="46"/>
      <c r="AF520" s="46"/>
      <c r="AG520" s="46"/>
    </row>
    <row r="521" spans="1:33" ht="13.5" customHeight="1">
      <c r="A521" s="46"/>
      <c r="B521" s="46"/>
      <c r="C521" s="41"/>
      <c r="D521" s="42"/>
      <c r="E521" s="42"/>
      <c r="F521" s="42"/>
      <c r="G521" s="43"/>
      <c r="H521" s="43"/>
      <c r="I521" s="43"/>
      <c r="J521" s="43"/>
      <c r="K521" s="43"/>
      <c r="L521" s="43"/>
      <c r="M521" s="43"/>
      <c r="N521" s="43"/>
      <c r="O521" s="43"/>
      <c r="P521" s="41"/>
      <c r="Q521" s="41"/>
      <c r="R521" s="41"/>
      <c r="S521" s="44"/>
      <c r="T521" s="45"/>
      <c r="U521" s="45"/>
      <c r="V521" s="45"/>
      <c r="W521" s="45"/>
      <c r="X521" s="46"/>
      <c r="Y521" s="46"/>
      <c r="Z521" s="46"/>
      <c r="AA521" s="46"/>
      <c r="AB521" s="46"/>
      <c r="AC521" s="46"/>
      <c r="AD521" s="46"/>
      <c r="AE521" s="46"/>
      <c r="AF521" s="46"/>
      <c r="AG521" s="46"/>
    </row>
    <row r="522" spans="1:33" ht="13.5" customHeight="1">
      <c r="A522" s="46"/>
      <c r="B522" s="46"/>
      <c r="C522" s="41"/>
      <c r="D522" s="42"/>
      <c r="E522" s="42"/>
      <c r="F522" s="42"/>
      <c r="G522" s="43"/>
      <c r="H522" s="43"/>
      <c r="I522" s="43"/>
      <c r="J522" s="43"/>
      <c r="K522" s="43"/>
      <c r="L522" s="43"/>
      <c r="M522" s="43"/>
      <c r="N522" s="43"/>
      <c r="O522" s="43"/>
      <c r="P522" s="41"/>
      <c r="Q522" s="41"/>
      <c r="R522" s="41"/>
      <c r="S522" s="44"/>
      <c r="T522" s="45"/>
      <c r="U522" s="45"/>
      <c r="V522" s="45"/>
      <c r="W522" s="45"/>
      <c r="X522" s="46"/>
      <c r="Y522" s="46"/>
      <c r="Z522" s="46"/>
      <c r="AA522" s="46"/>
      <c r="AB522" s="46"/>
      <c r="AC522" s="46"/>
      <c r="AD522" s="46"/>
      <c r="AE522" s="46"/>
      <c r="AF522" s="46"/>
      <c r="AG522" s="46"/>
    </row>
    <row r="523" spans="1:33" ht="13.5" customHeight="1">
      <c r="A523" s="46"/>
      <c r="B523" s="46"/>
      <c r="C523" s="41"/>
      <c r="D523" s="42"/>
      <c r="E523" s="42"/>
      <c r="F523" s="42"/>
      <c r="G523" s="43"/>
      <c r="H523" s="43"/>
      <c r="I523" s="43"/>
      <c r="J523" s="43"/>
      <c r="K523" s="43"/>
      <c r="L523" s="43"/>
      <c r="M523" s="43"/>
      <c r="N523" s="43"/>
      <c r="O523" s="43"/>
      <c r="P523" s="41"/>
      <c r="Q523" s="41"/>
      <c r="R523" s="41"/>
      <c r="S523" s="44"/>
      <c r="T523" s="45"/>
      <c r="U523" s="45"/>
      <c r="V523" s="45"/>
      <c r="W523" s="45"/>
      <c r="X523" s="46"/>
      <c r="Y523" s="46"/>
      <c r="Z523" s="46"/>
      <c r="AA523" s="46"/>
      <c r="AB523" s="46"/>
      <c r="AC523" s="46"/>
      <c r="AD523" s="46"/>
      <c r="AE523" s="46"/>
      <c r="AF523" s="46"/>
      <c r="AG523" s="46"/>
    </row>
    <row r="524" spans="1:33" ht="13.5" customHeight="1">
      <c r="A524" s="46"/>
      <c r="B524" s="46"/>
      <c r="C524" s="41"/>
      <c r="D524" s="42"/>
      <c r="E524" s="42"/>
      <c r="F524" s="42"/>
      <c r="G524" s="43"/>
      <c r="H524" s="43"/>
      <c r="I524" s="43"/>
      <c r="J524" s="43"/>
      <c r="K524" s="43"/>
      <c r="L524" s="43"/>
      <c r="M524" s="43"/>
      <c r="N524" s="43"/>
      <c r="O524" s="43"/>
      <c r="P524" s="41"/>
      <c r="Q524" s="41"/>
      <c r="R524" s="41"/>
      <c r="S524" s="44"/>
      <c r="T524" s="45"/>
      <c r="U524" s="45"/>
      <c r="V524" s="45"/>
      <c r="W524" s="45"/>
      <c r="X524" s="46"/>
      <c r="Y524" s="46"/>
      <c r="Z524" s="46"/>
      <c r="AA524" s="46"/>
      <c r="AB524" s="46"/>
      <c r="AC524" s="46"/>
      <c r="AD524" s="46"/>
      <c r="AE524" s="46"/>
      <c r="AF524" s="46"/>
      <c r="AG524" s="46"/>
    </row>
    <row r="525" spans="1:33" ht="13.5" customHeight="1">
      <c r="A525" s="46"/>
      <c r="B525" s="46"/>
      <c r="C525" s="41"/>
      <c r="D525" s="42"/>
      <c r="E525" s="42"/>
      <c r="F525" s="42"/>
      <c r="G525" s="43"/>
      <c r="H525" s="43"/>
      <c r="I525" s="43"/>
      <c r="J525" s="43"/>
      <c r="K525" s="43"/>
      <c r="L525" s="43"/>
      <c r="M525" s="43"/>
      <c r="N525" s="43"/>
      <c r="O525" s="43"/>
      <c r="P525" s="41"/>
      <c r="Q525" s="41"/>
      <c r="R525" s="41"/>
      <c r="S525" s="44"/>
      <c r="T525" s="45"/>
      <c r="U525" s="45"/>
      <c r="V525" s="45"/>
      <c r="W525" s="45"/>
      <c r="X525" s="46"/>
      <c r="Y525" s="46"/>
      <c r="Z525" s="46"/>
      <c r="AA525" s="46"/>
      <c r="AB525" s="46"/>
      <c r="AC525" s="46"/>
      <c r="AD525" s="46"/>
      <c r="AE525" s="46"/>
      <c r="AF525" s="46"/>
      <c r="AG525" s="46"/>
    </row>
    <row r="526" spans="1:33" ht="13.5" customHeight="1">
      <c r="A526" s="46"/>
      <c r="B526" s="46"/>
      <c r="C526" s="41"/>
      <c r="D526" s="42"/>
      <c r="E526" s="42"/>
      <c r="F526" s="42"/>
      <c r="G526" s="43"/>
      <c r="H526" s="43"/>
      <c r="I526" s="43"/>
      <c r="J526" s="43"/>
      <c r="K526" s="43"/>
      <c r="L526" s="43"/>
      <c r="M526" s="43"/>
      <c r="N526" s="43"/>
      <c r="O526" s="43"/>
      <c r="P526" s="41"/>
      <c r="Q526" s="41"/>
      <c r="R526" s="41"/>
      <c r="S526" s="44"/>
      <c r="T526" s="45"/>
      <c r="U526" s="45"/>
      <c r="V526" s="45"/>
      <c r="W526" s="45"/>
      <c r="X526" s="46"/>
      <c r="Y526" s="46"/>
      <c r="Z526" s="46"/>
      <c r="AA526" s="46"/>
      <c r="AB526" s="46"/>
      <c r="AC526" s="46"/>
      <c r="AD526" s="46"/>
      <c r="AE526" s="46"/>
      <c r="AF526" s="46"/>
      <c r="AG526" s="46"/>
    </row>
    <row r="527" spans="1:33" ht="13.5" customHeight="1">
      <c r="A527" s="46"/>
      <c r="B527" s="46"/>
      <c r="C527" s="41"/>
      <c r="D527" s="42"/>
      <c r="E527" s="42"/>
      <c r="F527" s="42"/>
      <c r="G527" s="43"/>
      <c r="H527" s="43"/>
      <c r="I527" s="43"/>
      <c r="J527" s="43"/>
      <c r="K527" s="43"/>
      <c r="L527" s="43"/>
      <c r="M527" s="43"/>
      <c r="N527" s="43"/>
      <c r="O527" s="43"/>
      <c r="P527" s="41"/>
      <c r="Q527" s="41"/>
      <c r="R527" s="41"/>
      <c r="S527" s="44"/>
      <c r="T527" s="45"/>
      <c r="U527" s="45"/>
      <c r="V527" s="45"/>
      <c r="W527" s="45"/>
      <c r="X527" s="46"/>
      <c r="Y527" s="46"/>
      <c r="Z527" s="46"/>
      <c r="AA527" s="46"/>
      <c r="AB527" s="46"/>
      <c r="AC527" s="46"/>
      <c r="AD527" s="46"/>
      <c r="AE527" s="46"/>
      <c r="AF527" s="46"/>
      <c r="AG527" s="46"/>
    </row>
    <row r="528" spans="1:33" ht="13.5" customHeight="1">
      <c r="A528" s="46"/>
      <c r="B528" s="46"/>
      <c r="C528" s="41"/>
      <c r="D528" s="42"/>
      <c r="E528" s="42"/>
      <c r="F528" s="42"/>
      <c r="G528" s="43"/>
      <c r="H528" s="43"/>
      <c r="I528" s="43"/>
      <c r="J528" s="43"/>
      <c r="K528" s="43"/>
      <c r="L528" s="43"/>
      <c r="M528" s="43"/>
      <c r="N528" s="43"/>
      <c r="O528" s="43"/>
      <c r="P528" s="41"/>
      <c r="Q528" s="41"/>
      <c r="R528" s="41"/>
      <c r="S528" s="44"/>
      <c r="T528" s="45"/>
      <c r="U528" s="45"/>
      <c r="V528" s="45"/>
      <c r="W528" s="45"/>
      <c r="X528" s="46"/>
      <c r="Y528" s="46"/>
      <c r="Z528" s="46"/>
      <c r="AA528" s="46"/>
      <c r="AB528" s="46"/>
      <c r="AC528" s="46"/>
      <c r="AD528" s="46"/>
      <c r="AE528" s="46"/>
      <c r="AF528" s="46"/>
      <c r="AG528" s="46"/>
    </row>
    <row r="529" spans="1:33" ht="13.5" customHeight="1">
      <c r="A529" s="46"/>
      <c r="B529" s="46"/>
      <c r="C529" s="41"/>
      <c r="D529" s="42"/>
      <c r="E529" s="42"/>
      <c r="F529" s="42"/>
      <c r="G529" s="43"/>
      <c r="H529" s="43"/>
      <c r="I529" s="43"/>
      <c r="J529" s="43"/>
      <c r="K529" s="43"/>
      <c r="L529" s="43"/>
      <c r="M529" s="43"/>
      <c r="N529" s="43"/>
      <c r="O529" s="43"/>
      <c r="P529" s="41"/>
      <c r="Q529" s="41"/>
      <c r="R529" s="41"/>
      <c r="S529" s="44"/>
      <c r="T529" s="45"/>
      <c r="U529" s="45"/>
      <c r="V529" s="45"/>
      <c r="W529" s="45"/>
      <c r="X529" s="46"/>
      <c r="Y529" s="46"/>
      <c r="Z529" s="46"/>
      <c r="AA529" s="46"/>
      <c r="AB529" s="46"/>
      <c r="AC529" s="46"/>
      <c r="AD529" s="46"/>
      <c r="AE529" s="46"/>
      <c r="AF529" s="46"/>
      <c r="AG529" s="46"/>
    </row>
    <row r="530" spans="1:33" ht="13.5" customHeight="1">
      <c r="A530" s="46"/>
      <c r="B530" s="46"/>
      <c r="C530" s="41"/>
      <c r="D530" s="42"/>
      <c r="E530" s="42"/>
      <c r="F530" s="42"/>
      <c r="G530" s="43"/>
      <c r="H530" s="43"/>
      <c r="I530" s="43"/>
      <c r="J530" s="43"/>
      <c r="K530" s="43"/>
      <c r="L530" s="43"/>
      <c r="M530" s="43"/>
      <c r="N530" s="43"/>
      <c r="O530" s="43"/>
      <c r="P530" s="41"/>
      <c r="Q530" s="41"/>
      <c r="R530" s="41"/>
      <c r="S530" s="44"/>
      <c r="T530" s="45"/>
      <c r="U530" s="45"/>
      <c r="V530" s="45"/>
      <c r="W530" s="45"/>
      <c r="X530" s="46"/>
      <c r="Y530" s="46"/>
      <c r="Z530" s="46"/>
      <c r="AA530" s="46"/>
      <c r="AB530" s="46"/>
      <c r="AC530" s="46"/>
      <c r="AD530" s="46"/>
      <c r="AE530" s="46"/>
      <c r="AF530" s="46"/>
      <c r="AG530" s="46"/>
    </row>
    <row r="531" spans="1:33" ht="13.5" customHeight="1">
      <c r="A531" s="46"/>
      <c r="B531" s="46"/>
      <c r="C531" s="41"/>
      <c r="D531" s="42"/>
      <c r="E531" s="42"/>
      <c r="F531" s="42"/>
      <c r="G531" s="43"/>
      <c r="H531" s="43"/>
      <c r="I531" s="43"/>
      <c r="J531" s="43"/>
      <c r="K531" s="43"/>
      <c r="L531" s="43"/>
      <c r="M531" s="43"/>
      <c r="N531" s="43"/>
      <c r="O531" s="43"/>
      <c r="P531" s="41"/>
      <c r="Q531" s="41"/>
      <c r="R531" s="41"/>
      <c r="S531" s="44"/>
      <c r="T531" s="45"/>
      <c r="U531" s="45"/>
      <c r="V531" s="45"/>
      <c r="W531" s="45"/>
      <c r="X531" s="46"/>
      <c r="Y531" s="46"/>
      <c r="Z531" s="46"/>
      <c r="AA531" s="46"/>
      <c r="AB531" s="46"/>
      <c r="AC531" s="46"/>
      <c r="AD531" s="46"/>
      <c r="AE531" s="46"/>
      <c r="AF531" s="46"/>
      <c r="AG531" s="46"/>
    </row>
    <row r="532" spans="1:33" ht="13.5" customHeight="1">
      <c r="A532" s="46"/>
      <c r="B532" s="46"/>
      <c r="C532" s="41"/>
      <c r="D532" s="42"/>
      <c r="E532" s="42"/>
      <c r="F532" s="42"/>
      <c r="G532" s="43"/>
      <c r="H532" s="43"/>
      <c r="I532" s="43"/>
      <c r="J532" s="43"/>
      <c r="K532" s="43"/>
      <c r="L532" s="43"/>
      <c r="M532" s="43"/>
      <c r="N532" s="43"/>
      <c r="O532" s="43"/>
      <c r="P532" s="41"/>
      <c r="Q532" s="41"/>
      <c r="R532" s="41"/>
      <c r="S532" s="44"/>
      <c r="T532" s="45"/>
      <c r="U532" s="45"/>
      <c r="V532" s="45"/>
      <c r="W532" s="45"/>
      <c r="X532" s="46"/>
      <c r="Y532" s="46"/>
      <c r="Z532" s="46"/>
      <c r="AA532" s="46"/>
      <c r="AB532" s="46"/>
      <c r="AC532" s="46"/>
      <c r="AD532" s="46"/>
      <c r="AE532" s="46"/>
      <c r="AF532" s="46"/>
      <c r="AG532" s="46"/>
    </row>
    <row r="533" spans="1:33" ht="13.5" customHeight="1">
      <c r="A533" s="46"/>
      <c r="B533" s="46"/>
      <c r="C533" s="41"/>
      <c r="D533" s="42"/>
      <c r="E533" s="42"/>
      <c r="F533" s="42"/>
      <c r="G533" s="43"/>
      <c r="H533" s="43"/>
      <c r="I533" s="43"/>
      <c r="J533" s="43"/>
      <c r="K533" s="43"/>
      <c r="L533" s="43"/>
      <c r="M533" s="43"/>
      <c r="N533" s="43"/>
      <c r="O533" s="43"/>
      <c r="P533" s="41"/>
      <c r="Q533" s="41"/>
      <c r="R533" s="41"/>
      <c r="S533" s="44"/>
      <c r="T533" s="45"/>
      <c r="U533" s="45"/>
      <c r="V533" s="45"/>
      <c r="W533" s="45"/>
      <c r="X533" s="46"/>
      <c r="Y533" s="46"/>
      <c r="Z533" s="46"/>
      <c r="AA533" s="46"/>
      <c r="AB533" s="46"/>
      <c r="AC533" s="46"/>
      <c r="AD533" s="46"/>
      <c r="AE533" s="46"/>
      <c r="AF533" s="46"/>
      <c r="AG533" s="46"/>
    </row>
    <row r="534" spans="1:33" ht="13.5" customHeight="1">
      <c r="A534" s="46"/>
      <c r="B534" s="46"/>
      <c r="C534" s="41"/>
      <c r="D534" s="42"/>
      <c r="E534" s="42"/>
      <c r="F534" s="42"/>
      <c r="G534" s="43"/>
      <c r="H534" s="43"/>
      <c r="I534" s="43"/>
      <c r="J534" s="43"/>
      <c r="K534" s="43"/>
      <c r="L534" s="43"/>
      <c r="M534" s="43"/>
      <c r="N534" s="43"/>
      <c r="O534" s="43"/>
      <c r="P534" s="41"/>
      <c r="Q534" s="41"/>
      <c r="R534" s="41"/>
      <c r="S534" s="44"/>
      <c r="T534" s="45"/>
      <c r="U534" s="45"/>
      <c r="V534" s="45"/>
      <c r="W534" s="45"/>
      <c r="X534" s="46"/>
      <c r="Y534" s="46"/>
      <c r="Z534" s="46"/>
      <c r="AA534" s="46"/>
      <c r="AB534" s="46"/>
      <c r="AC534" s="46"/>
      <c r="AD534" s="46"/>
      <c r="AE534" s="46"/>
      <c r="AF534" s="46"/>
      <c r="AG534" s="46"/>
    </row>
    <row r="535" spans="1:33" ht="13.5" customHeight="1">
      <c r="A535" s="46"/>
      <c r="B535" s="46"/>
      <c r="C535" s="41"/>
      <c r="D535" s="42"/>
      <c r="E535" s="42"/>
      <c r="F535" s="42"/>
      <c r="G535" s="43"/>
      <c r="H535" s="43"/>
      <c r="I535" s="43"/>
      <c r="J535" s="43"/>
      <c r="K535" s="43"/>
      <c r="L535" s="43"/>
      <c r="M535" s="43"/>
      <c r="N535" s="43"/>
      <c r="O535" s="43"/>
      <c r="P535" s="41"/>
      <c r="Q535" s="41"/>
      <c r="R535" s="41"/>
      <c r="S535" s="44"/>
      <c r="T535" s="45"/>
      <c r="U535" s="45"/>
      <c r="V535" s="45"/>
      <c r="W535" s="45"/>
      <c r="X535" s="46"/>
      <c r="Y535" s="46"/>
      <c r="Z535" s="46"/>
      <c r="AA535" s="46"/>
      <c r="AB535" s="46"/>
      <c r="AC535" s="46"/>
      <c r="AD535" s="46"/>
      <c r="AE535" s="46"/>
      <c r="AF535" s="46"/>
      <c r="AG535" s="46"/>
    </row>
    <row r="536" spans="1:33" ht="13.5" customHeight="1">
      <c r="A536" s="46"/>
      <c r="B536" s="46"/>
      <c r="C536" s="41"/>
      <c r="D536" s="42"/>
      <c r="E536" s="42"/>
      <c r="F536" s="42"/>
      <c r="G536" s="43"/>
      <c r="H536" s="43"/>
      <c r="I536" s="43"/>
      <c r="J536" s="43"/>
      <c r="K536" s="43"/>
      <c r="L536" s="43"/>
      <c r="M536" s="43"/>
      <c r="N536" s="43"/>
      <c r="O536" s="43"/>
      <c r="P536" s="41"/>
      <c r="Q536" s="41"/>
      <c r="R536" s="41"/>
      <c r="S536" s="44"/>
      <c r="T536" s="45"/>
      <c r="U536" s="45"/>
      <c r="V536" s="45"/>
      <c r="W536" s="45"/>
      <c r="X536" s="46"/>
      <c r="Y536" s="46"/>
      <c r="Z536" s="46"/>
      <c r="AA536" s="46"/>
      <c r="AB536" s="46"/>
      <c r="AC536" s="46"/>
      <c r="AD536" s="46"/>
      <c r="AE536" s="46"/>
      <c r="AF536" s="46"/>
      <c r="AG536" s="46"/>
    </row>
    <row r="537" spans="1:33" ht="13.5" customHeight="1">
      <c r="A537" s="46"/>
      <c r="B537" s="46"/>
      <c r="C537" s="41"/>
      <c r="D537" s="42"/>
      <c r="E537" s="42"/>
      <c r="F537" s="42"/>
      <c r="G537" s="43"/>
      <c r="H537" s="43"/>
      <c r="I537" s="43"/>
      <c r="J537" s="43"/>
      <c r="K537" s="43"/>
      <c r="L537" s="43"/>
      <c r="M537" s="43"/>
      <c r="N537" s="43"/>
      <c r="O537" s="43"/>
      <c r="P537" s="41"/>
      <c r="Q537" s="41"/>
      <c r="R537" s="41"/>
      <c r="S537" s="44"/>
      <c r="T537" s="45"/>
      <c r="U537" s="45"/>
      <c r="V537" s="45"/>
      <c r="W537" s="45"/>
      <c r="X537" s="46"/>
      <c r="Y537" s="46"/>
      <c r="Z537" s="46"/>
      <c r="AA537" s="46"/>
      <c r="AB537" s="46"/>
      <c r="AC537" s="46"/>
      <c r="AD537" s="46"/>
      <c r="AE537" s="46"/>
      <c r="AF537" s="46"/>
      <c r="AG537" s="46"/>
    </row>
    <row r="538" spans="1:33" ht="13.5" customHeight="1">
      <c r="A538" s="46"/>
      <c r="B538" s="46"/>
      <c r="C538" s="41"/>
      <c r="D538" s="42"/>
      <c r="E538" s="42"/>
      <c r="F538" s="42"/>
      <c r="G538" s="43"/>
      <c r="H538" s="43"/>
      <c r="I538" s="43"/>
      <c r="J538" s="43"/>
      <c r="K538" s="43"/>
      <c r="L538" s="43"/>
      <c r="M538" s="43"/>
      <c r="N538" s="43"/>
      <c r="O538" s="43"/>
      <c r="P538" s="41"/>
      <c r="Q538" s="41"/>
      <c r="R538" s="41"/>
      <c r="S538" s="44"/>
      <c r="T538" s="45"/>
      <c r="U538" s="45"/>
      <c r="V538" s="45"/>
      <c r="W538" s="45"/>
      <c r="X538" s="46"/>
      <c r="Y538" s="46"/>
      <c r="Z538" s="46"/>
      <c r="AA538" s="46"/>
      <c r="AB538" s="46"/>
      <c r="AC538" s="46"/>
      <c r="AD538" s="46"/>
      <c r="AE538" s="46"/>
      <c r="AF538" s="46"/>
      <c r="AG538" s="46"/>
    </row>
    <row r="539" spans="1:33" ht="13.5" customHeight="1">
      <c r="A539" s="46"/>
      <c r="B539" s="46"/>
      <c r="C539" s="41"/>
      <c r="D539" s="42"/>
      <c r="E539" s="42"/>
      <c r="F539" s="42"/>
      <c r="G539" s="43"/>
      <c r="H539" s="43"/>
      <c r="I539" s="43"/>
      <c r="J539" s="43"/>
      <c r="K539" s="43"/>
      <c r="L539" s="43"/>
      <c r="M539" s="43"/>
      <c r="N539" s="43"/>
      <c r="O539" s="43"/>
      <c r="P539" s="41"/>
      <c r="Q539" s="41"/>
      <c r="R539" s="41"/>
      <c r="S539" s="44"/>
      <c r="T539" s="45"/>
      <c r="U539" s="45"/>
      <c r="V539" s="45"/>
      <c r="W539" s="45"/>
      <c r="X539" s="46"/>
      <c r="Y539" s="46"/>
      <c r="Z539" s="46"/>
      <c r="AA539" s="46"/>
      <c r="AB539" s="46"/>
      <c r="AC539" s="46"/>
      <c r="AD539" s="46"/>
      <c r="AE539" s="46"/>
      <c r="AF539" s="46"/>
      <c r="AG539" s="46"/>
    </row>
    <row r="540" spans="1:33" ht="13.5" customHeight="1">
      <c r="A540" s="46"/>
      <c r="B540" s="46"/>
      <c r="C540" s="41"/>
      <c r="D540" s="42"/>
      <c r="E540" s="42"/>
      <c r="F540" s="42"/>
      <c r="G540" s="43"/>
      <c r="H540" s="43"/>
      <c r="I540" s="43"/>
      <c r="J540" s="43"/>
      <c r="K540" s="43"/>
      <c r="L540" s="43"/>
      <c r="M540" s="43"/>
      <c r="N540" s="43"/>
      <c r="O540" s="43"/>
      <c r="P540" s="41"/>
      <c r="Q540" s="41"/>
      <c r="R540" s="41"/>
      <c r="S540" s="44"/>
      <c r="T540" s="45"/>
      <c r="U540" s="45"/>
      <c r="V540" s="45"/>
      <c r="W540" s="45"/>
      <c r="X540" s="46"/>
      <c r="Y540" s="46"/>
      <c r="Z540" s="46"/>
      <c r="AA540" s="46"/>
      <c r="AB540" s="46"/>
      <c r="AC540" s="46"/>
      <c r="AD540" s="46"/>
      <c r="AE540" s="46"/>
      <c r="AF540" s="46"/>
      <c r="AG540" s="46"/>
    </row>
    <row r="541" spans="1:33" ht="13.5" customHeight="1">
      <c r="A541" s="46"/>
      <c r="B541" s="46"/>
      <c r="C541" s="41"/>
      <c r="D541" s="42"/>
      <c r="E541" s="42"/>
      <c r="F541" s="42"/>
      <c r="G541" s="43"/>
      <c r="H541" s="43"/>
      <c r="I541" s="43"/>
      <c r="J541" s="43"/>
      <c r="K541" s="43"/>
      <c r="L541" s="43"/>
      <c r="M541" s="43"/>
      <c r="N541" s="43"/>
      <c r="O541" s="43"/>
      <c r="P541" s="41"/>
      <c r="Q541" s="41"/>
      <c r="R541" s="41"/>
      <c r="S541" s="44"/>
      <c r="T541" s="45"/>
      <c r="U541" s="45"/>
      <c r="V541" s="45"/>
      <c r="W541" s="45"/>
      <c r="X541" s="46"/>
      <c r="Y541" s="46"/>
      <c r="Z541" s="46"/>
      <c r="AA541" s="46"/>
      <c r="AB541" s="46"/>
      <c r="AC541" s="46"/>
      <c r="AD541" s="46"/>
      <c r="AE541" s="46"/>
      <c r="AF541" s="46"/>
      <c r="AG541" s="46"/>
    </row>
    <row r="542" spans="1:33" ht="13.5" customHeight="1">
      <c r="A542" s="46"/>
      <c r="B542" s="46"/>
      <c r="C542" s="41"/>
      <c r="D542" s="42"/>
      <c r="E542" s="42"/>
      <c r="F542" s="42"/>
      <c r="G542" s="43"/>
      <c r="H542" s="43"/>
      <c r="I542" s="43"/>
      <c r="J542" s="43"/>
      <c r="K542" s="43"/>
      <c r="L542" s="43"/>
      <c r="M542" s="43"/>
      <c r="N542" s="43"/>
      <c r="O542" s="43"/>
      <c r="P542" s="41"/>
      <c r="Q542" s="41"/>
      <c r="R542" s="41"/>
      <c r="S542" s="44"/>
      <c r="T542" s="45"/>
      <c r="U542" s="45"/>
      <c r="V542" s="45"/>
      <c r="W542" s="45"/>
      <c r="X542" s="46"/>
      <c r="Y542" s="46"/>
      <c r="Z542" s="46"/>
      <c r="AA542" s="46"/>
      <c r="AB542" s="46"/>
      <c r="AC542" s="46"/>
      <c r="AD542" s="46"/>
      <c r="AE542" s="46"/>
      <c r="AF542" s="46"/>
      <c r="AG542" s="46"/>
    </row>
    <row r="543" spans="1:33" ht="13.5" customHeight="1">
      <c r="A543" s="46"/>
      <c r="B543" s="46"/>
      <c r="C543" s="41"/>
      <c r="D543" s="42"/>
      <c r="E543" s="42"/>
      <c r="F543" s="42"/>
      <c r="G543" s="43"/>
      <c r="H543" s="43"/>
      <c r="I543" s="43"/>
      <c r="J543" s="43"/>
      <c r="K543" s="43"/>
      <c r="L543" s="43"/>
      <c r="M543" s="43"/>
      <c r="N543" s="43"/>
      <c r="O543" s="43"/>
      <c r="P543" s="41"/>
      <c r="Q543" s="41"/>
      <c r="R543" s="41"/>
      <c r="S543" s="44"/>
      <c r="T543" s="45"/>
      <c r="U543" s="45"/>
      <c r="V543" s="45"/>
      <c r="W543" s="45"/>
      <c r="X543" s="46"/>
      <c r="Y543" s="46"/>
      <c r="Z543" s="46"/>
      <c r="AA543" s="46"/>
      <c r="AB543" s="46"/>
      <c r="AC543" s="46"/>
      <c r="AD543" s="46"/>
      <c r="AE543" s="46"/>
      <c r="AF543" s="46"/>
      <c r="AG543" s="46"/>
    </row>
    <row r="544" spans="1:33" ht="13.5" customHeight="1">
      <c r="A544" s="46"/>
      <c r="B544" s="46"/>
      <c r="C544" s="41"/>
      <c r="D544" s="42"/>
      <c r="E544" s="42"/>
      <c r="F544" s="42"/>
      <c r="G544" s="43"/>
      <c r="H544" s="43"/>
      <c r="I544" s="43"/>
      <c r="J544" s="43"/>
      <c r="K544" s="43"/>
      <c r="L544" s="43"/>
      <c r="M544" s="43"/>
      <c r="N544" s="43"/>
      <c r="O544" s="43"/>
      <c r="P544" s="41"/>
      <c r="Q544" s="41"/>
      <c r="R544" s="41"/>
      <c r="S544" s="44"/>
      <c r="T544" s="45"/>
      <c r="U544" s="45"/>
      <c r="V544" s="45"/>
      <c r="W544" s="45"/>
      <c r="X544" s="46"/>
      <c r="Y544" s="46"/>
      <c r="Z544" s="46"/>
      <c r="AA544" s="46"/>
      <c r="AB544" s="46"/>
      <c r="AC544" s="46"/>
      <c r="AD544" s="46"/>
      <c r="AE544" s="46"/>
      <c r="AF544" s="46"/>
      <c r="AG544" s="46"/>
    </row>
    <row r="545" spans="1:33" ht="13.5" customHeight="1">
      <c r="A545" s="46"/>
      <c r="B545" s="46"/>
      <c r="C545" s="41"/>
      <c r="D545" s="42"/>
      <c r="E545" s="42"/>
      <c r="F545" s="42"/>
      <c r="G545" s="43"/>
      <c r="H545" s="43"/>
      <c r="I545" s="43"/>
      <c r="J545" s="43"/>
      <c r="K545" s="43"/>
      <c r="L545" s="43"/>
      <c r="M545" s="43"/>
      <c r="N545" s="43"/>
      <c r="O545" s="43"/>
      <c r="P545" s="41"/>
      <c r="Q545" s="41"/>
      <c r="R545" s="41"/>
      <c r="S545" s="44"/>
      <c r="T545" s="45"/>
      <c r="U545" s="45"/>
      <c r="V545" s="45"/>
      <c r="W545" s="45"/>
      <c r="X545" s="46"/>
      <c r="Y545" s="46"/>
      <c r="Z545" s="46"/>
      <c r="AA545" s="46"/>
      <c r="AB545" s="46"/>
      <c r="AC545" s="46"/>
      <c r="AD545" s="46"/>
      <c r="AE545" s="46"/>
      <c r="AF545" s="46"/>
      <c r="AG545" s="46"/>
    </row>
    <row r="546" spans="1:33" ht="13.5" customHeight="1">
      <c r="A546" s="46"/>
      <c r="B546" s="46"/>
      <c r="C546" s="41"/>
      <c r="D546" s="42"/>
      <c r="E546" s="42"/>
      <c r="F546" s="42"/>
      <c r="G546" s="43"/>
      <c r="H546" s="43"/>
      <c r="I546" s="43"/>
      <c r="J546" s="43"/>
      <c r="K546" s="43"/>
      <c r="L546" s="43"/>
      <c r="M546" s="43"/>
      <c r="N546" s="43"/>
      <c r="O546" s="43"/>
      <c r="P546" s="41"/>
      <c r="Q546" s="41"/>
      <c r="R546" s="41"/>
      <c r="S546" s="44"/>
      <c r="T546" s="45"/>
      <c r="U546" s="45"/>
      <c r="V546" s="45"/>
      <c r="W546" s="45"/>
      <c r="X546" s="46"/>
      <c r="Y546" s="46"/>
      <c r="Z546" s="46"/>
      <c r="AA546" s="46"/>
      <c r="AB546" s="46"/>
      <c r="AC546" s="46"/>
      <c r="AD546" s="46"/>
      <c r="AE546" s="46"/>
      <c r="AF546" s="46"/>
      <c r="AG546" s="46"/>
    </row>
    <row r="547" spans="1:33" ht="13.5" customHeight="1">
      <c r="A547" s="46"/>
      <c r="B547" s="46"/>
      <c r="C547" s="41"/>
      <c r="D547" s="42"/>
      <c r="E547" s="42"/>
      <c r="F547" s="42"/>
      <c r="G547" s="43"/>
      <c r="H547" s="43"/>
      <c r="I547" s="43"/>
      <c r="J547" s="43"/>
      <c r="K547" s="43"/>
      <c r="L547" s="43"/>
      <c r="M547" s="43"/>
      <c r="N547" s="43"/>
      <c r="O547" s="43"/>
      <c r="P547" s="41"/>
      <c r="Q547" s="41"/>
      <c r="R547" s="41"/>
      <c r="S547" s="44"/>
      <c r="T547" s="45"/>
      <c r="U547" s="45"/>
      <c r="V547" s="45"/>
      <c r="W547" s="45"/>
      <c r="X547" s="46"/>
      <c r="Y547" s="46"/>
      <c r="Z547" s="46"/>
      <c r="AA547" s="46"/>
      <c r="AB547" s="46"/>
      <c r="AC547" s="46"/>
      <c r="AD547" s="46"/>
      <c r="AE547" s="46"/>
      <c r="AF547" s="46"/>
      <c r="AG547" s="46"/>
    </row>
    <row r="548" spans="1:33" ht="13.5" customHeight="1">
      <c r="A548" s="46"/>
      <c r="B548" s="46"/>
      <c r="C548" s="41"/>
      <c r="D548" s="42"/>
      <c r="E548" s="42"/>
      <c r="F548" s="42"/>
      <c r="G548" s="43"/>
      <c r="H548" s="43"/>
      <c r="I548" s="43"/>
      <c r="J548" s="43"/>
      <c r="K548" s="43"/>
      <c r="L548" s="43"/>
      <c r="M548" s="43"/>
      <c r="N548" s="43"/>
      <c r="O548" s="43"/>
      <c r="P548" s="41"/>
      <c r="Q548" s="41"/>
      <c r="R548" s="41"/>
      <c r="S548" s="44"/>
      <c r="T548" s="45"/>
      <c r="U548" s="45"/>
      <c r="V548" s="45"/>
      <c r="W548" s="45"/>
      <c r="X548" s="46"/>
      <c r="Y548" s="46"/>
      <c r="Z548" s="46"/>
      <c r="AA548" s="46"/>
      <c r="AB548" s="46"/>
      <c r="AC548" s="46"/>
      <c r="AD548" s="46"/>
      <c r="AE548" s="46"/>
      <c r="AF548" s="46"/>
      <c r="AG548" s="46"/>
    </row>
    <row r="549" spans="1:33" ht="13.5" customHeight="1">
      <c r="A549" s="46"/>
      <c r="B549" s="46"/>
      <c r="C549" s="41"/>
      <c r="D549" s="42"/>
      <c r="E549" s="42"/>
      <c r="F549" s="42"/>
      <c r="G549" s="43"/>
      <c r="H549" s="43"/>
      <c r="I549" s="43"/>
      <c r="J549" s="43"/>
      <c r="K549" s="43"/>
      <c r="L549" s="43"/>
      <c r="M549" s="43"/>
      <c r="N549" s="43"/>
      <c r="O549" s="43"/>
      <c r="P549" s="41"/>
      <c r="Q549" s="41"/>
      <c r="R549" s="41"/>
      <c r="S549" s="44"/>
      <c r="T549" s="45"/>
      <c r="U549" s="45"/>
      <c r="V549" s="45"/>
      <c r="W549" s="45"/>
      <c r="X549" s="46"/>
      <c r="Y549" s="46"/>
      <c r="Z549" s="46"/>
      <c r="AA549" s="46"/>
      <c r="AB549" s="46"/>
      <c r="AC549" s="46"/>
      <c r="AD549" s="46"/>
      <c r="AE549" s="46"/>
      <c r="AF549" s="46"/>
      <c r="AG549" s="46"/>
    </row>
    <row r="550" spans="1:33" ht="13.5" customHeight="1">
      <c r="A550" s="46"/>
      <c r="B550" s="46"/>
      <c r="C550" s="41"/>
      <c r="D550" s="42"/>
      <c r="E550" s="42"/>
      <c r="F550" s="42"/>
      <c r="G550" s="43"/>
      <c r="H550" s="43"/>
      <c r="I550" s="43"/>
      <c r="J550" s="43"/>
      <c r="K550" s="43"/>
      <c r="L550" s="43"/>
      <c r="M550" s="43"/>
      <c r="N550" s="43"/>
      <c r="O550" s="43"/>
      <c r="P550" s="41"/>
      <c r="Q550" s="41"/>
      <c r="R550" s="41"/>
      <c r="S550" s="44"/>
      <c r="T550" s="45"/>
      <c r="U550" s="45"/>
      <c r="V550" s="45"/>
      <c r="W550" s="45"/>
      <c r="X550" s="46"/>
      <c r="Y550" s="46"/>
      <c r="Z550" s="46"/>
      <c r="AA550" s="46"/>
      <c r="AB550" s="46"/>
      <c r="AC550" s="46"/>
      <c r="AD550" s="46"/>
      <c r="AE550" s="46"/>
      <c r="AF550" s="46"/>
      <c r="AG550" s="46"/>
    </row>
    <row r="551" spans="1:33" ht="13.5" customHeight="1">
      <c r="A551" s="46"/>
      <c r="B551" s="46"/>
      <c r="C551" s="41"/>
      <c r="D551" s="42"/>
      <c r="E551" s="42"/>
      <c r="F551" s="42"/>
      <c r="G551" s="43"/>
      <c r="H551" s="43"/>
      <c r="I551" s="43"/>
      <c r="J551" s="43"/>
      <c r="K551" s="43"/>
      <c r="L551" s="43"/>
      <c r="M551" s="43"/>
      <c r="N551" s="43"/>
      <c r="O551" s="43"/>
      <c r="P551" s="41"/>
      <c r="Q551" s="41"/>
      <c r="R551" s="41"/>
      <c r="S551" s="44"/>
      <c r="T551" s="45"/>
      <c r="U551" s="45"/>
      <c r="V551" s="45"/>
      <c r="W551" s="45"/>
      <c r="X551" s="46"/>
      <c r="Y551" s="46"/>
      <c r="Z551" s="46"/>
      <c r="AA551" s="46"/>
      <c r="AB551" s="46"/>
      <c r="AC551" s="46"/>
      <c r="AD551" s="46"/>
      <c r="AE551" s="46"/>
      <c r="AF551" s="46"/>
      <c r="AG551" s="46"/>
    </row>
    <row r="552" spans="1:33" ht="13.5" customHeight="1">
      <c r="A552" s="46"/>
      <c r="B552" s="46"/>
      <c r="C552" s="41"/>
      <c r="D552" s="42"/>
      <c r="E552" s="42"/>
      <c r="F552" s="42"/>
      <c r="G552" s="43"/>
      <c r="H552" s="43"/>
      <c r="I552" s="43"/>
      <c r="J552" s="43"/>
      <c r="K552" s="43"/>
      <c r="L552" s="43"/>
      <c r="M552" s="43"/>
      <c r="N552" s="43"/>
      <c r="O552" s="43"/>
      <c r="P552" s="41"/>
      <c r="Q552" s="41"/>
      <c r="R552" s="41"/>
      <c r="S552" s="44"/>
      <c r="T552" s="45"/>
      <c r="U552" s="45"/>
      <c r="V552" s="45"/>
      <c r="W552" s="45"/>
      <c r="X552" s="46"/>
      <c r="Y552" s="46"/>
      <c r="Z552" s="46"/>
      <c r="AA552" s="46"/>
      <c r="AB552" s="46"/>
      <c r="AC552" s="46"/>
      <c r="AD552" s="46"/>
      <c r="AE552" s="46"/>
      <c r="AF552" s="46"/>
      <c r="AG552" s="46"/>
    </row>
    <row r="553" spans="1:33" ht="13.5" customHeight="1">
      <c r="A553" s="46"/>
      <c r="B553" s="46"/>
      <c r="C553" s="41"/>
      <c r="D553" s="42"/>
      <c r="E553" s="42"/>
      <c r="F553" s="42"/>
      <c r="G553" s="43"/>
      <c r="H553" s="43"/>
      <c r="I553" s="43"/>
      <c r="J553" s="43"/>
      <c r="K553" s="43"/>
      <c r="L553" s="43"/>
      <c r="M553" s="43"/>
      <c r="N553" s="43"/>
      <c r="O553" s="43"/>
      <c r="P553" s="41"/>
      <c r="Q553" s="41"/>
      <c r="R553" s="41"/>
      <c r="S553" s="44"/>
      <c r="T553" s="45"/>
      <c r="U553" s="45"/>
      <c r="V553" s="45"/>
      <c r="W553" s="45"/>
      <c r="X553" s="46"/>
      <c r="Y553" s="46"/>
      <c r="Z553" s="46"/>
      <c r="AA553" s="46"/>
      <c r="AB553" s="46"/>
      <c r="AC553" s="46"/>
      <c r="AD553" s="46"/>
      <c r="AE553" s="46"/>
      <c r="AF553" s="46"/>
      <c r="AG553" s="46"/>
    </row>
    <row r="554" spans="1:33" ht="13.5" customHeight="1">
      <c r="A554" s="46"/>
      <c r="B554" s="46"/>
      <c r="C554" s="41"/>
      <c r="D554" s="42"/>
      <c r="E554" s="42"/>
      <c r="F554" s="42"/>
      <c r="G554" s="43"/>
      <c r="H554" s="43"/>
      <c r="I554" s="43"/>
      <c r="J554" s="43"/>
      <c r="K554" s="43"/>
      <c r="L554" s="43"/>
      <c r="M554" s="43"/>
      <c r="N554" s="43"/>
      <c r="O554" s="43"/>
      <c r="P554" s="41"/>
      <c r="Q554" s="41"/>
      <c r="R554" s="41"/>
      <c r="S554" s="44"/>
      <c r="T554" s="45"/>
      <c r="U554" s="45"/>
      <c r="V554" s="45"/>
      <c r="W554" s="45"/>
      <c r="X554" s="46"/>
      <c r="Y554" s="46"/>
      <c r="Z554" s="46"/>
      <c r="AA554" s="46"/>
      <c r="AB554" s="46"/>
      <c r="AC554" s="46"/>
      <c r="AD554" s="46"/>
      <c r="AE554" s="46"/>
      <c r="AF554" s="46"/>
      <c r="AG554" s="46"/>
    </row>
    <row r="555" spans="1:33" ht="13.5" customHeight="1">
      <c r="A555" s="46"/>
      <c r="B555" s="46"/>
      <c r="C555" s="41"/>
      <c r="D555" s="42"/>
      <c r="E555" s="42"/>
      <c r="F555" s="42"/>
      <c r="G555" s="43"/>
      <c r="H555" s="43"/>
      <c r="I555" s="43"/>
      <c r="J555" s="43"/>
      <c r="K555" s="43"/>
      <c r="L555" s="43"/>
      <c r="M555" s="43"/>
      <c r="N555" s="43"/>
      <c r="O555" s="43"/>
      <c r="P555" s="41"/>
      <c r="Q555" s="41"/>
      <c r="R555" s="41"/>
      <c r="S555" s="44"/>
      <c r="T555" s="45"/>
      <c r="U555" s="45"/>
      <c r="V555" s="45"/>
      <c r="W555" s="45"/>
      <c r="X555" s="46"/>
      <c r="Y555" s="46"/>
      <c r="Z555" s="46"/>
      <c r="AA555" s="46"/>
      <c r="AB555" s="46"/>
      <c r="AC555" s="46"/>
      <c r="AD555" s="46"/>
      <c r="AE555" s="46"/>
      <c r="AF555" s="46"/>
      <c r="AG555" s="46"/>
    </row>
    <row r="556" spans="1:33" ht="13.5" customHeight="1">
      <c r="A556" s="46"/>
      <c r="B556" s="46"/>
      <c r="C556" s="41"/>
      <c r="D556" s="42"/>
      <c r="E556" s="42"/>
      <c r="F556" s="42"/>
      <c r="G556" s="43"/>
      <c r="H556" s="43"/>
      <c r="I556" s="43"/>
      <c r="J556" s="43"/>
      <c r="K556" s="43"/>
      <c r="L556" s="43"/>
      <c r="M556" s="43"/>
      <c r="N556" s="43"/>
      <c r="O556" s="43"/>
      <c r="P556" s="41"/>
      <c r="Q556" s="41"/>
      <c r="R556" s="41"/>
      <c r="S556" s="44"/>
      <c r="T556" s="45"/>
      <c r="U556" s="45"/>
      <c r="V556" s="45"/>
      <c r="W556" s="45"/>
      <c r="X556" s="46"/>
      <c r="Y556" s="46"/>
      <c r="Z556" s="46"/>
      <c r="AA556" s="46"/>
      <c r="AB556" s="46"/>
      <c r="AC556" s="46"/>
      <c r="AD556" s="46"/>
      <c r="AE556" s="46"/>
      <c r="AF556" s="46"/>
      <c r="AG556" s="46"/>
    </row>
    <row r="557" spans="1:33" ht="13.5" customHeight="1">
      <c r="A557" s="46"/>
      <c r="B557" s="46"/>
      <c r="C557" s="41"/>
      <c r="D557" s="42"/>
      <c r="E557" s="42"/>
      <c r="F557" s="42"/>
      <c r="G557" s="43"/>
      <c r="H557" s="43"/>
      <c r="I557" s="43"/>
      <c r="J557" s="43"/>
      <c r="K557" s="43"/>
      <c r="L557" s="43"/>
      <c r="M557" s="43"/>
      <c r="N557" s="43"/>
      <c r="O557" s="43"/>
      <c r="P557" s="41"/>
      <c r="Q557" s="41"/>
      <c r="R557" s="41"/>
      <c r="S557" s="44"/>
      <c r="T557" s="45"/>
      <c r="U557" s="45"/>
      <c r="V557" s="45"/>
      <c r="W557" s="45"/>
      <c r="X557" s="46"/>
      <c r="Y557" s="46"/>
      <c r="Z557" s="46"/>
      <c r="AA557" s="46"/>
      <c r="AB557" s="46"/>
      <c r="AC557" s="46"/>
      <c r="AD557" s="46"/>
      <c r="AE557" s="46"/>
      <c r="AF557" s="46"/>
      <c r="AG557" s="46"/>
    </row>
    <row r="558" spans="1:33" ht="13.5" customHeight="1">
      <c r="A558" s="46"/>
      <c r="B558" s="46"/>
      <c r="C558" s="41"/>
      <c r="D558" s="42"/>
      <c r="E558" s="42"/>
      <c r="F558" s="42"/>
      <c r="G558" s="43"/>
      <c r="H558" s="43"/>
      <c r="I558" s="43"/>
      <c r="J558" s="43"/>
      <c r="K558" s="43"/>
      <c r="L558" s="43"/>
      <c r="M558" s="43"/>
      <c r="N558" s="43"/>
      <c r="O558" s="43"/>
      <c r="P558" s="41"/>
      <c r="Q558" s="41"/>
      <c r="R558" s="41"/>
      <c r="S558" s="44"/>
      <c r="T558" s="45"/>
      <c r="U558" s="45"/>
      <c r="V558" s="45"/>
      <c r="W558" s="45"/>
      <c r="X558" s="46"/>
      <c r="Y558" s="46"/>
      <c r="Z558" s="46"/>
      <c r="AA558" s="46"/>
      <c r="AB558" s="46"/>
      <c r="AC558" s="46"/>
      <c r="AD558" s="46"/>
      <c r="AE558" s="46"/>
      <c r="AF558" s="46"/>
      <c r="AG558" s="46"/>
    </row>
    <row r="559" spans="1:33" ht="13.5" customHeight="1">
      <c r="A559" s="46"/>
      <c r="B559" s="46"/>
      <c r="C559" s="41"/>
      <c r="D559" s="42"/>
      <c r="E559" s="42"/>
      <c r="F559" s="42"/>
      <c r="G559" s="43"/>
      <c r="H559" s="43"/>
      <c r="I559" s="43"/>
      <c r="J559" s="43"/>
      <c r="K559" s="43"/>
      <c r="L559" s="43"/>
      <c r="M559" s="43"/>
      <c r="N559" s="43"/>
      <c r="O559" s="43"/>
      <c r="P559" s="41"/>
      <c r="Q559" s="41"/>
      <c r="R559" s="41"/>
      <c r="S559" s="44"/>
      <c r="T559" s="45"/>
      <c r="U559" s="45"/>
      <c r="V559" s="45"/>
      <c r="W559" s="45"/>
      <c r="X559" s="46"/>
      <c r="Y559" s="46"/>
      <c r="Z559" s="46"/>
      <c r="AA559" s="46"/>
      <c r="AB559" s="46"/>
      <c r="AC559" s="46"/>
      <c r="AD559" s="46"/>
      <c r="AE559" s="46"/>
      <c r="AF559" s="46"/>
      <c r="AG559" s="46"/>
    </row>
    <row r="560" spans="1:33" ht="13.5" customHeight="1">
      <c r="A560" s="46"/>
      <c r="B560" s="46"/>
      <c r="C560" s="41"/>
      <c r="D560" s="42"/>
      <c r="E560" s="42"/>
      <c r="F560" s="42"/>
      <c r="G560" s="43"/>
      <c r="H560" s="43"/>
      <c r="I560" s="43"/>
      <c r="J560" s="43"/>
      <c r="K560" s="43"/>
      <c r="L560" s="43"/>
      <c r="M560" s="43"/>
      <c r="N560" s="43"/>
      <c r="O560" s="43"/>
      <c r="P560" s="41"/>
      <c r="Q560" s="41"/>
      <c r="R560" s="41"/>
      <c r="S560" s="44"/>
      <c r="T560" s="45"/>
      <c r="U560" s="45"/>
      <c r="V560" s="45"/>
      <c r="W560" s="45"/>
      <c r="X560" s="46"/>
      <c r="Y560" s="46"/>
      <c r="Z560" s="46"/>
      <c r="AA560" s="46"/>
      <c r="AB560" s="46"/>
      <c r="AC560" s="46"/>
      <c r="AD560" s="46"/>
      <c r="AE560" s="46"/>
      <c r="AF560" s="46"/>
      <c r="AG560" s="46"/>
    </row>
    <row r="561" spans="1:33" ht="13.5" customHeight="1">
      <c r="A561" s="46"/>
      <c r="B561" s="46"/>
      <c r="C561" s="41"/>
      <c r="D561" s="42"/>
      <c r="E561" s="42"/>
      <c r="F561" s="42"/>
      <c r="G561" s="43"/>
      <c r="H561" s="43"/>
      <c r="I561" s="43"/>
      <c r="J561" s="43"/>
      <c r="K561" s="43"/>
      <c r="L561" s="43"/>
      <c r="M561" s="43"/>
      <c r="N561" s="43"/>
      <c r="O561" s="43"/>
      <c r="P561" s="41"/>
      <c r="Q561" s="41"/>
      <c r="R561" s="41"/>
      <c r="S561" s="44"/>
      <c r="T561" s="45"/>
      <c r="U561" s="45"/>
      <c r="V561" s="45"/>
      <c r="W561" s="45"/>
      <c r="X561" s="46"/>
      <c r="Y561" s="46"/>
      <c r="Z561" s="46"/>
      <c r="AA561" s="46"/>
      <c r="AB561" s="46"/>
      <c r="AC561" s="46"/>
      <c r="AD561" s="46"/>
      <c r="AE561" s="46"/>
      <c r="AF561" s="46"/>
      <c r="AG561" s="46"/>
    </row>
    <row r="562" spans="1:33" ht="13.5" customHeight="1">
      <c r="A562" s="46"/>
      <c r="B562" s="46"/>
      <c r="C562" s="41"/>
      <c r="D562" s="42"/>
      <c r="E562" s="42"/>
      <c r="F562" s="42"/>
      <c r="G562" s="43"/>
      <c r="H562" s="43"/>
      <c r="I562" s="43"/>
      <c r="J562" s="43"/>
      <c r="K562" s="43"/>
      <c r="L562" s="43"/>
      <c r="M562" s="43"/>
      <c r="N562" s="43"/>
      <c r="O562" s="43"/>
      <c r="P562" s="41"/>
      <c r="Q562" s="41"/>
      <c r="R562" s="41"/>
      <c r="S562" s="44"/>
      <c r="T562" s="45"/>
      <c r="U562" s="45"/>
      <c r="V562" s="45"/>
      <c r="W562" s="45"/>
      <c r="X562" s="46"/>
      <c r="Y562" s="46"/>
      <c r="Z562" s="46"/>
      <c r="AA562" s="46"/>
      <c r="AB562" s="46"/>
      <c r="AC562" s="46"/>
      <c r="AD562" s="46"/>
      <c r="AE562" s="46"/>
      <c r="AF562" s="46"/>
      <c r="AG562" s="46"/>
    </row>
    <row r="563" spans="1:33" ht="13.5" customHeight="1">
      <c r="A563" s="46"/>
      <c r="B563" s="46"/>
      <c r="C563" s="41"/>
      <c r="D563" s="42"/>
      <c r="E563" s="42"/>
      <c r="F563" s="42"/>
      <c r="G563" s="43"/>
      <c r="H563" s="43"/>
      <c r="I563" s="43"/>
      <c r="J563" s="43"/>
      <c r="K563" s="43"/>
      <c r="L563" s="43"/>
      <c r="M563" s="43"/>
      <c r="N563" s="43"/>
      <c r="O563" s="43"/>
      <c r="P563" s="41"/>
      <c r="Q563" s="41"/>
      <c r="R563" s="41"/>
      <c r="S563" s="44"/>
      <c r="T563" s="45"/>
      <c r="U563" s="45"/>
      <c r="V563" s="45"/>
      <c r="W563" s="45"/>
      <c r="X563" s="46"/>
      <c r="Y563" s="46"/>
      <c r="Z563" s="46"/>
      <c r="AA563" s="46"/>
      <c r="AB563" s="46"/>
      <c r="AC563" s="46"/>
      <c r="AD563" s="46"/>
      <c r="AE563" s="46"/>
      <c r="AF563" s="46"/>
      <c r="AG563" s="46"/>
    </row>
    <row r="564" spans="1:33" ht="13.5" customHeight="1">
      <c r="A564" s="46"/>
      <c r="B564" s="46"/>
      <c r="C564" s="41"/>
      <c r="D564" s="42"/>
      <c r="E564" s="42"/>
      <c r="F564" s="42"/>
      <c r="G564" s="43"/>
      <c r="H564" s="43"/>
      <c r="I564" s="43"/>
      <c r="J564" s="43"/>
      <c r="K564" s="43"/>
      <c r="L564" s="43"/>
      <c r="M564" s="43"/>
      <c r="N564" s="43"/>
      <c r="O564" s="43"/>
      <c r="P564" s="41"/>
      <c r="Q564" s="41"/>
      <c r="R564" s="41"/>
      <c r="S564" s="44"/>
      <c r="T564" s="45"/>
      <c r="U564" s="45"/>
      <c r="V564" s="45"/>
      <c r="W564" s="45"/>
      <c r="X564" s="46"/>
      <c r="Y564" s="46"/>
      <c r="Z564" s="46"/>
      <c r="AA564" s="46"/>
      <c r="AB564" s="46"/>
      <c r="AC564" s="46"/>
      <c r="AD564" s="46"/>
      <c r="AE564" s="46"/>
      <c r="AF564" s="46"/>
      <c r="AG564" s="46"/>
    </row>
    <row r="565" spans="1:33" ht="13.5" customHeight="1">
      <c r="A565" s="46"/>
      <c r="B565" s="46"/>
      <c r="C565" s="41"/>
      <c r="D565" s="42"/>
      <c r="E565" s="42"/>
      <c r="F565" s="42"/>
      <c r="G565" s="43"/>
      <c r="H565" s="43"/>
      <c r="I565" s="43"/>
      <c r="J565" s="43"/>
      <c r="K565" s="43"/>
      <c r="L565" s="43"/>
      <c r="M565" s="43"/>
      <c r="N565" s="43"/>
      <c r="O565" s="43"/>
      <c r="P565" s="41"/>
      <c r="Q565" s="41"/>
      <c r="R565" s="41"/>
      <c r="S565" s="44"/>
      <c r="T565" s="45"/>
      <c r="U565" s="45"/>
      <c r="V565" s="45"/>
      <c r="W565" s="45"/>
      <c r="X565" s="46"/>
      <c r="Y565" s="46"/>
      <c r="Z565" s="46"/>
      <c r="AA565" s="46"/>
      <c r="AB565" s="46"/>
      <c r="AC565" s="46"/>
      <c r="AD565" s="46"/>
      <c r="AE565" s="46"/>
      <c r="AF565" s="46"/>
      <c r="AG565" s="46"/>
    </row>
    <row r="566" spans="1:33" ht="13.5" customHeight="1">
      <c r="A566" s="46"/>
      <c r="B566" s="46"/>
      <c r="C566" s="41"/>
      <c r="D566" s="42"/>
      <c r="E566" s="42"/>
      <c r="F566" s="42"/>
      <c r="G566" s="43"/>
      <c r="H566" s="43"/>
      <c r="I566" s="43"/>
      <c r="J566" s="43"/>
      <c r="K566" s="43"/>
      <c r="L566" s="43"/>
      <c r="M566" s="43"/>
      <c r="N566" s="43"/>
      <c r="O566" s="43"/>
      <c r="P566" s="41"/>
      <c r="Q566" s="41"/>
      <c r="R566" s="41"/>
      <c r="S566" s="44"/>
      <c r="T566" s="45"/>
      <c r="U566" s="45"/>
      <c r="V566" s="45"/>
      <c r="W566" s="45"/>
      <c r="X566" s="46"/>
      <c r="Y566" s="46"/>
      <c r="Z566" s="46"/>
      <c r="AA566" s="46"/>
      <c r="AB566" s="46"/>
      <c r="AC566" s="46"/>
      <c r="AD566" s="46"/>
      <c r="AE566" s="46"/>
      <c r="AF566" s="46"/>
      <c r="AG566" s="46"/>
    </row>
    <row r="567" spans="1:33" ht="13.5" customHeight="1">
      <c r="A567" s="46"/>
      <c r="B567" s="46"/>
      <c r="C567" s="41"/>
      <c r="D567" s="42"/>
      <c r="E567" s="42"/>
      <c r="F567" s="42"/>
      <c r="G567" s="43"/>
      <c r="H567" s="43"/>
      <c r="I567" s="43"/>
      <c r="J567" s="43"/>
      <c r="K567" s="43"/>
      <c r="L567" s="43"/>
      <c r="M567" s="43"/>
      <c r="N567" s="43"/>
      <c r="O567" s="43"/>
      <c r="P567" s="41"/>
      <c r="Q567" s="41"/>
      <c r="R567" s="41"/>
      <c r="S567" s="44"/>
      <c r="T567" s="45"/>
      <c r="U567" s="45"/>
      <c r="V567" s="45"/>
      <c r="W567" s="45"/>
      <c r="X567" s="46"/>
      <c r="Y567" s="46"/>
      <c r="Z567" s="46"/>
      <c r="AA567" s="46"/>
      <c r="AB567" s="46"/>
      <c r="AC567" s="46"/>
      <c r="AD567" s="46"/>
      <c r="AE567" s="46"/>
      <c r="AF567" s="46"/>
      <c r="AG567" s="46"/>
    </row>
    <row r="568" spans="1:33" ht="13.5" customHeight="1">
      <c r="A568" s="46"/>
      <c r="B568" s="46"/>
      <c r="C568" s="41"/>
      <c r="D568" s="42"/>
      <c r="E568" s="42"/>
      <c r="F568" s="42"/>
      <c r="G568" s="43"/>
      <c r="H568" s="43"/>
      <c r="I568" s="43"/>
      <c r="J568" s="43"/>
      <c r="K568" s="43"/>
      <c r="L568" s="43"/>
      <c r="M568" s="43"/>
      <c r="N568" s="43"/>
      <c r="O568" s="43"/>
      <c r="P568" s="41"/>
      <c r="Q568" s="41"/>
      <c r="R568" s="41"/>
      <c r="S568" s="44"/>
      <c r="T568" s="45"/>
      <c r="U568" s="45"/>
      <c r="V568" s="45"/>
      <c r="W568" s="45"/>
      <c r="X568" s="46"/>
      <c r="Y568" s="46"/>
      <c r="Z568" s="46"/>
      <c r="AA568" s="46"/>
      <c r="AB568" s="46"/>
      <c r="AC568" s="46"/>
      <c r="AD568" s="46"/>
      <c r="AE568" s="46"/>
      <c r="AF568" s="46"/>
      <c r="AG568" s="46"/>
    </row>
    <row r="569" spans="1:33" ht="13.5" customHeight="1">
      <c r="A569" s="46"/>
      <c r="B569" s="46"/>
      <c r="C569" s="41"/>
      <c r="D569" s="42"/>
      <c r="E569" s="42"/>
      <c r="F569" s="42"/>
      <c r="G569" s="43"/>
      <c r="H569" s="43"/>
      <c r="I569" s="43"/>
      <c r="J569" s="43"/>
      <c r="K569" s="43"/>
      <c r="L569" s="43"/>
      <c r="M569" s="43"/>
      <c r="N569" s="43"/>
      <c r="O569" s="43"/>
      <c r="P569" s="41"/>
      <c r="Q569" s="41"/>
      <c r="R569" s="41"/>
      <c r="S569" s="44"/>
      <c r="T569" s="45"/>
      <c r="U569" s="45"/>
      <c r="V569" s="45"/>
      <c r="W569" s="45"/>
      <c r="X569" s="46"/>
      <c r="Y569" s="46"/>
      <c r="Z569" s="46"/>
      <c r="AA569" s="46"/>
      <c r="AB569" s="46"/>
      <c r="AC569" s="46"/>
      <c r="AD569" s="46"/>
      <c r="AE569" s="46"/>
      <c r="AF569" s="46"/>
      <c r="AG569" s="46"/>
    </row>
    <row r="570" spans="1:33" ht="13.5" customHeight="1">
      <c r="A570" s="46"/>
      <c r="B570" s="46"/>
      <c r="C570" s="41"/>
      <c r="D570" s="42"/>
      <c r="E570" s="42"/>
      <c r="F570" s="42"/>
      <c r="G570" s="43"/>
      <c r="H570" s="43"/>
      <c r="I570" s="43"/>
      <c r="J570" s="43"/>
      <c r="K570" s="43"/>
      <c r="L570" s="43"/>
      <c r="M570" s="43"/>
      <c r="N570" s="43"/>
      <c r="O570" s="43"/>
      <c r="P570" s="41"/>
      <c r="Q570" s="41"/>
      <c r="R570" s="41"/>
      <c r="S570" s="44"/>
      <c r="T570" s="45"/>
      <c r="U570" s="45"/>
      <c r="V570" s="45"/>
      <c r="W570" s="45"/>
      <c r="X570" s="46"/>
      <c r="Y570" s="46"/>
      <c r="Z570" s="46"/>
      <c r="AA570" s="46"/>
      <c r="AB570" s="46"/>
      <c r="AC570" s="46"/>
      <c r="AD570" s="46"/>
      <c r="AE570" s="46"/>
      <c r="AF570" s="46"/>
      <c r="AG570" s="46"/>
    </row>
    <row r="571" spans="1:33" ht="13.5" customHeight="1">
      <c r="A571" s="46"/>
      <c r="B571" s="46"/>
      <c r="C571" s="41"/>
      <c r="D571" s="42"/>
      <c r="E571" s="42"/>
      <c r="F571" s="42"/>
      <c r="G571" s="43"/>
      <c r="H571" s="43"/>
      <c r="I571" s="43"/>
      <c r="J571" s="43"/>
      <c r="K571" s="43"/>
      <c r="L571" s="43"/>
      <c r="M571" s="43"/>
      <c r="N571" s="43"/>
      <c r="O571" s="43"/>
      <c r="P571" s="41"/>
      <c r="Q571" s="41"/>
      <c r="R571" s="41"/>
      <c r="S571" s="44"/>
      <c r="T571" s="45"/>
      <c r="U571" s="45"/>
      <c r="V571" s="45"/>
      <c r="W571" s="45"/>
      <c r="X571" s="46"/>
      <c r="Y571" s="46"/>
      <c r="Z571" s="46"/>
      <c r="AA571" s="46"/>
      <c r="AB571" s="46"/>
      <c r="AC571" s="46"/>
      <c r="AD571" s="46"/>
      <c r="AE571" s="46"/>
      <c r="AF571" s="46"/>
      <c r="AG571" s="46"/>
    </row>
    <row r="572" spans="1:33" ht="13.5" customHeight="1">
      <c r="A572" s="46"/>
      <c r="B572" s="46"/>
      <c r="C572" s="41"/>
      <c r="D572" s="42"/>
      <c r="E572" s="42"/>
      <c r="F572" s="42"/>
      <c r="G572" s="43"/>
      <c r="H572" s="43"/>
      <c r="I572" s="43"/>
      <c r="J572" s="43"/>
      <c r="K572" s="43"/>
      <c r="L572" s="43"/>
      <c r="M572" s="43"/>
      <c r="N572" s="43"/>
      <c r="O572" s="43"/>
      <c r="P572" s="41"/>
      <c r="Q572" s="41"/>
      <c r="R572" s="41"/>
      <c r="S572" s="44"/>
      <c r="T572" s="45"/>
      <c r="U572" s="45"/>
      <c r="V572" s="45"/>
      <c r="W572" s="45"/>
      <c r="X572" s="46"/>
      <c r="Y572" s="46"/>
      <c r="Z572" s="46"/>
      <c r="AA572" s="46"/>
      <c r="AB572" s="46"/>
      <c r="AC572" s="46"/>
      <c r="AD572" s="46"/>
      <c r="AE572" s="46"/>
      <c r="AF572" s="46"/>
      <c r="AG572" s="46"/>
    </row>
    <row r="573" spans="1:33" ht="13.5" customHeight="1">
      <c r="A573" s="46"/>
      <c r="B573" s="46"/>
      <c r="C573" s="41"/>
      <c r="D573" s="42"/>
      <c r="E573" s="42"/>
      <c r="F573" s="42"/>
      <c r="G573" s="43"/>
      <c r="H573" s="43"/>
      <c r="I573" s="43"/>
      <c r="J573" s="43"/>
      <c r="K573" s="43"/>
      <c r="L573" s="43"/>
      <c r="M573" s="43"/>
      <c r="N573" s="43"/>
      <c r="O573" s="43"/>
      <c r="P573" s="41"/>
      <c r="Q573" s="41"/>
      <c r="R573" s="41"/>
      <c r="S573" s="44"/>
      <c r="T573" s="45"/>
      <c r="U573" s="45"/>
      <c r="V573" s="45"/>
      <c r="W573" s="45"/>
      <c r="X573" s="46"/>
      <c r="Y573" s="46"/>
      <c r="Z573" s="46"/>
      <c r="AA573" s="46"/>
      <c r="AB573" s="46"/>
      <c r="AC573" s="46"/>
      <c r="AD573" s="46"/>
      <c r="AE573" s="46"/>
      <c r="AF573" s="46"/>
      <c r="AG573" s="46"/>
    </row>
    <row r="574" spans="1:33" ht="13.5" customHeight="1">
      <c r="A574" s="46"/>
      <c r="B574" s="46"/>
      <c r="C574" s="41"/>
      <c r="D574" s="42"/>
      <c r="E574" s="42"/>
      <c r="F574" s="42"/>
      <c r="G574" s="43"/>
      <c r="H574" s="43"/>
      <c r="I574" s="43"/>
      <c r="J574" s="43"/>
      <c r="K574" s="43"/>
      <c r="L574" s="43"/>
      <c r="M574" s="43"/>
      <c r="N574" s="43"/>
      <c r="O574" s="43"/>
      <c r="P574" s="41"/>
      <c r="Q574" s="41"/>
      <c r="R574" s="41"/>
      <c r="S574" s="44"/>
      <c r="T574" s="45"/>
      <c r="U574" s="45"/>
      <c r="V574" s="45"/>
      <c r="W574" s="45"/>
      <c r="X574" s="46"/>
      <c r="Y574" s="46"/>
      <c r="Z574" s="46"/>
      <c r="AA574" s="46"/>
      <c r="AB574" s="46"/>
      <c r="AC574" s="46"/>
      <c r="AD574" s="46"/>
      <c r="AE574" s="46"/>
      <c r="AF574" s="46"/>
      <c r="AG574" s="46"/>
    </row>
    <row r="575" spans="1:33" ht="13.5" customHeight="1">
      <c r="A575" s="46"/>
      <c r="B575" s="46"/>
      <c r="C575" s="41"/>
      <c r="D575" s="42"/>
      <c r="E575" s="42"/>
      <c r="F575" s="42"/>
      <c r="G575" s="43"/>
      <c r="H575" s="43"/>
      <c r="I575" s="43"/>
      <c r="J575" s="43"/>
      <c r="K575" s="43"/>
      <c r="L575" s="43"/>
      <c r="M575" s="43"/>
      <c r="N575" s="43"/>
      <c r="O575" s="43"/>
      <c r="P575" s="41"/>
      <c r="Q575" s="41"/>
      <c r="R575" s="41"/>
      <c r="S575" s="44"/>
      <c r="T575" s="45"/>
      <c r="U575" s="45"/>
      <c r="V575" s="45"/>
      <c r="W575" s="45"/>
      <c r="X575" s="46"/>
      <c r="Y575" s="46"/>
      <c r="Z575" s="46"/>
      <c r="AA575" s="46"/>
      <c r="AB575" s="46"/>
      <c r="AC575" s="46"/>
      <c r="AD575" s="46"/>
      <c r="AE575" s="46"/>
      <c r="AF575" s="46"/>
      <c r="AG575" s="46"/>
    </row>
    <row r="576" spans="1:33" ht="13.5" customHeight="1">
      <c r="A576" s="46"/>
      <c r="B576" s="46"/>
      <c r="C576" s="41"/>
      <c r="D576" s="42"/>
      <c r="E576" s="42"/>
      <c r="F576" s="42"/>
      <c r="G576" s="43"/>
      <c r="H576" s="43"/>
      <c r="I576" s="43"/>
      <c r="J576" s="43"/>
      <c r="K576" s="43"/>
      <c r="L576" s="43"/>
      <c r="M576" s="43"/>
      <c r="N576" s="43"/>
      <c r="O576" s="43"/>
      <c r="P576" s="41"/>
      <c r="Q576" s="41"/>
      <c r="R576" s="41"/>
      <c r="S576" s="44"/>
      <c r="T576" s="45"/>
      <c r="U576" s="45"/>
      <c r="V576" s="45"/>
      <c r="W576" s="45"/>
      <c r="X576" s="46"/>
      <c r="Y576" s="46"/>
      <c r="Z576" s="46"/>
      <c r="AA576" s="46"/>
      <c r="AB576" s="46"/>
      <c r="AC576" s="46"/>
      <c r="AD576" s="46"/>
      <c r="AE576" s="46"/>
      <c r="AF576" s="46"/>
      <c r="AG576" s="46"/>
    </row>
    <row r="577" spans="1:33" ht="13.5" customHeight="1">
      <c r="A577" s="46"/>
      <c r="B577" s="46"/>
      <c r="C577" s="41"/>
      <c r="D577" s="42"/>
      <c r="E577" s="42"/>
      <c r="F577" s="42"/>
      <c r="G577" s="43"/>
      <c r="H577" s="43"/>
      <c r="I577" s="43"/>
      <c r="J577" s="43"/>
      <c r="K577" s="43"/>
      <c r="L577" s="43"/>
      <c r="M577" s="43"/>
      <c r="N577" s="43"/>
      <c r="O577" s="43"/>
      <c r="P577" s="41"/>
      <c r="Q577" s="41"/>
      <c r="R577" s="41"/>
      <c r="S577" s="44"/>
      <c r="T577" s="45"/>
      <c r="U577" s="45"/>
      <c r="V577" s="45"/>
      <c r="W577" s="45"/>
      <c r="X577" s="46"/>
      <c r="Y577" s="46"/>
      <c r="Z577" s="46"/>
      <c r="AA577" s="46"/>
      <c r="AB577" s="46"/>
      <c r="AC577" s="46"/>
      <c r="AD577" s="46"/>
      <c r="AE577" s="46"/>
      <c r="AF577" s="46"/>
      <c r="AG577" s="46"/>
    </row>
    <row r="578" spans="1:33" ht="13.5" customHeight="1">
      <c r="A578" s="46"/>
      <c r="B578" s="46"/>
      <c r="C578" s="41"/>
      <c r="D578" s="42"/>
      <c r="E578" s="42"/>
      <c r="F578" s="42"/>
      <c r="G578" s="43"/>
      <c r="H578" s="43"/>
      <c r="I578" s="43"/>
      <c r="J578" s="43"/>
      <c r="K578" s="43"/>
      <c r="L578" s="43"/>
      <c r="M578" s="43"/>
      <c r="N578" s="43"/>
      <c r="O578" s="43"/>
      <c r="P578" s="41"/>
      <c r="Q578" s="41"/>
      <c r="R578" s="41"/>
      <c r="S578" s="44"/>
      <c r="T578" s="45"/>
      <c r="U578" s="45"/>
      <c r="V578" s="45"/>
      <c r="W578" s="45"/>
      <c r="X578" s="46"/>
      <c r="Y578" s="46"/>
      <c r="Z578" s="46"/>
      <c r="AA578" s="46"/>
      <c r="AB578" s="46"/>
      <c r="AC578" s="46"/>
      <c r="AD578" s="46"/>
      <c r="AE578" s="46"/>
      <c r="AF578" s="46"/>
      <c r="AG578" s="46"/>
    </row>
    <row r="579" spans="1:33" ht="13.5" customHeight="1">
      <c r="A579" s="46"/>
      <c r="B579" s="46"/>
      <c r="C579" s="41"/>
      <c r="D579" s="42"/>
      <c r="E579" s="42"/>
      <c r="F579" s="42"/>
      <c r="G579" s="43"/>
      <c r="H579" s="43"/>
      <c r="I579" s="43"/>
      <c r="J579" s="43"/>
      <c r="K579" s="43"/>
      <c r="L579" s="43"/>
      <c r="M579" s="43"/>
      <c r="N579" s="43"/>
      <c r="O579" s="43"/>
      <c r="P579" s="41"/>
      <c r="Q579" s="41"/>
      <c r="R579" s="41"/>
      <c r="S579" s="44"/>
      <c r="T579" s="45"/>
      <c r="U579" s="45"/>
      <c r="V579" s="45"/>
      <c r="W579" s="45"/>
      <c r="X579" s="46"/>
      <c r="Y579" s="46"/>
      <c r="Z579" s="46"/>
      <c r="AA579" s="46"/>
      <c r="AB579" s="46"/>
      <c r="AC579" s="46"/>
      <c r="AD579" s="46"/>
      <c r="AE579" s="46"/>
      <c r="AF579" s="46"/>
      <c r="AG579" s="46"/>
    </row>
    <row r="580" spans="1:33" ht="13.5" customHeight="1">
      <c r="A580" s="46"/>
      <c r="B580" s="46"/>
      <c r="C580" s="41"/>
      <c r="D580" s="42"/>
      <c r="E580" s="42"/>
      <c r="F580" s="42"/>
      <c r="G580" s="43"/>
      <c r="H580" s="43"/>
      <c r="I580" s="43"/>
      <c r="J580" s="43"/>
      <c r="K580" s="43"/>
      <c r="L580" s="43"/>
      <c r="M580" s="43"/>
      <c r="N580" s="43"/>
      <c r="O580" s="43"/>
      <c r="P580" s="41"/>
      <c r="Q580" s="41"/>
      <c r="R580" s="41"/>
      <c r="S580" s="44"/>
      <c r="T580" s="45"/>
      <c r="U580" s="45"/>
      <c r="V580" s="45"/>
      <c r="W580" s="45"/>
      <c r="X580" s="46"/>
      <c r="Y580" s="46"/>
      <c r="Z580" s="46"/>
      <c r="AA580" s="46"/>
      <c r="AB580" s="46"/>
      <c r="AC580" s="46"/>
      <c r="AD580" s="46"/>
      <c r="AE580" s="46"/>
      <c r="AF580" s="46"/>
      <c r="AG580" s="46"/>
    </row>
    <row r="581" spans="1:33" ht="13.5" customHeight="1">
      <c r="A581" s="46"/>
      <c r="B581" s="46"/>
      <c r="C581" s="41"/>
      <c r="D581" s="42"/>
      <c r="E581" s="42"/>
      <c r="F581" s="42"/>
      <c r="G581" s="43"/>
      <c r="H581" s="43"/>
      <c r="I581" s="43"/>
      <c r="J581" s="43"/>
      <c r="K581" s="43"/>
      <c r="L581" s="43"/>
      <c r="M581" s="43"/>
      <c r="N581" s="43"/>
      <c r="O581" s="43"/>
      <c r="P581" s="41"/>
      <c r="Q581" s="41"/>
      <c r="R581" s="41"/>
      <c r="S581" s="44"/>
      <c r="T581" s="45"/>
      <c r="U581" s="45"/>
      <c r="V581" s="45"/>
      <c r="W581" s="45"/>
      <c r="X581" s="46"/>
      <c r="Y581" s="46"/>
      <c r="Z581" s="46"/>
      <c r="AA581" s="46"/>
      <c r="AB581" s="46"/>
      <c r="AC581" s="46"/>
      <c r="AD581" s="46"/>
      <c r="AE581" s="46"/>
      <c r="AF581" s="46"/>
      <c r="AG581" s="46"/>
    </row>
    <row r="582" spans="1:33" ht="13.5" customHeight="1">
      <c r="A582" s="46"/>
      <c r="B582" s="46"/>
      <c r="C582" s="41"/>
      <c r="D582" s="42"/>
      <c r="E582" s="42"/>
      <c r="F582" s="42"/>
      <c r="G582" s="43"/>
      <c r="H582" s="43"/>
      <c r="I582" s="43"/>
      <c r="J582" s="43"/>
      <c r="K582" s="43"/>
      <c r="L582" s="43"/>
      <c r="M582" s="43"/>
      <c r="N582" s="43"/>
      <c r="O582" s="43"/>
      <c r="P582" s="41"/>
      <c r="Q582" s="41"/>
      <c r="R582" s="41"/>
      <c r="S582" s="44"/>
      <c r="T582" s="45"/>
      <c r="U582" s="45"/>
      <c r="V582" s="45"/>
      <c r="W582" s="45"/>
      <c r="X582" s="46"/>
      <c r="Y582" s="46"/>
      <c r="Z582" s="46"/>
      <c r="AA582" s="46"/>
      <c r="AB582" s="46"/>
      <c r="AC582" s="46"/>
      <c r="AD582" s="46"/>
      <c r="AE582" s="46"/>
      <c r="AF582" s="46"/>
      <c r="AG582" s="46"/>
    </row>
    <row r="583" spans="1:33" ht="13.5" customHeight="1">
      <c r="A583" s="46"/>
      <c r="B583" s="46"/>
      <c r="C583" s="41"/>
      <c r="D583" s="42"/>
      <c r="E583" s="42"/>
      <c r="F583" s="42"/>
      <c r="G583" s="43"/>
      <c r="H583" s="43"/>
      <c r="I583" s="43"/>
      <c r="J583" s="43"/>
      <c r="K583" s="43"/>
      <c r="L583" s="43"/>
      <c r="M583" s="43"/>
      <c r="N583" s="43"/>
      <c r="O583" s="43"/>
      <c r="P583" s="41"/>
      <c r="Q583" s="41"/>
      <c r="R583" s="41"/>
      <c r="S583" s="44"/>
      <c r="T583" s="45"/>
      <c r="U583" s="45"/>
      <c r="V583" s="45"/>
      <c r="W583" s="45"/>
      <c r="X583" s="46"/>
      <c r="Y583" s="46"/>
      <c r="Z583" s="46"/>
      <c r="AA583" s="46"/>
      <c r="AB583" s="46"/>
      <c r="AC583" s="46"/>
      <c r="AD583" s="46"/>
      <c r="AE583" s="46"/>
      <c r="AF583" s="46"/>
      <c r="AG583" s="46"/>
    </row>
    <row r="584" spans="1:33" ht="13.5" customHeight="1">
      <c r="A584" s="46"/>
      <c r="B584" s="46"/>
      <c r="C584" s="41"/>
      <c r="D584" s="42"/>
      <c r="E584" s="42"/>
      <c r="F584" s="42"/>
      <c r="G584" s="43"/>
      <c r="H584" s="43"/>
      <c r="I584" s="43"/>
      <c r="J584" s="43"/>
      <c r="K584" s="43"/>
      <c r="L584" s="43"/>
      <c r="M584" s="43"/>
      <c r="N584" s="43"/>
      <c r="O584" s="43"/>
      <c r="P584" s="41"/>
      <c r="Q584" s="41"/>
      <c r="R584" s="41"/>
      <c r="S584" s="44"/>
      <c r="T584" s="45"/>
      <c r="U584" s="45"/>
      <c r="V584" s="45"/>
      <c r="W584" s="45"/>
      <c r="X584" s="46"/>
      <c r="Y584" s="46"/>
      <c r="Z584" s="46"/>
      <c r="AA584" s="46"/>
      <c r="AB584" s="46"/>
      <c r="AC584" s="46"/>
      <c r="AD584" s="46"/>
      <c r="AE584" s="46"/>
      <c r="AF584" s="46"/>
      <c r="AG584" s="46"/>
    </row>
    <row r="585" spans="1:33" ht="13.5" customHeight="1">
      <c r="A585" s="46"/>
      <c r="B585" s="46"/>
      <c r="C585" s="41"/>
      <c r="D585" s="42"/>
      <c r="E585" s="42"/>
      <c r="F585" s="42"/>
      <c r="G585" s="43"/>
      <c r="H585" s="43"/>
      <c r="I585" s="43"/>
      <c r="J585" s="43"/>
      <c r="K585" s="43"/>
      <c r="L585" s="43"/>
      <c r="M585" s="43"/>
      <c r="N585" s="43"/>
      <c r="O585" s="43"/>
      <c r="P585" s="41"/>
      <c r="Q585" s="41"/>
      <c r="R585" s="41"/>
      <c r="S585" s="44"/>
      <c r="T585" s="45"/>
      <c r="U585" s="45"/>
      <c r="V585" s="45"/>
      <c r="W585" s="45"/>
      <c r="X585" s="46"/>
      <c r="Y585" s="46"/>
      <c r="Z585" s="46"/>
      <c r="AA585" s="46"/>
      <c r="AB585" s="46"/>
      <c r="AC585" s="46"/>
      <c r="AD585" s="46"/>
      <c r="AE585" s="46"/>
      <c r="AF585" s="46"/>
      <c r="AG585" s="46"/>
    </row>
    <row r="586" spans="1:33" ht="13.5" customHeight="1">
      <c r="A586" s="46"/>
      <c r="B586" s="46"/>
      <c r="C586" s="41"/>
      <c r="D586" s="42"/>
      <c r="E586" s="42"/>
      <c r="F586" s="42"/>
      <c r="G586" s="43"/>
      <c r="H586" s="43"/>
      <c r="I586" s="43"/>
      <c r="J586" s="43"/>
      <c r="K586" s="43"/>
      <c r="L586" s="43"/>
      <c r="M586" s="43"/>
      <c r="N586" s="43"/>
      <c r="O586" s="43"/>
      <c r="P586" s="41"/>
      <c r="Q586" s="41"/>
      <c r="R586" s="41"/>
      <c r="S586" s="44"/>
      <c r="T586" s="45"/>
      <c r="U586" s="45"/>
      <c r="V586" s="45"/>
      <c r="W586" s="45"/>
      <c r="X586" s="46"/>
      <c r="Y586" s="46"/>
      <c r="Z586" s="46"/>
      <c r="AA586" s="46"/>
      <c r="AB586" s="46"/>
      <c r="AC586" s="46"/>
      <c r="AD586" s="46"/>
      <c r="AE586" s="46"/>
      <c r="AF586" s="46"/>
      <c r="AG586" s="46"/>
    </row>
    <row r="587" spans="1:33" ht="13.5" customHeight="1">
      <c r="A587" s="46"/>
      <c r="B587" s="46"/>
      <c r="C587" s="41"/>
      <c r="D587" s="42"/>
      <c r="E587" s="42"/>
      <c r="F587" s="42"/>
      <c r="G587" s="43"/>
      <c r="H587" s="43"/>
      <c r="I587" s="43"/>
      <c r="J587" s="43"/>
      <c r="K587" s="43"/>
      <c r="L587" s="43"/>
      <c r="M587" s="43"/>
      <c r="N587" s="43"/>
      <c r="O587" s="43"/>
      <c r="P587" s="41"/>
      <c r="Q587" s="41"/>
      <c r="R587" s="41"/>
      <c r="S587" s="44"/>
      <c r="T587" s="45"/>
      <c r="U587" s="45"/>
      <c r="V587" s="45"/>
      <c r="W587" s="45"/>
      <c r="X587" s="46"/>
      <c r="Y587" s="46"/>
      <c r="Z587" s="46"/>
      <c r="AA587" s="46"/>
      <c r="AB587" s="46"/>
      <c r="AC587" s="46"/>
      <c r="AD587" s="46"/>
      <c r="AE587" s="46"/>
      <c r="AF587" s="46"/>
      <c r="AG587" s="46"/>
    </row>
    <row r="588" spans="1:33" ht="13.5" customHeight="1">
      <c r="A588" s="46"/>
      <c r="B588" s="46"/>
      <c r="C588" s="41"/>
      <c r="D588" s="42"/>
      <c r="E588" s="42"/>
      <c r="F588" s="42"/>
      <c r="G588" s="43"/>
      <c r="H588" s="43"/>
      <c r="I588" s="43"/>
      <c r="J588" s="43"/>
      <c r="K588" s="43"/>
      <c r="L588" s="43"/>
      <c r="M588" s="43"/>
      <c r="N588" s="43"/>
      <c r="O588" s="43"/>
      <c r="P588" s="41"/>
      <c r="Q588" s="41"/>
      <c r="R588" s="41"/>
      <c r="S588" s="44"/>
      <c r="T588" s="45"/>
      <c r="U588" s="45"/>
      <c r="V588" s="45"/>
      <c r="W588" s="45"/>
      <c r="X588" s="46"/>
      <c r="Y588" s="46"/>
      <c r="Z588" s="46"/>
      <c r="AA588" s="46"/>
      <c r="AB588" s="46"/>
      <c r="AC588" s="46"/>
      <c r="AD588" s="46"/>
      <c r="AE588" s="46"/>
      <c r="AF588" s="46"/>
      <c r="AG588" s="46"/>
    </row>
    <row r="589" spans="1:33" ht="13.5" customHeight="1">
      <c r="A589" s="46"/>
      <c r="B589" s="46"/>
      <c r="C589" s="41"/>
      <c r="D589" s="42"/>
      <c r="E589" s="42"/>
      <c r="F589" s="42"/>
      <c r="G589" s="43"/>
      <c r="H589" s="43"/>
      <c r="I589" s="43"/>
      <c r="J589" s="43"/>
      <c r="K589" s="43"/>
      <c r="L589" s="43"/>
      <c r="M589" s="43"/>
      <c r="N589" s="43"/>
      <c r="O589" s="43"/>
      <c r="P589" s="41"/>
      <c r="Q589" s="41"/>
      <c r="R589" s="41"/>
      <c r="S589" s="44"/>
      <c r="T589" s="45"/>
      <c r="U589" s="45"/>
      <c r="V589" s="45"/>
      <c r="W589" s="45"/>
      <c r="X589" s="46"/>
      <c r="Y589" s="46"/>
      <c r="Z589" s="46"/>
      <c r="AA589" s="46"/>
      <c r="AB589" s="46"/>
      <c r="AC589" s="46"/>
      <c r="AD589" s="46"/>
      <c r="AE589" s="46"/>
      <c r="AF589" s="46"/>
      <c r="AG589" s="46"/>
    </row>
    <row r="590" spans="1:33" ht="13.5" customHeight="1">
      <c r="A590" s="46"/>
      <c r="B590" s="46"/>
      <c r="C590" s="41"/>
      <c r="D590" s="42"/>
      <c r="E590" s="42"/>
      <c r="F590" s="42"/>
      <c r="G590" s="43"/>
      <c r="H590" s="43"/>
      <c r="I590" s="43"/>
      <c r="J590" s="43"/>
      <c r="K590" s="43"/>
      <c r="L590" s="43"/>
      <c r="M590" s="43"/>
      <c r="N590" s="43"/>
      <c r="O590" s="43"/>
      <c r="P590" s="41"/>
      <c r="Q590" s="41"/>
      <c r="R590" s="41"/>
      <c r="S590" s="44"/>
      <c r="T590" s="45"/>
      <c r="U590" s="45"/>
      <c r="V590" s="45"/>
      <c r="W590" s="45"/>
      <c r="X590" s="46"/>
      <c r="Y590" s="46"/>
      <c r="Z590" s="46"/>
      <c r="AA590" s="46"/>
      <c r="AB590" s="46"/>
      <c r="AC590" s="46"/>
      <c r="AD590" s="46"/>
      <c r="AE590" s="46"/>
      <c r="AF590" s="46"/>
      <c r="AG590" s="46"/>
    </row>
    <row r="591" spans="1:33" ht="13.5" customHeight="1">
      <c r="A591" s="46"/>
      <c r="B591" s="46"/>
      <c r="C591" s="41"/>
      <c r="D591" s="42"/>
      <c r="E591" s="42"/>
      <c r="F591" s="42"/>
      <c r="G591" s="43"/>
      <c r="H591" s="43"/>
      <c r="I591" s="43"/>
      <c r="J591" s="43"/>
      <c r="K591" s="43"/>
      <c r="L591" s="43"/>
      <c r="M591" s="43"/>
      <c r="N591" s="43"/>
      <c r="O591" s="43"/>
      <c r="P591" s="41"/>
      <c r="Q591" s="41"/>
      <c r="R591" s="41"/>
      <c r="S591" s="44"/>
      <c r="T591" s="45"/>
      <c r="U591" s="45"/>
      <c r="V591" s="45"/>
      <c r="W591" s="45"/>
      <c r="X591" s="46"/>
      <c r="Y591" s="46"/>
      <c r="Z591" s="46"/>
      <c r="AA591" s="46"/>
      <c r="AB591" s="46"/>
      <c r="AC591" s="46"/>
      <c r="AD591" s="46"/>
      <c r="AE591" s="46"/>
      <c r="AF591" s="46"/>
      <c r="AG591" s="46"/>
    </row>
    <row r="592" spans="1:33" ht="13.5" customHeight="1">
      <c r="A592" s="46"/>
      <c r="B592" s="46"/>
      <c r="C592" s="41"/>
      <c r="D592" s="42"/>
      <c r="E592" s="42"/>
      <c r="F592" s="42"/>
      <c r="G592" s="43"/>
      <c r="H592" s="43"/>
      <c r="I592" s="43"/>
      <c r="J592" s="43"/>
      <c r="K592" s="43"/>
      <c r="L592" s="43"/>
      <c r="M592" s="43"/>
      <c r="N592" s="43"/>
      <c r="O592" s="43"/>
      <c r="P592" s="41"/>
      <c r="Q592" s="41"/>
      <c r="R592" s="41"/>
      <c r="S592" s="44"/>
      <c r="T592" s="45"/>
      <c r="U592" s="45"/>
      <c r="V592" s="45"/>
      <c r="W592" s="45"/>
      <c r="X592" s="46"/>
      <c r="Y592" s="46"/>
      <c r="Z592" s="46"/>
      <c r="AA592" s="46"/>
      <c r="AB592" s="46"/>
      <c r="AC592" s="46"/>
      <c r="AD592" s="46"/>
      <c r="AE592" s="46"/>
      <c r="AF592" s="46"/>
      <c r="AG592" s="46"/>
    </row>
    <row r="593" spans="1:33" ht="13.5" customHeight="1">
      <c r="A593" s="46"/>
      <c r="B593" s="46"/>
      <c r="C593" s="41"/>
      <c r="D593" s="42"/>
      <c r="E593" s="42"/>
      <c r="F593" s="42"/>
      <c r="G593" s="43"/>
      <c r="H593" s="43"/>
      <c r="I593" s="43"/>
      <c r="J593" s="43"/>
      <c r="K593" s="43"/>
      <c r="L593" s="43"/>
      <c r="M593" s="43"/>
      <c r="N593" s="43"/>
      <c r="O593" s="43"/>
      <c r="P593" s="41"/>
      <c r="Q593" s="41"/>
      <c r="R593" s="41"/>
      <c r="S593" s="44"/>
      <c r="T593" s="45"/>
      <c r="U593" s="45"/>
      <c r="V593" s="45"/>
      <c r="W593" s="45"/>
      <c r="X593" s="46"/>
      <c r="Y593" s="46"/>
      <c r="Z593" s="46"/>
      <c r="AA593" s="46"/>
      <c r="AB593" s="46"/>
      <c r="AC593" s="46"/>
      <c r="AD593" s="46"/>
      <c r="AE593" s="46"/>
      <c r="AF593" s="46"/>
      <c r="AG593" s="46"/>
    </row>
    <row r="594" spans="1:33" ht="13.5" customHeight="1">
      <c r="A594" s="46"/>
      <c r="B594" s="46"/>
      <c r="C594" s="41"/>
      <c r="D594" s="42"/>
      <c r="E594" s="42"/>
      <c r="F594" s="42"/>
      <c r="G594" s="43"/>
      <c r="H594" s="43"/>
      <c r="I594" s="43"/>
      <c r="J594" s="43"/>
      <c r="K594" s="43"/>
      <c r="L594" s="43"/>
      <c r="M594" s="43"/>
      <c r="N594" s="43"/>
      <c r="O594" s="43"/>
      <c r="P594" s="41"/>
      <c r="Q594" s="41"/>
      <c r="R594" s="41"/>
      <c r="S594" s="44"/>
      <c r="T594" s="45"/>
      <c r="U594" s="45"/>
      <c r="V594" s="45"/>
      <c r="W594" s="45"/>
      <c r="X594" s="46"/>
      <c r="Y594" s="46"/>
      <c r="Z594" s="46"/>
      <c r="AA594" s="46"/>
      <c r="AB594" s="46"/>
      <c r="AC594" s="46"/>
      <c r="AD594" s="46"/>
      <c r="AE594" s="46"/>
      <c r="AF594" s="46"/>
      <c r="AG594" s="46"/>
    </row>
    <row r="595" spans="1:33" ht="13.5" customHeight="1">
      <c r="A595" s="46"/>
      <c r="B595" s="46"/>
      <c r="C595" s="41"/>
      <c r="D595" s="42"/>
      <c r="E595" s="42"/>
      <c r="F595" s="42"/>
      <c r="G595" s="43"/>
      <c r="H595" s="43"/>
      <c r="I595" s="43"/>
      <c r="J595" s="43"/>
      <c r="K595" s="43"/>
      <c r="L595" s="43"/>
      <c r="M595" s="43"/>
      <c r="N595" s="43"/>
      <c r="O595" s="43"/>
      <c r="P595" s="41"/>
      <c r="Q595" s="41"/>
      <c r="R595" s="41"/>
      <c r="S595" s="44"/>
      <c r="T595" s="45"/>
      <c r="U595" s="45"/>
      <c r="V595" s="45"/>
      <c r="W595" s="45"/>
      <c r="X595" s="46"/>
      <c r="Y595" s="46"/>
      <c r="Z595" s="46"/>
      <c r="AA595" s="46"/>
      <c r="AB595" s="46"/>
      <c r="AC595" s="46"/>
      <c r="AD595" s="46"/>
      <c r="AE595" s="46"/>
      <c r="AF595" s="46"/>
      <c r="AG595" s="46"/>
    </row>
    <row r="596" spans="1:33" ht="13.5" customHeight="1">
      <c r="A596" s="46"/>
      <c r="B596" s="46"/>
      <c r="C596" s="41"/>
      <c r="D596" s="42"/>
      <c r="E596" s="42"/>
      <c r="F596" s="42"/>
      <c r="G596" s="43"/>
      <c r="H596" s="43"/>
      <c r="I596" s="43"/>
      <c r="J596" s="43"/>
      <c r="K596" s="43"/>
      <c r="L596" s="43"/>
      <c r="M596" s="43"/>
      <c r="N596" s="43"/>
      <c r="O596" s="43"/>
      <c r="P596" s="41"/>
      <c r="Q596" s="41"/>
      <c r="R596" s="41"/>
      <c r="S596" s="44"/>
      <c r="T596" s="45"/>
      <c r="U596" s="45"/>
      <c r="V596" s="45"/>
      <c r="W596" s="45"/>
      <c r="X596" s="46"/>
      <c r="Y596" s="46"/>
      <c r="Z596" s="46"/>
      <c r="AA596" s="46"/>
      <c r="AB596" s="46"/>
      <c r="AC596" s="46"/>
      <c r="AD596" s="46"/>
      <c r="AE596" s="46"/>
      <c r="AF596" s="46"/>
      <c r="AG596" s="46"/>
    </row>
    <row r="597" spans="1:33" ht="13.5" customHeight="1">
      <c r="A597" s="46"/>
      <c r="B597" s="46"/>
      <c r="C597" s="41"/>
      <c r="D597" s="42"/>
      <c r="E597" s="42"/>
      <c r="F597" s="42"/>
      <c r="G597" s="43"/>
      <c r="H597" s="43"/>
      <c r="I597" s="43"/>
      <c r="J597" s="43"/>
      <c r="K597" s="43"/>
      <c r="L597" s="43"/>
      <c r="M597" s="43"/>
      <c r="N597" s="43"/>
      <c r="O597" s="43"/>
      <c r="P597" s="41"/>
      <c r="Q597" s="41"/>
      <c r="R597" s="41"/>
      <c r="S597" s="44"/>
      <c r="T597" s="45"/>
      <c r="U597" s="45"/>
      <c r="V597" s="45"/>
      <c r="W597" s="45"/>
      <c r="X597" s="46"/>
      <c r="Y597" s="46"/>
      <c r="Z597" s="46"/>
      <c r="AA597" s="46"/>
      <c r="AB597" s="46"/>
      <c r="AC597" s="46"/>
      <c r="AD597" s="46"/>
      <c r="AE597" s="46"/>
      <c r="AF597" s="46"/>
      <c r="AG597" s="46"/>
    </row>
    <row r="598" spans="1:33" ht="13.5" customHeight="1">
      <c r="A598" s="46"/>
      <c r="B598" s="46"/>
      <c r="C598" s="41"/>
      <c r="D598" s="42"/>
      <c r="E598" s="42"/>
      <c r="F598" s="42"/>
      <c r="G598" s="43"/>
      <c r="H598" s="43"/>
      <c r="I598" s="43"/>
      <c r="J598" s="43"/>
      <c r="K598" s="43"/>
      <c r="L598" s="43"/>
      <c r="M598" s="43"/>
      <c r="N598" s="43"/>
      <c r="O598" s="43"/>
      <c r="P598" s="41"/>
      <c r="Q598" s="41"/>
      <c r="R598" s="41"/>
      <c r="S598" s="44"/>
      <c r="T598" s="45"/>
      <c r="U598" s="45"/>
      <c r="V598" s="45"/>
      <c r="W598" s="45"/>
      <c r="X598" s="46"/>
      <c r="Y598" s="46"/>
      <c r="Z598" s="46"/>
      <c r="AA598" s="46"/>
      <c r="AB598" s="46"/>
      <c r="AC598" s="46"/>
      <c r="AD598" s="46"/>
      <c r="AE598" s="46"/>
      <c r="AF598" s="46"/>
      <c r="AG598" s="46"/>
    </row>
    <row r="599" spans="1:33" ht="13.5" customHeight="1">
      <c r="A599" s="46"/>
      <c r="B599" s="46"/>
      <c r="C599" s="41"/>
      <c r="D599" s="42"/>
      <c r="E599" s="42"/>
      <c r="F599" s="42"/>
      <c r="G599" s="43"/>
      <c r="H599" s="43"/>
      <c r="I599" s="43"/>
      <c r="J599" s="43"/>
      <c r="K599" s="43"/>
      <c r="L599" s="43"/>
      <c r="M599" s="43"/>
      <c r="N599" s="43"/>
      <c r="O599" s="43"/>
      <c r="P599" s="41"/>
      <c r="Q599" s="41"/>
      <c r="R599" s="41"/>
      <c r="S599" s="44"/>
      <c r="T599" s="45"/>
      <c r="U599" s="45"/>
      <c r="V599" s="45"/>
      <c r="W599" s="45"/>
      <c r="X599" s="46"/>
      <c r="Y599" s="46"/>
      <c r="Z599" s="46"/>
      <c r="AA599" s="46"/>
      <c r="AB599" s="46"/>
      <c r="AC599" s="46"/>
      <c r="AD599" s="46"/>
      <c r="AE599" s="46"/>
      <c r="AF599" s="46"/>
      <c r="AG599" s="46"/>
    </row>
    <row r="600" spans="1:33" ht="13.5" customHeight="1">
      <c r="A600" s="46"/>
      <c r="B600" s="46"/>
      <c r="C600" s="41"/>
      <c r="D600" s="42"/>
      <c r="E600" s="42"/>
      <c r="F600" s="42"/>
      <c r="G600" s="43"/>
      <c r="H600" s="43"/>
      <c r="I600" s="43"/>
      <c r="J600" s="43"/>
      <c r="K600" s="43"/>
      <c r="L600" s="43"/>
      <c r="M600" s="43"/>
      <c r="N600" s="43"/>
      <c r="O600" s="43"/>
      <c r="P600" s="41"/>
      <c r="Q600" s="41"/>
      <c r="R600" s="41"/>
      <c r="S600" s="44"/>
      <c r="T600" s="45"/>
      <c r="U600" s="45"/>
      <c r="V600" s="45"/>
      <c r="W600" s="45"/>
      <c r="X600" s="46"/>
      <c r="Y600" s="46"/>
      <c r="Z600" s="46"/>
      <c r="AA600" s="46"/>
      <c r="AB600" s="46"/>
      <c r="AC600" s="46"/>
      <c r="AD600" s="46"/>
      <c r="AE600" s="46"/>
      <c r="AF600" s="46"/>
      <c r="AG600" s="46"/>
    </row>
    <row r="601" spans="1:33" ht="13.5" customHeight="1">
      <c r="A601" s="46"/>
      <c r="B601" s="46"/>
      <c r="C601" s="41"/>
      <c r="D601" s="42"/>
      <c r="E601" s="42"/>
      <c r="F601" s="42"/>
      <c r="G601" s="43"/>
      <c r="H601" s="43"/>
      <c r="I601" s="43"/>
      <c r="J601" s="43"/>
      <c r="K601" s="43"/>
      <c r="L601" s="43"/>
      <c r="M601" s="43"/>
      <c r="N601" s="43"/>
      <c r="O601" s="43"/>
      <c r="P601" s="41"/>
      <c r="Q601" s="41"/>
      <c r="R601" s="41"/>
      <c r="S601" s="44"/>
      <c r="T601" s="45"/>
      <c r="U601" s="45"/>
      <c r="V601" s="45"/>
      <c r="W601" s="45"/>
      <c r="X601" s="46"/>
      <c r="Y601" s="46"/>
      <c r="Z601" s="46"/>
      <c r="AA601" s="46"/>
      <c r="AB601" s="46"/>
      <c r="AC601" s="46"/>
      <c r="AD601" s="46"/>
      <c r="AE601" s="46"/>
      <c r="AF601" s="46"/>
      <c r="AG601" s="46"/>
    </row>
    <row r="602" spans="1:33" ht="13.5" customHeight="1">
      <c r="A602" s="46"/>
      <c r="B602" s="46"/>
      <c r="C602" s="41"/>
      <c r="D602" s="42"/>
      <c r="E602" s="42"/>
      <c r="F602" s="42"/>
      <c r="G602" s="43"/>
      <c r="H602" s="43"/>
      <c r="I602" s="43"/>
      <c r="J602" s="43"/>
      <c r="K602" s="43"/>
      <c r="L602" s="43"/>
      <c r="M602" s="43"/>
      <c r="N602" s="43"/>
      <c r="O602" s="43"/>
      <c r="P602" s="41"/>
      <c r="Q602" s="41"/>
      <c r="R602" s="41"/>
      <c r="S602" s="44"/>
      <c r="T602" s="45"/>
      <c r="U602" s="45"/>
      <c r="V602" s="45"/>
      <c r="W602" s="45"/>
      <c r="X602" s="46"/>
      <c r="Y602" s="46"/>
      <c r="Z602" s="46"/>
      <c r="AA602" s="46"/>
      <c r="AB602" s="46"/>
      <c r="AC602" s="46"/>
      <c r="AD602" s="46"/>
      <c r="AE602" s="46"/>
      <c r="AF602" s="46"/>
      <c r="AG602" s="46"/>
    </row>
    <row r="603" spans="1:33" ht="13.5" customHeight="1">
      <c r="A603" s="46"/>
      <c r="B603" s="46"/>
      <c r="C603" s="41"/>
      <c r="D603" s="42"/>
      <c r="E603" s="42"/>
      <c r="F603" s="42"/>
      <c r="G603" s="43"/>
      <c r="H603" s="43"/>
      <c r="I603" s="43"/>
      <c r="J603" s="43"/>
      <c r="K603" s="43"/>
      <c r="L603" s="43"/>
      <c r="M603" s="43"/>
      <c r="N603" s="43"/>
      <c r="O603" s="43"/>
      <c r="P603" s="41"/>
      <c r="Q603" s="41"/>
      <c r="R603" s="41"/>
      <c r="S603" s="44"/>
      <c r="T603" s="45"/>
      <c r="U603" s="45"/>
      <c r="V603" s="45"/>
      <c r="W603" s="45"/>
      <c r="X603" s="46"/>
      <c r="Y603" s="46"/>
      <c r="Z603" s="46"/>
      <c r="AA603" s="46"/>
      <c r="AB603" s="46"/>
      <c r="AC603" s="46"/>
      <c r="AD603" s="46"/>
      <c r="AE603" s="46"/>
      <c r="AF603" s="46"/>
      <c r="AG603" s="46"/>
    </row>
    <row r="604" spans="1:33" ht="13.5" customHeight="1">
      <c r="A604" s="46"/>
      <c r="B604" s="46"/>
      <c r="C604" s="41"/>
      <c r="D604" s="42"/>
      <c r="E604" s="42"/>
      <c r="F604" s="42"/>
      <c r="G604" s="43"/>
      <c r="H604" s="43"/>
      <c r="I604" s="43"/>
      <c r="J604" s="43"/>
      <c r="K604" s="43"/>
      <c r="L604" s="43"/>
      <c r="M604" s="43"/>
      <c r="N604" s="43"/>
      <c r="O604" s="43"/>
      <c r="P604" s="41"/>
      <c r="Q604" s="41"/>
      <c r="R604" s="41"/>
      <c r="S604" s="44"/>
      <c r="T604" s="45"/>
      <c r="U604" s="45"/>
      <c r="V604" s="45"/>
      <c r="W604" s="45"/>
      <c r="X604" s="46"/>
      <c r="Y604" s="46"/>
      <c r="Z604" s="46"/>
      <c r="AA604" s="46"/>
      <c r="AB604" s="46"/>
      <c r="AC604" s="46"/>
      <c r="AD604" s="46"/>
      <c r="AE604" s="46"/>
      <c r="AF604" s="46"/>
      <c r="AG604" s="46"/>
    </row>
    <row r="605" spans="1:33" ht="13.5" customHeight="1">
      <c r="A605" s="46"/>
      <c r="B605" s="46"/>
      <c r="C605" s="41"/>
      <c r="D605" s="42"/>
      <c r="E605" s="42"/>
      <c r="F605" s="42"/>
      <c r="G605" s="43"/>
      <c r="H605" s="43"/>
      <c r="I605" s="43"/>
      <c r="J605" s="43"/>
      <c r="K605" s="43"/>
      <c r="L605" s="43"/>
      <c r="M605" s="43"/>
      <c r="N605" s="43"/>
      <c r="O605" s="43"/>
      <c r="P605" s="41"/>
      <c r="Q605" s="41"/>
      <c r="R605" s="41"/>
      <c r="S605" s="44"/>
      <c r="T605" s="45"/>
      <c r="U605" s="45"/>
      <c r="V605" s="45"/>
      <c r="W605" s="45"/>
      <c r="X605" s="46"/>
      <c r="Y605" s="46"/>
      <c r="Z605" s="46"/>
      <c r="AA605" s="46"/>
      <c r="AB605" s="46"/>
      <c r="AC605" s="46"/>
      <c r="AD605" s="46"/>
      <c r="AE605" s="46"/>
      <c r="AF605" s="46"/>
      <c r="AG605" s="46"/>
    </row>
    <row r="606" spans="1:33" ht="13.5" customHeight="1">
      <c r="A606" s="46"/>
      <c r="B606" s="46"/>
      <c r="C606" s="41"/>
      <c r="D606" s="42"/>
      <c r="E606" s="42"/>
      <c r="F606" s="42"/>
      <c r="G606" s="43"/>
      <c r="H606" s="43"/>
      <c r="I606" s="43"/>
      <c r="J606" s="43"/>
      <c r="K606" s="43"/>
      <c r="L606" s="43"/>
      <c r="M606" s="43"/>
      <c r="N606" s="43"/>
      <c r="O606" s="43"/>
      <c r="P606" s="41"/>
      <c r="Q606" s="41"/>
      <c r="R606" s="41"/>
      <c r="S606" s="44"/>
      <c r="T606" s="45"/>
      <c r="U606" s="45"/>
      <c r="V606" s="45"/>
      <c r="W606" s="45"/>
      <c r="X606" s="46"/>
      <c r="Y606" s="46"/>
      <c r="Z606" s="46"/>
      <c r="AA606" s="46"/>
      <c r="AB606" s="46"/>
      <c r="AC606" s="46"/>
      <c r="AD606" s="46"/>
      <c r="AE606" s="46"/>
      <c r="AF606" s="46"/>
      <c r="AG606" s="46"/>
    </row>
    <row r="607" spans="1:33" ht="13.5" customHeight="1">
      <c r="A607" s="46"/>
      <c r="B607" s="46"/>
      <c r="C607" s="41"/>
      <c r="D607" s="42"/>
      <c r="E607" s="42"/>
      <c r="F607" s="42"/>
      <c r="G607" s="43"/>
      <c r="H607" s="43"/>
      <c r="I607" s="43"/>
      <c r="J607" s="43"/>
      <c r="K607" s="43"/>
      <c r="L607" s="43"/>
      <c r="M607" s="43"/>
      <c r="N607" s="43"/>
      <c r="O607" s="43"/>
      <c r="P607" s="41"/>
      <c r="Q607" s="41"/>
      <c r="R607" s="41"/>
      <c r="S607" s="44"/>
      <c r="T607" s="45"/>
      <c r="U607" s="45"/>
      <c r="V607" s="45"/>
      <c r="W607" s="45"/>
      <c r="X607" s="46"/>
      <c r="Y607" s="46"/>
      <c r="Z607" s="46"/>
      <c r="AA607" s="46"/>
      <c r="AB607" s="46"/>
      <c r="AC607" s="46"/>
      <c r="AD607" s="46"/>
      <c r="AE607" s="46"/>
      <c r="AF607" s="46"/>
      <c r="AG607" s="46"/>
    </row>
    <row r="608" spans="1:33" ht="13.5" customHeight="1">
      <c r="A608" s="46"/>
      <c r="B608" s="46"/>
      <c r="C608" s="41"/>
      <c r="D608" s="42"/>
      <c r="E608" s="42"/>
      <c r="F608" s="42"/>
      <c r="G608" s="43"/>
      <c r="H608" s="43"/>
      <c r="I608" s="43"/>
      <c r="J608" s="43"/>
      <c r="K608" s="43"/>
      <c r="L608" s="43"/>
      <c r="M608" s="43"/>
      <c r="N608" s="43"/>
      <c r="O608" s="43"/>
      <c r="P608" s="41"/>
      <c r="Q608" s="41"/>
      <c r="R608" s="41"/>
      <c r="S608" s="44"/>
      <c r="T608" s="45"/>
      <c r="U608" s="45"/>
      <c r="V608" s="45"/>
      <c r="W608" s="45"/>
      <c r="X608" s="46"/>
      <c r="Y608" s="46"/>
      <c r="Z608" s="46"/>
      <c r="AA608" s="46"/>
      <c r="AB608" s="46"/>
      <c r="AC608" s="46"/>
      <c r="AD608" s="46"/>
      <c r="AE608" s="46"/>
      <c r="AF608" s="46"/>
      <c r="AG608" s="46"/>
    </row>
    <row r="609" spans="1:33" ht="13.5" customHeight="1">
      <c r="A609" s="46"/>
      <c r="B609" s="46"/>
      <c r="C609" s="41"/>
      <c r="D609" s="42"/>
      <c r="E609" s="42"/>
      <c r="F609" s="42"/>
      <c r="G609" s="43"/>
      <c r="H609" s="43"/>
      <c r="I609" s="43"/>
      <c r="J609" s="43"/>
      <c r="K609" s="43"/>
      <c r="L609" s="43"/>
      <c r="M609" s="43"/>
      <c r="N609" s="43"/>
      <c r="O609" s="43"/>
      <c r="P609" s="41"/>
      <c r="Q609" s="41"/>
      <c r="R609" s="41"/>
      <c r="S609" s="44"/>
      <c r="T609" s="45"/>
      <c r="U609" s="45"/>
      <c r="V609" s="45"/>
      <c r="W609" s="45"/>
      <c r="X609" s="46"/>
      <c r="Y609" s="46"/>
      <c r="Z609" s="46"/>
      <c r="AA609" s="46"/>
      <c r="AB609" s="46"/>
      <c r="AC609" s="46"/>
      <c r="AD609" s="46"/>
      <c r="AE609" s="46"/>
      <c r="AF609" s="46"/>
      <c r="AG609" s="46"/>
    </row>
    <row r="610" spans="1:33" ht="13.5" customHeight="1">
      <c r="A610" s="46"/>
      <c r="B610" s="46"/>
      <c r="C610" s="41"/>
      <c r="D610" s="42"/>
      <c r="E610" s="42"/>
      <c r="F610" s="42"/>
      <c r="G610" s="43"/>
      <c r="H610" s="43"/>
      <c r="I610" s="43"/>
      <c r="J610" s="43"/>
      <c r="K610" s="43"/>
      <c r="L610" s="43"/>
      <c r="M610" s="43"/>
      <c r="N610" s="43"/>
      <c r="O610" s="43"/>
      <c r="P610" s="41"/>
      <c r="Q610" s="41"/>
      <c r="R610" s="41"/>
      <c r="S610" s="44"/>
      <c r="T610" s="45"/>
      <c r="U610" s="45"/>
      <c r="V610" s="45"/>
      <c r="W610" s="45"/>
      <c r="X610" s="46"/>
      <c r="Y610" s="46"/>
      <c r="Z610" s="46"/>
      <c r="AA610" s="46"/>
      <c r="AB610" s="46"/>
      <c r="AC610" s="46"/>
      <c r="AD610" s="46"/>
      <c r="AE610" s="46"/>
      <c r="AF610" s="46"/>
      <c r="AG610" s="46"/>
    </row>
    <row r="611" spans="1:33" ht="13.5" customHeight="1">
      <c r="A611" s="46"/>
      <c r="B611" s="46"/>
      <c r="C611" s="41"/>
      <c r="D611" s="42"/>
      <c r="E611" s="42"/>
      <c r="F611" s="42"/>
      <c r="G611" s="43"/>
      <c r="H611" s="43"/>
      <c r="I611" s="43"/>
      <c r="J611" s="43"/>
      <c r="K611" s="43"/>
      <c r="L611" s="43"/>
      <c r="M611" s="43"/>
      <c r="N611" s="43"/>
      <c r="O611" s="43"/>
      <c r="P611" s="41"/>
      <c r="Q611" s="41"/>
      <c r="R611" s="41"/>
      <c r="S611" s="44"/>
      <c r="T611" s="45"/>
      <c r="U611" s="45"/>
      <c r="V611" s="45"/>
      <c r="W611" s="45"/>
      <c r="X611" s="46"/>
      <c r="Y611" s="46"/>
      <c r="Z611" s="46"/>
      <c r="AA611" s="46"/>
      <c r="AB611" s="46"/>
      <c r="AC611" s="46"/>
      <c r="AD611" s="46"/>
      <c r="AE611" s="46"/>
      <c r="AF611" s="46"/>
      <c r="AG611" s="46"/>
    </row>
    <row r="612" spans="1:33" ht="13.5" customHeight="1">
      <c r="A612" s="46"/>
      <c r="B612" s="46"/>
      <c r="C612" s="41"/>
      <c r="D612" s="42"/>
      <c r="E612" s="42"/>
      <c r="F612" s="42"/>
      <c r="G612" s="43"/>
      <c r="H612" s="43"/>
      <c r="I612" s="43"/>
      <c r="J612" s="43"/>
      <c r="K612" s="43"/>
      <c r="L612" s="43"/>
      <c r="M612" s="43"/>
      <c r="N612" s="43"/>
      <c r="O612" s="43"/>
      <c r="P612" s="41"/>
      <c r="Q612" s="41"/>
      <c r="R612" s="41"/>
      <c r="S612" s="44"/>
      <c r="T612" s="45"/>
      <c r="U612" s="45"/>
      <c r="V612" s="45"/>
      <c r="W612" s="45"/>
      <c r="X612" s="46"/>
      <c r="Y612" s="46"/>
      <c r="Z612" s="46"/>
      <c r="AA612" s="46"/>
      <c r="AB612" s="46"/>
      <c r="AC612" s="46"/>
      <c r="AD612" s="46"/>
      <c r="AE612" s="46"/>
      <c r="AF612" s="46"/>
      <c r="AG612" s="46"/>
    </row>
    <row r="613" spans="1:33" ht="13.5" customHeight="1">
      <c r="A613" s="46"/>
      <c r="B613" s="46"/>
      <c r="C613" s="41"/>
      <c r="D613" s="42"/>
      <c r="E613" s="42"/>
      <c r="F613" s="42"/>
      <c r="G613" s="43"/>
      <c r="H613" s="43"/>
      <c r="I613" s="43"/>
      <c r="J613" s="43"/>
      <c r="K613" s="43"/>
      <c r="L613" s="43"/>
      <c r="M613" s="43"/>
      <c r="N613" s="43"/>
      <c r="O613" s="43"/>
      <c r="P613" s="41"/>
      <c r="Q613" s="41"/>
      <c r="R613" s="41"/>
      <c r="S613" s="44"/>
      <c r="T613" s="45"/>
      <c r="U613" s="45"/>
      <c r="V613" s="45"/>
      <c r="W613" s="45"/>
      <c r="X613" s="46"/>
      <c r="Y613" s="46"/>
      <c r="Z613" s="46"/>
      <c r="AA613" s="46"/>
      <c r="AB613" s="46"/>
      <c r="AC613" s="46"/>
      <c r="AD613" s="46"/>
      <c r="AE613" s="46"/>
      <c r="AF613" s="46"/>
      <c r="AG613" s="46"/>
    </row>
    <row r="614" spans="1:33" ht="13.5" customHeight="1">
      <c r="A614" s="46"/>
      <c r="B614" s="46"/>
      <c r="C614" s="41"/>
      <c r="D614" s="42"/>
      <c r="E614" s="42"/>
      <c r="F614" s="42"/>
      <c r="G614" s="43"/>
      <c r="H614" s="43"/>
      <c r="I614" s="43"/>
      <c r="J614" s="43"/>
      <c r="K614" s="43"/>
      <c r="L614" s="43"/>
      <c r="M614" s="43"/>
      <c r="N614" s="43"/>
      <c r="O614" s="43"/>
      <c r="P614" s="41"/>
      <c r="Q614" s="41"/>
      <c r="R614" s="41"/>
      <c r="S614" s="44"/>
      <c r="T614" s="45"/>
      <c r="U614" s="45"/>
      <c r="V614" s="45"/>
      <c r="W614" s="45"/>
      <c r="X614" s="46"/>
      <c r="Y614" s="46"/>
      <c r="Z614" s="46"/>
      <c r="AA614" s="46"/>
      <c r="AB614" s="46"/>
      <c r="AC614" s="46"/>
      <c r="AD614" s="46"/>
      <c r="AE614" s="46"/>
      <c r="AF614" s="46"/>
      <c r="AG614" s="46"/>
    </row>
    <row r="615" spans="1:33" ht="13.5" customHeight="1">
      <c r="A615" s="46"/>
      <c r="B615" s="46"/>
      <c r="C615" s="41"/>
      <c r="D615" s="42"/>
      <c r="E615" s="42"/>
      <c r="F615" s="42"/>
      <c r="G615" s="43"/>
      <c r="H615" s="43"/>
      <c r="I615" s="43"/>
      <c r="J615" s="43"/>
      <c r="K615" s="43"/>
      <c r="L615" s="43"/>
      <c r="M615" s="43"/>
      <c r="N615" s="43"/>
      <c r="O615" s="43"/>
      <c r="P615" s="41"/>
      <c r="Q615" s="41"/>
      <c r="R615" s="41"/>
      <c r="S615" s="44"/>
      <c r="T615" s="45"/>
      <c r="U615" s="45"/>
      <c r="V615" s="45"/>
      <c r="W615" s="45"/>
      <c r="X615" s="46"/>
      <c r="Y615" s="46"/>
      <c r="Z615" s="46"/>
      <c r="AA615" s="46"/>
      <c r="AB615" s="46"/>
      <c r="AC615" s="46"/>
      <c r="AD615" s="46"/>
      <c r="AE615" s="46"/>
      <c r="AF615" s="46"/>
      <c r="AG615" s="46"/>
    </row>
    <row r="616" spans="1:33" ht="13.5" customHeight="1">
      <c r="A616" s="46"/>
      <c r="B616" s="46"/>
      <c r="C616" s="41"/>
      <c r="D616" s="42"/>
      <c r="E616" s="42"/>
      <c r="F616" s="42"/>
      <c r="G616" s="43"/>
      <c r="H616" s="43"/>
      <c r="I616" s="43"/>
      <c r="J616" s="43"/>
      <c r="K616" s="43"/>
      <c r="L616" s="43"/>
      <c r="M616" s="43"/>
      <c r="N616" s="43"/>
      <c r="O616" s="43"/>
      <c r="P616" s="41"/>
      <c r="Q616" s="41"/>
      <c r="R616" s="41"/>
      <c r="S616" s="44"/>
      <c r="T616" s="45"/>
      <c r="U616" s="45"/>
      <c r="V616" s="45"/>
      <c r="W616" s="45"/>
      <c r="X616" s="46"/>
      <c r="Y616" s="46"/>
      <c r="Z616" s="46"/>
      <c r="AA616" s="46"/>
      <c r="AB616" s="46"/>
      <c r="AC616" s="46"/>
      <c r="AD616" s="46"/>
      <c r="AE616" s="46"/>
      <c r="AF616" s="46"/>
      <c r="AG616" s="46"/>
    </row>
    <row r="617" spans="1:33" ht="13.5" customHeight="1">
      <c r="A617" s="46"/>
      <c r="B617" s="46"/>
      <c r="C617" s="41"/>
      <c r="D617" s="42"/>
      <c r="E617" s="42"/>
      <c r="F617" s="42"/>
      <c r="G617" s="43"/>
      <c r="H617" s="43"/>
      <c r="I617" s="43"/>
      <c r="J617" s="43"/>
      <c r="K617" s="43"/>
      <c r="L617" s="43"/>
      <c r="M617" s="43"/>
      <c r="N617" s="43"/>
      <c r="O617" s="43"/>
      <c r="P617" s="41"/>
      <c r="Q617" s="41"/>
      <c r="R617" s="41"/>
      <c r="S617" s="44"/>
      <c r="T617" s="45"/>
      <c r="U617" s="45"/>
      <c r="V617" s="45"/>
      <c r="W617" s="45"/>
      <c r="X617" s="46"/>
      <c r="Y617" s="46"/>
      <c r="Z617" s="46"/>
      <c r="AA617" s="46"/>
      <c r="AB617" s="46"/>
      <c r="AC617" s="46"/>
      <c r="AD617" s="46"/>
      <c r="AE617" s="46"/>
      <c r="AF617" s="46"/>
      <c r="AG617" s="46"/>
    </row>
    <row r="618" spans="1:33" ht="13.5" customHeight="1">
      <c r="A618" s="46"/>
      <c r="B618" s="46"/>
      <c r="C618" s="41"/>
      <c r="D618" s="42"/>
      <c r="E618" s="42"/>
      <c r="F618" s="42"/>
      <c r="G618" s="43"/>
      <c r="H618" s="43"/>
      <c r="I618" s="43"/>
      <c r="J618" s="43"/>
      <c r="K618" s="43"/>
      <c r="L618" s="43"/>
      <c r="M618" s="43"/>
      <c r="N618" s="43"/>
      <c r="O618" s="43"/>
      <c r="P618" s="41"/>
      <c r="Q618" s="41"/>
      <c r="R618" s="41"/>
      <c r="S618" s="44"/>
      <c r="T618" s="45"/>
      <c r="U618" s="45"/>
      <c r="V618" s="45"/>
      <c r="W618" s="45"/>
      <c r="X618" s="46"/>
      <c r="Y618" s="46"/>
      <c r="Z618" s="46"/>
      <c r="AA618" s="46"/>
      <c r="AB618" s="46"/>
      <c r="AC618" s="46"/>
      <c r="AD618" s="46"/>
      <c r="AE618" s="46"/>
      <c r="AF618" s="46"/>
      <c r="AG618" s="46"/>
    </row>
    <row r="619" spans="1:33" ht="13.5" customHeight="1">
      <c r="A619" s="46"/>
      <c r="B619" s="46"/>
      <c r="C619" s="41"/>
      <c r="D619" s="42"/>
      <c r="E619" s="42"/>
      <c r="F619" s="42"/>
      <c r="G619" s="43"/>
      <c r="H619" s="43"/>
      <c r="I619" s="43"/>
      <c r="J619" s="43"/>
      <c r="K619" s="43"/>
      <c r="L619" s="43"/>
      <c r="M619" s="43"/>
      <c r="N619" s="43"/>
      <c r="O619" s="43"/>
      <c r="P619" s="41"/>
      <c r="Q619" s="41"/>
      <c r="R619" s="41"/>
      <c r="S619" s="44"/>
      <c r="T619" s="45"/>
      <c r="U619" s="45"/>
      <c r="V619" s="45"/>
      <c r="W619" s="45"/>
      <c r="X619" s="46"/>
      <c r="Y619" s="46"/>
      <c r="Z619" s="46"/>
      <c r="AA619" s="46"/>
      <c r="AB619" s="46"/>
      <c r="AC619" s="46"/>
      <c r="AD619" s="46"/>
      <c r="AE619" s="46"/>
      <c r="AF619" s="46"/>
      <c r="AG619" s="46"/>
    </row>
    <row r="620" spans="1:33" ht="13.5" customHeight="1">
      <c r="A620" s="46"/>
      <c r="B620" s="46"/>
      <c r="C620" s="41"/>
      <c r="D620" s="42"/>
      <c r="E620" s="42"/>
      <c r="F620" s="42"/>
      <c r="G620" s="43"/>
      <c r="H620" s="43"/>
      <c r="I620" s="43"/>
      <c r="J620" s="43"/>
      <c r="K620" s="43"/>
      <c r="L620" s="43"/>
      <c r="M620" s="43"/>
      <c r="N620" s="43"/>
      <c r="O620" s="43"/>
      <c r="P620" s="41"/>
      <c r="Q620" s="41"/>
      <c r="R620" s="41"/>
      <c r="S620" s="44"/>
      <c r="T620" s="45"/>
      <c r="U620" s="45"/>
      <c r="V620" s="45"/>
      <c r="W620" s="45"/>
      <c r="X620" s="46"/>
      <c r="Y620" s="46"/>
      <c r="Z620" s="46"/>
      <c r="AA620" s="46"/>
      <c r="AB620" s="46"/>
      <c r="AC620" s="46"/>
      <c r="AD620" s="46"/>
      <c r="AE620" s="46"/>
      <c r="AF620" s="46"/>
      <c r="AG620" s="46"/>
    </row>
    <row r="621" spans="1:33" ht="13.5" customHeight="1">
      <c r="A621" s="46"/>
      <c r="B621" s="46"/>
      <c r="C621" s="41"/>
      <c r="D621" s="42"/>
      <c r="E621" s="42"/>
      <c r="F621" s="42"/>
      <c r="G621" s="43"/>
      <c r="H621" s="43"/>
      <c r="I621" s="43"/>
      <c r="J621" s="43"/>
      <c r="K621" s="43"/>
      <c r="L621" s="43"/>
      <c r="M621" s="43"/>
      <c r="N621" s="43"/>
      <c r="O621" s="43"/>
      <c r="P621" s="41"/>
      <c r="Q621" s="41"/>
      <c r="R621" s="41"/>
      <c r="S621" s="44"/>
      <c r="T621" s="45"/>
      <c r="U621" s="45"/>
      <c r="V621" s="45"/>
      <c r="W621" s="45"/>
      <c r="X621" s="46"/>
      <c r="Y621" s="46"/>
      <c r="Z621" s="46"/>
      <c r="AA621" s="46"/>
      <c r="AB621" s="46"/>
      <c r="AC621" s="46"/>
      <c r="AD621" s="46"/>
      <c r="AE621" s="46"/>
      <c r="AF621" s="46"/>
      <c r="AG621" s="46"/>
    </row>
    <row r="622" spans="1:33" ht="13.5" customHeight="1">
      <c r="A622" s="46"/>
      <c r="B622" s="46"/>
      <c r="C622" s="41"/>
      <c r="D622" s="42"/>
      <c r="E622" s="42"/>
      <c r="F622" s="42"/>
      <c r="G622" s="43"/>
      <c r="H622" s="43"/>
      <c r="I622" s="43"/>
      <c r="J622" s="43"/>
      <c r="K622" s="43"/>
      <c r="L622" s="43"/>
      <c r="M622" s="43"/>
      <c r="N622" s="43"/>
      <c r="O622" s="43"/>
      <c r="P622" s="41"/>
      <c r="Q622" s="41"/>
      <c r="R622" s="41"/>
      <c r="S622" s="44"/>
      <c r="T622" s="45"/>
      <c r="U622" s="45"/>
      <c r="V622" s="45"/>
      <c r="W622" s="45"/>
      <c r="X622" s="46"/>
      <c r="Y622" s="46"/>
      <c r="Z622" s="46"/>
      <c r="AA622" s="46"/>
      <c r="AB622" s="46"/>
      <c r="AC622" s="46"/>
      <c r="AD622" s="46"/>
      <c r="AE622" s="46"/>
      <c r="AF622" s="46"/>
      <c r="AG622" s="46"/>
    </row>
    <row r="623" spans="1:33" ht="13.5" customHeight="1">
      <c r="A623" s="46"/>
      <c r="B623" s="46"/>
      <c r="C623" s="41"/>
      <c r="D623" s="42"/>
      <c r="E623" s="42"/>
      <c r="F623" s="42"/>
      <c r="G623" s="43"/>
      <c r="H623" s="43"/>
      <c r="I623" s="43"/>
      <c r="J623" s="43"/>
      <c r="K623" s="43"/>
      <c r="L623" s="43"/>
      <c r="M623" s="43"/>
      <c r="N623" s="43"/>
      <c r="O623" s="43"/>
      <c r="P623" s="41"/>
      <c r="Q623" s="41"/>
      <c r="R623" s="41"/>
      <c r="S623" s="44"/>
      <c r="T623" s="45"/>
      <c r="U623" s="45"/>
      <c r="V623" s="45"/>
      <c r="W623" s="45"/>
      <c r="X623" s="46"/>
      <c r="Y623" s="46"/>
      <c r="Z623" s="46"/>
      <c r="AA623" s="46"/>
      <c r="AB623" s="46"/>
      <c r="AC623" s="46"/>
      <c r="AD623" s="46"/>
      <c r="AE623" s="46"/>
      <c r="AF623" s="46"/>
      <c r="AG623" s="46"/>
    </row>
    <row r="624" spans="1:33" ht="13.5" customHeight="1">
      <c r="A624" s="46"/>
      <c r="B624" s="46"/>
      <c r="C624" s="41"/>
      <c r="D624" s="42"/>
      <c r="E624" s="42"/>
      <c r="F624" s="42"/>
      <c r="G624" s="43"/>
      <c r="H624" s="43"/>
      <c r="I624" s="43"/>
      <c r="J624" s="43"/>
      <c r="K624" s="43"/>
      <c r="L624" s="43"/>
      <c r="M624" s="43"/>
      <c r="N624" s="43"/>
      <c r="O624" s="43"/>
      <c r="P624" s="41"/>
      <c r="Q624" s="41"/>
      <c r="R624" s="41"/>
      <c r="S624" s="44"/>
      <c r="T624" s="45"/>
      <c r="U624" s="45"/>
      <c r="V624" s="45"/>
      <c r="W624" s="45"/>
      <c r="X624" s="46"/>
      <c r="Y624" s="46"/>
      <c r="Z624" s="46"/>
      <c r="AA624" s="46"/>
      <c r="AB624" s="46"/>
      <c r="AC624" s="46"/>
      <c r="AD624" s="46"/>
      <c r="AE624" s="46"/>
      <c r="AF624" s="46"/>
      <c r="AG624" s="46"/>
    </row>
    <row r="625" spans="1:33" ht="13.5" customHeight="1">
      <c r="A625" s="46"/>
      <c r="B625" s="46"/>
      <c r="C625" s="41"/>
      <c r="D625" s="42"/>
      <c r="E625" s="42"/>
      <c r="F625" s="42"/>
      <c r="G625" s="43"/>
      <c r="H625" s="43"/>
      <c r="I625" s="43"/>
      <c r="J625" s="43"/>
      <c r="K625" s="43"/>
      <c r="L625" s="43"/>
      <c r="M625" s="43"/>
      <c r="N625" s="43"/>
      <c r="O625" s="43"/>
      <c r="P625" s="41"/>
      <c r="Q625" s="41"/>
      <c r="R625" s="41"/>
      <c r="S625" s="44"/>
      <c r="T625" s="45"/>
      <c r="U625" s="45"/>
      <c r="V625" s="45"/>
      <c r="W625" s="45"/>
      <c r="X625" s="46"/>
      <c r="Y625" s="46"/>
      <c r="Z625" s="46"/>
      <c r="AA625" s="46"/>
      <c r="AB625" s="46"/>
      <c r="AC625" s="46"/>
      <c r="AD625" s="46"/>
      <c r="AE625" s="46"/>
      <c r="AF625" s="46"/>
      <c r="AG625" s="46"/>
    </row>
    <row r="626" spans="1:33" ht="13.5" customHeight="1">
      <c r="A626" s="46"/>
      <c r="B626" s="46"/>
      <c r="C626" s="41"/>
      <c r="D626" s="42"/>
      <c r="E626" s="42"/>
      <c r="F626" s="42"/>
      <c r="G626" s="43"/>
      <c r="H626" s="43"/>
      <c r="I626" s="43"/>
      <c r="J626" s="43"/>
      <c r="K626" s="43"/>
      <c r="L626" s="43"/>
      <c r="M626" s="43"/>
      <c r="N626" s="43"/>
      <c r="O626" s="43"/>
      <c r="P626" s="41"/>
      <c r="Q626" s="41"/>
      <c r="R626" s="41"/>
      <c r="S626" s="44"/>
      <c r="T626" s="45"/>
      <c r="U626" s="45"/>
      <c r="V626" s="45"/>
      <c r="W626" s="45"/>
      <c r="X626" s="46"/>
      <c r="Y626" s="46"/>
      <c r="Z626" s="46"/>
      <c r="AA626" s="46"/>
      <c r="AB626" s="46"/>
      <c r="AC626" s="46"/>
      <c r="AD626" s="46"/>
      <c r="AE626" s="46"/>
      <c r="AF626" s="46"/>
      <c r="AG626" s="46"/>
    </row>
    <row r="627" spans="1:33" ht="13.5" customHeight="1">
      <c r="A627" s="46"/>
      <c r="B627" s="46"/>
      <c r="C627" s="41"/>
      <c r="D627" s="42"/>
      <c r="E627" s="42"/>
      <c r="F627" s="42"/>
      <c r="G627" s="43"/>
      <c r="H627" s="43"/>
      <c r="I627" s="43"/>
      <c r="J627" s="43"/>
      <c r="K627" s="43"/>
      <c r="L627" s="43"/>
      <c r="M627" s="43"/>
      <c r="N627" s="43"/>
      <c r="O627" s="43"/>
      <c r="P627" s="41"/>
      <c r="Q627" s="41"/>
      <c r="R627" s="41"/>
      <c r="S627" s="44"/>
      <c r="T627" s="45"/>
      <c r="U627" s="45"/>
      <c r="V627" s="45"/>
      <c r="W627" s="45"/>
      <c r="X627" s="46"/>
      <c r="Y627" s="46"/>
      <c r="Z627" s="46"/>
      <c r="AA627" s="46"/>
      <c r="AB627" s="46"/>
      <c r="AC627" s="46"/>
      <c r="AD627" s="46"/>
      <c r="AE627" s="46"/>
      <c r="AF627" s="46"/>
      <c r="AG627" s="46"/>
    </row>
    <row r="628" spans="1:33" ht="13.5" customHeight="1">
      <c r="A628" s="46"/>
      <c r="B628" s="46"/>
      <c r="C628" s="41"/>
      <c r="D628" s="42"/>
      <c r="E628" s="42"/>
      <c r="F628" s="42"/>
      <c r="G628" s="43"/>
      <c r="H628" s="43"/>
      <c r="I628" s="43"/>
      <c r="J628" s="43"/>
      <c r="K628" s="43"/>
      <c r="L628" s="43"/>
      <c r="M628" s="43"/>
      <c r="N628" s="43"/>
      <c r="O628" s="43"/>
      <c r="P628" s="41"/>
      <c r="Q628" s="41"/>
      <c r="R628" s="41"/>
      <c r="S628" s="44"/>
      <c r="T628" s="45"/>
      <c r="U628" s="45"/>
      <c r="V628" s="45"/>
      <c r="W628" s="45"/>
      <c r="X628" s="46"/>
      <c r="Y628" s="46"/>
      <c r="Z628" s="46"/>
      <c r="AA628" s="46"/>
      <c r="AB628" s="46"/>
      <c r="AC628" s="46"/>
      <c r="AD628" s="46"/>
      <c r="AE628" s="46"/>
      <c r="AF628" s="46"/>
      <c r="AG628" s="46"/>
    </row>
    <row r="629" spans="1:33" ht="13.5" customHeight="1">
      <c r="A629" s="46"/>
      <c r="B629" s="46"/>
      <c r="C629" s="41"/>
      <c r="D629" s="42"/>
      <c r="E629" s="42"/>
      <c r="F629" s="42"/>
      <c r="G629" s="43"/>
      <c r="H629" s="43"/>
      <c r="I629" s="43"/>
      <c r="J629" s="43"/>
      <c r="K629" s="43"/>
      <c r="L629" s="43"/>
      <c r="M629" s="43"/>
      <c r="N629" s="43"/>
      <c r="O629" s="43"/>
      <c r="P629" s="41"/>
      <c r="Q629" s="41"/>
      <c r="R629" s="41"/>
      <c r="S629" s="44"/>
      <c r="T629" s="45"/>
      <c r="U629" s="45"/>
      <c r="V629" s="45"/>
      <c r="W629" s="45"/>
      <c r="X629" s="46"/>
      <c r="Y629" s="46"/>
      <c r="Z629" s="46"/>
      <c r="AA629" s="46"/>
      <c r="AB629" s="46"/>
      <c r="AC629" s="46"/>
      <c r="AD629" s="46"/>
      <c r="AE629" s="46"/>
      <c r="AF629" s="46"/>
      <c r="AG629" s="46"/>
    </row>
    <row r="630" spans="1:33" ht="13.5" customHeight="1">
      <c r="A630" s="46"/>
      <c r="B630" s="46"/>
      <c r="C630" s="41"/>
      <c r="D630" s="42"/>
      <c r="E630" s="42"/>
      <c r="F630" s="42"/>
      <c r="G630" s="43"/>
      <c r="H630" s="43"/>
      <c r="I630" s="43"/>
      <c r="J630" s="43"/>
      <c r="K630" s="43"/>
      <c r="L630" s="43"/>
      <c r="M630" s="43"/>
      <c r="N630" s="43"/>
      <c r="O630" s="43"/>
      <c r="P630" s="41"/>
      <c r="Q630" s="41"/>
      <c r="R630" s="41"/>
      <c r="S630" s="44"/>
      <c r="T630" s="45"/>
      <c r="U630" s="45"/>
      <c r="V630" s="45"/>
      <c r="W630" s="45"/>
      <c r="X630" s="46"/>
      <c r="Y630" s="46"/>
      <c r="Z630" s="46"/>
      <c r="AA630" s="46"/>
      <c r="AB630" s="46"/>
      <c r="AC630" s="46"/>
      <c r="AD630" s="46"/>
      <c r="AE630" s="46"/>
      <c r="AF630" s="46"/>
      <c r="AG630" s="46"/>
    </row>
    <row r="631" spans="1:33" ht="13.5" customHeight="1">
      <c r="A631" s="46"/>
      <c r="B631" s="46"/>
      <c r="C631" s="41"/>
      <c r="D631" s="42"/>
      <c r="E631" s="42"/>
      <c r="F631" s="42"/>
      <c r="G631" s="43"/>
      <c r="H631" s="43"/>
      <c r="I631" s="43"/>
      <c r="J631" s="43"/>
      <c r="K631" s="43"/>
      <c r="L631" s="43"/>
      <c r="M631" s="43"/>
      <c r="N631" s="43"/>
      <c r="O631" s="43"/>
      <c r="P631" s="41"/>
      <c r="Q631" s="41"/>
      <c r="R631" s="41"/>
      <c r="S631" s="44"/>
      <c r="T631" s="45"/>
      <c r="U631" s="45"/>
      <c r="V631" s="45"/>
      <c r="W631" s="45"/>
      <c r="X631" s="46"/>
      <c r="Y631" s="46"/>
      <c r="Z631" s="46"/>
      <c r="AA631" s="46"/>
      <c r="AB631" s="46"/>
      <c r="AC631" s="46"/>
      <c r="AD631" s="46"/>
      <c r="AE631" s="46"/>
      <c r="AF631" s="46"/>
      <c r="AG631" s="46"/>
    </row>
    <row r="632" spans="1:33" ht="13.5" customHeight="1">
      <c r="A632" s="46"/>
      <c r="B632" s="46"/>
      <c r="C632" s="41"/>
      <c r="D632" s="42"/>
      <c r="E632" s="42"/>
      <c r="F632" s="42"/>
      <c r="G632" s="43"/>
      <c r="H632" s="43"/>
      <c r="I632" s="43"/>
      <c r="J632" s="43"/>
      <c r="K632" s="43"/>
      <c r="L632" s="43"/>
      <c r="M632" s="43"/>
      <c r="N632" s="43"/>
      <c r="O632" s="43"/>
      <c r="P632" s="41"/>
      <c r="Q632" s="41"/>
      <c r="R632" s="41"/>
      <c r="S632" s="44"/>
      <c r="T632" s="45"/>
      <c r="U632" s="45"/>
      <c r="V632" s="45"/>
      <c r="W632" s="45"/>
      <c r="X632" s="46"/>
      <c r="Y632" s="46"/>
      <c r="Z632" s="46"/>
      <c r="AA632" s="46"/>
      <c r="AB632" s="46"/>
      <c r="AC632" s="46"/>
      <c r="AD632" s="46"/>
      <c r="AE632" s="46"/>
      <c r="AF632" s="46"/>
      <c r="AG632" s="46"/>
    </row>
    <row r="633" spans="1:33" ht="13.5" customHeight="1">
      <c r="A633" s="46"/>
      <c r="B633" s="46"/>
      <c r="C633" s="41"/>
      <c r="D633" s="42"/>
      <c r="E633" s="42"/>
      <c r="F633" s="42"/>
      <c r="G633" s="43"/>
      <c r="H633" s="43"/>
      <c r="I633" s="43"/>
      <c r="J633" s="43"/>
      <c r="K633" s="43"/>
      <c r="L633" s="43"/>
      <c r="M633" s="43"/>
      <c r="N633" s="43"/>
      <c r="O633" s="43"/>
      <c r="P633" s="41"/>
      <c r="Q633" s="41"/>
      <c r="R633" s="41"/>
      <c r="S633" s="44"/>
      <c r="T633" s="45"/>
      <c r="U633" s="45"/>
      <c r="V633" s="45"/>
      <c r="W633" s="45"/>
      <c r="X633" s="46"/>
      <c r="Y633" s="46"/>
      <c r="Z633" s="46"/>
      <c r="AA633" s="46"/>
      <c r="AB633" s="46"/>
      <c r="AC633" s="46"/>
      <c r="AD633" s="46"/>
      <c r="AE633" s="46"/>
      <c r="AF633" s="46"/>
      <c r="AG633" s="46"/>
    </row>
    <row r="634" spans="1:33" ht="13.5" customHeight="1">
      <c r="A634" s="46"/>
      <c r="B634" s="46"/>
      <c r="C634" s="41"/>
      <c r="D634" s="42"/>
      <c r="E634" s="42"/>
      <c r="F634" s="42"/>
      <c r="G634" s="43"/>
      <c r="H634" s="43"/>
      <c r="I634" s="43"/>
      <c r="J634" s="43"/>
      <c r="K634" s="43"/>
      <c r="L634" s="43"/>
      <c r="M634" s="43"/>
      <c r="N634" s="43"/>
      <c r="O634" s="43"/>
      <c r="P634" s="41"/>
      <c r="Q634" s="41"/>
      <c r="R634" s="41"/>
      <c r="S634" s="44"/>
      <c r="T634" s="45"/>
      <c r="U634" s="45"/>
      <c r="V634" s="45"/>
      <c r="W634" s="45"/>
      <c r="X634" s="46"/>
      <c r="Y634" s="46"/>
      <c r="Z634" s="46"/>
      <c r="AA634" s="46"/>
      <c r="AB634" s="46"/>
      <c r="AC634" s="46"/>
      <c r="AD634" s="46"/>
      <c r="AE634" s="46"/>
      <c r="AF634" s="46"/>
      <c r="AG634" s="46"/>
    </row>
    <row r="635" spans="1:33" ht="13.5" customHeight="1">
      <c r="A635" s="46"/>
      <c r="B635" s="46"/>
      <c r="C635" s="41"/>
      <c r="D635" s="42"/>
      <c r="E635" s="42"/>
      <c r="F635" s="42"/>
      <c r="G635" s="43"/>
      <c r="H635" s="43"/>
      <c r="I635" s="43"/>
      <c r="J635" s="43"/>
      <c r="K635" s="43"/>
      <c r="L635" s="43"/>
      <c r="M635" s="43"/>
      <c r="N635" s="43"/>
      <c r="O635" s="43"/>
      <c r="P635" s="41"/>
      <c r="Q635" s="41"/>
      <c r="R635" s="41"/>
      <c r="S635" s="44"/>
      <c r="T635" s="45"/>
      <c r="U635" s="45"/>
      <c r="V635" s="45"/>
      <c r="W635" s="45"/>
      <c r="X635" s="46"/>
      <c r="Y635" s="46"/>
      <c r="Z635" s="46"/>
      <c r="AA635" s="46"/>
      <c r="AB635" s="46"/>
      <c r="AC635" s="46"/>
      <c r="AD635" s="46"/>
      <c r="AE635" s="46"/>
      <c r="AF635" s="46"/>
      <c r="AG635" s="46"/>
    </row>
    <row r="636" spans="1:33" ht="13.5" customHeight="1">
      <c r="A636" s="46"/>
      <c r="B636" s="46"/>
      <c r="C636" s="41"/>
      <c r="D636" s="42"/>
      <c r="E636" s="42"/>
      <c r="F636" s="42"/>
      <c r="G636" s="43"/>
      <c r="H636" s="43"/>
      <c r="I636" s="43"/>
      <c r="J636" s="43"/>
      <c r="K636" s="43"/>
      <c r="L636" s="43"/>
      <c r="M636" s="43"/>
      <c r="N636" s="43"/>
      <c r="O636" s="43"/>
      <c r="P636" s="41"/>
      <c r="Q636" s="41"/>
      <c r="R636" s="41"/>
      <c r="S636" s="44"/>
      <c r="T636" s="45"/>
      <c r="U636" s="45"/>
      <c r="V636" s="45"/>
      <c r="W636" s="45"/>
      <c r="X636" s="46"/>
      <c r="Y636" s="46"/>
      <c r="Z636" s="46"/>
      <c r="AA636" s="46"/>
      <c r="AB636" s="46"/>
      <c r="AC636" s="46"/>
      <c r="AD636" s="46"/>
      <c r="AE636" s="46"/>
      <c r="AF636" s="46"/>
      <c r="AG636" s="46"/>
    </row>
    <row r="637" spans="1:33" ht="13.5" customHeight="1">
      <c r="A637" s="46"/>
      <c r="B637" s="46"/>
      <c r="C637" s="41"/>
      <c r="D637" s="42"/>
      <c r="E637" s="42"/>
      <c r="F637" s="42"/>
      <c r="G637" s="43"/>
      <c r="H637" s="43"/>
      <c r="I637" s="43"/>
      <c r="J637" s="43"/>
      <c r="K637" s="43"/>
      <c r="L637" s="43"/>
      <c r="M637" s="43"/>
      <c r="N637" s="43"/>
      <c r="O637" s="43"/>
      <c r="P637" s="41"/>
      <c r="Q637" s="41"/>
      <c r="R637" s="41"/>
      <c r="S637" s="44"/>
      <c r="T637" s="45"/>
      <c r="U637" s="45"/>
      <c r="V637" s="45"/>
      <c r="W637" s="45"/>
      <c r="X637" s="46"/>
      <c r="Y637" s="46"/>
      <c r="Z637" s="46"/>
      <c r="AA637" s="46"/>
      <c r="AB637" s="46"/>
      <c r="AC637" s="46"/>
      <c r="AD637" s="46"/>
      <c r="AE637" s="46"/>
      <c r="AF637" s="46"/>
      <c r="AG637" s="46"/>
    </row>
    <row r="638" spans="1:33" ht="13.5" customHeight="1">
      <c r="A638" s="46"/>
      <c r="B638" s="46"/>
      <c r="C638" s="41"/>
      <c r="D638" s="42"/>
      <c r="E638" s="42"/>
      <c r="F638" s="42"/>
      <c r="G638" s="43"/>
      <c r="H638" s="43"/>
      <c r="I638" s="43"/>
      <c r="J638" s="43"/>
      <c r="K638" s="43"/>
      <c r="L638" s="43"/>
      <c r="M638" s="43"/>
      <c r="N638" s="43"/>
      <c r="O638" s="43"/>
      <c r="P638" s="41"/>
      <c r="Q638" s="41"/>
      <c r="R638" s="41"/>
      <c r="S638" s="44"/>
      <c r="T638" s="45"/>
      <c r="U638" s="45"/>
      <c r="V638" s="45"/>
      <c r="W638" s="45"/>
      <c r="X638" s="46"/>
      <c r="Y638" s="46"/>
      <c r="Z638" s="46"/>
      <c r="AA638" s="46"/>
      <c r="AB638" s="46"/>
      <c r="AC638" s="46"/>
      <c r="AD638" s="46"/>
      <c r="AE638" s="46"/>
      <c r="AF638" s="46"/>
      <c r="AG638" s="46"/>
    </row>
    <row r="639" spans="1:33" ht="13.5" customHeight="1">
      <c r="A639" s="46"/>
      <c r="B639" s="46"/>
      <c r="C639" s="41"/>
      <c r="D639" s="42"/>
      <c r="E639" s="42"/>
      <c r="F639" s="42"/>
      <c r="G639" s="43"/>
      <c r="H639" s="43"/>
      <c r="I639" s="43"/>
      <c r="J639" s="43"/>
      <c r="K639" s="43"/>
      <c r="L639" s="43"/>
      <c r="M639" s="43"/>
      <c r="N639" s="43"/>
      <c r="O639" s="43"/>
      <c r="P639" s="41"/>
      <c r="Q639" s="41"/>
      <c r="R639" s="41"/>
      <c r="S639" s="44"/>
      <c r="T639" s="45"/>
      <c r="U639" s="45"/>
      <c r="V639" s="45"/>
      <c r="W639" s="45"/>
      <c r="X639" s="46"/>
      <c r="Y639" s="46"/>
      <c r="Z639" s="46"/>
      <c r="AA639" s="46"/>
      <c r="AB639" s="46"/>
      <c r="AC639" s="46"/>
      <c r="AD639" s="46"/>
      <c r="AE639" s="46"/>
      <c r="AF639" s="46"/>
      <c r="AG639" s="46"/>
    </row>
    <row r="640" spans="1:33" ht="13.5" customHeight="1">
      <c r="A640" s="46"/>
      <c r="B640" s="46"/>
      <c r="C640" s="41"/>
      <c r="D640" s="42"/>
      <c r="E640" s="42"/>
      <c r="F640" s="42"/>
      <c r="G640" s="43"/>
      <c r="H640" s="43"/>
      <c r="I640" s="43"/>
      <c r="J640" s="43"/>
      <c r="K640" s="43"/>
      <c r="L640" s="43"/>
      <c r="M640" s="43"/>
      <c r="N640" s="43"/>
      <c r="O640" s="43"/>
      <c r="P640" s="41"/>
      <c r="Q640" s="41"/>
      <c r="R640" s="41"/>
      <c r="S640" s="44"/>
      <c r="T640" s="45"/>
      <c r="U640" s="45"/>
      <c r="V640" s="45"/>
      <c r="W640" s="45"/>
      <c r="X640" s="46"/>
      <c r="Y640" s="46"/>
      <c r="Z640" s="46"/>
      <c r="AA640" s="46"/>
      <c r="AB640" s="46"/>
      <c r="AC640" s="46"/>
      <c r="AD640" s="46"/>
      <c r="AE640" s="46"/>
      <c r="AF640" s="46"/>
      <c r="AG640" s="46"/>
    </row>
    <row r="641" spans="1:33" ht="13.5" customHeight="1">
      <c r="A641" s="46"/>
      <c r="B641" s="46"/>
      <c r="C641" s="41"/>
      <c r="D641" s="42"/>
      <c r="E641" s="42"/>
      <c r="F641" s="42"/>
      <c r="G641" s="43"/>
      <c r="H641" s="43"/>
      <c r="I641" s="43"/>
      <c r="J641" s="43"/>
      <c r="K641" s="43"/>
      <c r="L641" s="43"/>
      <c r="M641" s="43"/>
      <c r="N641" s="43"/>
      <c r="O641" s="43"/>
      <c r="P641" s="41"/>
      <c r="Q641" s="41"/>
      <c r="R641" s="41"/>
      <c r="S641" s="44"/>
      <c r="T641" s="45"/>
      <c r="U641" s="45"/>
      <c r="V641" s="45"/>
      <c r="W641" s="45"/>
      <c r="X641" s="46"/>
      <c r="Y641" s="46"/>
      <c r="Z641" s="46"/>
      <c r="AA641" s="46"/>
      <c r="AB641" s="46"/>
      <c r="AC641" s="46"/>
      <c r="AD641" s="46"/>
      <c r="AE641" s="46"/>
      <c r="AF641" s="46"/>
      <c r="AG641" s="46"/>
    </row>
    <row r="642" spans="1:33" ht="13.5" customHeight="1">
      <c r="A642" s="46"/>
      <c r="B642" s="46"/>
      <c r="C642" s="41"/>
      <c r="D642" s="42"/>
      <c r="E642" s="42"/>
      <c r="F642" s="42"/>
      <c r="G642" s="43"/>
      <c r="H642" s="43"/>
      <c r="I642" s="43"/>
      <c r="J642" s="43"/>
      <c r="K642" s="43"/>
      <c r="L642" s="43"/>
      <c r="M642" s="43"/>
      <c r="N642" s="43"/>
      <c r="O642" s="43"/>
      <c r="P642" s="41"/>
      <c r="Q642" s="41"/>
      <c r="R642" s="41"/>
      <c r="S642" s="44"/>
      <c r="T642" s="45"/>
      <c r="U642" s="45"/>
      <c r="V642" s="45"/>
      <c r="W642" s="45"/>
      <c r="X642" s="46"/>
      <c r="Y642" s="46"/>
      <c r="Z642" s="46"/>
      <c r="AA642" s="46"/>
      <c r="AB642" s="46"/>
      <c r="AC642" s="46"/>
      <c r="AD642" s="46"/>
      <c r="AE642" s="46"/>
      <c r="AF642" s="46"/>
      <c r="AG642" s="46"/>
    </row>
    <row r="643" spans="1:33" ht="13.5" customHeight="1">
      <c r="A643" s="46"/>
      <c r="B643" s="46"/>
      <c r="C643" s="41"/>
      <c r="D643" s="42"/>
      <c r="E643" s="42"/>
      <c r="F643" s="42"/>
      <c r="G643" s="43"/>
      <c r="H643" s="43"/>
      <c r="I643" s="43"/>
      <c r="J643" s="43"/>
      <c r="K643" s="43"/>
      <c r="L643" s="43"/>
      <c r="M643" s="43"/>
      <c r="N643" s="43"/>
      <c r="O643" s="43"/>
      <c r="P643" s="41"/>
      <c r="Q643" s="41"/>
      <c r="R643" s="41"/>
      <c r="S643" s="44"/>
      <c r="T643" s="45"/>
      <c r="U643" s="45"/>
      <c r="V643" s="45"/>
      <c r="W643" s="45"/>
      <c r="X643" s="46"/>
      <c r="Y643" s="46"/>
      <c r="Z643" s="46"/>
      <c r="AA643" s="46"/>
      <c r="AB643" s="46"/>
      <c r="AC643" s="46"/>
      <c r="AD643" s="46"/>
      <c r="AE643" s="46"/>
      <c r="AF643" s="46"/>
      <c r="AG643" s="46"/>
    </row>
    <row r="644" spans="1:33" ht="13.5" customHeight="1">
      <c r="A644" s="46"/>
      <c r="B644" s="46"/>
      <c r="C644" s="41"/>
      <c r="D644" s="42"/>
      <c r="E644" s="42"/>
      <c r="F644" s="42"/>
      <c r="G644" s="43"/>
      <c r="H644" s="43"/>
      <c r="I644" s="43"/>
      <c r="J644" s="43"/>
      <c r="K644" s="43"/>
      <c r="L644" s="43"/>
      <c r="M644" s="43"/>
      <c r="N644" s="43"/>
      <c r="O644" s="43"/>
      <c r="P644" s="41"/>
      <c r="Q644" s="41"/>
      <c r="R644" s="41"/>
      <c r="S644" s="44"/>
      <c r="T644" s="45"/>
      <c r="U644" s="45"/>
      <c r="V644" s="45"/>
      <c r="W644" s="45"/>
      <c r="X644" s="46"/>
      <c r="Y644" s="46"/>
      <c r="Z644" s="46"/>
      <c r="AA644" s="46"/>
      <c r="AB644" s="46"/>
      <c r="AC644" s="46"/>
      <c r="AD644" s="46"/>
      <c r="AE644" s="46"/>
      <c r="AF644" s="46"/>
      <c r="AG644" s="46"/>
    </row>
    <row r="645" spans="1:33" ht="13.5" customHeight="1">
      <c r="A645" s="46"/>
      <c r="B645" s="46"/>
      <c r="C645" s="41"/>
      <c r="D645" s="42"/>
      <c r="E645" s="42"/>
      <c r="F645" s="42"/>
      <c r="G645" s="43"/>
      <c r="H645" s="43"/>
      <c r="I645" s="43"/>
      <c r="J645" s="43"/>
      <c r="K645" s="43"/>
      <c r="L645" s="43"/>
      <c r="M645" s="43"/>
      <c r="N645" s="43"/>
      <c r="O645" s="43"/>
      <c r="P645" s="41"/>
      <c r="Q645" s="41"/>
      <c r="R645" s="41"/>
      <c r="S645" s="44"/>
      <c r="T645" s="45"/>
      <c r="U645" s="45"/>
      <c r="V645" s="45"/>
      <c r="W645" s="45"/>
      <c r="X645" s="46"/>
      <c r="Y645" s="46"/>
      <c r="Z645" s="46"/>
      <c r="AA645" s="46"/>
      <c r="AB645" s="46"/>
      <c r="AC645" s="46"/>
      <c r="AD645" s="46"/>
      <c r="AE645" s="46"/>
      <c r="AF645" s="46"/>
      <c r="AG645" s="46"/>
    </row>
    <row r="646" spans="1:33" ht="13.5" customHeight="1">
      <c r="A646" s="46"/>
      <c r="B646" s="46"/>
      <c r="C646" s="41"/>
      <c r="D646" s="42"/>
      <c r="E646" s="42"/>
      <c r="F646" s="42"/>
      <c r="G646" s="43"/>
      <c r="H646" s="43"/>
      <c r="I646" s="43"/>
      <c r="J646" s="43"/>
      <c r="K646" s="43"/>
      <c r="L646" s="43"/>
      <c r="M646" s="43"/>
      <c r="N646" s="43"/>
      <c r="O646" s="43"/>
      <c r="P646" s="41"/>
      <c r="Q646" s="41"/>
      <c r="R646" s="41"/>
      <c r="S646" s="44"/>
      <c r="T646" s="45"/>
      <c r="U646" s="45"/>
      <c r="V646" s="45"/>
      <c r="W646" s="45"/>
      <c r="X646" s="46"/>
      <c r="Y646" s="46"/>
      <c r="Z646" s="46"/>
      <c r="AA646" s="46"/>
      <c r="AB646" s="46"/>
      <c r="AC646" s="46"/>
      <c r="AD646" s="46"/>
      <c r="AE646" s="46"/>
      <c r="AF646" s="46"/>
      <c r="AG646" s="46"/>
    </row>
    <row r="647" spans="1:33" ht="13.5" customHeight="1">
      <c r="A647" s="46"/>
      <c r="B647" s="46"/>
      <c r="C647" s="41"/>
      <c r="D647" s="42"/>
      <c r="E647" s="42"/>
      <c r="F647" s="42"/>
      <c r="G647" s="43"/>
      <c r="H647" s="43"/>
      <c r="I647" s="43"/>
      <c r="J647" s="43"/>
      <c r="K647" s="43"/>
      <c r="L647" s="43"/>
      <c r="M647" s="43"/>
      <c r="N647" s="43"/>
      <c r="O647" s="43"/>
      <c r="P647" s="41"/>
      <c r="Q647" s="41"/>
      <c r="R647" s="41"/>
      <c r="S647" s="44"/>
      <c r="T647" s="45"/>
      <c r="U647" s="45"/>
      <c r="V647" s="45"/>
      <c r="W647" s="45"/>
      <c r="X647" s="46"/>
      <c r="Y647" s="46"/>
      <c r="Z647" s="46"/>
      <c r="AA647" s="46"/>
      <c r="AB647" s="46"/>
      <c r="AC647" s="46"/>
      <c r="AD647" s="46"/>
      <c r="AE647" s="46"/>
      <c r="AF647" s="46"/>
      <c r="AG647" s="46"/>
    </row>
    <row r="648" spans="1:33" ht="13.5" customHeight="1">
      <c r="A648" s="46"/>
      <c r="B648" s="46"/>
      <c r="C648" s="41"/>
      <c r="D648" s="42"/>
      <c r="E648" s="42"/>
      <c r="F648" s="42"/>
      <c r="G648" s="43"/>
      <c r="H648" s="43"/>
      <c r="I648" s="43"/>
      <c r="J648" s="43"/>
      <c r="K648" s="43"/>
      <c r="L648" s="43"/>
      <c r="M648" s="43"/>
      <c r="N648" s="43"/>
      <c r="O648" s="43"/>
      <c r="P648" s="41"/>
      <c r="Q648" s="41"/>
      <c r="R648" s="41"/>
      <c r="S648" s="44"/>
      <c r="T648" s="45"/>
      <c r="U648" s="45"/>
      <c r="V648" s="45"/>
      <c r="W648" s="45"/>
      <c r="X648" s="46"/>
      <c r="Y648" s="46"/>
      <c r="Z648" s="46"/>
      <c r="AA648" s="46"/>
      <c r="AB648" s="46"/>
      <c r="AC648" s="46"/>
      <c r="AD648" s="46"/>
      <c r="AE648" s="46"/>
      <c r="AF648" s="46"/>
      <c r="AG648" s="46"/>
    </row>
    <row r="649" spans="1:33" ht="13.5" customHeight="1">
      <c r="A649" s="46"/>
      <c r="B649" s="46"/>
      <c r="C649" s="41"/>
      <c r="D649" s="42"/>
      <c r="E649" s="42"/>
      <c r="F649" s="42"/>
      <c r="G649" s="43"/>
      <c r="H649" s="43"/>
      <c r="I649" s="43"/>
      <c r="J649" s="43"/>
      <c r="K649" s="43"/>
      <c r="L649" s="43"/>
      <c r="M649" s="43"/>
      <c r="N649" s="43"/>
      <c r="O649" s="43"/>
      <c r="P649" s="41"/>
      <c r="Q649" s="41"/>
      <c r="R649" s="41"/>
      <c r="S649" s="44"/>
      <c r="T649" s="45"/>
      <c r="U649" s="45"/>
      <c r="V649" s="45"/>
      <c r="W649" s="45"/>
      <c r="X649" s="46"/>
      <c r="Y649" s="46"/>
      <c r="Z649" s="46"/>
      <c r="AA649" s="46"/>
      <c r="AB649" s="46"/>
      <c r="AC649" s="46"/>
      <c r="AD649" s="46"/>
      <c r="AE649" s="46"/>
      <c r="AF649" s="46"/>
      <c r="AG649" s="46"/>
    </row>
    <row r="650" spans="1:33" ht="13.5" customHeight="1">
      <c r="A650" s="46"/>
      <c r="B650" s="46"/>
      <c r="C650" s="41"/>
      <c r="D650" s="42"/>
      <c r="E650" s="42"/>
      <c r="F650" s="42"/>
      <c r="G650" s="43"/>
      <c r="H650" s="43"/>
      <c r="I650" s="43"/>
      <c r="J650" s="43"/>
      <c r="K650" s="43"/>
      <c r="L650" s="43"/>
      <c r="M650" s="43"/>
      <c r="N650" s="43"/>
      <c r="O650" s="43"/>
      <c r="P650" s="41"/>
      <c r="Q650" s="41"/>
      <c r="R650" s="41"/>
      <c r="S650" s="44"/>
      <c r="T650" s="45"/>
      <c r="U650" s="45"/>
      <c r="V650" s="45"/>
      <c r="W650" s="45"/>
      <c r="X650" s="46"/>
      <c r="Y650" s="46"/>
      <c r="Z650" s="46"/>
      <c r="AA650" s="46"/>
      <c r="AB650" s="46"/>
      <c r="AC650" s="46"/>
      <c r="AD650" s="46"/>
      <c r="AE650" s="46"/>
      <c r="AF650" s="46"/>
      <c r="AG650" s="46"/>
    </row>
    <row r="651" spans="1:33" ht="13.5" customHeight="1">
      <c r="A651" s="46"/>
      <c r="B651" s="46"/>
      <c r="C651" s="41"/>
      <c r="D651" s="42"/>
      <c r="E651" s="42"/>
      <c r="F651" s="42"/>
      <c r="G651" s="43"/>
      <c r="H651" s="43"/>
      <c r="I651" s="43"/>
      <c r="J651" s="43"/>
      <c r="K651" s="43"/>
      <c r="L651" s="43"/>
      <c r="M651" s="43"/>
      <c r="N651" s="43"/>
      <c r="O651" s="43"/>
      <c r="P651" s="41"/>
      <c r="Q651" s="41"/>
      <c r="R651" s="41"/>
      <c r="S651" s="44"/>
      <c r="T651" s="45"/>
      <c r="U651" s="45"/>
      <c r="V651" s="45"/>
      <c r="W651" s="45"/>
      <c r="X651" s="46"/>
      <c r="Y651" s="46"/>
      <c r="Z651" s="46"/>
      <c r="AA651" s="46"/>
      <c r="AB651" s="46"/>
      <c r="AC651" s="46"/>
      <c r="AD651" s="46"/>
      <c r="AE651" s="46"/>
      <c r="AF651" s="46"/>
      <c r="AG651" s="46"/>
    </row>
    <row r="652" spans="1:33" ht="13.5" customHeight="1">
      <c r="A652" s="46"/>
      <c r="B652" s="46"/>
      <c r="C652" s="41"/>
      <c r="D652" s="42"/>
      <c r="E652" s="42"/>
      <c r="F652" s="42"/>
      <c r="G652" s="43"/>
      <c r="H652" s="43"/>
      <c r="I652" s="43"/>
      <c r="J652" s="43"/>
      <c r="K652" s="43"/>
      <c r="L652" s="43"/>
      <c r="M652" s="43"/>
      <c r="N652" s="43"/>
      <c r="O652" s="43"/>
      <c r="P652" s="41"/>
      <c r="Q652" s="41"/>
      <c r="R652" s="41"/>
      <c r="S652" s="44"/>
      <c r="T652" s="45"/>
      <c r="U652" s="45"/>
      <c r="V652" s="45"/>
      <c r="W652" s="45"/>
      <c r="X652" s="46"/>
      <c r="Y652" s="46"/>
      <c r="Z652" s="46"/>
      <c r="AA652" s="46"/>
      <c r="AB652" s="46"/>
      <c r="AC652" s="46"/>
      <c r="AD652" s="46"/>
      <c r="AE652" s="46"/>
      <c r="AF652" s="46"/>
      <c r="AG652" s="46"/>
    </row>
    <row r="653" spans="1:33" ht="13.5" customHeight="1">
      <c r="A653" s="46"/>
      <c r="B653" s="46"/>
      <c r="C653" s="41"/>
      <c r="D653" s="42"/>
      <c r="E653" s="42"/>
      <c r="F653" s="42"/>
      <c r="G653" s="43"/>
      <c r="H653" s="43"/>
      <c r="I653" s="43"/>
      <c r="J653" s="43"/>
      <c r="K653" s="43"/>
      <c r="L653" s="43"/>
      <c r="M653" s="43"/>
      <c r="N653" s="43"/>
      <c r="O653" s="43"/>
      <c r="P653" s="41"/>
      <c r="Q653" s="41"/>
      <c r="R653" s="41"/>
      <c r="S653" s="44"/>
      <c r="T653" s="45"/>
      <c r="U653" s="45"/>
      <c r="V653" s="45"/>
      <c r="W653" s="45"/>
      <c r="X653" s="46"/>
      <c r="Y653" s="46"/>
      <c r="Z653" s="46"/>
      <c r="AA653" s="46"/>
      <c r="AB653" s="46"/>
      <c r="AC653" s="46"/>
      <c r="AD653" s="46"/>
      <c r="AE653" s="46"/>
      <c r="AF653" s="46"/>
      <c r="AG653" s="46"/>
    </row>
    <row r="654" spans="1:33" ht="13.5" customHeight="1">
      <c r="A654" s="46"/>
      <c r="B654" s="46"/>
      <c r="C654" s="41"/>
      <c r="D654" s="42"/>
      <c r="E654" s="42"/>
      <c r="F654" s="42"/>
      <c r="G654" s="43"/>
      <c r="H654" s="43"/>
      <c r="I654" s="43"/>
      <c r="J654" s="43"/>
      <c r="K654" s="43"/>
      <c r="L654" s="43"/>
      <c r="M654" s="43"/>
      <c r="N654" s="43"/>
      <c r="O654" s="43"/>
      <c r="P654" s="41"/>
      <c r="Q654" s="41"/>
      <c r="R654" s="41"/>
      <c r="S654" s="44"/>
      <c r="T654" s="45"/>
      <c r="U654" s="45"/>
      <c r="V654" s="45"/>
      <c r="W654" s="45"/>
      <c r="X654" s="46"/>
      <c r="Y654" s="46"/>
      <c r="Z654" s="46"/>
      <c r="AA654" s="46"/>
      <c r="AB654" s="46"/>
      <c r="AC654" s="46"/>
      <c r="AD654" s="46"/>
      <c r="AE654" s="46"/>
      <c r="AF654" s="46"/>
      <c r="AG654" s="46"/>
    </row>
    <row r="655" spans="1:33" ht="13.5" customHeight="1">
      <c r="A655" s="46"/>
      <c r="B655" s="46"/>
      <c r="C655" s="41"/>
      <c r="D655" s="42"/>
      <c r="E655" s="42"/>
      <c r="F655" s="42"/>
      <c r="G655" s="43"/>
      <c r="H655" s="43"/>
      <c r="I655" s="43"/>
      <c r="J655" s="43"/>
      <c r="K655" s="43"/>
      <c r="L655" s="43"/>
      <c r="M655" s="43"/>
      <c r="N655" s="43"/>
      <c r="O655" s="43"/>
      <c r="P655" s="41"/>
      <c r="Q655" s="41"/>
      <c r="R655" s="41"/>
      <c r="S655" s="44"/>
      <c r="T655" s="45"/>
      <c r="U655" s="45"/>
      <c r="V655" s="45"/>
      <c r="W655" s="45"/>
      <c r="X655" s="46"/>
      <c r="Y655" s="46"/>
      <c r="Z655" s="46"/>
      <c r="AA655" s="46"/>
      <c r="AB655" s="46"/>
      <c r="AC655" s="46"/>
      <c r="AD655" s="46"/>
      <c r="AE655" s="46"/>
      <c r="AF655" s="46"/>
      <c r="AG655" s="46"/>
    </row>
    <row r="656" spans="1:33" ht="13.5" customHeight="1">
      <c r="A656" s="46"/>
      <c r="B656" s="46"/>
      <c r="C656" s="41"/>
      <c r="D656" s="42"/>
      <c r="E656" s="42"/>
      <c r="F656" s="42"/>
      <c r="G656" s="43"/>
      <c r="H656" s="43"/>
      <c r="I656" s="43"/>
      <c r="J656" s="43"/>
      <c r="K656" s="43"/>
      <c r="L656" s="43"/>
      <c r="M656" s="43"/>
      <c r="N656" s="43"/>
      <c r="O656" s="43"/>
      <c r="P656" s="41"/>
      <c r="Q656" s="41"/>
      <c r="R656" s="41"/>
      <c r="S656" s="44"/>
      <c r="T656" s="45"/>
      <c r="U656" s="45"/>
      <c r="V656" s="45"/>
      <c r="W656" s="45"/>
      <c r="X656" s="46"/>
      <c r="Y656" s="46"/>
      <c r="Z656" s="46"/>
      <c r="AA656" s="46"/>
      <c r="AB656" s="46"/>
      <c r="AC656" s="46"/>
      <c r="AD656" s="46"/>
      <c r="AE656" s="46"/>
      <c r="AF656" s="46"/>
      <c r="AG656" s="46"/>
    </row>
    <row r="657" spans="1:33" ht="13.5" customHeight="1">
      <c r="A657" s="46"/>
      <c r="B657" s="46"/>
      <c r="C657" s="41"/>
      <c r="D657" s="42"/>
      <c r="E657" s="42"/>
      <c r="F657" s="42"/>
      <c r="G657" s="43"/>
      <c r="H657" s="43"/>
      <c r="I657" s="43"/>
      <c r="J657" s="43"/>
      <c r="K657" s="43"/>
      <c r="L657" s="43"/>
      <c r="M657" s="43"/>
      <c r="N657" s="43"/>
      <c r="O657" s="43"/>
      <c r="P657" s="41"/>
      <c r="Q657" s="41"/>
      <c r="R657" s="41"/>
      <c r="S657" s="44"/>
      <c r="T657" s="45"/>
      <c r="U657" s="45"/>
      <c r="V657" s="45"/>
      <c r="W657" s="45"/>
      <c r="X657" s="46"/>
      <c r="Y657" s="46"/>
      <c r="Z657" s="46"/>
      <c r="AA657" s="46"/>
      <c r="AB657" s="46"/>
      <c r="AC657" s="46"/>
      <c r="AD657" s="46"/>
      <c r="AE657" s="46"/>
      <c r="AF657" s="46"/>
      <c r="AG657" s="46"/>
    </row>
    <row r="658" spans="1:33" ht="13.5" customHeight="1">
      <c r="A658" s="46"/>
      <c r="B658" s="46"/>
      <c r="C658" s="41"/>
      <c r="D658" s="42"/>
      <c r="E658" s="42"/>
      <c r="F658" s="42"/>
      <c r="G658" s="43"/>
      <c r="H658" s="43"/>
      <c r="I658" s="43"/>
      <c r="J658" s="43"/>
      <c r="K658" s="43"/>
      <c r="L658" s="43"/>
      <c r="M658" s="43"/>
      <c r="N658" s="43"/>
      <c r="O658" s="43"/>
      <c r="P658" s="41"/>
      <c r="Q658" s="41"/>
      <c r="R658" s="41"/>
      <c r="S658" s="44"/>
      <c r="T658" s="45"/>
      <c r="U658" s="45"/>
      <c r="V658" s="45"/>
      <c r="W658" s="45"/>
      <c r="X658" s="46"/>
      <c r="Y658" s="46"/>
      <c r="Z658" s="46"/>
      <c r="AA658" s="46"/>
      <c r="AB658" s="46"/>
      <c r="AC658" s="46"/>
      <c r="AD658" s="46"/>
      <c r="AE658" s="46"/>
      <c r="AF658" s="46"/>
      <c r="AG658" s="46"/>
    </row>
    <row r="659" spans="1:33" ht="13.5" customHeight="1">
      <c r="A659" s="46"/>
      <c r="B659" s="46"/>
      <c r="C659" s="41"/>
      <c r="D659" s="42"/>
      <c r="E659" s="42"/>
      <c r="F659" s="42"/>
      <c r="G659" s="43"/>
      <c r="H659" s="43"/>
      <c r="I659" s="43"/>
      <c r="J659" s="43"/>
      <c r="K659" s="43"/>
      <c r="L659" s="43"/>
      <c r="M659" s="43"/>
      <c r="N659" s="43"/>
      <c r="O659" s="43"/>
      <c r="P659" s="41"/>
      <c r="Q659" s="41"/>
      <c r="R659" s="41"/>
      <c r="S659" s="44"/>
      <c r="T659" s="45"/>
      <c r="U659" s="45"/>
      <c r="V659" s="45"/>
      <c r="W659" s="45"/>
      <c r="X659" s="46"/>
      <c r="Y659" s="46"/>
      <c r="Z659" s="46"/>
      <c r="AA659" s="46"/>
      <c r="AB659" s="46"/>
      <c r="AC659" s="46"/>
      <c r="AD659" s="46"/>
      <c r="AE659" s="46"/>
      <c r="AF659" s="46"/>
      <c r="AG659" s="46"/>
    </row>
    <row r="660" spans="1:33" ht="13.5" customHeight="1">
      <c r="A660" s="46"/>
      <c r="B660" s="46"/>
      <c r="C660" s="41"/>
      <c r="D660" s="42"/>
      <c r="E660" s="42"/>
      <c r="F660" s="42"/>
      <c r="G660" s="43"/>
      <c r="H660" s="43"/>
      <c r="I660" s="43"/>
      <c r="J660" s="43"/>
      <c r="K660" s="43"/>
      <c r="L660" s="43"/>
      <c r="M660" s="43"/>
      <c r="N660" s="43"/>
      <c r="O660" s="43"/>
      <c r="P660" s="41"/>
      <c r="Q660" s="41"/>
      <c r="R660" s="41"/>
      <c r="S660" s="44"/>
      <c r="T660" s="45"/>
      <c r="U660" s="45"/>
      <c r="V660" s="45"/>
      <c r="W660" s="45"/>
      <c r="X660" s="46"/>
      <c r="Y660" s="46"/>
      <c r="Z660" s="46"/>
      <c r="AA660" s="46"/>
      <c r="AB660" s="46"/>
      <c r="AC660" s="46"/>
      <c r="AD660" s="46"/>
      <c r="AE660" s="46"/>
      <c r="AF660" s="46"/>
      <c r="AG660" s="46"/>
    </row>
    <row r="661" spans="1:33" ht="13.5" customHeight="1">
      <c r="A661" s="46"/>
      <c r="B661" s="46"/>
      <c r="C661" s="41"/>
      <c r="D661" s="42"/>
      <c r="E661" s="42"/>
      <c r="F661" s="42"/>
      <c r="G661" s="43"/>
      <c r="H661" s="43"/>
      <c r="I661" s="43"/>
      <c r="J661" s="43"/>
      <c r="K661" s="43"/>
      <c r="L661" s="43"/>
      <c r="M661" s="43"/>
      <c r="N661" s="43"/>
      <c r="O661" s="43"/>
      <c r="P661" s="41"/>
      <c r="Q661" s="41"/>
      <c r="R661" s="41"/>
      <c r="S661" s="44"/>
      <c r="T661" s="45"/>
      <c r="U661" s="45"/>
      <c r="V661" s="45"/>
      <c r="W661" s="45"/>
      <c r="X661" s="46"/>
      <c r="Y661" s="46"/>
      <c r="Z661" s="46"/>
      <c r="AA661" s="46"/>
      <c r="AB661" s="46"/>
      <c r="AC661" s="46"/>
      <c r="AD661" s="46"/>
      <c r="AE661" s="46"/>
      <c r="AF661" s="46"/>
      <c r="AG661" s="46"/>
    </row>
    <row r="662" spans="1:33" ht="13.5" customHeight="1">
      <c r="A662" s="46"/>
      <c r="B662" s="46"/>
      <c r="C662" s="41"/>
      <c r="D662" s="42"/>
      <c r="E662" s="42"/>
      <c r="F662" s="42"/>
      <c r="G662" s="43"/>
      <c r="H662" s="43"/>
      <c r="I662" s="43"/>
      <c r="J662" s="43"/>
      <c r="K662" s="43"/>
      <c r="L662" s="43"/>
      <c r="M662" s="43"/>
      <c r="N662" s="43"/>
      <c r="O662" s="43"/>
      <c r="P662" s="41"/>
      <c r="Q662" s="41"/>
      <c r="R662" s="41"/>
      <c r="S662" s="44"/>
      <c r="T662" s="45"/>
      <c r="U662" s="45"/>
      <c r="V662" s="45"/>
      <c r="W662" s="45"/>
      <c r="X662" s="46"/>
      <c r="Y662" s="46"/>
      <c r="Z662" s="46"/>
      <c r="AA662" s="46"/>
      <c r="AB662" s="46"/>
      <c r="AC662" s="46"/>
      <c r="AD662" s="46"/>
      <c r="AE662" s="46"/>
      <c r="AF662" s="46"/>
      <c r="AG662" s="46"/>
    </row>
    <row r="663" spans="1:33" ht="13.5" customHeight="1">
      <c r="A663" s="46"/>
      <c r="B663" s="46"/>
      <c r="C663" s="41"/>
      <c r="D663" s="42"/>
      <c r="E663" s="42"/>
      <c r="F663" s="42"/>
      <c r="G663" s="43"/>
      <c r="H663" s="43"/>
      <c r="I663" s="43"/>
      <c r="J663" s="43"/>
      <c r="K663" s="43"/>
      <c r="L663" s="43"/>
      <c r="M663" s="43"/>
      <c r="N663" s="43"/>
      <c r="O663" s="43"/>
      <c r="P663" s="41"/>
      <c r="Q663" s="41"/>
      <c r="R663" s="41"/>
      <c r="S663" s="44"/>
      <c r="T663" s="45"/>
      <c r="U663" s="45"/>
      <c r="V663" s="45"/>
      <c r="W663" s="45"/>
      <c r="X663" s="46"/>
      <c r="Y663" s="46"/>
      <c r="Z663" s="46"/>
      <c r="AA663" s="46"/>
      <c r="AB663" s="46"/>
      <c r="AC663" s="46"/>
      <c r="AD663" s="46"/>
      <c r="AE663" s="46"/>
      <c r="AF663" s="46"/>
      <c r="AG663" s="46"/>
    </row>
    <row r="664" spans="1:33" ht="13.5" customHeight="1">
      <c r="A664" s="46"/>
      <c r="B664" s="46"/>
      <c r="C664" s="41"/>
      <c r="D664" s="42"/>
      <c r="E664" s="42"/>
      <c r="F664" s="42"/>
      <c r="G664" s="43"/>
      <c r="H664" s="43"/>
      <c r="I664" s="43"/>
      <c r="J664" s="43"/>
      <c r="K664" s="43"/>
      <c r="L664" s="43"/>
      <c r="M664" s="43"/>
      <c r="N664" s="43"/>
      <c r="O664" s="43"/>
      <c r="P664" s="41"/>
      <c r="Q664" s="41"/>
      <c r="R664" s="41"/>
      <c r="S664" s="44"/>
      <c r="T664" s="45"/>
      <c r="U664" s="45"/>
      <c r="V664" s="45"/>
      <c r="W664" s="45"/>
      <c r="X664" s="46"/>
      <c r="Y664" s="46"/>
      <c r="Z664" s="46"/>
      <c r="AA664" s="46"/>
      <c r="AB664" s="46"/>
      <c r="AC664" s="46"/>
      <c r="AD664" s="46"/>
      <c r="AE664" s="46"/>
      <c r="AF664" s="46"/>
      <c r="AG664" s="46"/>
    </row>
    <row r="665" spans="1:33" ht="13.5" customHeight="1">
      <c r="A665" s="46"/>
      <c r="B665" s="46"/>
      <c r="C665" s="41"/>
      <c r="D665" s="42"/>
      <c r="E665" s="42"/>
      <c r="F665" s="42"/>
      <c r="G665" s="43"/>
      <c r="H665" s="43"/>
      <c r="I665" s="43"/>
      <c r="J665" s="43"/>
      <c r="K665" s="43"/>
      <c r="L665" s="43"/>
      <c r="M665" s="43"/>
      <c r="N665" s="43"/>
      <c r="O665" s="43"/>
      <c r="P665" s="41"/>
      <c r="Q665" s="41"/>
      <c r="R665" s="41"/>
      <c r="S665" s="44"/>
      <c r="T665" s="45"/>
      <c r="U665" s="45"/>
      <c r="V665" s="45"/>
      <c r="W665" s="45"/>
      <c r="X665" s="46"/>
      <c r="Y665" s="46"/>
      <c r="Z665" s="46"/>
      <c r="AA665" s="46"/>
      <c r="AB665" s="46"/>
      <c r="AC665" s="46"/>
      <c r="AD665" s="46"/>
      <c r="AE665" s="46"/>
      <c r="AF665" s="46"/>
      <c r="AG665" s="46"/>
    </row>
    <row r="666" spans="1:33" ht="13.5" customHeight="1">
      <c r="A666" s="46"/>
      <c r="B666" s="46"/>
      <c r="C666" s="41"/>
      <c r="D666" s="42"/>
      <c r="E666" s="42"/>
      <c r="F666" s="42"/>
      <c r="G666" s="43"/>
      <c r="H666" s="43"/>
      <c r="I666" s="43"/>
      <c r="J666" s="43"/>
      <c r="K666" s="43"/>
      <c r="L666" s="43"/>
      <c r="M666" s="43"/>
      <c r="N666" s="43"/>
      <c r="O666" s="43"/>
      <c r="P666" s="41"/>
      <c r="Q666" s="41"/>
      <c r="R666" s="41"/>
      <c r="S666" s="44"/>
      <c r="T666" s="45"/>
      <c r="U666" s="45"/>
      <c r="V666" s="45"/>
      <c r="W666" s="45"/>
      <c r="X666" s="46"/>
      <c r="Y666" s="46"/>
      <c r="Z666" s="46"/>
      <c r="AA666" s="46"/>
      <c r="AB666" s="46"/>
      <c r="AC666" s="46"/>
      <c r="AD666" s="46"/>
      <c r="AE666" s="46"/>
      <c r="AF666" s="46"/>
      <c r="AG666" s="46"/>
    </row>
    <row r="667" spans="1:33" ht="13.5" customHeight="1">
      <c r="A667" s="46"/>
      <c r="B667" s="46"/>
      <c r="C667" s="41"/>
      <c r="D667" s="42"/>
      <c r="E667" s="42"/>
      <c r="F667" s="42"/>
      <c r="G667" s="43"/>
      <c r="H667" s="43"/>
      <c r="I667" s="43"/>
      <c r="J667" s="43"/>
      <c r="K667" s="43"/>
      <c r="L667" s="43"/>
      <c r="M667" s="43"/>
      <c r="N667" s="43"/>
      <c r="O667" s="43"/>
      <c r="P667" s="41"/>
      <c r="Q667" s="41"/>
      <c r="R667" s="41"/>
      <c r="S667" s="44"/>
      <c r="T667" s="45"/>
      <c r="U667" s="45"/>
      <c r="V667" s="45"/>
      <c r="W667" s="45"/>
      <c r="X667" s="46"/>
      <c r="Y667" s="46"/>
      <c r="Z667" s="46"/>
      <c r="AA667" s="46"/>
      <c r="AB667" s="46"/>
      <c r="AC667" s="46"/>
      <c r="AD667" s="46"/>
      <c r="AE667" s="46"/>
      <c r="AF667" s="46"/>
      <c r="AG667" s="46"/>
    </row>
    <row r="668" spans="1:33" ht="13.5" customHeight="1">
      <c r="A668" s="46"/>
      <c r="B668" s="46"/>
      <c r="C668" s="41"/>
      <c r="D668" s="42"/>
      <c r="E668" s="42"/>
      <c r="F668" s="42"/>
      <c r="G668" s="43"/>
      <c r="H668" s="43"/>
      <c r="I668" s="43"/>
      <c r="J668" s="43"/>
      <c r="K668" s="43"/>
      <c r="L668" s="43"/>
      <c r="M668" s="43"/>
      <c r="N668" s="43"/>
      <c r="O668" s="43"/>
      <c r="P668" s="41"/>
      <c r="Q668" s="41"/>
      <c r="R668" s="41"/>
      <c r="S668" s="44"/>
      <c r="T668" s="45"/>
      <c r="U668" s="45"/>
      <c r="V668" s="45"/>
      <c r="W668" s="45"/>
      <c r="X668" s="46"/>
      <c r="Y668" s="46"/>
      <c r="Z668" s="46"/>
      <c r="AA668" s="46"/>
      <c r="AB668" s="46"/>
      <c r="AC668" s="46"/>
      <c r="AD668" s="46"/>
      <c r="AE668" s="46"/>
      <c r="AF668" s="46"/>
      <c r="AG668" s="46"/>
    </row>
    <row r="669" spans="1:33" ht="13.5" customHeight="1">
      <c r="A669" s="46"/>
      <c r="B669" s="46"/>
      <c r="C669" s="41"/>
      <c r="D669" s="42"/>
      <c r="E669" s="42"/>
      <c r="F669" s="42"/>
      <c r="G669" s="43"/>
      <c r="H669" s="43"/>
      <c r="I669" s="43"/>
      <c r="J669" s="43"/>
      <c r="K669" s="43"/>
      <c r="L669" s="43"/>
      <c r="M669" s="43"/>
      <c r="N669" s="43"/>
      <c r="O669" s="43"/>
      <c r="P669" s="41"/>
      <c r="Q669" s="41"/>
      <c r="R669" s="41"/>
      <c r="S669" s="44"/>
      <c r="T669" s="45"/>
      <c r="U669" s="45"/>
      <c r="V669" s="45"/>
      <c r="W669" s="45"/>
      <c r="X669" s="46"/>
      <c r="Y669" s="46"/>
      <c r="Z669" s="46"/>
      <c r="AA669" s="46"/>
      <c r="AB669" s="46"/>
      <c r="AC669" s="46"/>
      <c r="AD669" s="46"/>
      <c r="AE669" s="46"/>
      <c r="AF669" s="46"/>
      <c r="AG669" s="46"/>
    </row>
    <row r="670" spans="1:33" ht="13.5" customHeight="1">
      <c r="A670" s="46"/>
      <c r="B670" s="46"/>
      <c r="C670" s="41"/>
      <c r="D670" s="42"/>
      <c r="E670" s="42"/>
      <c r="F670" s="42"/>
      <c r="G670" s="43"/>
      <c r="H670" s="43"/>
      <c r="I670" s="43"/>
      <c r="J670" s="43"/>
      <c r="K670" s="43"/>
      <c r="L670" s="43"/>
      <c r="M670" s="43"/>
      <c r="N670" s="43"/>
      <c r="O670" s="43"/>
      <c r="P670" s="41"/>
      <c r="Q670" s="41"/>
      <c r="R670" s="41"/>
      <c r="S670" s="44"/>
      <c r="T670" s="45"/>
      <c r="U670" s="45"/>
      <c r="V670" s="45"/>
      <c r="W670" s="45"/>
      <c r="X670" s="46"/>
      <c r="Y670" s="46"/>
      <c r="Z670" s="46"/>
      <c r="AA670" s="46"/>
      <c r="AB670" s="46"/>
      <c r="AC670" s="46"/>
      <c r="AD670" s="46"/>
      <c r="AE670" s="46"/>
      <c r="AF670" s="46"/>
      <c r="AG670" s="46"/>
    </row>
    <row r="671" spans="1:33" ht="13.5" customHeight="1">
      <c r="A671" s="46"/>
      <c r="B671" s="46"/>
      <c r="C671" s="41"/>
      <c r="D671" s="42"/>
      <c r="E671" s="42"/>
      <c r="F671" s="42"/>
      <c r="G671" s="43"/>
      <c r="H671" s="43"/>
      <c r="I671" s="43"/>
      <c r="J671" s="43"/>
      <c r="K671" s="43"/>
      <c r="L671" s="43"/>
      <c r="M671" s="43"/>
      <c r="N671" s="43"/>
      <c r="O671" s="43"/>
      <c r="P671" s="41"/>
      <c r="Q671" s="41"/>
      <c r="R671" s="41"/>
      <c r="S671" s="44"/>
      <c r="T671" s="45"/>
      <c r="U671" s="45"/>
      <c r="V671" s="45"/>
      <c r="W671" s="45"/>
      <c r="X671" s="46"/>
      <c r="Y671" s="46"/>
      <c r="Z671" s="46"/>
      <c r="AA671" s="46"/>
      <c r="AB671" s="46"/>
      <c r="AC671" s="46"/>
      <c r="AD671" s="46"/>
      <c r="AE671" s="46"/>
      <c r="AF671" s="46"/>
      <c r="AG671" s="46"/>
    </row>
    <row r="672" spans="1:33" ht="13.5" customHeight="1">
      <c r="A672" s="46"/>
      <c r="B672" s="46"/>
      <c r="C672" s="41"/>
      <c r="D672" s="42"/>
      <c r="E672" s="42"/>
      <c r="F672" s="42"/>
      <c r="G672" s="43"/>
      <c r="H672" s="43"/>
      <c r="I672" s="43"/>
      <c r="J672" s="43"/>
      <c r="K672" s="43"/>
      <c r="L672" s="43"/>
      <c r="M672" s="43"/>
      <c r="N672" s="43"/>
      <c r="O672" s="43"/>
      <c r="P672" s="41"/>
      <c r="Q672" s="41"/>
      <c r="R672" s="41"/>
      <c r="S672" s="44"/>
      <c r="T672" s="45"/>
      <c r="U672" s="45"/>
      <c r="V672" s="45"/>
      <c r="W672" s="45"/>
      <c r="X672" s="46"/>
      <c r="Y672" s="46"/>
      <c r="Z672" s="46"/>
      <c r="AA672" s="46"/>
      <c r="AB672" s="46"/>
      <c r="AC672" s="46"/>
      <c r="AD672" s="46"/>
      <c r="AE672" s="46"/>
      <c r="AF672" s="46"/>
      <c r="AG672" s="46"/>
    </row>
    <row r="673" spans="1:33" ht="13.5" customHeight="1">
      <c r="A673" s="46"/>
      <c r="B673" s="46"/>
      <c r="C673" s="41"/>
      <c r="D673" s="42"/>
      <c r="E673" s="42"/>
      <c r="F673" s="42"/>
      <c r="G673" s="43"/>
      <c r="H673" s="43"/>
      <c r="I673" s="43"/>
      <c r="J673" s="43"/>
      <c r="K673" s="43"/>
      <c r="L673" s="43"/>
      <c r="M673" s="43"/>
      <c r="N673" s="43"/>
      <c r="O673" s="43"/>
      <c r="P673" s="41"/>
      <c r="Q673" s="41"/>
      <c r="R673" s="41"/>
      <c r="S673" s="44"/>
      <c r="T673" s="45"/>
      <c r="U673" s="45"/>
      <c r="V673" s="45"/>
      <c r="W673" s="45"/>
      <c r="X673" s="46"/>
      <c r="Y673" s="46"/>
      <c r="Z673" s="46"/>
      <c r="AA673" s="46"/>
      <c r="AB673" s="46"/>
      <c r="AC673" s="46"/>
      <c r="AD673" s="46"/>
      <c r="AE673" s="46"/>
      <c r="AF673" s="46"/>
      <c r="AG673" s="46"/>
    </row>
    <row r="674" spans="1:33" ht="13.5" customHeight="1">
      <c r="A674" s="46"/>
      <c r="B674" s="46"/>
      <c r="C674" s="41"/>
      <c r="D674" s="42"/>
      <c r="E674" s="42"/>
      <c r="F674" s="42"/>
      <c r="G674" s="43"/>
      <c r="H674" s="43"/>
      <c r="I674" s="43"/>
      <c r="J674" s="43"/>
      <c r="K674" s="43"/>
      <c r="L674" s="43"/>
      <c r="M674" s="43"/>
      <c r="N674" s="43"/>
      <c r="O674" s="43"/>
      <c r="P674" s="41"/>
      <c r="Q674" s="41"/>
      <c r="R674" s="41"/>
      <c r="S674" s="44"/>
      <c r="T674" s="45"/>
      <c r="U674" s="45"/>
      <c r="V674" s="45"/>
      <c r="W674" s="45"/>
      <c r="X674" s="46"/>
      <c r="Y674" s="46"/>
      <c r="Z674" s="46"/>
      <c r="AA674" s="46"/>
      <c r="AB674" s="46"/>
      <c r="AC674" s="46"/>
      <c r="AD674" s="46"/>
      <c r="AE674" s="46"/>
      <c r="AF674" s="46"/>
      <c r="AG674" s="46"/>
    </row>
    <row r="675" spans="1:33" ht="13.5" customHeight="1">
      <c r="A675" s="46"/>
      <c r="B675" s="46"/>
      <c r="C675" s="41"/>
      <c r="D675" s="42"/>
      <c r="E675" s="42"/>
      <c r="F675" s="42"/>
      <c r="G675" s="43"/>
      <c r="H675" s="43"/>
      <c r="I675" s="43"/>
      <c r="J675" s="43"/>
      <c r="K675" s="43"/>
      <c r="L675" s="43"/>
      <c r="M675" s="43"/>
      <c r="N675" s="43"/>
      <c r="O675" s="43"/>
      <c r="P675" s="41"/>
      <c r="Q675" s="41"/>
      <c r="R675" s="41"/>
      <c r="S675" s="44"/>
      <c r="T675" s="45"/>
      <c r="U675" s="45"/>
      <c r="V675" s="45"/>
      <c r="W675" s="45"/>
      <c r="X675" s="46"/>
      <c r="Y675" s="46"/>
      <c r="Z675" s="46"/>
      <c r="AA675" s="46"/>
      <c r="AB675" s="46"/>
      <c r="AC675" s="46"/>
      <c r="AD675" s="46"/>
      <c r="AE675" s="46"/>
      <c r="AF675" s="46"/>
      <c r="AG675" s="46"/>
    </row>
    <row r="676" spans="1:33" ht="13.5" customHeight="1">
      <c r="A676" s="46"/>
      <c r="B676" s="46"/>
      <c r="C676" s="41"/>
      <c r="D676" s="42"/>
      <c r="E676" s="42"/>
      <c r="F676" s="42"/>
      <c r="G676" s="43"/>
      <c r="H676" s="43"/>
      <c r="I676" s="43"/>
      <c r="J676" s="43"/>
      <c r="K676" s="43"/>
      <c r="L676" s="43"/>
      <c r="M676" s="43"/>
      <c r="N676" s="43"/>
      <c r="O676" s="43"/>
      <c r="P676" s="41"/>
      <c r="Q676" s="41"/>
      <c r="R676" s="41"/>
      <c r="S676" s="44"/>
      <c r="T676" s="45"/>
      <c r="U676" s="45"/>
      <c r="V676" s="45"/>
      <c r="W676" s="45"/>
      <c r="X676" s="46"/>
      <c r="Y676" s="46"/>
      <c r="Z676" s="46"/>
      <c r="AA676" s="46"/>
      <c r="AB676" s="46"/>
      <c r="AC676" s="46"/>
      <c r="AD676" s="46"/>
      <c r="AE676" s="46"/>
      <c r="AF676" s="46"/>
      <c r="AG676" s="46"/>
    </row>
    <row r="677" spans="1:33" ht="13.5" customHeight="1">
      <c r="A677" s="46"/>
      <c r="B677" s="46"/>
      <c r="C677" s="41"/>
      <c r="D677" s="42"/>
      <c r="E677" s="42"/>
      <c r="F677" s="42"/>
      <c r="G677" s="43"/>
      <c r="H677" s="43"/>
      <c r="I677" s="43"/>
      <c r="J677" s="43"/>
      <c r="K677" s="43"/>
      <c r="L677" s="43"/>
      <c r="M677" s="43"/>
      <c r="N677" s="43"/>
      <c r="O677" s="43"/>
      <c r="P677" s="41"/>
      <c r="Q677" s="41"/>
      <c r="R677" s="41"/>
      <c r="S677" s="44"/>
      <c r="T677" s="45"/>
      <c r="U677" s="45"/>
      <c r="V677" s="45"/>
      <c r="W677" s="45"/>
      <c r="X677" s="46"/>
      <c r="Y677" s="46"/>
      <c r="Z677" s="46"/>
      <c r="AA677" s="46"/>
      <c r="AB677" s="46"/>
      <c r="AC677" s="46"/>
      <c r="AD677" s="46"/>
      <c r="AE677" s="46"/>
      <c r="AF677" s="46"/>
      <c r="AG677" s="46"/>
    </row>
    <row r="678" spans="1:33" ht="13.5" customHeight="1">
      <c r="A678" s="46"/>
      <c r="B678" s="46"/>
      <c r="C678" s="41"/>
      <c r="D678" s="42"/>
      <c r="E678" s="42"/>
      <c r="F678" s="42"/>
      <c r="G678" s="43"/>
      <c r="H678" s="43"/>
      <c r="I678" s="43"/>
      <c r="J678" s="43"/>
      <c r="K678" s="43"/>
      <c r="L678" s="43"/>
      <c r="M678" s="43"/>
      <c r="N678" s="43"/>
      <c r="O678" s="43"/>
      <c r="P678" s="41"/>
      <c r="Q678" s="41"/>
      <c r="R678" s="41"/>
      <c r="S678" s="44"/>
      <c r="T678" s="45"/>
      <c r="U678" s="45"/>
      <c r="V678" s="45"/>
      <c r="W678" s="45"/>
      <c r="X678" s="46"/>
      <c r="Y678" s="46"/>
      <c r="Z678" s="46"/>
      <c r="AA678" s="46"/>
      <c r="AB678" s="46"/>
      <c r="AC678" s="46"/>
      <c r="AD678" s="46"/>
      <c r="AE678" s="46"/>
      <c r="AF678" s="46"/>
      <c r="AG678" s="46"/>
    </row>
    <row r="679" spans="1:33" ht="13.5" customHeight="1">
      <c r="A679" s="46"/>
      <c r="B679" s="46"/>
      <c r="C679" s="41"/>
      <c r="D679" s="42"/>
      <c r="E679" s="42"/>
      <c r="F679" s="42"/>
      <c r="G679" s="43"/>
      <c r="H679" s="43"/>
      <c r="I679" s="43"/>
      <c r="J679" s="43"/>
      <c r="K679" s="43"/>
      <c r="L679" s="43"/>
      <c r="M679" s="43"/>
      <c r="N679" s="43"/>
      <c r="O679" s="43"/>
      <c r="P679" s="41"/>
      <c r="Q679" s="41"/>
      <c r="R679" s="41"/>
      <c r="S679" s="44"/>
      <c r="T679" s="45"/>
      <c r="U679" s="45"/>
      <c r="V679" s="45"/>
      <c r="W679" s="45"/>
      <c r="X679" s="46"/>
      <c r="Y679" s="46"/>
      <c r="Z679" s="46"/>
      <c r="AA679" s="46"/>
      <c r="AB679" s="46"/>
      <c r="AC679" s="46"/>
      <c r="AD679" s="46"/>
      <c r="AE679" s="46"/>
      <c r="AF679" s="46"/>
      <c r="AG679" s="46"/>
    </row>
    <row r="680" spans="1:33" ht="13.5" customHeight="1">
      <c r="A680" s="46"/>
      <c r="B680" s="46"/>
      <c r="C680" s="41"/>
      <c r="D680" s="42"/>
      <c r="E680" s="42"/>
      <c r="F680" s="42"/>
      <c r="G680" s="43"/>
      <c r="H680" s="43"/>
      <c r="I680" s="43"/>
      <c r="J680" s="43"/>
      <c r="K680" s="43"/>
      <c r="L680" s="43"/>
      <c r="M680" s="43"/>
      <c r="N680" s="43"/>
      <c r="O680" s="43"/>
      <c r="P680" s="41"/>
      <c r="Q680" s="41"/>
      <c r="R680" s="41"/>
      <c r="S680" s="44"/>
      <c r="T680" s="45"/>
      <c r="U680" s="45"/>
      <c r="V680" s="45"/>
      <c r="W680" s="45"/>
      <c r="X680" s="46"/>
      <c r="Y680" s="46"/>
      <c r="Z680" s="46"/>
      <c r="AA680" s="46"/>
      <c r="AB680" s="46"/>
      <c r="AC680" s="46"/>
      <c r="AD680" s="46"/>
      <c r="AE680" s="46"/>
      <c r="AF680" s="46"/>
      <c r="AG680" s="46"/>
    </row>
    <row r="681" spans="1:33" ht="13.5" customHeight="1">
      <c r="A681" s="46"/>
      <c r="B681" s="46"/>
      <c r="C681" s="41"/>
      <c r="D681" s="42"/>
      <c r="E681" s="42"/>
      <c r="F681" s="42"/>
      <c r="G681" s="43"/>
      <c r="H681" s="43"/>
      <c r="I681" s="43"/>
      <c r="J681" s="43"/>
      <c r="K681" s="43"/>
      <c r="L681" s="43"/>
      <c r="M681" s="43"/>
      <c r="N681" s="43"/>
      <c r="O681" s="43"/>
      <c r="P681" s="41"/>
      <c r="Q681" s="41"/>
      <c r="R681" s="41"/>
      <c r="S681" s="44"/>
      <c r="T681" s="45"/>
      <c r="U681" s="45"/>
      <c r="V681" s="45"/>
      <c r="W681" s="45"/>
      <c r="X681" s="46"/>
      <c r="Y681" s="46"/>
      <c r="Z681" s="46"/>
      <c r="AA681" s="46"/>
      <c r="AB681" s="46"/>
      <c r="AC681" s="46"/>
      <c r="AD681" s="46"/>
      <c r="AE681" s="46"/>
      <c r="AF681" s="46"/>
      <c r="AG681" s="46"/>
    </row>
    <row r="682" spans="1:33" ht="13.5" customHeight="1">
      <c r="A682" s="46"/>
      <c r="B682" s="46"/>
      <c r="C682" s="41"/>
      <c r="D682" s="42"/>
      <c r="E682" s="42"/>
      <c r="F682" s="42"/>
      <c r="G682" s="43"/>
      <c r="H682" s="43"/>
      <c r="I682" s="43"/>
      <c r="J682" s="43"/>
      <c r="K682" s="43"/>
      <c r="L682" s="43"/>
      <c r="M682" s="43"/>
      <c r="N682" s="43"/>
      <c r="O682" s="43"/>
      <c r="P682" s="41"/>
      <c r="Q682" s="41"/>
      <c r="R682" s="41"/>
      <c r="S682" s="44"/>
      <c r="T682" s="45"/>
      <c r="U682" s="45"/>
      <c r="V682" s="45"/>
      <c r="W682" s="45"/>
      <c r="X682" s="46"/>
      <c r="Y682" s="46"/>
      <c r="Z682" s="46"/>
      <c r="AA682" s="46"/>
      <c r="AB682" s="46"/>
      <c r="AC682" s="46"/>
      <c r="AD682" s="46"/>
      <c r="AE682" s="46"/>
      <c r="AF682" s="46"/>
      <c r="AG682" s="46"/>
    </row>
    <row r="683" spans="1:33" ht="13.5" customHeight="1">
      <c r="A683" s="46"/>
      <c r="B683" s="46"/>
      <c r="C683" s="41"/>
      <c r="D683" s="42"/>
      <c r="E683" s="42"/>
      <c r="F683" s="42"/>
      <c r="G683" s="43"/>
      <c r="H683" s="43"/>
      <c r="I683" s="43"/>
      <c r="J683" s="43"/>
      <c r="K683" s="43"/>
      <c r="L683" s="43"/>
      <c r="M683" s="43"/>
      <c r="N683" s="43"/>
      <c r="O683" s="43"/>
      <c r="P683" s="41"/>
      <c r="Q683" s="41"/>
      <c r="R683" s="41"/>
      <c r="S683" s="44"/>
      <c r="T683" s="45"/>
      <c r="U683" s="45"/>
      <c r="V683" s="45"/>
      <c r="W683" s="45"/>
      <c r="X683" s="46"/>
      <c r="Y683" s="46"/>
      <c r="Z683" s="46"/>
      <c r="AA683" s="46"/>
      <c r="AB683" s="46"/>
      <c r="AC683" s="46"/>
      <c r="AD683" s="46"/>
      <c r="AE683" s="46"/>
      <c r="AF683" s="46"/>
      <c r="AG683" s="46"/>
    </row>
    <row r="684" spans="1:33" ht="13.5" customHeight="1">
      <c r="A684" s="46"/>
      <c r="B684" s="46"/>
      <c r="C684" s="41"/>
      <c r="D684" s="42"/>
      <c r="E684" s="42"/>
      <c r="F684" s="42"/>
      <c r="G684" s="43"/>
      <c r="H684" s="43"/>
      <c r="I684" s="43"/>
      <c r="J684" s="43"/>
      <c r="K684" s="43"/>
      <c r="L684" s="43"/>
      <c r="M684" s="43"/>
      <c r="N684" s="43"/>
      <c r="O684" s="43"/>
      <c r="P684" s="41"/>
      <c r="Q684" s="41"/>
      <c r="R684" s="41"/>
      <c r="S684" s="44"/>
      <c r="T684" s="45"/>
      <c r="U684" s="45"/>
      <c r="V684" s="45"/>
      <c r="W684" s="45"/>
      <c r="X684" s="46"/>
      <c r="Y684" s="46"/>
      <c r="Z684" s="46"/>
      <c r="AA684" s="46"/>
      <c r="AB684" s="46"/>
      <c r="AC684" s="46"/>
      <c r="AD684" s="46"/>
      <c r="AE684" s="46"/>
      <c r="AF684" s="46"/>
      <c r="AG684" s="46"/>
    </row>
    <row r="685" spans="1:33" ht="13.5" customHeight="1">
      <c r="A685" s="46"/>
      <c r="B685" s="46"/>
      <c r="C685" s="41"/>
      <c r="D685" s="42"/>
      <c r="E685" s="42"/>
      <c r="F685" s="42"/>
      <c r="G685" s="43"/>
      <c r="H685" s="43"/>
      <c r="I685" s="43"/>
      <c r="J685" s="43"/>
      <c r="K685" s="43"/>
      <c r="L685" s="43"/>
      <c r="M685" s="43"/>
      <c r="N685" s="43"/>
      <c r="O685" s="43"/>
      <c r="P685" s="41"/>
      <c r="Q685" s="41"/>
      <c r="R685" s="41"/>
      <c r="S685" s="44"/>
      <c r="T685" s="45"/>
      <c r="U685" s="45"/>
      <c r="V685" s="45"/>
      <c r="W685" s="45"/>
      <c r="X685" s="46"/>
      <c r="Y685" s="46"/>
      <c r="Z685" s="46"/>
      <c r="AA685" s="46"/>
      <c r="AB685" s="46"/>
      <c r="AC685" s="46"/>
      <c r="AD685" s="46"/>
      <c r="AE685" s="46"/>
      <c r="AF685" s="46"/>
      <c r="AG685" s="46"/>
    </row>
    <row r="686" spans="1:33" ht="13.5" customHeight="1">
      <c r="A686" s="46"/>
      <c r="B686" s="46"/>
      <c r="C686" s="41"/>
      <c r="D686" s="42"/>
      <c r="E686" s="42"/>
      <c r="F686" s="42"/>
      <c r="G686" s="43"/>
      <c r="H686" s="43"/>
      <c r="I686" s="43"/>
      <c r="J686" s="43"/>
      <c r="K686" s="43"/>
      <c r="L686" s="43"/>
      <c r="M686" s="43"/>
      <c r="N686" s="43"/>
      <c r="O686" s="43"/>
      <c r="P686" s="41"/>
      <c r="Q686" s="41"/>
      <c r="R686" s="41"/>
      <c r="S686" s="44"/>
      <c r="T686" s="45"/>
      <c r="U686" s="45"/>
      <c r="V686" s="45"/>
      <c r="W686" s="45"/>
      <c r="X686" s="46"/>
      <c r="Y686" s="46"/>
      <c r="Z686" s="46"/>
      <c r="AA686" s="46"/>
      <c r="AB686" s="46"/>
      <c r="AC686" s="46"/>
      <c r="AD686" s="46"/>
      <c r="AE686" s="46"/>
      <c r="AF686" s="46"/>
      <c r="AG686" s="46"/>
    </row>
    <row r="687" spans="1:33" ht="13.5" customHeight="1">
      <c r="A687" s="46"/>
      <c r="B687" s="46"/>
      <c r="C687" s="41"/>
      <c r="D687" s="42"/>
      <c r="E687" s="42"/>
      <c r="F687" s="42"/>
      <c r="G687" s="43"/>
      <c r="H687" s="43"/>
      <c r="I687" s="43"/>
      <c r="J687" s="43"/>
      <c r="K687" s="43"/>
      <c r="L687" s="43"/>
      <c r="M687" s="43"/>
      <c r="N687" s="43"/>
      <c r="O687" s="43"/>
      <c r="P687" s="41"/>
      <c r="Q687" s="41"/>
      <c r="R687" s="41"/>
      <c r="S687" s="44"/>
      <c r="T687" s="45"/>
      <c r="U687" s="45"/>
      <c r="V687" s="45"/>
      <c r="W687" s="45"/>
      <c r="X687" s="46"/>
      <c r="Y687" s="46"/>
      <c r="Z687" s="46"/>
      <c r="AA687" s="46"/>
      <c r="AB687" s="46"/>
      <c r="AC687" s="46"/>
      <c r="AD687" s="46"/>
      <c r="AE687" s="46"/>
      <c r="AF687" s="46"/>
      <c r="AG687" s="46"/>
    </row>
    <row r="688" spans="1:33" ht="13.5" customHeight="1">
      <c r="A688" s="46"/>
      <c r="B688" s="46"/>
      <c r="C688" s="41"/>
      <c r="D688" s="42"/>
      <c r="E688" s="42"/>
      <c r="F688" s="42"/>
      <c r="G688" s="43"/>
      <c r="H688" s="43"/>
      <c r="I688" s="43"/>
      <c r="J688" s="43"/>
      <c r="K688" s="43"/>
      <c r="L688" s="43"/>
      <c r="M688" s="43"/>
      <c r="N688" s="43"/>
      <c r="O688" s="43"/>
      <c r="P688" s="41"/>
      <c r="Q688" s="41"/>
      <c r="R688" s="41"/>
      <c r="S688" s="44"/>
      <c r="T688" s="45"/>
      <c r="U688" s="45"/>
      <c r="V688" s="45"/>
      <c r="W688" s="45"/>
      <c r="X688" s="46"/>
      <c r="Y688" s="46"/>
      <c r="Z688" s="46"/>
      <c r="AA688" s="46"/>
      <c r="AB688" s="46"/>
      <c r="AC688" s="46"/>
      <c r="AD688" s="46"/>
      <c r="AE688" s="46"/>
      <c r="AF688" s="46"/>
      <c r="AG688" s="46"/>
    </row>
    <row r="689" spans="1:33" ht="13.5" customHeight="1">
      <c r="A689" s="46"/>
      <c r="B689" s="46"/>
      <c r="C689" s="41"/>
      <c r="D689" s="42"/>
      <c r="E689" s="42"/>
      <c r="F689" s="42"/>
      <c r="G689" s="43"/>
      <c r="H689" s="43"/>
      <c r="I689" s="43"/>
      <c r="J689" s="43"/>
      <c r="K689" s="43"/>
      <c r="L689" s="43"/>
      <c r="M689" s="43"/>
      <c r="N689" s="43"/>
      <c r="O689" s="43"/>
      <c r="P689" s="41"/>
      <c r="Q689" s="41"/>
      <c r="R689" s="41"/>
      <c r="S689" s="44"/>
      <c r="T689" s="45"/>
      <c r="U689" s="45"/>
      <c r="V689" s="45"/>
      <c r="W689" s="45"/>
      <c r="X689" s="46"/>
      <c r="Y689" s="46"/>
      <c r="Z689" s="46"/>
      <c r="AA689" s="46"/>
      <c r="AB689" s="46"/>
      <c r="AC689" s="46"/>
      <c r="AD689" s="46"/>
      <c r="AE689" s="46"/>
      <c r="AF689" s="46"/>
      <c r="AG689" s="46"/>
    </row>
    <row r="690" spans="1:33" ht="13.5" customHeight="1">
      <c r="A690" s="46"/>
      <c r="B690" s="46"/>
      <c r="C690" s="41"/>
      <c r="D690" s="42"/>
      <c r="E690" s="42"/>
      <c r="F690" s="42"/>
      <c r="G690" s="43"/>
      <c r="H690" s="43"/>
      <c r="I690" s="43"/>
      <c r="J690" s="43"/>
      <c r="K690" s="43"/>
      <c r="L690" s="43"/>
      <c r="M690" s="43"/>
      <c r="N690" s="43"/>
      <c r="O690" s="43"/>
      <c r="P690" s="41"/>
      <c r="Q690" s="41"/>
      <c r="R690" s="41"/>
      <c r="S690" s="44"/>
      <c r="T690" s="45"/>
      <c r="U690" s="45"/>
      <c r="V690" s="45"/>
      <c r="W690" s="45"/>
      <c r="X690" s="46"/>
      <c r="Y690" s="46"/>
      <c r="Z690" s="46"/>
      <c r="AA690" s="46"/>
      <c r="AB690" s="46"/>
      <c r="AC690" s="46"/>
      <c r="AD690" s="46"/>
      <c r="AE690" s="46"/>
      <c r="AF690" s="46"/>
      <c r="AG690" s="46"/>
    </row>
    <row r="691" spans="1:33" ht="13.5" customHeight="1">
      <c r="A691" s="46"/>
      <c r="B691" s="46"/>
      <c r="C691" s="41"/>
      <c r="D691" s="42"/>
      <c r="E691" s="42"/>
      <c r="F691" s="42"/>
      <c r="G691" s="43"/>
      <c r="H691" s="43"/>
      <c r="I691" s="43"/>
      <c r="J691" s="43"/>
      <c r="K691" s="43"/>
      <c r="L691" s="43"/>
      <c r="M691" s="43"/>
      <c r="N691" s="43"/>
      <c r="O691" s="43"/>
      <c r="P691" s="41"/>
      <c r="Q691" s="41"/>
      <c r="R691" s="41"/>
      <c r="S691" s="44"/>
      <c r="T691" s="45"/>
      <c r="U691" s="45"/>
      <c r="V691" s="45"/>
      <c r="W691" s="45"/>
      <c r="X691" s="46"/>
      <c r="Y691" s="46"/>
      <c r="Z691" s="46"/>
      <c r="AA691" s="46"/>
      <c r="AB691" s="46"/>
      <c r="AC691" s="46"/>
      <c r="AD691" s="46"/>
      <c r="AE691" s="46"/>
      <c r="AF691" s="46"/>
      <c r="AG691" s="46"/>
    </row>
    <row r="692" spans="1:33" ht="13.5" customHeight="1">
      <c r="A692" s="46"/>
      <c r="B692" s="46"/>
      <c r="C692" s="41"/>
      <c r="D692" s="42"/>
      <c r="E692" s="42"/>
      <c r="F692" s="42"/>
      <c r="G692" s="43"/>
      <c r="H692" s="43"/>
      <c r="I692" s="43"/>
      <c r="J692" s="43"/>
      <c r="K692" s="43"/>
      <c r="L692" s="43"/>
      <c r="M692" s="43"/>
      <c r="N692" s="43"/>
      <c r="O692" s="43"/>
      <c r="P692" s="41"/>
      <c r="Q692" s="41"/>
      <c r="R692" s="41"/>
      <c r="S692" s="44"/>
      <c r="T692" s="45"/>
      <c r="U692" s="45"/>
      <c r="V692" s="45"/>
      <c r="W692" s="45"/>
      <c r="X692" s="46"/>
      <c r="Y692" s="46"/>
      <c r="Z692" s="46"/>
      <c r="AA692" s="46"/>
      <c r="AB692" s="46"/>
      <c r="AC692" s="46"/>
      <c r="AD692" s="46"/>
      <c r="AE692" s="46"/>
      <c r="AF692" s="46"/>
      <c r="AG692" s="46"/>
    </row>
    <row r="693" spans="1:33" ht="13.5" customHeight="1">
      <c r="A693" s="46"/>
      <c r="B693" s="46"/>
      <c r="C693" s="41"/>
      <c r="D693" s="42"/>
      <c r="E693" s="42"/>
      <c r="F693" s="42"/>
      <c r="G693" s="43"/>
      <c r="H693" s="43"/>
      <c r="I693" s="43"/>
      <c r="J693" s="43"/>
      <c r="K693" s="43"/>
      <c r="L693" s="43"/>
      <c r="M693" s="43"/>
      <c r="N693" s="43"/>
      <c r="O693" s="43"/>
      <c r="P693" s="41"/>
      <c r="Q693" s="41"/>
      <c r="R693" s="41"/>
      <c r="S693" s="44"/>
      <c r="T693" s="45"/>
      <c r="U693" s="45"/>
      <c r="V693" s="45"/>
      <c r="W693" s="45"/>
      <c r="X693" s="46"/>
      <c r="Y693" s="46"/>
      <c r="Z693" s="46"/>
      <c r="AA693" s="46"/>
      <c r="AB693" s="46"/>
      <c r="AC693" s="46"/>
      <c r="AD693" s="46"/>
      <c r="AE693" s="46"/>
      <c r="AF693" s="46"/>
      <c r="AG693" s="46"/>
    </row>
    <row r="694" spans="1:33" ht="13.5" customHeight="1">
      <c r="A694" s="46"/>
      <c r="B694" s="46"/>
      <c r="C694" s="41"/>
      <c r="D694" s="42"/>
      <c r="E694" s="42"/>
      <c r="F694" s="42"/>
      <c r="G694" s="43"/>
      <c r="H694" s="43"/>
      <c r="I694" s="43"/>
      <c r="J694" s="43"/>
      <c r="K694" s="43"/>
      <c r="L694" s="43"/>
      <c r="M694" s="43"/>
      <c r="N694" s="43"/>
      <c r="O694" s="43"/>
      <c r="P694" s="41"/>
      <c r="Q694" s="41"/>
      <c r="R694" s="41"/>
      <c r="S694" s="44"/>
      <c r="T694" s="45"/>
      <c r="U694" s="45"/>
      <c r="V694" s="45"/>
      <c r="W694" s="45"/>
      <c r="X694" s="46"/>
      <c r="Y694" s="46"/>
      <c r="Z694" s="46"/>
      <c r="AA694" s="46"/>
      <c r="AB694" s="46"/>
      <c r="AC694" s="46"/>
      <c r="AD694" s="46"/>
      <c r="AE694" s="46"/>
      <c r="AF694" s="46"/>
      <c r="AG694" s="46"/>
    </row>
    <row r="695" spans="1:33" ht="13.5" customHeight="1">
      <c r="A695" s="46"/>
      <c r="B695" s="46"/>
      <c r="C695" s="41"/>
      <c r="D695" s="42"/>
      <c r="E695" s="42"/>
      <c r="F695" s="42"/>
      <c r="G695" s="43"/>
      <c r="H695" s="43"/>
      <c r="I695" s="43"/>
      <c r="J695" s="43"/>
      <c r="K695" s="43"/>
      <c r="L695" s="43"/>
      <c r="M695" s="43"/>
      <c r="N695" s="43"/>
      <c r="O695" s="43"/>
      <c r="P695" s="41"/>
      <c r="Q695" s="41"/>
      <c r="R695" s="41"/>
      <c r="S695" s="44"/>
      <c r="T695" s="45"/>
      <c r="U695" s="45"/>
      <c r="V695" s="45"/>
      <c r="W695" s="45"/>
      <c r="X695" s="46"/>
      <c r="Y695" s="46"/>
      <c r="Z695" s="46"/>
      <c r="AA695" s="46"/>
      <c r="AB695" s="46"/>
      <c r="AC695" s="46"/>
      <c r="AD695" s="46"/>
      <c r="AE695" s="46"/>
      <c r="AF695" s="46"/>
      <c r="AG695" s="46"/>
    </row>
    <row r="696" spans="1:33" ht="13.5" customHeight="1">
      <c r="A696" s="46"/>
      <c r="B696" s="46"/>
      <c r="C696" s="41"/>
      <c r="D696" s="42"/>
      <c r="E696" s="42"/>
      <c r="F696" s="42"/>
      <c r="G696" s="43"/>
      <c r="H696" s="43"/>
      <c r="I696" s="43"/>
      <c r="J696" s="43"/>
      <c r="K696" s="43"/>
      <c r="L696" s="43"/>
      <c r="M696" s="43"/>
      <c r="N696" s="43"/>
      <c r="O696" s="43"/>
      <c r="P696" s="41"/>
      <c r="Q696" s="41"/>
      <c r="R696" s="41"/>
      <c r="S696" s="44"/>
      <c r="T696" s="45"/>
      <c r="U696" s="45"/>
      <c r="V696" s="45"/>
      <c r="W696" s="45"/>
      <c r="X696" s="46"/>
      <c r="Y696" s="46"/>
      <c r="Z696" s="46"/>
      <c r="AA696" s="46"/>
      <c r="AB696" s="46"/>
      <c r="AC696" s="46"/>
      <c r="AD696" s="46"/>
      <c r="AE696" s="46"/>
      <c r="AF696" s="46"/>
      <c r="AG696" s="46"/>
    </row>
    <row r="697" spans="1:33" ht="13.5" customHeight="1">
      <c r="A697" s="46"/>
      <c r="B697" s="46"/>
      <c r="C697" s="41"/>
      <c r="D697" s="42"/>
      <c r="E697" s="42"/>
      <c r="F697" s="42"/>
      <c r="G697" s="43"/>
      <c r="H697" s="43"/>
      <c r="I697" s="43"/>
      <c r="J697" s="43"/>
      <c r="K697" s="43"/>
      <c r="L697" s="43"/>
      <c r="M697" s="43"/>
      <c r="N697" s="43"/>
      <c r="O697" s="43"/>
      <c r="P697" s="41"/>
      <c r="Q697" s="41"/>
      <c r="R697" s="41"/>
      <c r="S697" s="44"/>
      <c r="T697" s="45"/>
      <c r="U697" s="45"/>
      <c r="V697" s="45"/>
      <c r="W697" s="45"/>
      <c r="X697" s="46"/>
      <c r="Y697" s="46"/>
      <c r="Z697" s="46"/>
      <c r="AA697" s="46"/>
      <c r="AB697" s="46"/>
      <c r="AC697" s="46"/>
      <c r="AD697" s="46"/>
      <c r="AE697" s="46"/>
      <c r="AF697" s="46"/>
      <c r="AG697" s="46"/>
    </row>
    <row r="698" spans="1:33" ht="13.5" customHeight="1">
      <c r="A698" s="46"/>
      <c r="B698" s="46"/>
      <c r="C698" s="41"/>
      <c r="D698" s="42"/>
      <c r="E698" s="42"/>
      <c r="F698" s="42"/>
      <c r="G698" s="43"/>
      <c r="H698" s="43"/>
      <c r="I698" s="43"/>
      <c r="J698" s="43"/>
      <c r="K698" s="43"/>
      <c r="L698" s="43"/>
      <c r="M698" s="43"/>
      <c r="N698" s="43"/>
      <c r="O698" s="43"/>
      <c r="P698" s="41"/>
      <c r="Q698" s="41"/>
      <c r="R698" s="41"/>
      <c r="S698" s="44"/>
      <c r="T698" s="45"/>
      <c r="U698" s="45"/>
      <c r="V698" s="45"/>
      <c r="W698" s="45"/>
      <c r="X698" s="46"/>
      <c r="Y698" s="46"/>
      <c r="Z698" s="46"/>
      <c r="AA698" s="46"/>
      <c r="AB698" s="46"/>
      <c r="AC698" s="46"/>
      <c r="AD698" s="46"/>
      <c r="AE698" s="46"/>
      <c r="AF698" s="46"/>
      <c r="AG698" s="46"/>
    </row>
    <row r="699" spans="1:33" ht="13.5" customHeight="1">
      <c r="A699" s="46"/>
      <c r="B699" s="46"/>
      <c r="C699" s="41"/>
      <c r="D699" s="42"/>
      <c r="E699" s="42"/>
      <c r="F699" s="42"/>
      <c r="G699" s="43"/>
      <c r="H699" s="43"/>
      <c r="I699" s="43"/>
      <c r="J699" s="43"/>
      <c r="K699" s="43"/>
      <c r="L699" s="43"/>
      <c r="M699" s="43"/>
      <c r="N699" s="43"/>
      <c r="O699" s="43"/>
      <c r="P699" s="41"/>
      <c r="Q699" s="41"/>
      <c r="R699" s="41"/>
      <c r="S699" s="44"/>
      <c r="T699" s="45"/>
      <c r="U699" s="45"/>
      <c r="V699" s="45"/>
      <c r="W699" s="45"/>
      <c r="X699" s="46"/>
      <c r="Y699" s="46"/>
      <c r="Z699" s="46"/>
      <c r="AA699" s="46"/>
      <c r="AB699" s="46"/>
      <c r="AC699" s="46"/>
      <c r="AD699" s="46"/>
      <c r="AE699" s="46"/>
      <c r="AF699" s="46"/>
      <c r="AG699" s="46"/>
    </row>
    <row r="700" spans="1:33" ht="13.5" customHeight="1">
      <c r="A700" s="46"/>
      <c r="B700" s="46"/>
      <c r="C700" s="41"/>
      <c r="D700" s="42"/>
      <c r="E700" s="42"/>
      <c r="F700" s="42"/>
      <c r="G700" s="43"/>
      <c r="H700" s="43"/>
      <c r="I700" s="43"/>
      <c r="J700" s="43"/>
      <c r="K700" s="43"/>
      <c r="L700" s="43"/>
      <c r="M700" s="43"/>
      <c r="N700" s="43"/>
      <c r="O700" s="43"/>
      <c r="P700" s="41"/>
      <c r="Q700" s="41"/>
      <c r="R700" s="41"/>
      <c r="S700" s="44"/>
      <c r="T700" s="45"/>
      <c r="U700" s="45"/>
      <c r="V700" s="45"/>
      <c r="W700" s="45"/>
      <c r="X700" s="46"/>
      <c r="Y700" s="46"/>
      <c r="Z700" s="46"/>
      <c r="AA700" s="46"/>
      <c r="AB700" s="46"/>
      <c r="AC700" s="46"/>
      <c r="AD700" s="46"/>
      <c r="AE700" s="46"/>
      <c r="AF700" s="46"/>
      <c r="AG700" s="46"/>
    </row>
    <row r="701" spans="1:33" ht="13.5" customHeight="1">
      <c r="A701" s="46"/>
      <c r="B701" s="46"/>
      <c r="C701" s="41"/>
      <c r="D701" s="42"/>
      <c r="E701" s="42"/>
      <c r="F701" s="42"/>
      <c r="G701" s="43"/>
      <c r="H701" s="43"/>
      <c r="I701" s="43"/>
      <c r="J701" s="43"/>
      <c r="K701" s="43"/>
      <c r="L701" s="43"/>
      <c r="M701" s="43"/>
      <c r="N701" s="43"/>
      <c r="O701" s="43"/>
      <c r="P701" s="41"/>
      <c r="Q701" s="41"/>
      <c r="R701" s="41"/>
      <c r="S701" s="44"/>
      <c r="T701" s="45"/>
      <c r="U701" s="45"/>
      <c r="V701" s="45"/>
      <c r="W701" s="45"/>
      <c r="X701" s="46"/>
      <c r="Y701" s="46"/>
      <c r="Z701" s="46"/>
      <c r="AA701" s="46"/>
      <c r="AB701" s="46"/>
      <c r="AC701" s="46"/>
      <c r="AD701" s="46"/>
      <c r="AE701" s="46"/>
      <c r="AF701" s="46"/>
      <c r="AG701" s="46"/>
    </row>
    <row r="702" spans="1:33" ht="13.5" customHeight="1">
      <c r="A702" s="46"/>
      <c r="B702" s="46"/>
      <c r="C702" s="41"/>
      <c r="D702" s="42"/>
      <c r="E702" s="42"/>
      <c r="F702" s="42"/>
      <c r="G702" s="43"/>
      <c r="H702" s="43"/>
      <c r="I702" s="43"/>
      <c r="J702" s="43"/>
      <c r="K702" s="43"/>
      <c r="L702" s="43"/>
      <c r="M702" s="43"/>
      <c r="N702" s="43"/>
      <c r="O702" s="43"/>
      <c r="P702" s="41"/>
      <c r="Q702" s="41"/>
      <c r="R702" s="41"/>
      <c r="S702" s="44"/>
      <c r="T702" s="45"/>
      <c r="U702" s="45"/>
      <c r="V702" s="45"/>
      <c r="W702" s="45"/>
      <c r="X702" s="46"/>
      <c r="Y702" s="46"/>
      <c r="Z702" s="46"/>
      <c r="AA702" s="46"/>
      <c r="AB702" s="46"/>
      <c r="AC702" s="46"/>
      <c r="AD702" s="46"/>
      <c r="AE702" s="46"/>
      <c r="AF702" s="46"/>
      <c r="AG702" s="46"/>
    </row>
    <row r="703" spans="1:33" ht="13.5" customHeight="1">
      <c r="A703" s="46"/>
      <c r="B703" s="46"/>
      <c r="C703" s="41"/>
      <c r="D703" s="42"/>
      <c r="E703" s="42"/>
      <c r="F703" s="42"/>
      <c r="G703" s="43"/>
      <c r="H703" s="43"/>
      <c r="I703" s="43"/>
      <c r="J703" s="43"/>
      <c r="K703" s="43"/>
      <c r="L703" s="43"/>
      <c r="M703" s="43"/>
      <c r="N703" s="43"/>
      <c r="O703" s="43"/>
      <c r="P703" s="41"/>
      <c r="Q703" s="41"/>
      <c r="R703" s="41"/>
      <c r="S703" s="44"/>
      <c r="T703" s="45"/>
      <c r="U703" s="45"/>
      <c r="V703" s="45"/>
      <c r="W703" s="45"/>
      <c r="X703" s="46"/>
      <c r="Y703" s="46"/>
      <c r="Z703" s="46"/>
      <c r="AA703" s="46"/>
      <c r="AB703" s="46"/>
      <c r="AC703" s="46"/>
      <c r="AD703" s="46"/>
      <c r="AE703" s="46"/>
      <c r="AF703" s="46"/>
      <c r="AG703" s="46"/>
    </row>
    <row r="704" spans="1:33" ht="13.5" customHeight="1">
      <c r="A704" s="46"/>
      <c r="B704" s="46"/>
      <c r="C704" s="41"/>
      <c r="D704" s="42"/>
      <c r="E704" s="42"/>
      <c r="F704" s="42"/>
      <c r="G704" s="43"/>
      <c r="H704" s="43"/>
      <c r="I704" s="43"/>
      <c r="J704" s="43"/>
      <c r="K704" s="43"/>
      <c r="L704" s="43"/>
      <c r="M704" s="43"/>
      <c r="N704" s="43"/>
      <c r="O704" s="43"/>
      <c r="P704" s="41"/>
      <c r="Q704" s="41"/>
      <c r="R704" s="41"/>
      <c r="S704" s="44"/>
      <c r="T704" s="45"/>
      <c r="U704" s="45"/>
      <c r="V704" s="45"/>
      <c r="W704" s="45"/>
      <c r="X704" s="46"/>
      <c r="Y704" s="46"/>
      <c r="Z704" s="46"/>
      <c r="AA704" s="46"/>
      <c r="AB704" s="46"/>
      <c r="AC704" s="46"/>
      <c r="AD704" s="46"/>
      <c r="AE704" s="46"/>
      <c r="AF704" s="46"/>
      <c r="AG704" s="46"/>
    </row>
    <row r="705" spans="1:33" ht="13.5" customHeight="1">
      <c r="A705" s="46"/>
      <c r="B705" s="46"/>
      <c r="C705" s="41"/>
      <c r="D705" s="42"/>
      <c r="E705" s="42"/>
      <c r="F705" s="42"/>
      <c r="G705" s="43"/>
      <c r="H705" s="43"/>
      <c r="I705" s="43"/>
      <c r="J705" s="43"/>
      <c r="K705" s="43"/>
      <c r="L705" s="43"/>
      <c r="M705" s="43"/>
      <c r="N705" s="43"/>
      <c r="O705" s="43"/>
      <c r="P705" s="41"/>
      <c r="Q705" s="41"/>
      <c r="R705" s="41"/>
      <c r="S705" s="44"/>
      <c r="T705" s="45"/>
      <c r="U705" s="45"/>
      <c r="V705" s="45"/>
      <c r="W705" s="45"/>
      <c r="X705" s="46"/>
      <c r="Y705" s="46"/>
      <c r="Z705" s="46"/>
      <c r="AA705" s="46"/>
      <c r="AB705" s="46"/>
      <c r="AC705" s="46"/>
      <c r="AD705" s="46"/>
      <c r="AE705" s="46"/>
      <c r="AF705" s="46"/>
      <c r="AG705" s="46"/>
    </row>
    <row r="706" spans="1:33" ht="13.5" customHeight="1">
      <c r="A706" s="46"/>
      <c r="B706" s="46"/>
      <c r="C706" s="41"/>
      <c r="D706" s="42"/>
      <c r="E706" s="42"/>
      <c r="F706" s="42"/>
      <c r="G706" s="43"/>
      <c r="H706" s="43"/>
      <c r="I706" s="43"/>
      <c r="J706" s="43"/>
      <c r="K706" s="43"/>
      <c r="L706" s="43"/>
      <c r="M706" s="43"/>
      <c r="N706" s="43"/>
      <c r="O706" s="43"/>
      <c r="P706" s="41"/>
      <c r="Q706" s="41"/>
      <c r="R706" s="41"/>
      <c r="S706" s="44"/>
      <c r="T706" s="45"/>
      <c r="U706" s="45"/>
      <c r="V706" s="45"/>
      <c r="W706" s="45"/>
      <c r="X706" s="46"/>
      <c r="Y706" s="46"/>
      <c r="Z706" s="46"/>
      <c r="AA706" s="46"/>
      <c r="AB706" s="46"/>
      <c r="AC706" s="46"/>
      <c r="AD706" s="46"/>
      <c r="AE706" s="46"/>
      <c r="AF706" s="46"/>
      <c r="AG706" s="46"/>
    </row>
    <row r="707" spans="1:33" ht="13.5" customHeight="1">
      <c r="A707" s="46"/>
      <c r="B707" s="46"/>
      <c r="C707" s="41"/>
      <c r="D707" s="42"/>
      <c r="E707" s="42"/>
      <c r="F707" s="42"/>
      <c r="G707" s="43"/>
      <c r="H707" s="43"/>
      <c r="I707" s="43"/>
      <c r="J707" s="43"/>
      <c r="K707" s="43"/>
      <c r="L707" s="43"/>
      <c r="M707" s="43"/>
      <c r="N707" s="43"/>
      <c r="O707" s="43"/>
      <c r="P707" s="41"/>
      <c r="Q707" s="41"/>
      <c r="R707" s="41"/>
      <c r="S707" s="44"/>
      <c r="T707" s="45"/>
      <c r="U707" s="45"/>
      <c r="V707" s="45"/>
      <c r="W707" s="45"/>
      <c r="X707" s="46"/>
      <c r="Y707" s="46"/>
      <c r="Z707" s="46"/>
      <c r="AA707" s="46"/>
      <c r="AB707" s="46"/>
      <c r="AC707" s="46"/>
      <c r="AD707" s="46"/>
      <c r="AE707" s="46"/>
      <c r="AF707" s="46"/>
      <c r="AG707" s="46"/>
    </row>
    <row r="708" spans="1:33" ht="13.5" customHeight="1">
      <c r="A708" s="46"/>
      <c r="B708" s="46"/>
      <c r="C708" s="41"/>
      <c r="D708" s="42"/>
      <c r="E708" s="42"/>
      <c r="F708" s="42"/>
      <c r="G708" s="43"/>
      <c r="H708" s="43"/>
      <c r="I708" s="43"/>
      <c r="J708" s="43"/>
      <c r="K708" s="43"/>
      <c r="L708" s="43"/>
      <c r="M708" s="43"/>
      <c r="N708" s="43"/>
      <c r="O708" s="43"/>
      <c r="P708" s="41"/>
      <c r="Q708" s="41"/>
      <c r="R708" s="41"/>
      <c r="S708" s="44"/>
      <c r="T708" s="45"/>
      <c r="U708" s="45"/>
      <c r="V708" s="45"/>
      <c r="W708" s="45"/>
      <c r="X708" s="46"/>
      <c r="Y708" s="46"/>
      <c r="Z708" s="46"/>
      <c r="AA708" s="46"/>
      <c r="AB708" s="46"/>
      <c r="AC708" s="46"/>
      <c r="AD708" s="46"/>
      <c r="AE708" s="46"/>
      <c r="AF708" s="46"/>
      <c r="AG708" s="46"/>
    </row>
    <row r="709" spans="1:33" ht="13.5" customHeight="1">
      <c r="A709" s="46"/>
      <c r="B709" s="46"/>
      <c r="C709" s="41"/>
      <c r="D709" s="42"/>
      <c r="E709" s="42"/>
      <c r="F709" s="42"/>
      <c r="G709" s="43"/>
      <c r="H709" s="43"/>
      <c r="I709" s="43"/>
      <c r="J709" s="43"/>
      <c r="K709" s="43"/>
      <c r="L709" s="43"/>
      <c r="M709" s="43"/>
      <c r="N709" s="43"/>
      <c r="O709" s="43"/>
      <c r="P709" s="41"/>
      <c r="Q709" s="41"/>
      <c r="R709" s="41"/>
      <c r="S709" s="44"/>
      <c r="T709" s="45"/>
      <c r="U709" s="45"/>
      <c r="V709" s="45"/>
      <c r="W709" s="45"/>
      <c r="X709" s="46"/>
      <c r="Y709" s="46"/>
      <c r="Z709" s="46"/>
      <c r="AA709" s="46"/>
      <c r="AB709" s="46"/>
      <c r="AC709" s="46"/>
      <c r="AD709" s="46"/>
      <c r="AE709" s="46"/>
      <c r="AF709" s="46"/>
      <c r="AG709" s="46"/>
    </row>
    <row r="710" spans="1:33" ht="13.5" customHeight="1">
      <c r="A710" s="46"/>
      <c r="B710" s="46"/>
      <c r="C710" s="41"/>
      <c r="D710" s="42"/>
      <c r="E710" s="42"/>
      <c r="F710" s="42"/>
      <c r="G710" s="43"/>
      <c r="H710" s="43"/>
      <c r="I710" s="43"/>
      <c r="J710" s="43"/>
      <c r="K710" s="43"/>
      <c r="L710" s="43"/>
      <c r="M710" s="43"/>
      <c r="N710" s="43"/>
      <c r="O710" s="43"/>
      <c r="P710" s="41"/>
      <c r="Q710" s="41"/>
      <c r="R710" s="41"/>
      <c r="S710" s="44"/>
      <c r="T710" s="45"/>
      <c r="U710" s="45"/>
      <c r="V710" s="45"/>
      <c r="W710" s="45"/>
      <c r="X710" s="46"/>
      <c r="Y710" s="46"/>
      <c r="Z710" s="46"/>
      <c r="AA710" s="46"/>
      <c r="AB710" s="46"/>
      <c r="AC710" s="46"/>
      <c r="AD710" s="46"/>
      <c r="AE710" s="46"/>
      <c r="AF710" s="46"/>
      <c r="AG710" s="46"/>
    </row>
    <row r="711" spans="1:33" ht="13.5" customHeight="1">
      <c r="A711" s="46"/>
      <c r="B711" s="46"/>
      <c r="C711" s="41"/>
      <c r="D711" s="42"/>
      <c r="E711" s="42"/>
      <c r="F711" s="42"/>
      <c r="G711" s="43"/>
      <c r="H711" s="43"/>
      <c r="I711" s="43"/>
      <c r="J711" s="43"/>
      <c r="K711" s="43"/>
      <c r="L711" s="43"/>
      <c r="M711" s="43"/>
      <c r="N711" s="43"/>
      <c r="O711" s="43"/>
      <c r="P711" s="41"/>
      <c r="Q711" s="41"/>
      <c r="R711" s="41"/>
      <c r="S711" s="44"/>
      <c r="T711" s="45"/>
      <c r="U711" s="45"/>
      <c r="V711" s="45"/>
      <c r="W711" s="45"/>
      <c r="X711" s="46"/>
      <c r="Y711" s="46"/>
      <c r="Z711" s="46"/>
      <c r="AA711" s="46"/>
      <c r="AB711" s="46"/>
      <c r="AC711" s="46"/>
      <c r="AD711" s="46"/>
      <c r="AE711" s="46"/>
      <c r="AF711" s="46"/>
      <c r="AG711" s="46"/>
    </row>
    <row r="712" spans="1:33" ht="13.5" customHeight="1">
      <c r="A712" s="46"/>
      <c r="B712" s="46"/>
      <c r="C712" s="41"/>
      <c r="D712" s="42"/>
      <c r="E712" s="42"/>
      <c r="F712" s="42"/>
      <c r="G712" s="43"/>
      <c r="H712" s="43"/>
      <c r="I712" s="43"/>
      <c r="J712" s="43"/>
      <c r="K712" s="43"/>
      <c r="L712" s="43"/>
      <c r="M712" s="43"/>
      <c r="N712" s="43"/>
      <c r="O712" s="43"/>
      <c r="P712" s="41"/>
      <c r="Q712" s="41"/>
      <c r="R712" s="41"/>
      <c r="S712" s="44"/>
      <c r="T712" s="45"/>
      <c r="U712" s="45"/>
      <c r="V712" s="45"/>
      <c r="W712" s="45"/>
      <c r="X712" s="46"/>
      <c r="Y712" s="46"/>
      <c r="Z712" s="46"/>
      <c r="AA712" s="46"/>
      <c r="AB712" s="46"/>
      <c r="AC712" s="46"/>
      <c r="AD712" s="46"/>
      <c r="AE712" s="46"/>
      <c r="AF712" s="46"/>
      <c r="AG712" s="46"/>
    </row>
    <row r="713" spans="1:33" ht="13.5" customHeight="1">
      <c r="A713" s="46"/>
      <c r="B713" s="46"/>
      <c r="C713" s="41"/>
      <c r="D713" s="42"/>
      <c r="E713" s="42"/>
      <c r="F713" s="42"/>
      <c r="G713" s="43"/>
      <c r="H713" s="43"/>
      <c r="I713" s="43"/>
      <c r="J713" s="43"/>
      <c r="K713" s="43"/>
      <c r="L713" s="43"/>
      <c r="M713" s="43"/>
      <c r="N713" s="43"/>
      <c r="O713" s="43"/>
      <c r="P713" s="41"/>
      <c r="Q713" s="41"/>
      <c r="R713" s="41"/>
      <c r="S713" s="44"/>
      <c r="T713" s="45"/>
      <c r="U713" s="45"/>
      <c r="V713" s="45"/>
      <c r="W713" s="45"/>
      <c r="X713" s="46"/>
      <c r="Y713" s="46"/>
      <c r="Z713" s="46"/>
      <c r="AA713" s="46"/>
      <c r="AB713" s="46"/>
      <c r="AC713" s="46"/>
      <c r="AD713" s="46"/>
      <c r="AE713" s="46"/>
      <c r="AF713" s="46"/>
      <c r="AG713" s="46"/>
    </row>
    <row r="714" spans="1:33" ht="13.5" customHeight="1">
      <c r="A714" s="46"/>
      <c r="B714" s="46"/>
      <c r="C714" s="41"/>
      <c r="D714" s="42"/>
      <c r="E714" s="42"/>
      <c r="F714" s="42"/>
      <c r="G714" s="43"/>
      <c r="H714" s="43"/>
      <c r="I714" s="43"/>
      <c r="J714" s="43"/>
      <c r="K714" s="43"/>
      <c r="L714" s="43"/>
      <c r="M714" s="43"/>
      <c r="N714" s="43"/>
      <c r="O714" s="43"/>
      <c r="P714" s="41"/>
      <c r="Q714" s="41"/>
      <c r="R714" s="41"/>
      <c r="S714" s="44"/>
      <c r="T714" s="45"/>
      <c r="U714" s="45"/>
      <c r="V714" s="45"/>
      <c r="W714" s="45"/>
      <c r="X714" s="46"/>
      <c r="Y714" s="46"/>
      <c r="Z714" s="46"/>
      <c r="AA714" s="46"/>
      <c r="AB714" s="46"/>
      <c r="AC714" s="46"/>
      <c r="AD714" s="46"/>
      <c r="AE714" s="46"/>
      <c r="AF714" s="46"/>
      <c r="AG714" s="46"/>
    </row>
    <row r="715" spans="1:33" ht="13.5" customHeight="1">
      <c r="A715" s="46"/>
      <c r="B715" s="46"/>
      <c r="C715" s="41"/>
      <c r="D715" s="42"/>
      <c r="E715" s="42"/>
      <c r="F715" s="42"/>
      <c r="G715" s="43"/>
      <c r="H715" s="43"/>
      <c r="I715" s="43"/>
      <c r="J715" s="43"/>
      <c r="K715" s="43"/>
      <c r="L715" s="43"/>
      <c r="M715" s="43"/>
      <c r="N715" s="43"/>
      <c r="O715" s="43"/>
      <c r="P715" s="41"/>
      <c r="Q715" s="41"/>
      <c r="R715" s="41"/>
      <c r="S715" s="44"/>
      <c r="T715" s="45"/>
      <c r="U715" s="45"/>
      <c r="V715" s="45"/>
      <c r="W715" s="45"/>
      <c r="X715" s="46"/>
      <c r="Y715" s="46"/>
      <c r="Z715" s="46"/>
      <c r="AA715" s="46"/>
      <c r="AB715" s="46"/>
      <c r="AC715" s="46"/>
      <c r="AD715" s="46"/>
      <c r="AE715" s="46"/>
      <c r="AF715" s="46"/>
      <c r="AG715" s="46"/>
    </row>
    <row r="716" spans="1:33" ht="13.5" customHeight="1">
      <c r="A716" s="46"/>
      <c r="B716" s="46"/>
      <c r="C716" s="41"/>
      <c r="D716" s="42"/>
      <c r="E716" s="42"/>
      <c r="F716" s="42"/>
      <c r="G716" s="43"/>
      <c r="H716" s="43"/>
      <c r="I716" s="43"/>
      <c r="J716" s="43"/>
      <c r="K716" s="43"/>
      <c r="L716" s="43"/>
      <c r="M716" s="43"/>
      <c r="N716" s="43"/>
      <c r="O716" s="43"/>
      <c r="P716" s="41"/>
      <c r="Q716" s="41"/>
      <c r="R716" s="41"/>
      <c r="S716" s="44"/>
      <c r="T716" s="45"/>
      <c r="U716" s="45"/>
      <c r="V716" s="45"/>
      <c r="W716" s="45"/>
      <c r="X716" s="46"/>
      <c r="Y716" s="46"/>
      <c r="Z716" s="46"/>
      <c r="AA716" s="46"/>
      <c r="AB716" s="46"/>
      <c r="AC716" s="46"/>
      <c r="AD716" s="46"/>
      <c r="AE716" s="46"/>
      <c r="AF716" s="46"/>
      <c r="AG716" s="46"/>
    </row>
    <row r="717" spans="1:33" ht="13.5" customHeight="1">
      <c r="A717" s="46"/>
      <c r="B717" s="46"/>
      <c r="C717" s="41"/>
      <c r="D717" s="42"/>
      <c r="E717" s="42"/>
      <c r="F717" s="42"/>
      <c r="G717" s="43"/>
      <c r="H717" s="43"/>
      <c r="I717" s="43"/>
      <c r="J717" s="43"/>
      <c r="K717" s="43"/>
      <c r="L717" s="43"/>
      <c r="M717" s="43"/>
      <c r="N717" s="43"/>
      <c r="O717" s="43"/>
      <c r="P717" s="41"/>
      <c r="Q717" s="41"/>
      <c r="R717" s="41"/>
      <c r="S717" s="44"/>
      <c r="T717" s="45"/>
      <c r="U717" s="45"/>
      <c r="V717" s="45"/>
      <c r="W717" s="45"/>
      <c r="X717" s="46"/>
      <c r="Y717" s="46"/>
      <c r="Z717" s="46"/>
      <c r="AA717" s="46"/>
      <c r="AB717" s="46"/>
      <c r="AC717" s="46"/>
      <c r="AD717" s="46"/>
      <c r="AE717" s="46"/>
      <c r="AF717" s="46"/>
      <c r="AG717" s="46"/>
    </row>
    <row r="718" spans="1:33" ht="13.5" customHeight="1">
      <c r="A718" s="46"/>
      <c r="B718" s="46"/>
      <c r="C718" s="41"/>
      <c r="D718" s="42"/>
      <c r="E718" s="42"/>
      <c r="F718" s="42"/>
      <c r="G718" s="43"/>
      <c r="H718" s="43"/>
      <c r="I718" s="43"/>
      <c r="J718" s="43"/>
      <c r="K718" s="43"/>
      <c r="L718" s="43"/>
      <c r="M718" s="43"/>
      <c r="N718" s="43"/>
      <c r="O718" s="43"/>
      <c r="P718" s="41"/>
      <c r="Q718" s="41"/>
      <c r="R718" s="41"/>
      <c r="S718" s="44"/>
      <c r="T718" s="45"/>
      <c r="U718" s="45"/>
      <c r="V718" s="45"/>
      <c r="W718" s="45"/>
      <c r="X718" s="46"/>
      <c r="Y718" s="46"/>
      <c r="Z718" s="46"/>
      <c r="AA718" s="46"/>
      <c r="AB718" s="46"/>
      <c r="AC718" s="46"/>
      <c r="AD718" s="46"/>
      <c r="AE718" s="46"/>
      <c r="AF718" s="46"/>
      <c r="AG718" s="46"/>
    </row>
    <row r="719" spans="1:33" ht="13.5" customHeight="1">
      <c r="A719" s="46"/>
      <c r="B719" s="46"/>
      <c r="C719" s="41"/>
      <c r="D719" s="42"/>
      <c r="E719" s="42"/>
      <c r="F719" s="42"/>
      <c r="G719" s="43"/>
      <c r="H719" s="43"/>
      <c r="I719" s="43"/>
      <c r="J719" s="43"/>
      <c r="K719" s="43"/>
      <c r="L719" s="43"/>
      <c r="M719" s="43"/>
      <c r="N719" s="43"/>
      <c r="O719" s="43"/>
      <c r="P719" s="41"/>
      <c r="Q719" s="41"/>
      <c r="R719" s="41"/>
      <c r="S719" s="44"/>
      <c r="T719" s="45"/>
      <c r="U719" s="45"/>
      <c r="V719" s="45"/>
      <c r="W719" s="45"/>
      <c r="X719" s="46"/>
      <c r="Y719" s="46"/>
      <c r="Z719" s="46"/>
      <c r="AA719" s="46"/>
      <c r="AB719" s="46"/>
      <c r="AC719" s="46"/>
      <c r="AD719" s="46"/>
      <c r="AE719" s="46"/>
      <c r="AF719" s="46"/>
      <c r="AG719" s="46"/>
    </row>
    <row r="720" spans="1:33" ht="13.5" customHeight="1">
      <c r="A720" s="46"/>
      <c r="B720" s="46"/>
      <c r="C720" s="41"/>
      <c r="D720" s="42"/>
      <c r="E720" s="42"/>
      <c r="F720" s="42"/>
      <c r="G720" s="43"/>
      <c r="H720" s="43"/>
      <c r="I720" s="43"/>
      <c r="J720" s="43"/>
      <c r="K720" s="43"/>
      <c r="L720" s="43"/>
      <c r="M720" s="43"/>
      <c r="N720" s="43"/>
      <c r="O720" s="43"/>
      <c r="P720" s="41"/>
      <c r="Q720" s="41"/>
      <c r="R720" s="41"/>
      <c r="S720" s="44"/>
      <c r="T720" s="45"/>
      <c r="U720" s="45"/>
      <c r="V720" s="45"/>
      <c r="W720" s="45"/>
      <c r="X720" s="46"/>
      <c r="Y720" s="46"/>
      <c r="Z720" s="46"/>
      <c r="AA720" s="46"/>
      <c r="AB720" s="46"/>
      <c r="AC720" s="46"/>
      <c r="AD720" s="46"/>
      <c r="AE720" s="46"/>
      <c r="AF720" s="46"/>
      <c r="AG720" s="46"/>
    </row>
    <row r="721" spans="1:33" ht="13.5" customHeight="1">
      <c r="A721" s="46"/>
      <c r="B721" s="46"/>
      <c r="C721" s="41"/>
      <c r="D721" s="42"/>
      <c r="E721" s="42"/>
      <c r="F721" s="42"/>
      <c r="G721" s="43"/>
      <c r="H721" s="43"/>
      <c r="I721" s="43"/>
      <c r="J721" s="43"/>
      <c r="K721" s="43"/>
      <c r="L721" s="43"/>
      <c r="M721" s="43"/>
      <c r="N721" s="43"/>
      <c r="O721" s="43"/>
      <c r="P721" s="41"/>
      <c r="Q721" s="41"/>
      <c r="R721" s="41"/>
      <c r="S721" s="44"/>
      <c r="T721" s="45"/>
      <c r="U721" s="45"/>
      <c r="V721" s="45"/>
      <c r="W721" s="45"/>
      <c r="X721" s="46"/>
      <c r="Y721" s="46"/>
      <c r="Z721" s="46"/>
      <c r="AA721" s="46"/>
      <c r="AB721" s="46"/>
      <c r="AC721" s="46"/>
      <c r="AD721" s="46"/>
      <c r="AE721" s="46"/>
      <c r="AF721" s="46"/>
      <c r="AG721" s="46"/>
    </row>
    <row r="722" spans="1:33" ht="13.5" customHeight="1">
      <c r="A722" s="46"/>
      <c r="B722" s="46"/>
      <c r="C722" s="41"/>
      <c r="D722" s="42"/>
      <c r="E722" s="42"/>
      <c r="F722" s="42"/>
      <c r="G722" s="43"/>
      <c r="H722" s="43"/>
      <c r="I722" s="43"/>
      <c r="J722" s="43"/>
      <c r="K722" s="43"/>
      <c r="L722" s="43"/>
      <c r="M722" s="43"/>
      <c r="N722" s="43"/>
      <c r="O722" s="43"/>
      <c r="P722" s="41"/>
      <c r="Q722" s="41"/>
      <c r="R722" s="41"/>
      <c r="S722" s="44"/>
      <c r="T722" s="45"/>
      <c r="U722" s="45"/>
      <c r="V722" s="45"/>
      <c r="W722" s="45"/>
      <c r="X722" s="46"/>
      <c r="Y722" s="46"/>
      <c r="Z722" s="46"/>
      <c r="AA722" s="46"/>
      <c r="AB722" s="46"/>
      <c r="AC722" s="46"/>
      <c r="AD722" s="46"/>
      <c r="AE722" s="46"/>
      <c r="AF722" s="46"/>
      <c r="AG722" s="46"/>
    </row>
    <row r="723" spans="1:33" ht="13.5" customHeight="1">
      <c r="A723" s="46"/>
      <c r="B723" s="46"/>
      <c r="C723" s="41"/>
      <c r="D723" s="42"/>
      <c r="E723" s="42"/>
      <c r="F723" s="42"/>
      <c r="G723" s="43"/>
      <c r="H723" s="43"/>
      <c r="I723" s="43"/>
      <c r="J723" s="43"/>
      <c r="K723" s="43"/>
      <c r="L723" s="43"/>
      <c r="M723" s="43"/>
      <c r="N723" s="43"/>
      <c r="O723" s="43"/>
      <c r="P723" s="41"/>
      <c r="Q723" s="41"/>
      <c r="R723" s="41"/>
      <c r="S723" s="44"/>
      <c r="T723" s="45"/>
      <c r="U723" s="45"/>
      <c r="V723" s="45"/>
      <c r="W723" s="45"/>
      <c r="X723" s="46"/>
      <c r="Y723" s="46"/>
      <c r="Z723" s="46"/>
      <c r="AA723" s="46"/>
      <c r="AB723" s="46"/>
      <c r="AC723" s="46"/>
      <c r="AD723" s="46"/>
      <c r="AE723" s="46"/>
      <c r="AF723" s="46"/>
      <c r="AG723" s="46"/>
    </row>
    <row r="724" spans="1:33" ht="13.5" customHeight="1">
      <c r="A724" s="46"/>
      <c r="B724" s="46"/>
      <c r="C724" s="41"/>
      <c r="D724" s="42"/>
      <c r="E724" s="42"/>
      <c r="F724" s="42"/>
      <c r="G724" s="43"/>
      <c r="H724" s="43"/>
      <c r="I724" s="43"/>
      <c r="J724" s="43"/>
      <c r="K724" s="43"/>
      <c r="L724" s="43"/>
      <c r="M724" s="43"/>
      <c r="N724" s="43"/>
      <c r="O724" s="43"/>
      <c r="P724" s="41"/>
      <c r="Q724" s="41"/>
      <c r="R724" s="41"/>
      <c r="S724" s="44"/>
      <c r="T724" s="45"/>
      <c r="U724" s="45"/>
      <c r="V724" s="45"/>
      <c r="W724" s="45"/>
      <c r="X724" s="46"/>
      <c r="Y724" s="46"/>
      <c r="Z724" s="46"/>
      <c r="AA724" s="46"/>
      <c r="AB724" s="46"/>
      <c r="AC724" s="46"/>
      <c r="AD724" s="46"/>
      <c r="AE724" s="46"/>
      <c r="AF724" s="46"/>
      <c r="AG724" s="46"/>
    </row>
    <row r="725" spans="1:33" ht="13.5" customHeight="1">
      <c r="A725" s="46"/>
      <c r="B725" s="46"/>
      <c r="C725" s="41"/>
      <c r="D725" s="42"/>
      <c r="E725" s="42"/>
      <c r="F725" s="42"/>
      <c r="G725" s="43"/>
      <c r="H725" s="43"/>
      <c r="I725" s="43"/>
      <c r="J725" s="43"/>
      <c r="K725" s="43"/>
      <c r="L725" s="43"/>
      <c r="M725" s="43"/>
      <c r="N725" s="43"/>
      <c r="O725" s="43"/>
      <c r="P725" s="41"/>
      <c r="Q725" s="41"/>
      <c r="R725" s="41"/>
      <c r="S725" s="44"/>
      <c r="T725" s="45"/>
      <c r="U725" s="45"/>
      <c r="V725" s="45"/>
      <c r="W725" s="45"/>
      <c r="X725" s="46"/>
      <c r="Y725" s="46"/>
      <c r="Z725" s="46"/>
      <c r="AA725" s="46"/>
      <c r="AB725" s="46"/>
      <c r="AC725" s="46"/>
      <c r="AD725" s="46"/>
      <c r="AE725" s="46"/>
      <c r="AF725" s="46"/>
      <c r="AG725" s="46"/>
    </row>
    <row r="726" spans="1:33" ht="13.5" customHeight="1">
      <c r="A726" s="46"/>
      <c r="B726" s="46"/>
      <c r="C726" s="41"/>
      <c r="D726" s="42"/>
      <c r="E726" s="42"/>
      <c r="F726" s="42"/>
      <c r="G726" s="43"/>
      <c r="H726" s="43"/>
      <c r="I726" s="43"/>
      <c r="J726" s="43"/>
      <c r="K726" s="43"/>
      <c r="L726" s="43"/>
      <c r="M726" s="43"/>
      <c r="N726" s="43"/>
      <c r="O726" s="43"/>
      <c r="P726" s="41"/>
      <c r="Q726" s="41"/>
      <c r="R726" s="41"/>
      <c r="S726" s="44"/>
      <c r="T726" s="45"/>
      <c r="U726" s="45"/>
      <c r="V726" s="45"/>
      <c r="W726" s="45"/>
      <c r="X726" s="46"/>
      <c r="Y726" s="46"/>
      <c r="Z726" s="46"/>
      <c r="AA726" s="46"/>
      <c r="AB726" s="46"/>
      <c r="AC726" s="46"/>
      <c r="AD726" s="46"/>
      <c r="AE726" s="46"/>
      <c r="AF726" s="46"/>
      <c r="AG726" s="46"/>
    </row>
    <row r="727" spans="1:33" ht="13.5" customHeight="1">
      <c r="A727" s="46"/>
      <c r="B727" s="46"/>
      <c r="C727" s="41"/>
      <c r="D727" s="42"/>
      <c r="E727" s="42"/>
      <c r="F727" s="42"/>
      <c r="G727" s="43"/>
      <c r="H727" s="43"/>
      <c r="I727" s="43"/>
      <c r="J727" s="43"/>
      <c r="K727" s="43"/>
      <c r="L727" s="43"/>
      <c r="M727" s="43"/>
      <c r="N727" s="43"/>
      <c r="O727" s="43"/>
      <c r="P727" s="41"/>
      <c r="Q727" s="41"/>
      <c r="R727" s="41"/>
      <c r="S727" s="44"/>
      <c r="T727" s="45"/>
      <c r="U727" s="45"/>
      <c r="V727" s="45"/>
      <c r="W727" s="45"/>
      <c r="X727" s="46"/>
      <c r="Y727" s="46"/>
      <c r="Z727" s="46"/>
      <c r="AA727" s="46"/>
      <c r="AB727" s="46"/>
      <c r="AC727" s="46"/>
      <c r="AD727" s="46"/>
      <c r="AE727" s="46"/>
      <c r="AF727" s="46"/>
      <c r="AG727" s="46"/>
    </row>
    <row r="728" spans="1:33" ht="13.5" customHeight="1">
      <c r="A728" s="46"/>
      <c r="B728" s="46"/>
      <c r="C728" s="41"/>
      <c r="D728" s="42"/>
      <c r="E728" s="42"/>
      <c r="F728" s="42"/>
      <c r="G728" s="43"/>
      <c r="H728" s="43"/>
      <c r="I728" s="43"/>
      <c r="J728" s="43"/>
      <c r="K728" s="43"/>
      <c r="L728" s="43"/>
      <c r="M728" s="43"/>
      <c r="N728" s="43"/>
      <c r="O728" s="43"/>
      <c r="P728" s="41"/>
      <c r="Q728" s="41"/>
      <c r="R728" s="41"/>
      <c r="S728" s="44"/>
      <c r="T728" s="45"/>
      <c r="U728" s="45"/>
      <c r="V728" s="45"/>
      <c r="W728" s="45"/>
      <c r="X728" s="46"/>
      <c r="Y728" s="46"/>
      <c r="Z728" s="46"/>
      <c r="AA728" s="46"/>
      <c r="AB728" s="46"/>
      <c r="AC728" s="46"/>
      <c r="AD728" s="46"/>
      <c r="AE728" s="46"/>
      <c r="AF728" s="46"/>
      <c r="AG728" s="46"/>
    </row>
    <row r="729" spans="1:33" ht="13.5" customHeight="1">
      <c r="A729" s="46"/>
      <c r="B729" s="46"/>
      <c r="C729" s="41"/>
      <c r="D729" s="42"/>
      <c r="E729" s="42"/>
      <c r="F729" s="42"/>
      <c r="G729" s="43"/>
      <c r="H729" s="43"/>
      <c r="I729" s="43"/>
      <c r="J729" s="43"/>
      <c r="K729" s="43"/>
      <c r="L729" s="43"/>
      <c r="M729" s="43"/>
      <c r="N729" s="43"/>
      <c r="O729" s="43"/>
      <c r="P729" s="41"/>
      <c r="Q729" s="41"/>
      <c r="R729" s="41"/>
      <c r="S729" s="44"/>
      <c r="T729" s="45"/>
      <c r="U729" s="45"/>
      <c r="V729" s="45"/>
      <c r="W729" s="45"/>
      <c r="X729" s="46"/>
      <c r="Y729" s="46"/>
      <c r="Z729" s="46"/>
      <c r="AA729" s="46"/>
      <c r="AB729" s="46"/>
      <c r="AC729" s="46"/>
      <c r="AD729" s="46"/>
      <c r="AE729" s="46"/>
      <c r="AF729" s="46"/>
      <c r="AG729" s="46"/>
    </row>
    <row r="730" spans="1:33" ht="13.5" customHeight="1">
      <c r="A730" s="46"/>
      <c r="B730" s="46"/>
      <c r="C730" s="41"/>
      <c r="D730" s="42"/>
      <c r="E730" s="42"/>
      <c r="F730" s="42"/>
      <c r="G730" s="43"/>
      <c r="H730" s="43"/>
      <c r="I730" s="43"/>
      <c r="J730" s="43"/>
      <c r="K730" s="43"/>
      <c r="L730" s="43"/>
      <c r="M730" s="43"/>
      <c r="N730" s="43"/>
      <c r="O730" s="43"/>
      <c r="P730" s="41"/>
      <c r="Q730" s="41"/>
      <c r="R730" s="41"/>
      <c r="S730" s="44"/>
      <c r="T730" s="45"/>
      <c r="U730" s="45"/>
      <c r="V730" s="45"/>
      <c r="W730" s="45"/>
      <c r="X730" s="46"/>
      <c r="Y730" s="46"/>
      <c r="Z730" s="46"/>
      <c r="AA730" s="46"/>
      <c r="AB730" s="46"/>
      <c r="AC730" s="46"/>
      <c r="AD730" s="46"/>
      <c r="AE730" s="46"/>
      <c r="AF730" s="46"/>
      <c r="AG730" s="46"/>
    </row>
    <row r="731" spans="1:33" ht="13.5" customHeight="1">
      <c r="A731" s="46"/>
      <c r="B731" s="46"/>
      <c r="C731" s="41"/>
      <c r="D731" s="42"/>
      <c r="E731" s="42"/>
      <c r="F731" s="42"/>
      <c r="G731" s="43"/>
      <c r="H731" s="43"/>
      <c r="I731" s="43"/>
      <c r="J731" s="43"/>
      <c r="K731" s="43"/>
      <c r="L731" s="43"/>
      <c r="M731" s="43"/>
      <c r="N731" s="43"/>
      <c r="O731" s="43"/>
      <c r="P731" s="41"/>
      <c r="Q731" s="41"/>
      <c r="R731" s="41"/>
      <c r="S731" s="44"/>
      <c r="T731" s="45"/>
      <c r="U731" s="45"/>
      <c r="V731" s="45"/>
      <c r="W731" s="45"/>
      <c r="X731" s="46"/>
      <c r="Y731" s="46"/>
      <c r="Z731" s="46"/>
      <c r="AA731" s="46"/>
      <c r="AB731" s="46"/>
      <c r="AC731" s="46"/>
      <c r="AD731" s="46"/>
      <c r="AE731" s="46"/>
      <c r="AF731" s="46"/>
      <c r="AG731" s="46"/>
    </row>
    <row r="732" spans="1:33" ht="13.5" customHeight="1">
      <c r="A732" s="46"/>
      <c r="B732" s="46"/>
      <c r="C732" s="41"/>
      <c r="D732" s="42"/>
      <c r="E732" s="42"/>
      <c r="F732" s="42"/>
      <c r="G732" s="43"/>
      <c r="H732" s="43"/>
      <c r="I732" s="43"/>
      <c r="J732" s="43"/>
      <c r="K732" s="43"/>
      <c r="L732" s="43"/>
      <c r="M732" s="43"/>
      <c r="N732" s="43"/>
      <c r="O732" s="43"/>
      <c r="P732" s="41"/>
      <c r="Q732" s="41"/>
      <c r="R732" s="41"/>
      <c r="S732" s="44"/>
      <c r="T732" s="45"/>
      <c r="U732" s="45"/>
      <c r="V732" s="45"/>
      <c r="W732" s="45"/>
      <c r="X732" s="46"/>
      <c r="Y732" s="46"/>
      <c r="Z732" s="46"/>
      <c r="AA732" s="46"/>
      <c r="AB732" s="46"/>
      <c r="AC732" s="46"/>
      <c r="AD732" s="46"/>
      <c r="AE732" s="46"/>
      <c r="AF732" s="46"/>
      <c r="AG732" s="46"/>
    </row>
    <row r="733" spans="1:33" ht="13.5" customHeight="1">
      <c r="A733" s="46"/>
      <c r="B733" s="46"/>
      <c r="C733" s="41"/>
      <c r="D733" s="42"/>
      <c r="E733" s="42"/>
      <c r="F733" s="42"/>
      <c r="G733" s="43"/>
      <c r="H733" s="43"/>
      <c r="I733" s="43"/>
      <c r="J733" s="43"/>
      <c r="K733" s="43"/>
      <c r="L733" s="43"/>
      <c r="M733" s="43"/>
      <c r="N733" s="43"/>
      <c r="O733" s="43"/>
      <c r="P733" s="41"/>
      <c r="Q733" s="41"/>
      <c r="R733" s="41"/>
      <c r="S733" s="44"/>
      <c r="T733" s="45"/>
      <c r="U733" s="45"/>
      <c r="V733" s="45"/>
      <c r="W733" s="45"/>
      <c r="X733" s="46"/>
      <c r="Y733" s="46"/>
      <c r="Z733" s="46"/>
      <c r="AA733" s="46"/>
      <c r="AB733" s="46"/>
      <c r="AC733" s="46"/>
      <c r="AD733" s="46"/>
      <c r="AE733" s="46"/>
      <c r="AF733" s="46"/>
      <c r="AG733" s="46"/>
    </row>
    <row r="734" spans="1:33" ht="13.5" customHeight="1">
      <c r="A734" s="46"/>
      <c r="B734" s="46"/>
      <c r="C734" s="41"/>
      <c r="D734" s="42"/>
      <c r="E734" s="42"/>
      <c r="F734" s="42"/>
      <c r="G734" s="43"/>
      <c r="H734" s="43"/>
      <c r="I734" s="43"/>
      <c r="J734" s="43"/>
      <c r="K734" s="43"/>
      <c r="L734" s="43"/>
      <c r="M734" s="43"/>
      <c r="N734" s="43"/>
      <c r="O734" s="43"/>
      <c r="P734" s="41"/>
      <c r="Q734" s="41"/>
      <c r="R734" s="41"/>
      <c r="S734" s="44"/>
      <c r="T734" s="45"/>
      <c r="U734" s="45"/>
      <c r="V734" s="45"/>
      <c r="W734" s="45"/>
      <c r="X734" s="46"/>
      <c r="Y734" s="46"/>
      <c r="Z734" s="46"/>
      <c r="AA734" s="46"/>
      <c r="AB734" s="46"/>
      <c r="AC734" s="46"/>
      <c r="AD734" s="46"/>
      <c r="AE734" s="46"/>
      <c r="AF734" s="46"/>
      <c r="AG734" s="46"/>
    </row>
    <row r="735" spans="1:33" ht="13.5" customHeight="1">
      <c r="A735" s="46"/>
      <c r="B735" s="46"/>
      <c r="C735" s="41"/>
      <c r="D735" s="42"/>
      <c r="E735" s="42"/>
      <c r="F735" s="42"/>
      <c r="G735" s="43"/>
      <c r="H735" s="43"/>
      <c r="I735" s="43"/>
      <c r="J735" s="43"/>
      <c r="K735" s="43"/>
      <c r="L735" s="43"/>
      <c r="M735" s="43"/>
      <c r="N735" s="43"/>
      <c r="O735" s="43"/>
      <c r="P735" s="41"/>
      <c r="Q735" s="41"/>
      <c r="R735" s="41"/>
      <c r="S735" s="44"/>
      <c r="T735" s="45"/>
      <c r="U735" s="45"/>
      <c r="V735" s="45"/>
      <c r="W735" s="45"/>
      <c r="X735" s="46"/>
      <c r="Y735" s="46"/>
      <c r="Z735" s="46"/>
      <c r="AA735" s="46"/>
      <c r="AB735" s="46"/>
      <c r="AC735" s="46"/>
      <c r="AD735" s="46"/>
      <c r="AE735" s="46"/>
      <c r="AF735" s="46"/>
      <c r="AG735" s="46"/>
    </row>
    <row r="736" spans="1:33" ht="13.5" customHeight="1">
      <c r="A736" s="46"/>
      <c r="B736" s="46"/>
      <c r="C736" s="41"/>
      <c r="D736" s="42"/>
      <c r="E736" s="42"/>
      <c r="F736" s="42"/>
      <c r="G736" s="43"/>
      <c r="H736" s="43"/>
      <c r="I736" s="43"/>
      <c r="J736" s="43"/>
      <c r="K736" s="43"/>
      <c r="L736" s="43"/>
      <c r="M736" s="43"/>
      <c r="N736" s="43"/>
      <c r="O736" s="43"/>
      <c r="P736" s="41"/>
      <c r="Q736" s="41"/>
      <c r="R736" s="41"/>
      <c r="S736" s="44"/>
      <c r="T736" s="45"/>
      <c r="U736" s="45"/>
      <c r="V736" s="45"/>
      <c r="W736" s="45"/>
      <c r="X736" s="46"/>
      <c r="Y736" s="46"/>
      <c r="Z736" s="46"/>
      <c r="AA736" s="46"/>
      <c r="AB736" s="46"/>
      <c r="AC736" s="46"/>
      <c r="AD736" s="46"/>
      <c r="AE736" s="46"/>
      <c r="AF736" s="46"/>
      <c r="AG736" s="46"/>
    </row>
    <row r="737" spans="1:33" ht="13.5" customHeight="1">
      <c r="A737" s="46"/>
      <c r="B737" s="46"/>
      <c r="C737" s="41"/>
      <c r="D737" s="42"/>
      <c r="E737" s="42"/>
      <c r="F737" s="42"/>
      <c r="G737" s="43"/>
      <c r="H737" s="43"/>
      <c r="I737" s="43"/>
      <c r="J737" s="43"/>
      <c r="K737" s="43"/>
      <c r="L737" s="43"/>
      <c r="M737" s="43"/>
      <c r="N737" s="43"/>
      <c r="O737" s="43"/>
      <c r="P737" s="41"/>
      <c r="Q737" s="41"/>
      <c r="R737" s="41"/>
      <c r="S737" s="44"/>
      <c r="T737" s="45"/>
      <c r="U737" s="45"/>
      <c r="V737" s="45"/>
      <c r="W737" s="45"/>
      <c r="X737" s="46"/>
      <c r="Y737" s="46"/>
      <c r="Z737" s="46"/>
      <c r="AA737" s="46"/>
      <c r="AB737" s="46"/>
      <c r="AC737" s="46"/>
      <c r="AD737" s="46"/>
      <c r="AE737" s="46"/>
      <c r="AF737" s="46"/>
      <c r="AG737" s="46"/>
    </row>
    <row r="738" spans="1:33" ht="13.5" customHeight="1">
      <c r="A738" s="46"/>
      <c r="B738" s="46"/>
      <c r="C738" s="41"/>
      <c r="D738" s="42"/>
      <c r="E738" s="42"/>
      <c r="F738" s="42"/>
      <c r="G738" s="43"/>
      <c r="H738" s="43"/>
      <c r="I738" s="43"/>
      <c r="J738" s="43"/>
      <c r="K738" s="43"/>
      <c r="L738" s="43"/>
      <c r="M738" s="43"/>
      <c r="N738" s="43"/>
      <c r="O738" s="43"/>
      <c r="P738" s="41"/>
      <c r="Q738" s="41"/>
      <c r="R738" s="41"/>
      <c r="S738" s="44"/>
      <c r="T738" s="45"/>
      <c r="U738" s="45"/>
      <c r="V738" s="45"/>
      <c r="W738" s="45"/>
      <c r="X738" s="46"/>
      <c r="Y738" s="46"/>
      <c r="Z738" s="46"/>
      <c r="AA738" s="46"/>
      <c r="AB738" s="46"/>
      <c r="AC738" s="46"/>
      <c r="AD738" s="46"/>
      <c r="AE738" s="46"/>
      <c r="AF738" s="46"/>
      <c r="AG738" s="46"/>
    </row>
    <row r="739" spans="1:33" ht="13.5" customHeight="1">
      <c r="A739" s="46"/>
      <c r="B739" s="46"/>
      <c r="C739" s="41"/>
      <c r="D739" s="42"/>
      <c r="E739" s="42"/>
      <c r="F739" s="42"/>
      <c r="G739" s="43"/>
      <c r="H739" s="43"/>
      <c r="I739" s="43"/>
      <c r="J739" s="43"/>
      <c r="K739" s="43"/>
      <c r="L739" s="43"/>
      <c r="M739" s="43"/>
      <c r="N739" s="43"/>
      <c r="O739" s="43"/>
      <c r="P739" s="41"/>
      <c r="Q739" s="41"/>
      <c r="R739" s="41"/>
      <c r="S739" s="44"/>
      <c r="T739" s="45"/>
      <c r="U739" s="45"/>
      <c r="V739" s="45"/>
      <c r="W739" s="45"/>
      <c r="X739" s="46"/>
      <c r="Y739" s="46"/>
      <c r="Z739" s="46"/>
      <c r="AA739" s="46"/>
      <c r="AB739" s="46"/>
      <c r="AC739" s="46"/>
      <c r="AD739" s="46"/>
      <c r="AE739" s="46"/>
      <c r="AF739" s="46"/>
      <c r="AG739" s="46"/>
    </row>
    <row r="740" spans="1:33" ht="13.5" customHeight="1">
      <c r="A740" s="46"/>
      <c r="B740" s="46"/>
      <c r="C740" s="41"/>
      <c r="D740" s="42"/>
      <c r="E740" s="42"/>
      <c r="F740" s="42"/>
      <c r="G740" s="43"/>
      <c r="H740" s="43"/>
      <c r="I740" s="43"/>
      <c r="J740" s="43"/>
      <c r="K740" s="43"/>
      <c r="L740" s="43"/>
      <c r="M740" s="43"/>
      <c r="N740" s="43"/>
      <c r="O740" s="43"/>
      <c r="P740" s="41"/>
      <c r="Q740" s="41"/>
      <c r="R740" s="41"/>
      <c r="S740" s="44"/>
      <c r="T740" s="45"/>
      <c r="U740" s="45"/>
      <c r="V740" s="45"/>
      <c r="W740" s="45"/>
      <c r="X740" s="46"/>
      <c r="Y740" s="46"/>
      <c r="Z740" s="46"/>
      <c r="AA740" s="46"/>
      <c r="AB740" s="46"/>
      <c r="AC740" s="46"/>
      <c r="AD740" s="46"/>
      <c r="AE740" s="46"/>
      <c r="AF740" s="46"/>
      <c r="AG740" s="46"/>
    </row>
    <row r="741" spans="1:33" ht="13.5" customHeight="1">
      <c r="A741" s="46"/>
      <c r="B741" s="46"/>
      <c r="C741" s="41"/>
      <c r="D741" s="42"/>
      <c r="E741" s="42"/>
      <c r="F741" s="42"/>
      <c r="G741" s="43"/>
      <c r="H741" s="43"/>
      <c r="I741" s="43"/>
      <c r="J741" s="43"/>
      <c r="K741" s="43"/>
      <c r="L741" s="43"/>
      <c r="M741" s="43"/>
      <c r="N741" s="43"/>
      <c r="O741" s="43"/>
      <c r="P741" s="41"/>
      <c r="Q741" s="41"/>
      <c r="R741" s="41"/>
      <c r="S741" s="44"/>
      <c r="T741" s="45"/>
      <c r="U741" s="45"/>
      <c r="V741" s="45"/>
      <c r="W741" s="45"/>
      <c r="X741" s="46"/>
      <c r="Y741" s="46"/>
      <c r="Z741" s="46"/>
      <c r="AA741" s="46"/>
      <c r="AB741" s="46"/>
      <c r="AC741" s="46"/>
      <c r="AD741" s="46"/>
      <c r="AE741" s="46"/>
      <c r="AF741" s="46"/>
      <c r="AG741" s="46"/>
    </row>
    <row r="742" spans="1:33" ht="13.5" customHeight="1">
      <c r="A742" s="46"/>
      <c r="B742" s="46"/>
      <c r="C742" s="41"/>
      <c r="D742" s="42"/>
      <c r="E742" s="42"/>
      <c r="F742" s="42"/>
      <c r="G742" s="43"/>
      <c r="H742" s="43"/>
      <c r="I742" s="43"/>
      <c r="J742" s="43"/>
      <c r="K742" s="43"/>
      <c r="L742" s="43"/>
      <c r="M742" s="43"/>
      <c r="N742" s="43"/>
      <c r="O742" s="43"/>
      <c r="P742" s="41"/>
      <c r="Q742" s="41"/>
      <c r="R742" s="41"/>
      <c r="S742" s="44"/>
      <c r="T742" s="45"/>
      <c r="U742" s="45"/>
      <c r="V742" s="45"/>
      <c r="W742" s="45"/>
      <c r="X742" s="46"/>
      <c r="Y742" s="46"/>
      <c r="Z742" s="46"/>
      <c r="AA742" s="46"/>
      <c r="AB742" s="46"/>
      <c r="AC742" s="46"/>
      <c r="AD742" s="46"/>
      <c r="AE742" s="46"/>
      <c r="AF742" s="46"/>
      <c r="AG742" s="46"/>
    </row>
    <row r="743" spans="1:33" ht="13.5" customHeight="1">
      <c r="A743" s="46"/>
      <c r="B743" s="46"/>
      <c r="C743" s="41"/>
      <c r="D743" s="42"/>
      <c r="E743" s="42"/>
      <c r="F743" s="42"/>
      <c r="G743" s="43"/>
      <c r="H743" s="43"/>
      <c r="I743" s="43"/>
      <c r="J743" s="43"/>
      <c r="K743" s="43"/>
      <c r="L743" s="43"/>
      <c r="M743" s="43"/>
      <c r="N743" s="43"/>
      <c r="O743" s="43"/>
      <c r="P743" s="41"/>
      <c r="Q743" s="41"/>
      <c r="R743" s="41"/>
      <c r="S743" s="44"/>
      <c r="T743" s="45"/>
      <c r="U743" s="45"/>
      <c r="V743" s="45"/>
      <c r="W743" s="45"/>
      <c r="X743" s="46"/>
      <c r="Y743" s="46"/>
      <c r="Z743" s="46"/>
      <c r="AA743" s="46"/>
      <c r="AB743" s="46"/>
      <c r="AC743" s="46"/>
      <c r="AD743" s="46"/>
      <c r="AE743" s="46"/>
      <c r="AF743" s="46"/>
      <c r="AG743" s="46"/>
    </row>
    <row r="744" spans="1:33" ht="13.5" customHeight="1">
      <c r="A744" s="46"/>
      <c r="B744" s="46"/>
      <c r="C744" s="41"/>
      <c r="D744" s="42"/>
      <c r="E744" s="42"/>
      <c r="F744" s="42"/>
      <c r="G744" s="43"/>
      <c r="H744" s="43"/>
      <c r="I744" s="43"/>
      <c r="J744" s="43"/>
      <c r="K744" s="43"/>
      <c r="L744" s="43"/>
      <c r="M744" s="43"/>
      <c r="N744" s="43"/>
      <c r="O744" s="43"/>
      <c r="P744" s="41"/>
      <c r="Q744" s="41"/>
      <c r="R744" s="41"/>
      <c r="S744" s="44"/>
      <c r="T744" s="45"/>
      <c r="U744" s="45"/>
      <c r="V744" s="45"/>
      <c r="W744" s="45"/>
      <c r="X744" s="46"/>
      <c r="Y744" s="46"/>
      <c r="Z744" s="46"/>
      <c r="AA744" s="46"/>
      <c r="AB744" s="46"/>
      <c r="AC744" s="46"/>
      <c r="AD744" s="46"/>
      <c r="AE744" s="46"/>
      <c r="AF744" s="46"/>
      <c r="AG744" s="46"/>
    </row>
    <row r="745" spans="1:33" ht="13.5" customHeight="1">
      <c r="A745" s="46"/>
      <c r="B745" s="46"/>
      <c r="C745" s="41"/>
      <c r="D745" s="42"/>
      <c r="E745" s="42"/>
      <c r="F745" s="42"/>
      <c r="G745" s="43"/>
      <c r="H745" s="43"/>
      <c r="I745" s="43"/>
      <c r="J745" s="43"/>
      <c r="K745" s="43"/>
      <c r="L745" s="43"/>
      <c r="M745" s="43"/>
      <c r="N745" s="43"/>
      <c r="O745" s="43"/>
      <c r="P745" s="41"/>
      <c r="Q745" s="41"/>
      <c r="R745" s="41"/>
      <c r="S745" s="44"/>
      <c r="T745" s="45"/>
      <c r="U745" s="45"/>
      <c r="V745" s="45"/>
      <c r="W745" s="45"/>
      <c r="X745" s="46"/>
      <c r="Y745" s="46"/>
      <c r="Z745" s="46"/>
      <c r="AA745" s="46"/>
      <c r="AB745" s="46"/>
      <c r="AC745" s="46"/>
      <c r="AD745" s="46"/>
      <c r="AE745" s="46"/>
      <c r="AF745" s="46"/>
      <c r="AG745" s="46"/>
    </row>
    <row r="746" spans="1:33" ht="13.5" customHeight="1">
      <c r="A746" s="46"/>
      <c r="B746" s="46"/>
      <c r="C746" s="41"/>
      <c r="D746" s="42"/>
      <c r="E746" s="42"/>
      <c r="F746" s="42"/>
      <c r="G746" s="43"/>
      <c r="H746" s="43"/>
      <c r="I746" s="43"/>
      <c r="J746" s="43"/>
      <c r="K746" s="43"/>
      <c r="L746" s="43"/>
      <c r="M746" s="43"/>
      <c r="N746" s="43"/>
      <c r="O746" s="43"/>
      <c r="P746" s="41"/>
      <c r="Q746" s="41"/>
      <c r="R746" s="41"/>
      <c r="S746" s="44"/>
      <c r="T746" s="45"/>
      <c r="U746" s="45"/>
      <c r="V746" s="45"/>
      <c r="W746" s="45"/>
      <c r="X746" s="46"/>
      <c r="Y746" s="46"/>
      <c r="Z746" s="46"/>
      <c r="AA746" s="46"/>
      <c r="AB746" s="46"/>
      <c r="AC746" s="46"/>
      <c r="AD746" s="46"/>
      <c r="AE746" s="46"/>
      <c r="AF746" s="46"/>
      <c r="AG746" s="46"/>
    </row>
    <row r="747" spans="1:33" ht="13.5" customHeight="1">
      <c r="A747" s="46"/>
      <c r="B747" s="46"/>
      <c r="C747" s="41"/>
      <c r="D747" s="42"/>
      <c r="E747" s="42"/>
      <c r="F747" s="42"/>
      <c r="G747" s="43"/>
      <c r="H747" s="43"/>
      <c r="I747" s="43"/>
      <c r="J747" s="43"/>
      <c r="K747" s="43"/>
      <c r="L747" s="43"/>
      <c r="M747" s="43"/>
      <c r="N747" s="43"/>
      <c r="O747" s="43"/>
      <c r="P747" s="41"/>
      <c r="Q747" s="41"/>
      <c r="R747" s="41"/>
      <c r="S747" s="44"/>
      <c r="T747" s="45"/>
      <c r="U747" s="45"/>
      <c r="V747" s="45"/>
      <c r="W747" s="45"/>
      <c r="X747" s="46"/>
      <c r="Y747" s="46"/>
      <c r="Z747" s="46"/>
      <c r="AA747" s="46"/>
      <c r="AB747" s="46"/>
      <c r="AC747" s="46"/>
      <c r="AD747" s="46"/>
      <c r="AE747" s="46"/>
      <c r="AF747" s="46"/>
      <c r="AG747" s="46"/>
    </row>
    <row r="748" spans="1:33" ht="13.5" customHeight="1">
      <c r="A748" s="46"/>
      <c r="B748" s="46"/>
      <c r="C748" s="41"/>
      <c r="D748" s="42"/>
      <c r="E748" s="42"/>
      <c r="F748" s="42"/>
      <c r="G748" s="43"/>
      <c r="H748" s="43"/>
      <c r="I748" s="43"/>
      <c r="J748" s="43"/>
      <c r="K748" s="43"/>
      <c r="L748" s="43"/>
      <c r="M748" s="43"/>
      <c r="N748" s="43"/>
      <c r="O748" s="43"/>
      <c r="P748" s="41"/>
      <c r="Q748" s="41"/>
      <c r="R748" s="41"/>
      <c r="S748" s="44"/>
      <c r="T748" s="45"/>
      <c r="U748" s="45"/>
      <c r="V748" s="45"/>
      <c r="W748" s="45"/>
      <c r="X748" s="46"/>
      <c r="Y748" s="46"/>
      <c r="Z748" s="46"/>
      <c r="AA748" s="46"/>
      <c r="AB748" s="46"/>
      <c r="AC748" s="46"/>
      <c r="AD748" s="46"/>
      <c r="AE748" s="46"/>
      <c r="AF748" s="46"/>
      <c r="AG748" s="46"/>
    </row>
    <row r="749" spans="1:33" ht="13.5" customHeight="1">
      <c r="A749" s="46"/>
      <c r="B749" s="46"/>
      <c r="C749" s="41"/>
      <c r="D749" s="42"/>
      <c r="E749" s="42"/>
      <c r="F749" s="42"/>
      <c r="G749" s="43"/>
      <c r="H749" s="43"/>
      <c r="I749" s="43"/>
      <c r="J749" s="43"/>
      <c r="K749" s="43"/>
      <c r="L749" s="43"/>
      <c r="M749" s="43"/>
      <c r="N749" s="43"/>
      <c r="O749" s="43"/>
      <c r="P749" s="41"/>
      <c r="Q749" s="41"/>
      <c r="R749" s="41"/>
      <c r="S749" s="44"/>
      <c r="T749" s="45"/>
      <c r="U749" s="45"/>
      <c r="V749" s="45"/>
      <c r="W749" s="45"/>
      <c r="X749" s="46"/>
      <c r="Y749" s="46"/>
      <c r="Z749" s="46"/>
      <c r="AA749" s="46"/>
      <c r="AB749" s="46"/>
      <c r="AC749" s="46"/>
      <c r="AD749" s="46"/>
      <c r="AE749" s="46"/>
      <c r="AF749" s="46"/>
      <c r="AG749" s="46"/>
    </row>
    <row r="750" spans="1:33" ht="13.5" customHeight="1">
      <c r="A750" s="46"/>
      <c r="B750" s="46"/>
      <c r="C750" s="41"/>
      <c r="D750" s="42"/>
      <c r="E750" s="42"/>
      <c r="F750" s="42"/>
      <c r="G750" s="43"/>
      <c r="H750" s="43"/>
      <c r="I750" s="43"/>
      <c r="J750" s="43"/>
      <c r="K750" s="43"/>
      <c r="L750" s="43"/>
      <c r="M750" s="43"/>
      <c r="N750" s="43"/>
      <c r="O750" s="43"/>
      <c r="P750" s="41"/>
      <c r="Q750" s="41"/>
      <c r="R750" s="41"/>
      <c r="S750" s="44"/>
      <c r="T750" s="45"/>
      <c r="U750" s="45"/>
      <c r="V750" s="45"/>
      <c r="W750" s="45"/>
      <c r="X750" s="46"/>
      <c r="Y750" s="46"/>
      <c r="Z750" s="46"/>
      <c r="AA750" s="46"/>
      <c r="AB750" s="46"/>
      <c r="AC750" s="46"/>
      <c r="AD750" s="46"/>
      <c r="AE750" s="46"/>
      <c r="AF750" s="46"/>
      <c r="AG750" s="46"/>
    </row>
    <row r="751" spans="1:33" ht="13.5" customHeight="1">
      <c r="A751" s="46"/>
      <c r="B751" s="46"/>
      <c r="C751" s="41"/>
      <c r="D751" s="42"/>
      <c r="E751" s="42"/>
      <c r="F751" s="42"/>
      <c r="G751" s="43"/>
      <c r="H751" s="43"/>
      <c r="I751" s="43"/>
      <c r="J751" s="43"/>
      <c r="K751" s="43"/>
      <c r="L751" s="43"/>
      <c r="M751" s="43"/>
      <c r="N751" s="43"/>
      <c r="O751" s="43"/>
      <c r="P751" s="41"/>
      <c r="Q751" s="41"/>
      <c r="R751" s="41"/>
      <c r="S751" s="44"/>
      <c r="T751" s="45"/>
      <c r="U751" s="45"/>
      <c r="V751" s="45"/>
      <c r="W751" s="45"/>
      <c r="X751" s="46"/>
      <c r="Y751" s="46"/>
      <c r="Z751" s="46"/>
      <c r="AA751" s="46"/>
      <c r="AB751" s="46"/>
      <c r="AC751" s="46"/>
      <c r="AD751" s="46"/>
      <c r="AE751" s="46"/>
      <c r="AF751" s="46"/>
      <c r="AG751" s="46"/>
    </row>
    <row r="752" spans="1:33" ht="13.5" customHeight="1">
      <c r="A752" s="46"/>
      <c r="B752" s="46"/>
      <c r="C752" s="41"/>
      <c r="D752" s="42"/>
      <c r="E752" s="42"/>
      <c r="F752" s="42"/>
      <c r="G752" s="43"/>
      <c r="H752" s="43"/>
      <c r="I752" s="43"/>
      <c r="J752" s="43"/>
      <c r="K752" s="43"/>
      <c r="L752" s="43"/>
      <c r="M752" s="43"/>
      <c r="N752" s="43"/>
      <c r="O752" s="43"/>
      <c r="P752" s="41"/>
      <c r="Q752" s="41"/>
      <c r="R752" s="41"/>
      <c r="S752" s="44"/>
      <c r="T752" s="45"/>
      <c r="U752" s="45"/>
      <c r="V752" s="45"/>
      <c r="W752" s="45"/>
      <c r="X752" s="46"/>
      <c r="Y752" s="46"/>
      <c r="Z752" s="46"/>
      <c r="AA752" s="46"/>
      <c r="AB752" s="46"/>
      <c r="AC752" s="46"/>
      <c r="AD752" s="46"/>
      <c r="AE752" s="46"/>
      <c r="AF752" s="46"/>
      <c r="AG752" s="46"/>
    </row>
    <row r="753" spans="1:33" ht="13.5" customHeight="1">
      <c r="A753" s="46"/>
      <c r="B753" s="46"/>
      <c r="C753" s="41"/>
      <c r="D753" s="42"/>
      <c r="E753" s="42"/>
      <c r="F753" s="42"/>
      <c r="G753" s="43"/>
      <c r="H753" s="43"/>
      <c r="I753" s="43"/>
      <c r="J753" s="43"/>
      <c r="K753" s="43"/>
      <c r="L753" s="43"/>
      <c r="M753" s="43"/>
      <c r="N753" s="43"/>
      <c r="O753" s="43"/>
      <c r="P753" s="41"/>
      <c r="Q753" s="41"/>
      <c r="R753" s="41"/>
      <c r="S753" s="44"/>
      <c r="T753" s="45"/>
      <c r="U753" s="45"/>
      <c r="V753" s="45"/>
      <c r="W753" s="45"/>
      <c r="X753" s="46"/>
      <c r="Y753" s="46"/>
      <c r="Z753" s="46"/>
      <c r="AA753" s="46"/>
      <c r="AB753" s="46"/>
      <c r="AC753" s="46"/>
      <c r="AD753" s="46"/>
      <c r="AE753" s="46"/>
      <c r="AF753" s="46"/>
      <c r="AG753" s="46"/>
    </row>
    <row r="754" spans="1:33" ht="13.5" customHeight="1">
      <c r="A754" s="46"/>
      <c r="B754" s="46"/>
      <c r="C754" s="41"/>
      <c r="D754" s="42"/>
      <c r="E754" s="42"/>
      <c r="F754" s="42"/>
      <c r="G754" s="43"/>
      <c r="H754" s="43"/>
      <c r="I754" s="43"/>
      <c r="J754" s="43"/>
      <c r="K754" s="43"/>
      <c r="L754" s="43"/>
      <c r="M754" s="43"/>
      <c r="N754" s="43"/>
      <c r="O754" s="43"/>
      <c r="P754" s="41"/>
      <c r="Q754" s="41"/>
      <c r="R754" s="41"/>
      <c r="S754" s="44"/>
      <c r="T754" s="45"/>
      <c r="U754" s="45"/>
      <c r="V754" s="45"/>
      <c r="W754" s="45"/>
      <c r="X754" s="46"/>
      <c r="Y754" s="46"/>
      <c r="Z754" s="46"/>
      <c r="AA754" s="46"/>
      <c r="AB754" s="46"/>
      <c r="AC754" s="46"/>
      <c r="AD754" s="46"/>
      <c r="AE754" s="46"/>
      <c r="AF754" s="46"/>
      <c r="AG754" s="46"/>
    </row>
    <row r="755" spans="1:33" ht="13.5" customHeight="1">
      <c r="A755" s="46"/>
      <c r="B755" s="46"/>
      <c r="C755" s="41"/>
      <c r="D755" s="42"/>
      <c r="E755" s="42"/>
      <c r="F755" s="42"/>
      <c r="G755" s="43"/>
      <c r="H755" s="43"/>
      <c r="I755" s="43"/>
      <c r="J755" s="43"/>
      <c r="K755" s="43"/>
      <c r="L755" s="43"/>
      <c r="M755" s="43"/>
      <c r="N755" s="43"/>
      <c r="O755" s="43"/>
      <c r="P755" s="41"/>
      <c r="Q755" s="41"/>
      <c r="R755" s="41"/>
      <c r="S755" s="44"/>
      <c r="T755" s="45"/>
      <c r="U755" s="45"/>
      <c r="V755" s="45"/>
      <c r="W755" s="45"/>
      <c r="X755" s="46"/>
      <c r="Y755" s="46"/>
      <c r="Z755" s="46"/>
      <c r="AA755" s="46"/>
      <c r="AB755" s="46"/>
      <c r="AC755" s="46"/>
      <c r="AD755" s="46"/>
      <c r="AE755" s="46"/>
      <c r="AF755" s="46"/>
      <c r="AG755" s="46"/>
    </row>
    <row r="756" spans="1:33" ht="13.5" customHeight="1">
      <c r="A756" s="46"/>
      <c r="B756" s="46"/>
      <c r="C756" s="41"/>
      <c r="D756" s="42"/>
      <c r="E756" s="42"/>
      <c r="F756" s="42"/>
      <c r="G756" s="43"/>
      <c r="H756" s="43"/>
      <c r="I756" s="43"/>
      <c r="J756" s="43"/>
      <c r="K756" s="43"/>
      <c r="L756" s="43"/>
      <c r="M756" s="43"/>
      <c r="N756" s="43"/>
      <c r="O756" s="43"/>
      <c r="P756" s="41"/>
      <c r="Q756" s="41"/>
      <c r="R756" s="41"/>
      <c r="S756" s="44"/>
      <c r="T756" s="45"/>
      <c r="U756" s="45"/>
      <c r="V756" s="45"/>
      <c r="W756" s="45"/>
      <c r="X756" s="46"/>
      <c r="Y756" s="46"/>
      <c r="Z756" s="46"/>
      <c r="AA756" s="46"/>
      <c r="AB756" s="46"/>
      <c r="AC756" s="46"/>
      <c r="AD756" s="46"/>
      <c r="AE756" s="46"/>
      <c r="AF756" s="46"/>
      <c r="AG756" s="46"/>
    </row>
    <row r="757" spans="1:33" ht="13.5" customHeight="1">
      <c r="A757" s="46"/>
      <c r="B757" s="46"/>
      <c r="C757" s="41"/>
      <c r="D757" s="42"/>
      <c r="E757" s="42"/>
      <c r="F757" s="42"/>
      <c r="G757" s="43"/>
      <c r="H757" s="43"/>
      <c r="I757" s="43"/>
      <c r="J757" s="43"/>
      <c r="K757" s="43"/>
      <c r="L757" s="43"/>
      <c r="M757" s="43"/>
      <c r="N757" s="43"/>
      <c r="O757" s="43"/>
      <c r="P757" s="41"/>
      <c r="Q757" s="41"/>
      <c r="R757" s="41"/>
      <c r="S757" s="44"/>
      <c r="T757" s="45"/>
      <c r="U757" s="45"/>
      <c r="V757" s="45"/>
      <c r="W757" s="45"/>
      <c r="X757" s="46"/>
      <c r="Y757" s="46"/>
      <c r="Z757" s="46"/>
      <c r="AA757" s="46"/>
      <c r="AB757" s="46"/>
      <c r="AC757" s="46"/>
      <c r="AD757" s="46"/>
      <c r="AE757" s="46"/>
      <c r="AF757" s="46"/>
      <c r="AG757" s="46"/>
    </row>
    <row r="758" spans="1:33" ht="13.5" customHeight="1">
      <c r="A758" s="46"/>
      <c r="B758" s="46"/>
      <c r="C758" s="41"/>
      <c r="D758" s="42"/>
      <c r="E758" s="42"/>
      <c r="F758" s="42"/>
      <c r="G758" s="43"/>
      <c r="H758" s="43"/>
      <c r="I758" s="43"/>
      <c r="J758" s="43"/>
      <c r="K758" s="43"/>
      <c r="L758" s="43"/>
      <c r="M758" s="43"/>
      <c r="N758" s="43"/>
      <c r="O758" s="43"/>
      <c r="P758" s="41"/>
      <c r="Q758" s="41"/>
      <c r="R758" s="41"/>
      <c r="S758" s="44"/>
      <c r="T758" s="45"/>
      <c r="U758" s="45"/>
      <c r="V758" s="45"/>
      <c r="W758" s="45"/>
      <c r="X758" s="46"/>
      <c r="Y758" s="46"/>
      <c r="Z758" s="46"/>
      <c r="AA758" s="46"/>
      <c r="AB758" s="46"/>
      <c r="AC758" s="46"/>
      <c r="AD758" s="46"/>
      <c r="AE758" s="46"/>
      <c r="AF758" s="46"/>
      <c r="AG758" s="46"/>
    </row>
    <row r="759" spans="1:33" ht="13.5" customHeight="1">
      <c r="A759" s="46"/>
      <c r="B759" s="46"/>
      <c r="C759" s="41"/>
      <c r="D759" s="42"/>
      <c r="E759" s="42"/>
      <c r="F759" s="42"/>
      <c r="G759" s="43"/>
      <c r="H759" s="43"/>
      <c r="I759" s="43"/>
      <c r="J759" s="43"/>
      <c r="K759" s="43"/>
      <c r="L759" s="43"/>
      <c r="M759" s="43"/>
      <c r="N759" s="43"/>
      <c r="O759" s="43"/>
      <c r="P759" s="41"/>
      <c r="Q759" s="41"/>
      <c r="R759" s="41"/>
      <c r="S759" s="44"/>
      <c r="T759" s="45"/>
      <c r="U759" s="45"/>
      <c r="V759" s="45"/>
      <c r="W759" s="45"/>
      <c r="X759" s="46"/>
      <c r="Y759" s="46"/>
      <c r="Z759" s="46"/>
      <c r="AA759" s="46"/>
      <c r="AB759" s="46"/>
      <c r="AC759" s="46"/>
      <c r="AD759" s="46"/>
      <c r="AE759" s="46"/>
      <c r="AF759" s="46"/>
      <c r="AG759" s="46"/>
    </row>
    <row r="760" spans="1:33" ht="13.5" customHeight="1">
      <c r="A760" s="46"/>
      <c r="B760" s="46"/>
      <c r="C760" s="41"/>
      <c r="D760" s="42"/>
      <c r="E760" s="42"/>
      <c r="F760" s="42"/>
      <c r="G760" s="43"/>
      <c r="H760" s="43"/>
      <c r="I760" s="43"/>
      <c r="J760" s="43"/>
      <c r="K760" s="43"/>
      <c r="L760" s="43"/>
      <c r="M760" s="43"/>
      <c r="N760" s="43"/>
      <c r="O760" s="43"/>
      <c r="P760" s="41"/>
      <c r="Q760" s="41"/>
      <c r="R760" s="41"/>
      <c r="S760" s="44"/>
      <c r="T760" s="45"/>
      <c r="U760" s="45"/>
      <c r="V760" s="45"/>
      <c r="W760" s="45"/>
      <c r="X760" s="46"/>
      <c r="Y760" s="46"/>
      <c r="Z760" s="46"/>
      <c r="AA760" s="46"/>
      <c r="AB760" s="46"/>
      <c r="AC760" s="46"/>
      <c r="AD760" s="46"/>
      <c r="AE760" s="46"/>
      <c r="AF760" s="46"/>
      <c r="AG760" s="46"/>
    </row>
    <row r="761" spans="1:33" ht="13.5" customHeight="1">
      <c r="A761" s="46"/>
      <c r="B761" s="46"/>
      <c r="C761" s="41"/>
      <c r="D761" s="42"/>
      <c r="E761" s="42"/>
      <c r="F761" s="42"/>
      <c r="G761" s="43"/>
      <c r="H761" s="43"/>
      <c r="I761" s="43"/>
      <c r="J761" s="43"/>
      <c r="K761" s="43"/>
      <c r="L761" s="43"/>
      <c r="M761" s="43"/>
      <c r="N761" s="43"/>
      <c r="O761" s="43"/>
      <c r="P761" s="41"/>
      <c r="Q761" s="41"/>
      <c r="R761" s="41"/>
      <c r="S761" s="44"/>
      <c r="T761" s="45"/>
      <c r="U761" s="45"/>
      <c r="V761" s="45"/>
      <c r="W761" s="45"/>
      <c r="X761" s="46"/>
      <c r="Y761" s="46"/>
      <c r="Z761" s="46"/>
      <c r="AA761" s="46"/>
      <c r="AB761" s="46"/>
      <c r="AC761" s="46"/>
      <c r="AD761" s="46"/>
      <c r="AE761" s="46"/>
      <c r="AF761" s="46"/>
      <c r="AG761" s="46"/>
    </row>
    <row r="762" spans="1:33" ht="13.5" customHeight="1">
      <c r="A762" s="46"/>
      <c r="B762" s="46"/>
      <c r="C762" s="41"/>
      <c r="D762" s="42"/>
      <c r="E762" s="42"/>
      <c r="F762" s="42"/>
      <c r="G762" s="43"/>
      <c r="H762" s="43"/>
      <c r="I762" s="43"/>
      <c r="J762" s="43"/>
      <c r="K762" s="43"/>
      <c r="L762" s="43"/>
      <c r="M762" s="43"/>
      <c r="N762" s="43"/>
      <c r="O762" s="43"/>
      <c r="P762" s="41"/>
      <c r="Q762" s="41"/>
      <c r="R762" s="41"/>
      <c r="S762" s="44"/>
      <c r="T762" s="45"/>
      <c r="U762" s="45"/>
      <c r="V762" s="45"/>
      <c r="W762" s="45"/>
      <c r="X762" s="46"/>
      <c r="Y762" s="46"/>
      <c r="Z762" s="46"/>
      <c r="AA762" s="46"/>
      <c r="AB762" s="46"/>
      <c r="AC762" s="46"/>
      <c r="AD762" s="46"/>
      <c r="AE762" s="46"/>
      <c r="AF762" s="46"/>
      <c r="AG762" s="46"/>
    </row>
    <row r="763" spans="1:33" ht="13.5" customHeight="1">
      <c r="A763" s="46"/>
      <c r="B763" s="46"/>
      <c r="C763" s="41"/>
      <c r="D763" s="42"/>
      <c r="E763" s="42"/>
      <c r="F763" s="42"/>
      <c r="G763" s="43"/>
      <c r="H763" s="43"/>
      <c r="I763" s="43"/>
      <c r="J763" s="43"/>
      <c r="K763" s="43"/>
      <c r="L763" s="43"/>
      <c r="M763" s="43"/>
      <c r="N763" s="43"/>
      <c r="O763" s="43"/>
      <c r="P763" s="41"/>
      <c r="Q763" s="41"/>
      <c r="R763" s="41"/>
      <c r="S763" s="44"/>
      <c r="T763" s="45"/>
      <c r="U763" s="45"/>
      <c r="V763" s="45"/>
      <c r="W763" s="45"/>
      <c r="X763" s="46"/>
      <c r="Y763" s="46"/>
      <c r="Z763" s="46"/>
      <c r="AA763" s="46"/>
      <c r="AB763" s="46"/>
      <c r="AC763" s="46"/>
      <c r="AD763" s="46"/>
      <c r="AE763" s="46"/>
      <c r="AF763" s="46"/>
      <c r="AG763" s="46"/>
    </row>
    <row r="764" spans="1:33" ht="13.5" customHeight="1">
      <c r="A764" s="46"/>
      <c r="B764" s="46"/>
      <c r="C764" s="41"/>
      <c r="D764" s="42"/>
      <c r="E764" s="42"/>
      <c r="F764" s="42"/>
      <c r="G764" s="43"/>
      <c r="H764" s="43"/>
      <c r="I764" s="43"/>
      <c r="J764" s="43"/>
      <c r="K764" s="43"/>
      <c r="L764" s="43"/>
      <c r="M764" s="43"/>
      <c r="N764" s="43"/>
      <c r="O764" s="43"/>
      <c r="P764" s="41"/>
      <c r="Q764" s="41"/>
      <c r="R764" s="41"/>
      <c r="S764" s="44"/>
      <c r="T764" s="45"/>
      <c r="U764" s="45"/>
      <c r="V764" s="45"/>
      <c r="W764" s="45"/>
      <c r="X764" s="46"/>
      <c r="Y764" s="46"/>
      <c r="Z764" s="46"/>
      <c r="AA764" s="46"/>
      <c r="AB764" s="46"/>
      <c r="AC764" s="46"/>
      <c r="AD764" s="46"/>
      <c r="AE764" s="46"/>
      <c r="AF764" s="46"/>
      <c r="AG764" s="46"/>
    </row>
    <row r="765" spans="1:33" ht="13.5" customHeight="1">
      <c r="A765" s="46"/>
      <c r="B765" s="46"/>
      <c r="C765" s="41"/>
      <c r="D765" s="42"/>
      <c r="E765" s="42"/>
      <c r="F765" s="42"/>
      <c r="G765" s="43"/>
      <c r="H765" s="43"/>
      <c r="I765" s="43"/>
      <c r="J765" s="43"/>
      <c r="K765" s="43"/>
      <c r="L765" s="43"/>
      <c r="M765" s="43"/>
      <c r="N765" s="43"/>
      <c r="O765" s="43"/>
      <c r="P765" s="41"/>
      <c r="Q765" s="41"/>
      <c r="R765" s="41"/>
      <c r="S765" s="44"/>
      <c r="T765" s="45"/>
      <c r="U765" s="45"/>
      <c r="V765" s="45"/>
      <c r="W765" s="45"/>
      <c r="X765" s="46"/>
      <c r="Y765" s="46"/>
      <c r="Z765" s="46"/>
      <c r="AA765" s="46"/>
      <c r="AB765" s="46"/>
      <c r="AC765" s="46"/>
      <c r="AD765" s="46"/>
      <c r="AE765" s="46"/>
      <c r="AF765" s="46"/>
      <c r="AG765" s="46"/>
    </row>
    <row r="766" spans="1:33" ht="13.5" customHeight="1">
      <c r="A766" s="46"/>
      <c r="B766" s="46"/>
      <c r="C766" s="41"/>
      <c r="D766" s="42"/>
      <c r="E766" s="42"/>
      <c r="F766" s="42"/>
      <c r="G766" s="43"/>
      <c r="H766" s="43"/>
      <c r="I766" s="43"/>
      <c r="J766" s="43"/>
      <c r="K766" s="43"/>
      <c r="L766" s="43"/>
      <c r="M766" s="43"/>
      <c r="N766" s="43"/>
      <c r="O766" s="43"/>
      <c r="P766" s="41"/>
      <c r="Q766" s="41"/>
      <c r="R766" s="41"/>
      <c r="S766" s="44"/>
      <c r="T766" s="45"/>
      <c r="U766" s="45"/>
      <c r="V766" s="45"/>
      <c r="W766" s="45"/>
      <c r="X766" s="46"/>
      <c r="Y766" s="46"/>
      <c r="Z766" s="46"/>
      <c r="AA766" s="46"/>
      <c r="AB766" s="46"/>
      <c r="AC766" s="46"/>
      <c r="AD766" s="46"/>
      <c r="AE766" s="46"/>
      <c r="AF766" s="46"/>
      <c r="AG766" s="46"/>
    </row>
    <row r="767" spans="1:33" ht="13.5" customHeight="1">
      <c r="A767" s="46"/>
      <c r="B767" s="46"/>
      <c r="C767" s="41"/>
      <c r="D767" s="42"/>
      <c r="E767" s="42"/>
      <c r="F767" s="42"/>
      <c r="G767" s="43"/>
      <c r="H767" s="43"/>
      <c r="I767" s="43"/>
      <c r="J767" s="43"/>
      <c r="K767" s="43"/>
      <c r="L767" s="43"/>
      <c r="M767" s="43"/>
      <c r="N767" s="43"/>
      <c r="O767" s="43"/>
      <c r="P767" s="41"/>
      <c r="Q767" s="41"/>
      <c r="R767" s="41"/>
      <c r="S767" s="44"/>
      <c r="T767" s="45"/>
      <c r="U767" s="45"/>
      <c r="V767" s="45"/>
      <c r="W767" s="45"/>
      <c r="X767" s="46"/>
      <c r="Y767" s="46"/>
      <c r="Z767" s="46"/>
      <c r="AA767" s="46"/>
      <c r="AB767" s="46"/>
      <c r="AC767" s="46"/>
      <c r="AD767" s="46"/>
      <c r="AE767" s="46"/>
      <c r="AF767" s="46"/>
      <c r="AG767" s="46"/>
    </row>
    <row r="768" spans="1:33" ht="13.5" customHeight="1">
      <c r="A768" s="46"/>
      <c r="B768" s="46"/>
      <c r="C768" s="41"/>
      <c r="D768" s="42"/>
      <c r="E768" s="42"/>
      <c r="F768" s="42"/>
      <c r="G768" s="43"/>
      <c r="H768" s="43"/>
      <c r="I768" s="43"/>
      <c r="J768" s="43"/>
      <c r="K768" s="43"/>
      <c r="L768" s="43"/>
      <c r="M768" s="43"/>
      <c r="N768" s="43"/>
      <c r="O768" s="43"/>
      <c r="P768" s="41"/>
      <c r="Q768" s="41"/>
      <c r="R768" s="41"/>
      <c r="S768" s="44"/>
      <c r="T768" s="45"/>
      <c r="U768" s="45"/>
      <c r="V768" s="45"/>
      <c r="W768" s="45"/>
      <c r="X768" s="46"/>
      <c r="Y768" s="46"/>
      <c r="Z768" s="46"/>
      <c r="AA768" s="46"/>
      <c r="AB768" s="46"/>
      <c r="AC768" s="46"/>
      <c r="AD768" s="46"/>
      <c r="AE768" s="46"/>
      <c r="AF768" s="46"/>
      <c r="AG768" s="46"/>
    </row>
    <row r="769" spans="1:33" ht="13.5" customHeight="1">
      <c r="A769" s="46"/>
      <c r="B769" s="46"/>
      <c r="C769" s="41"/>
      <c r="D769" s="42"/>
      <c r="E769" s="42"/>
      <c r="F769" s="42"/>
      <c r="G769" s="43"/>
      <c r="H769" s="43"/>
      <c r="I769" s="43"/>
      <c r="J769" s="43"/>
      <c r="K769" s="43"/>
      <c r="L769" s="43"/>
      <c r="M769" s="43"/>
      <c r="N769" s="43"/>
      <c r="O769" s="43"/>
      <c r="P769" s="41"/>
      <c r="Q769" s="41"/>
      <c r="R769" s="41"/>
      <c r="S769" s="44"/>
      <c r="T769" s="45"/>
      <c r="U769" s="45"/>
      <c r="V769" s="45"/>
      <c r="W769" s="45"/>
      <c r="X769" s="46"/>
      <c r="Y769" s="46"/>
      <c r="Z769" s="46"/>
      <c r="AA769" s="46"/>
      <c r="AB769" s="46"/>
      <c r="AC769" s="46"/>
      <c r="AD769" s="46"/>
      <c r="AE769" s="46"/>
      <c r="AF769" s="46"/>
      <c r="AG769" s="46"/>
    </row>
    <row r="770" spans="1:33" ht="13.5" customHeight="1">
      <c r="A770" s="46"/>
      <c r="B770" s="46"/>
      <c r="C770" s="41"/>
      <c r="D770" s="42"/>
      <c r="E770" s="42"/>
      <c r="F770" s="42"/>
      <c r="G770" s="43"/>
      <c r="H770" s="43"/>
      <c r="I770" s="43"/>
      <c r="J770" s="43"/>
      <c r="K770" s="43"/>
      <c r="L770" s="43"/>
      <c r="M770" s="43"/>
      <c r="N770" s="43"/>
      <c r="O770" s="43"/>
      <c r="P770" s="41"/>
      <c r="Q770" s="41"/>
      <c r="R770" s="41"/>
      <c r="S770" s="44"/>
      <c r="T770" s="45"/>
      <c r="U770" s="45"/>
      <c r="V770" s="45"/>
      <c r="W770" s="45"/>
      <c r="X770" s="46"/>
      <c r="Y770" s="46"/>
      <c r="Z770" s="46"/>
      <c r="AA770" s="46"/>
      <c r="AB770" s="46"/>
      <c r="AC770" s="46"/>
      <c r="AD770" s="46"/>
      <c r="AE770" s="46"/>
      <c r="AF770" s="46"/>
      <c r="AG770" s="46"/>
    </row>
    <row r="771" spans="1:33" ht="13.5" customHeight="1">
      <c r="A771" s="46"/>
      <c r="B771" s="46"/>
      <c r="C771" s="41"/>
      <c r="D771" s="42"/>
      <c r="E771" s="42"/>
      <c r="F771" s="42"/>
      <c r="G771" s="43"/>
      <c r="H771" s="43"/>
      <c r="I771" s="43"/>
      <c r="J771" s="43"/>
      <c r="K771" s="43"/>
      <c r="L771" s="43"/>
      <c r="M771" s="43"/>
      <c r="N771" s="43"/>
      <c r="O771" s="43"/>
      <c r="P771" s="41"/>
      <c r="Q771" s="41"/>
      <c r="R771" s="41"/>
      <c r="S771" s="44"/>
      <c r="T771" s="45"/>
      <c r="U771" s="45"/>
      <c r="V771" s="45"/>
      <c r="W771" s="45"/>
      <c r="X771" s="46"/>
      <c r="Y771" s="46"/>
      <c r="Z771" s="46"/>
      <c r="AA771" s="46"/>
      <c r="AB771" s="46"/>
      <c r="AC771" s="46"/>
      <c r="AD771" s="46"/>
      <c r="AE771" s="46"/>
      <c r="AF771" s="46"/>
      <c r="AG771" s="46"/>
    </row>
    <row r="772" spans="1:33" ht="13.5" customHeight="1">
      <c r="A772" s="46"/>
      <c r="B772" s="46"/>
      <c r="C772" s="41"/>
      <c r="D772" s="42"/>
      <c r="E772" s="42"/>
      <c r="F772" s="42"/>
      <c r="G772" s="43"/>
      <c r="H772" s="43"/>
      <c r="I772" s="43"/>
      <c r="J772" s="43"/>
      <c r="K772" s="43"/>
      <c r="L772" s="43"/>
      <c r="M772" s="43"/>
      <c r="N772" s="43"/>
      <c r="O772" s="43"/>
      <c r="P772" s="41"/>
      <c r="Q772" s="41"/>
      <c r="R772" s="41"/>
      <c r="S772" s="44"/>
      <c r="T772" s="45"/>
      <c r="U772" s="45"/>
      <c r="V772" s="45"/>
      <c r="W772" s="45"/>
      <c r="X772" s="46"/>
      <c r="Y772" s="46"/>
      <c r="Z772" s="46"/>
      <c r="AA772" s="46"/>
      <c r="AB772" s="46"/>
      <c r="AC772" s="46"/>
      <c r="AD772" s="46"/>
      <c r="AE772" s="46"/>
      <c r="AF772" s="46"/>
      <c r="AG772" s="46"/>
    </row>
    <row r="773" spans="1:33" ht="13.5" customHeight="1">
      <c r="A773" s="46"/>
      <c r="B773" s="46"/>
      <c r="C773" s="41"/>
      <c r="D773" s="42"/>
      <c r="E773" s="42"/>
      <c r="F773" s="42"/>
      <c r="G773" s="43"/>
      <c r="H773" s="43"/>
      <c r="I773" s="43"/>
      <c r="J773" s="43"/>
      <c r="K773" s="43"/>
      <c r="L773" s="43"/>
      <c r="M773" s="43"/>
      <c r="N773" s="43"/>
      <c r="O773" s="43"/>
      <c r="P773" s="41"/>
      <c r="Q773" s="41"/>
      <c r="R773" s="41"/>
      <c r="S773" s="44"/>
      <c r="T773" s="45"/>
      <c r="U773" s="45"/>
      <c r="V773" s="45"/>
      <c r="W773" s="45"/>
      <c r="X773" s="46"/>
      <c r="Y773" s="46"/>
      <c r="Z773" s="46"/>
      <c r="AA773" s="46"/>
      <c r="AB773" s="46"/>
      <c r="AC773" s="46"/>
      <c r="AD773" s="46"/>
      <c r="AE773" s="46"/>
      <c r="AF773" s="46"/>
      <c r="AG773" s="46"/>
    </row>
    <row r="774" spans="1:33" ht="13.5" customHeight="1">
      <c r="A774" s="46"/>
      <c r="B774" s="46"/>
      <c r="C774" s="41"/>
      <c r="D774" s="42"/>
      <c r="E774" s="42"/>
      <c r="F774" s="42"/>
      <c r="G774" s="43"/>
      <c r="H774" s="43"/>
      <c r="I774" s="43"/>
      <c r="J774" s="43"/>
      <c r="K774" s="43"/>
      <c r="L774" s="43"/>
      <c r="M774" s="43"/>
      <c r="N774" s="43"/>
      <c r="O774" s="43"/>
      <c r="P774" s="41"/>
      <c r="Q774" s="41"/>
      <c r="R774" s="41"/>
      <c r="S774" s="44"/>
      <c r="T774" s="45"/>
      <c r="U774" s="45"/>
      <c r="V774" s="45"/>
      <c r="W774" s="45"/>
      <c r="X774" s="46"/>
      <c r="Y774" s="46"/>
      <c r="Z774" s="46"/>
      <c r="AA774" s="46"/>
      <c r="AB774" s="46"/>
      <c r="AC774" s="46"/>
      <c r="AD774" s="46"/>
      <c r="AE774" s="46"/>
      <c r="AF774" s="46"/>
      <c r="AG774" s="46"/>
    </row>
    <row r="775" spans="1:33" ht="13.5" customHeight="1">
      <c r="A775" s="46"/>
      <c r="B775" s="46"/>
      <c r="C775" s="41"/>
      <c r="D775" s="42"/>
      <c r="E775" s="42"/>
      <c r="F775" s="42"/>
      <c r="G775" s="43"/>
      <c r="H775" s="43"/>
      <c r="I775" s="43"/>
      <c r="J775" s="43"/>
      <c r="K775" s="43"/>
      <c r="L775" s="43"/>
      <c r="M775" s="43"/>
      <c r="N775" s="43"/>
      <c r="O775" s="43"/>
      <c r="P775" s="41"/>
      <c r="Q775" s="41"/>
      <c r="R775" s="41"/>
      <c r="S775" s="44"/>
      <c r="T775" s="45"/>
      <c r="U775" s="45"/>
      <c r="V775" s="45"/>
      <c r="W775" s="45"/>
      <c r="X775" s="46"/>
      <c r="Y775" s="46"/>
      <c r="Z775" s="46"/>
      <c r="AA775" s="46"/>
      <c r="AB775" s="46"/>
      <c r="AC775" s="46"/>
      <c r="AD775" s="46"/>
      <c r="AE775" s="46"/>
      <c r="AF775" s="46"/>
      <c r="AG775" s="46"/>
    </row>
    <row r="776" spans="1:33" ht="13.5" customHeight="1">
      <c r="A776" s="46"/>
      <c r="B776" s="46"/>
      <c r="C776" s="41"/>
      <c r="D776" s="42"/>
      <c r="E776" s="42"/>
      <c r="F776" s="42"/>
      <c r="G776" s="43"/>
      <c r="H776" s="43"/>
      <c r="I776" s="43"/>
      <c r="J776" s="43"/>
      <c r="K776" s="43"/>
      <c r="L776" s="43"/>
      <c r="M776" s="43"/>
      <c r="N776" s="43"/>
      <c r="O776" s="43"/>
      <c r="P776" s="41"/>
      <c r="Q776" s="41"/>
      <c r="R776" s="41"/>
      <c r="S776" s="44"/>
      <c r="T776" s="45"/>
      <c r="U776" s="45"/>
      <c r="V776" s="45"/>
      <c r="W776" s="45"/>
      <c r="X776" s="46"/>
      <c r="Y776" s="46"/>
      <c r="Z776" s="46"/>
      <c r="AA776" s="46"/>
      <c r="AB776" s="46"/>
      <c r="AC776" s="46"/>
      <c r="AD776" s="46"/>
      <c r="AE776" s="46"/>
      <c r="AF776" s="46"/>
      <c r="AG776" s="46"/>
    </row>
    <row r="777" spans="1:33" ht="13.5" customHeight="1">
      <c r="A777" s="46"/>
      <c r="B777" s="46"/>
      <c r="C777" s="41"/>
      <c r="D777" s="42"/>
      <c r="E777" s="42"/>
      <c r="F777" s="42"/>
      <c r="G777" s="43"/>
      <c r="H777" s="43"/>
      <c r="I777" s="43"/>
      <c r="J777" s="43"/>
      <c r="K777" s="43"/>
      <c r="L777" s="43"/>
      <c r="M777" s="43"/>
      <c r="N777" s="43"/>
      <c r="O777" s="43"/>
      <c r="P777" s="41"/>
      <c r="Q777" s="41"/>
      <c r="R777" s="41"/>
      <c r="S777" s="44"/>
      <c r="T777" s="45"/>
      <c r="U777" s="45"/>
      <c r="V777" s="45"/>
      <c r="W777" s="45"/>
      <c r="X777" s="46"/>
      <c r="Y777" s="46"/>
      <c r="Z777" s="46"/>
      <c r="AA777" s="46"/>
      <c r="AB777" s="46"/>
      <c r="AC777" s="46"/>
      <c r="AD777" s="46"/>
      <c r="AE777" s="46"/>
      <c r="AF777" s="46"/>
      <c r="AG777" s="46"/>
    </row>
    <row r="778" spans="1:33" ht="13.5" customHeight="1">
      <c r="A778" s="46"/>
      <c r="B778" s="46"/>
      <c r="C778" s="41"/>
      <c r="D778" s="42"/>
      <c r="E778" s="42"/>
      <c r="F778" s="42"/>
      <c r="G778" s="43"/>
      <c r="H778" s="43"/>
      <c r="I778" s="43"/>
      <c r="J778" s="43"/>
      <c r="K778" s="43"/>
      <c r="L778" s="43"/>
      <c r="M778" s="43"/>
      <c r="N778" s="43"/>
      <c r="O778" s="43"/>
      <c r="P778" s="41"/>
      <c r="Q778" s="41"/>
      <c r="R778" s="41"/>
      <c r="S778" s="44"/>
      <c r="T778" s="45"/>
      <c r="U778" s="45"/>
      <c r="V778" s="45"/>
      <c r="W778" s="45"/>
      <c r="X778" s="46"/>
      <c r="Y778" s="46"/>
      <c r="Z778" s="46"/>
      <c r="AA778" s="46"/>
      <c r="AB778" s="46"/>
      <c r="AC778" s="46"/>
      <c r="AD778" s="46"/>
      <c r="AE778" s="46"/>
      <c r="AF778" s="46"/>
      <c r="AG778" s="46"/>
    </row>
    <row r="779" spans="1:33" ht="13.5" customHeight="1">
      <c r="A779" s="46"/>
      <c r="B779" s="46"/>
      <c r="C779" s="41"/>
      <c r="D779" s="42"/>
      <c r="E779" s="42"/>
      <c r="F779" s="42"/>
      <c r="G779" s="43"/>
      <c r="H779" s="43"/>
      <c r="I779" s="43"/>
      <c r="J779" s="43"/>
      <c r="K779" s="43"/>
      <c r="L779" s="43"/>
      <c r="M779" s="43"/>
      <c r="N779" s="43"/>
      <c r="O779" s="43"/>
      <c r="P779" s="41"/>
      <c r="Q779" s="41"/>
      <c r="R779" s="41"/>
      <c r="S779" s="44"/>
      <c r="T779" s="45"/>
      <c r="U779" s="45"/>
      <c r="V779" s="45"/>
      <c r="W779" s="45"/>
      <c r="X779" s="46"/>
      <c r="Y779" s="46"/>
      <c r="Z779" s="46"/>
      <c r="AA779" s="46"/>
      <c r="AB779" s="46"/>
      <c r="AC779" s="46"/>
      <c r="AD779" s="46"/>
      <c r="AE779" s="46"/>
      <c r="AF779" s="46"/>
      <c r="AG779" s="46"/>
    </row>
    <row r="780" spans="1:33" ht="13.5" customHeight="1">
      <c r="A780" s="46"/>
      <c r="B780" s="46"/>
      <c r="C780" s="41"/>
      <c r="D780" s="42"/>
      <c r="E780" s="42"/>
      <c r="F780" s="42"/>
      <c r="G780" s="43"/>
      <c r="H780" s="43"/>
      <c r="I780" s="43"/>
      <c r="J780" s="43"/>
      <c r="K780" s="43"/>
      <c r="L780" s="43"/>
      <c r="M780" s="43"/>
      <c r="N780" s="43"/>
      <c r="O780" s="43"/>
      <c r="P780" s="41"/>
      <c r="Q780" s="41"/>
      <c r="R780" s="41"/>
      <c r="S780" s="44"/>
      <c r="T780" s="45"/>
      <c r="U780" s="45"/>
      <c r="V780" s="45"/>
      <c r="W780" s="45"/>
      <c r="X780" s="46"/>
      <c r="Y780" s="46"/>
      <c r="Z780" s="46"/>
      <c r="AA780" s="46"/>
      <c r="AB780" s="46"/>
      <c r="AC780" s="46"/>
      <c r="AD780" s="46"/>
      <c r="AE780" s="46"/>
      <c r="AF780" s="46"/>
      <c r="AG780" s="46"/>
    </row>
    <row r="781" spans="1:33" ht="13.5" customHeight="1">
      <c r="A781" s="46"/>
      <c r="B781" s="46"/>
      <c r="C781" s="41"/>
      <c r="D781" s="42"/>
      <c r="E781" s="42"/>
      <c r="F781" s="42"/>
      <c r="G781" s="43"/>
      <c r="H781" s="43"/>
      <c r="I781" s="43"/>
      <c r="J781" s="43"/>
      <c r="K781" s="43"/>
      <c r="L781" s="43"/>
      <c r="M781" s="43"/>
      <c r="N781" s="43"/>
      <c r="O781" s="43"/>
      <c r="P781" s="41"/>
      <c r="Q781" s="41"/>
      <c r="R781" s="41"/>
      <c r="S781" s="44"/>
      <c r="T781" s="45"/>
      <c r="U781" s="45"/>
      <c r="V781" s="45"/>
      <c r="W781" s="45"/>
      <c r="X781" s="46"/>
      <c r="Y781" s="46"/>
      <c r="Z781" s="46"/>
      <c r="AA781" s="46"/>
      <c r="AB781" s="46"/>
      <c r="AC781" s="46"/>
      <c r="AD781" s="46"/>
      <c r="AE781" s="46"/>
      <c r="AF781" s="46"/>
      <c r="AG781" s="46"/>
    </row>
    <row r="782" spans="1:33" ht="13.5" customHeight="1">
      <c r="A782" s="46"/>
      <c r="B782" s="46"/>
      <c r="C782" s="41"/>
      <c r="D782" s="42"/>
      <c r="E782" s="42"/>
      <c r="F782" s="42"/>
      <c r="G782" s="43"/>
      <c r="H782" s="43"/>
      <c r="I782" s="43"/>
      <c r="J782" s="43"/>
      <c r="K782" s="43"/>
      <c r="L782" s="43"/>
      <c r="M782" s="43"/>
      <c r="N782" s="43"/>
      <c r="O782" s="43"/>
      <c r="P782" s="41"/>
      <c r="Q782" s="41"/>
      <c r="R782" s="41"/>
      <c r="S782" s="44"/>
      <c r="T782" s="45"/>
      <c r="U782" s="45"/>
      <c r="V782" s="45"/>
      <c r="W782" s="45"/>
      <c r="X782" s="46"/>
      <c r="Y782" s="46"/>
      <c r="Z782" s="46"/>
      <c r="AA782" s="46"/>
      <c r="AB782" s="46"/>
      <c r="AC782" s="46"/>
      <c r="AD782" s="46"/>
      <c r="AE782" s="46"/>
      <c r="AF782" s="46"/>
      <c r="AG782" s="46"/>
    </row>
    <row r="783" spans="1:33" ht="13.5" customHeight="1">
      <c r="A783" s="46"/>
      <c r="B783" s="46"/>
      <c r="C783" s="41"/>
      <c r="D783" s="42"/>
      <c r="E783" s="42"/>
      <c r="F783" s="42"/>
      <c r="G783" s="43"/>
      <c r="H783" s="43"/>
      <c r="I783" s="43"/>
      <c r="J783" s="43"/>
      <c r="K783" s="43"/>
      <c r="L783" s="43"/>
      <c r="M783" s="43"/>
      <c r="N783" s="43"/>
      <c r="O783" s="43"/>
      <c r="P783" s="41"/>
      <c r="Q783" s="41"/>
      <c r="R783" s="41"/>
      <c r="S783" s="44"/>
      <c r="T783" s="45"/>
      <c r="U783" s="45"/>
      <c r="V783" s="45"/>
      <c r="W783" s="45"/>
      <c r="X783" s="46"/>
      <c r="Y783" s="46"/>
      <c r="Z783" s="46"/>
      <c r="AA783" s="46"/>
      <c r="AB783" s="46"/>
      <c r="AC783" s="46"/>
      <c r="AD783" s="46"/>
      <c r="AE783" s="46"/>
      <c r="AF783" s="46"/>
      <c r="AG783" s="46"/>
    </row>
    <row r="784" spans="1:33" ht="13.5" customHeight="1">
      <c r="A784" s="46"/>
      <c r="B784" s="46"/>
      <c r="C784" s="41"/>
      <c r="D784" s="42"/>
      <c r="E784" s="42"/>
      <c r="F784" s="42"/>
      <c r="G784" s="43"/>
      <c r="H784" s="43"/>
      <c r="I784" s="43"/>
      <c r="J784" s="43"/>
      <c r="K784" s="43"/>
      <c r="L784" s="43"/>
      <c r="M784" s="43"/>
      <c r="N784" s="43"/>
      <c r="O784" s="43"/>
      <c r="P784" s="41"/>
      <c r="Q784" s="41"/>
      <c r="R784" s="41"/>
      <c r="S784" s="44"/>
      <c r="T784" s="45"/>
      <c r="U784" s="45"/>
      <c r="V784" s="45"/>
      <c r="W784" s="45"/>
      <c r="X784" s="46"/>
      <c r="Y784" s="46"/>
      <c r="Z784" s="46"/>
      <c r="AA784" s="46"/>
      <c r="AB784" s="46"/>
      <c r="AC784" s="46"/>
      <c r="AD784" s="46"/>
      <c r="AE784" s="46"/>
      <c r="AF784" s="46"/>
      <c r="AG784" s="46"/>
    </row>
    <row r="785" spans="1:33" ht="13.5" customHeight="1">
      <c r="A785" s="46"/>
      <c r="B785" s="46"/>
      <c r="C785" s="41"/>
      <c r="D785" s="42"/>
      <c r="E785" s="42"/>
      <c r="F785" s="42"/>
      <c r="G785" s="43"/>
      <c r="H785" s="43"/>
      <c r="I785" s="43"/>
      <c r="J785" s="43"/>
      <c r="K785" s="43"/>
      <c r="L785" s="43"/>
      <c r="M785" s="43"/>
      <c r="N785" s="43"/>
      <c r="O785" s="43"/>
      <c r="P785" s="41"/>
      <c r="Q785" s="41"/>
      <c r="R785" s="41"/>
      <c r="S785" s="44"/>
      <c r="T785" s="45"/>
      <c r="U785" s="45"/>
      <c r="V785" s="45"/>
      <c r="W785" s="45"/>
      <c r="X785" s="46"/>
      <c r="Y785" s="46"/>
      <c r="Z785" s="46"/>
      <c r="AA785" s="46"/>
      <c r="AB785" s="46"/>
      <c r="AC785" s="46"/>
      <c r="AD785" s="46"/>
      <c r="AE785" s="46"/>
      <c r="AF785" s="46"/>
      <c r="AG785" s="46"/>
    </row>
    <row r="786" spans="1:33" ht="13.5" customHeight="1">
      <c r="A786" s="46"/>
      <c r="B786" s="46"/>
      <c r="C786" s="41"/>
      <c r="D786" s="42"/>
      <c r="E786" s="42"/>
      <c r="F786" s="42"/>
      <c r="G786" s="43"/>
      <c r="H786" s="43"/>
      <c r="I786" s="43"/>
      <c r="J786" s="43"/>
      <c r="K786" s="43"/>
      <c r="L786" s="43"/>
      <c r="M786" s="43"/>
      <c r="N786" s="43"/>
      <c r="O786" s="43"/>
      <c r="P786" s="41"/>
      <c r="Q786" s="41"/>
      <c r="R786" s="41"/>
      <c r="S786" s="44"/>
      <c r="T786" s="45"/>
      <c r="U786" s="45"/>
      <c r="V786" s="45"/>
      <c r="W786" s="45"/>
      <c r="X786" s="46"/>
      <c r="Y786" s="46"/>
      <c r="Z786" s="46"/>
      <c r="AA786" s="46"/>
      <c r="AB786" s="46"/>
      <c r="AC786" s="46"/>
      <c r="AD786" s="46"/>
      <c r="AE786" s="46"/>
      <c r="AF786" s="46"/>
      <c r="AG786" s="46"/>
    </row>
    <row r="787" spans="1:33" ht="13.5" customHeight="1">
      <c r="A787" s="46"/>
      <c r="B787" s="46"/>
      <c r="C787" s="41"/>
      <c r="D787" s="42"/>
      <c r="E787" s="42"/>
      <c r="F787" s="42"/>
      <c r="G787" s="43"/>
      <c r="H787" s="43"/>
      <c r="I787" s="43"/>
      <c r="J787" s="43"/>
      <c r="K787" s="43"/>
      <c r="L787" s="43"/>
      <c r="M787" s="43"/>
      <c r="N787" s="43"/>
      <c r="O787" s="43"/>
      <c r="P787" s="41"/>
      <c r="Q787" s="41"/>
      <c r="R787" s="41"/>
      <c r="S787" s="44"/>
      <c r="T787" s="45"/>
      <c r="U787" s="45"/>
      <c r="V787" s="45"/>
      <c r="W787" s="45"/>
      <c r="X787" s="46"/>
      <c r="Y787" s="46"/>
      <c r="Z787" s="46"/>
      <c r="AA787" s="46"/>
      <c r="AB787" s="46"/>
      <c r="AC787" s="46"/>
      <c r="AD787" s="46"/>
      <c r="AE787" s="46"/>
      <c r="AF787" s="46"/>
      <c r="AG787" s="46"/>
    </row>
    <row r="788" spans="1:33" ht="13.5" customHeight="1">
      <c r="A788" s="46"/>
      <c r="B788" s="46"/>
      <c r="C788" s="41"/>
      <c r="D788" s="42"/>
      <c r="E788" s="42"/>
      <c r="F788" s="42"/>
      <c r="G788" s="43"/>
      <c r="H788" s="43"/>
      <c r="I788" s="43"/>
      <c r="J788" s="43"/>
      <c r="K788" s="43"/>
      <c r="L788" s="43"/>
      <c r="M788" s="43"/>
      <c r="N788" s="43"/>
      <c r="O788" s="43"/>
      <c r="P788" s="41"/>
      <c r="Q788" s="41"/>
      <c r="R788" s="41"/>
      <c r="S788" s="44"/>
      <c r="T788" s="45"/>
      <c r="U788" s="45"/>
      <c r="V788" s="45"/>
      <c r="W788" s="45"/>
      <c r="X788" s="46"/>
      <c r="Y788" s="46"/>
      <c r="Z788" s="46"/>
      <c r="AA788" s="46"/>
      <c r="AB788" s="46"/>
      <c r="AC788" s="46"/>
      <c r="AD788" s="46"/>
      <c r="AE788" s="46"/>
      <c r="AF788" s="46"/>
      <c r="AG788" s="46"/>
    </row>
    <row r="789" spans="1:33" ht="13.5" customHeight="1">
      <c r="A789" s="46"/>
      <c r="B789" s="46"/>
      <c r="C789" s="41"/>
      <c r="D789" s="42"/>
      <c r="E789" s="42"/>
      <c r="F789" s="42"/>
      <c r="G789" s="43"/>
      <c r="H789" s="43"/>
      <c r="I789" s="43"/>
      <c r="J789" s="43"/>
      <c r="K789" s="43"/>
      <c r="L789" s="43"/>
      <c r="M789" s="43"/>
      <c r="N789" s="43"/>
      <c r="O789" s="43"/>
      <c r="P789" s="41"/>
      <c r="Q789" s="41"/>
      <c r="R789" s="41"/>
      <c r="S789" s="44"/>
      <c r="T789" s="45"/>
      <c r="U789" s="45"/>
      <c r="V789" s="45"/>
      <c r="W789" s="45"/>
      <c r="X789" s="46"/>
      <c r="Y789" s="46"/>
      <c r="Z789" s="46"/>
      <c r="AA789" s="46"/>
      <c r="AB789" s="46"/>
      <c r="AC789" s="46"/>
      <c r="AD789" s="46"/>
      <c r="AE789" s="46"/>
      <c r="AF789" s="46"/>
      <c r="AG789" s="46"/>
    </row>
    <row r="790" spans="1:33" ht="13.5" customHeight="1">
      <c r="A790" s="46"/>
      <c r="B790" s="46"/>
      <c r="C790" s="41"/>
      <c r="D790" s="42"/>
      <c r="E790" s="42"/>
      <c r="F790" s="42"/>
      <c r="G790" s="43"/>
      <c r="H790" s="43"/>
      <c r="I790" s="43"/>
      <c r="J790" s="43"/>
      <c r="K790" s="43"/>
      <c r="L790" s="43"/>
      <c r="M790" s="43"/>
      <c r="N790" s="43"/>
      <c r="O790" s="43"/>
      <c r="P790" s="41"/>
      <c r="Q790" s="41"/>
      <c r="R790" s="41"/>
      <c r="S790" s="44"/>
      <c r="T790" s="45"/>
      <c r="U790" s="45"/>
      <c r="V790" s="45"/>
      <c r="W790" s="45"/>
      <c r="X790" s="46"/>
      <c r="Y790" s="46"/>
      <c r="Z790" s="46"/>
      <c r="AA790" s="46"/>
      <c r="AB790" s="46"/>
      <c r="AC790" s="46"/>
      <c r="AD790" s="46"/>
      <c r="AE790" s="46"/>
      <c r="AF790" s="46"/>
      <c r="AG790" s="46"/>
    </row>
    <row r="791" spans="1:33" ht="13.5" customHeight="1">
      <c r="A791" s="46"/>
      <c r="B791" s="46"/>
      <c r="C791" s="41"/>
      <c r="D791" s="42"/>
      <c r="E791" s="42"/>
      <c r="F791" s="42"/>
      <c r="G791" s="43"/>
      <c r="H791" s="43"/>
      <c r="I791" s="43"/>
      <c r="J791" s="43"/>
      <c r="K791" s="43"/>
      <c r="L791" s="43"/>
      <c r="M791" s="43"/>
      <c r="N791" s="43"/>
      <c r="O791" s="43"/>
      <c r="P791" s="41"/>
      <c r="Q791" s="41"/>
      <c r="R791" s="41"/>
      <c r="S791" s="44"/>
      <c r="T791" s="45"/>
      <c r="U791" s="45"/>
      <c r="V791" s="45"/>
      <c r="W791" s="45"/>
      <c r="X791" s="46"/>
      <c r="Y791" s="46"/>
      <c r="Z791" s="46"/>
      <c r="AA791" s="46"/>
      <c r="AB791" s="46"/>
      <c r="AC791" s="46"/>
      <c r="AD791" s="46"/>
      <c r="AE791" s="46"/>
      <c r="AF791" s="46"/>
      <c r="AG791" s="46"/>
    </row>
    <row r="792" spans="1:33" ht="13.5" customHeight="1">
      <c r="A792" s="46"/>
      <c r="B792" s="46"/>
      <c r="C792" s="41"/>
      <c r="D792" s="42"/>
      <c r="E792" s="42"/>
      <c r="F792" s="42"/>
      <c r="G792" s="43"/>
      <c r="H792" s="43"/>
      <c r="I792" s="43"/>
      <c r="J792" s="43"/>
      <c r="K792" s="43"/>
      <c r="L792" s="43"/>
      <c r="M792" s="43"/>
      <c r="N792" s="43"/>
      <c r="O792" s="43"/>
      <c r="P792" s="41"/>
      <c r="Q792" s="41"/>
      <c r="R792" s="41"/>
      <c r="S792" s="44"/>
      <c r="T792" s="45"/>
      <c r="U792" s="45"/>
      <c r="V792" s="45"/>
      <c r="W792" s="45"/>
      <c r="X792" s="46"/>
      <c r="Y792" s="46"/>
      <c r="Z792" s="46"/>
      <c r="AA792" s="46"/>
      <c r="AB792" s="46"/>
      <c r="AC792" s="46"/>
      <c r="AD792" s="46"/>
      <c r="AE792" s="46"/>
      <c r="AF792" s="46"/>
      <c r="AG792" s="46"/>
    </row>
    <row r="793" spans="1:33" ht="13.5" customHeight="1">
      <c r="A793" s="46"/>
      <c r="B793" s="46"/>
      <c r="C793" s="41"/>
      <c r="D793" s="42"/>
      <c r="E793" s="42"/>
      <c r="F793" s="42"/>
      <c r="G793" s="43"/>
      <c r="H793" s="43"/>
      <c r="I793" s="43"/>
      <c r="J793" s="43"/>
      <c r="K793" s="43"/>
      <c r="L793" s="43"/>
      <c r="M793" s="43"/>
      <c r="N793" s="43"/>
      <c r="O793" s="43"/>
      <c r="P793" s="41"/>
      <c r="Q793" s="41"/>
      <c r="R793" s="41"/>
      <c r="S793" s="44"/>
      <c r="T793" s="45"/>
      <c r="U793" s="45"/>
      <c r="V793" s="45"/>
      <c r="W793" s="45"/>
      <c r="X793" s="46"/>
      <c r="Y793" s="46"/>
      <c r="Z793" s="46"/>
      <c r="AA793" s="46"/>
      <c r="AB793" s="46"/>
      <c r="AC793" s="46"/>
      <c r="AD793" s="46"/>
      <c r="AE793" s="46"/>
      <c r="AF793" s="46"/>
      <c r="AG793" s="46"/>
    </row>
    <row r="794" spans="1:33" ht="13.5" customHeight="1">
      <c r="A794" s="46"/>
      <c r="B794" s="46"/>
      <c r="C794" s="41"/>
      <c r="D794" s="42"/>
      <c r="E794" s="42"/>
      <c r="F794" s="42"/>
      <c r="G794" s="43"/>
      <c r="H794" s="43"/>
      <c r="I794" s="43"/>
      <c r="J794" s="43"/>
      <c r="K794" s="43"/>
      <c r="L794" s="43"/>
      <c r="M794" s="43"/>
      <c r="N794" s="43"/>
      <c r="O794" s="43"/>
      <c r="P794" s="41"/>
      <c r="Q794" s="41"/>
      <c r="R794" s="41"/>
      <c r="S794" s="44"/>
      <c r="T794" s="45"/>
      <c r="U794" s="45"/>
      <c r="V794" s="45"/>
      <c r="W794" s="45"/>
      <c r="X794" s="46"/>
      <c r="Y794" s="46"/>
      <c r="Z794" s="46"/>
      <c r="AA794" s="46"/>
      <c r="AB794" s="46"/>
      <c r="AC794" s="46"/>
      <c r="AD794" s="46"/>
      <c r="AE794" s="46"/>
      <c r="AF794" s="46"/>
      <c r="AG794" s="46"/>
    </row>
    <row r="795" spans="1:33" ht="13.5" customHeight="1">
      <c r="A795" s="46"/>
      <c r="B795" s="46"/>
      <c r="C795" s="41"/>
      <c r="D795" s="42"/>
      <c r="E795" s="42"/>
      <c r="F795" s="42"/>
      <c r="G795" s="43"/>
      <c r="H795" s="43"/>
      <c r="I795" s="43"/>
      <c r="J795" s="43"/>
      <c r="K795" s="43"/>
      <c r="L795" s="43"/>
      <c r="M795" s="43"/>
      <c r="N795" s="43"/>
      <c r="O795" s="43"/>
      <c r="P795" s="41"/>
      <c r="Q795" s="41"/>
      <c r="R795" s="41"/>
      <c r="S795" s="44"/>
      <c r="T795" s="45"/>
      <c r="U795" s="45"/>
      <c r="V795" s="45"/>
      <c r="W795" s="45"/>
      <c r="X795" s="46"/>
      <c r="Y795" s="46"/>
      <c r="Z795" s="46"/>
      <c r="AA795" s="46"/>
      <c r="AB795" s="46"/>
      <c r="AC795" s="46"/>
      <c r="AD795" s="46"/>
      <c r="AE795" s="46"/>
      <c r="AF795" s="46"/>
      <c r="AG795" s="46"/>
    </row>
    <row r="796" spans="1:33" ht="13.5" customHeight="1">
      <c r="A796" s="46"/>
      <c r="B796" s="46"/>
      <c r="C796" s="41"/>
      <c r="D796" s="42"/>
      <c r="E796" s="42"/>
      <c r="F796" s="42"/>
      <c r="G796" s="43"/>
      <c r="H796" s="43"/>
      <c r="I796" s="43"/>
      <c r="J796" s="43"/>
      <c r="K796" s="43"/>
      <c r="L796" s="43"/>
      <c r="M796" s="43"/>
      <c r="N796" s="43"/>
      <c r="O796" s="43"/>
      <c r="P796" s="41"/>
      <c r="Q796" s="41"/>
      <c r="R796" s="41"/>
      <c r="S796" s="44"/>
      <c r="T796" s="45"/>
      <c r="U796" s="45"/>
      <c r="V796" s="45"/>
      <c r="W796" s="45"/>
      <c r="X796" s="46"/>
      <c r="Y796" s="46"/>
      <c r="Z796" s="46"/>
      <c r="AA796" s="46"/>
      <c r="AB796" s="46"/>
      <c r="AC796" s="46"/>
      <c r="AD796" s="46"/>
      <c r="AE796" s="46"/>
      <c r="AF796" s="46"/>
      <c r="AG796" s="46"/>
    </row>
    <row r="797" spans="1:33" ht="13.5" customHeight="1">
      <c r="A797" s="46"/>
      <c r="B797" s="46"/>
      <c r="C797" s="41"/>
      <c r="D797" s="42"/>
      <c r="E797" s="42"/>
      <c r="F797" s="42"/>
      <c r="G797" s="43"/>
      <c r="H797" s="43"/>
      <c r="I797" s="43"/>
      <c r="J797" s="43"/>
      <c r="K797" s="43"/>
      <c r="L797" s="43"/>
      <c r="M797" s="43"/>
      <c r="N797" s="43"/>
      <c r="O797" s="43"/>
      <c r="P797" s="41"/>
      <c r="Q797" s="41"/>
      <c r="R797" s="41"/>
      <c r="S797" s="44"/>
      <c r="T797" s="45"/>
      <c r="U797" s="45"/>
      <c r="V797" s="45"/>
      <c r="W797" s="45"/>
      <c r="X797" s="46"/>
      <c r="Y797" s="46"/>
      <c r="Z797" s="46"/>
      <c r="AA797" s="46"/>
      <c r="AB797" s="46"/>
      <c r="AC797" s="46"/>
      <c r="AD797" s="46"/>
      <c r="AE797" s="46"/>
      <c r="AF797" s="46"/>
      <c r="AG797" s="46"/>
    </row>
    <row r="798" spans="1:33" ht="13.5" customHeight="1">
      <c r="A798" s="46"/>
      <c r="B798" s="46"/>
      <c r="C798" s="41"/>
      <c r="D798" s="42"/>
      <c r="E798" s="42"/>
      <c r="F798" s="42"/>
      <c r="G798" s="43"/>
      <c r="H798" s="43"/>
      <c r="I798" s="43"/>
      <c r="J798" s="43"/>
      <c r="K798" s="43"/>
      <c r="L798" s="43"/>
      <c r="M798" s="43"/>
      <c r="N798" s="43"/>
      <c r="O798" s="43"/>
      <c r="P798" s="41"/>
      <c r="Q798" s="41"/>
      <c r="R798" s="41"/>
      <c r="S798" s="44"/>
      <c r="T798" s="45"/>
      <c r="U798" s="45"/>
      <c r="V798" s="45"/>
      <c r="W798" s="45"/>
      <c r="X798" s="46"/>
      <c r="Y798" s="46"/>
      <c r="Z798" s="46"/>
      <c r="AA798" s="46"/>
      <c r="AB798" s="46"/>
      <c r="AC798" s="46"/>
      <c r="AD798" s="46"/>
      <c r="AE798" s="46"/>
      <c r="AF798" s="46"/>
      <c r="AG798" s="46"/>
    </row>
    <row r="799" spans="1:33" ht="13.5" customHeight="1">
      <c r="A799" s="46"/>
      <c r="B799" s="46"/>
      <c r="C799" s="41"/>
      <c r="D799" s="42"/>
      <c r="E799" s="42"/>
      <c r="F799" s="42"/>
      <c r="G799" s="43"/>
      <c r="H799" s="43"/>
      <c r="I799" s="43"/>
      <c r="J799" s="43"/>
      <c r="K799" s="43"/>
      <c r="L799" s="43"/>
      <c r="M799" s="43"/>
      <c r="N799" s="43"/>
      <c r="O799" s="43"/>
      <c r="P799" s="41"/>
      <c r="Q799" s="41"/>
      <c r="R799" s="41"/>
      <c r="S799" s="44"/>
      <c r="T799" s="45"/>
      <c r="U799" s="45"/>
      <c r="V799" s="45"/>
      <c r="W799" s="45"/>
      <c r="X799" s="46"/>
      <c r="Y799" s="46"/>
      <c r="Z799" s="46"/>
      <c r="AA799" s="46"/>
      <c r="AB799" s="46"/>
      <c r="AC799" s="46"/>
      <c r="AD799" s="46"/>
      <c r="AE799" s="46"/>
      <c r="AF799" s="46"/>
      <c r="AG799" s="46"/>
    </row>
    <row r="800" spans="1:33" ht="13.5" customHeight="1">
      <c r="A800" s="46"/>
      <c r="B800" s="46"/>
      <c r="C800" s="41"/>
      <c r="D800" s="42"/>
      <c r="E800" s="42"/>
      <c r="F800" s="42"/>
      <c r="G800" s="43"/>
      <c r="H800" s="43"/>
      <c r="I800" s="43"/>
      <c r="J800" s="43"/>
      <c r="K800" s="43"/>
      <c r="L800" s="43"/>
      <c r="M800" s="43"/>
      <c r="N800" s="43"/>
      <c r="O800" s="43"/>
      <c r="P800" s="41"/>
      <c r="Q800" s="41"/>
      <c r="R800" s="41"/>
      <c r="S800" s="44"/>
      <c r="T800" s="45"/>
      <c r="U800" s="45"/>
      <c r="V800" s="45"/>
      <c r="W800" s="45"/>
      <c r="X800" s="46"/>
      <c r="Y800" s="46"/>
      <c r="Z800" s="46"/>
      <c r="AA800" s="46"/>
      <c r="AB800" s="46"/>
      <c r="AC800" s="46"/>
      <c r="AD800" s="46"/>
      <c r="AE800" s="46"/>
      <c r="AF800" s="46"/>
      <c r="AG800" s="46"/>
    </row>
    <row r="801" spans="1:33" ht="13.5" customHeight="1">
      <c r="A801" s="46"/>
      <c r="B801" s="46"/>
      <c r="C801" s="41"/>
      <c r="D801" s="42"/>
      <c r="E801" s="42"/>
      <c r="F801" s="42"/>
      <c r="G801" s="43"/>
      <c r="H801" s="43"/>
      <c r="I801" s="43"/>
      <c r="J801" s="43"/>
      <c r="K801" s="43"/>
      <c r="L801" s="43"/>
      <c r="M801" s="43"/>
      <c r="N801" s="43"/>
      <c r="O801" s="43"/>
      <c r="P801" s="41"/>
      <c r="Q801" s="41"/>
      <c r="R801" s="41"/>
      <c r="S801" s="44"/>
      <c r="T801" s="45"/>
      <c r="U801" s="45"/>
      <c r="V801" s="45"/>
      <c r="W801" s="45"/>
      <c r="X801" s="46"/>
      <c r="Y801" s="46"/>
      <c r="Z801" s="46"/>
      <c r="AA801" s="46"/>
      <c r="AB801" s="46"/>
      <c r="AC801" s="46"/>
      <c r="AD801" s="46"/>
      <c r="AE801" s="46"/>
      <c r="AF801" s="46"/>
      <c r="AG801" s="46"/>
    </row>
    <row r="802" spans="1:33" ht="13.5" customHeight="1">
      <c r="A802" s="46"/>
      <c r="B802" s="46"/>
      <c r="C802" s="41"/>
      <c r="D802" s="42"/>
      <c r="E802" s="42"/>
      <c r="F802" s="42"/>
      <c r="G802" s="43"/>
      <c r="H802" s="43"/>
      <c r="I802" s="43"/>
      <c r="J802" s="43"/>
      <c r="K802" s="43"/>
      <c r="L802" s="43"/>
      <c r="M802" s="43"/>
      <c r="N802" s="43"/>
      <c r="O802" s="43"/>
      <c r="P802" s="41"/>
      <c r="Q802" s="41"/>
      <c r="R802" s="41"/>
      <c r="S802" s="44"/>
      <c r="T802" s="45"/>
      <c r="U802" s="45"/>
      <c r="V802" s="45"/>
      <c r="W802" s="45"/>
      <c r="X802" s="46"/>
      <c r="Y802" s="46"/>
      <c r="Z802" s="46"/>
      <c r="AA802" s="46"/>
      <c r="AB802" s="46"/>
      <c r="AC802" s="46"/>
      <c r="AD802" s="46"/>
      <c r="AE802" s="46"/>
      <c r="AF802" s="46"/>
      <c r="AG802" s="46"/>
    </row>
    <row r="803" spans="1:33" ht="13.5" customHeight="1">
      <c r="A803" s="46"/>
      <c r="B803" s="46"/>
      <c r="C803" s="41"/>
      <c r="D803" s="42"/>
      <c r="E803" s="42"/>
      <c r="F803" s="42"/>
      <c r="G803" s="43"/>
      <c r="H803" s="43"/>
      <c r="I803" s="43"/>
      <c r="J803" s="43"/>
      <c r="K803" s="43"/>
      <c r="L803" s="43"/>
      <c r="M803" s="43"/>
      <c r="N803" s="43"/>
      <c r="O803" s="43"/>
      <c r="P803" s="41"/>
      <c r="Q803" s="41"/>
      <c r="R803" s="41"/>
      <c r="S803" s="44"/>
      <c r="T803" s="45"/>
      <c r="U803" s="45"/>
      <c r="V803" s="45"/>
      <c r="W803" s="45"/>
      <c r="X803" s="46"/>
      <c r="Y803" s="46"/>
      <c r="Z803" s="46"/>
      <c r="AA803" s="46"/>
      <c r="AB803" s="46"/>
      <c r="AC803" s="46"/>
      <c r="AD803" s="46"/>
      <c r="AE803" s="46"/>
      <c r="AF803" s="46"/>
      <c r="AG803" s="46"/>
    </row>
    <row r="804" spans="1:33" ht="13.5" customHeight="1">
      <c r="A804" s="46"/>
      <c r="B804" s="46"/>
      <c r="C804" s="41"/>
      <c r="D804" s="42"/>
      <c r="E804" s="42"/>
      <c r="F804" s="42"/>
      <c r="G804" s="43"/>
      <c r="H804" s="43"/>
      <c r="I804" s="43"/>
      <c r="J804" s="43"/>
      <c r="K804" s="43"/>
      <c r="L804" s="43"/>
      <c r="M804" s="43"/>
      <c r="N804" s="43"/>
      <c r="O804" s="43"/>
      <c r="P804" s="41"/>
      <c r="Q804" s="41"/>
      <c r="R804" s="41"/>
      <c r="S804" s="44"/>
      <c r="T804" s="45"/>
      <c r="U804" s="45"/>
      <c r="V804" s="45"/>
      <c r="W804" s="45"/>
      <c r="X804" s="46"/>
      <c r="Y804" s="46"/>
      <c r="Z804" s="46"/>
      <c r="AA804" s="46"/>
      <c r="AB804" s="46"/>
      <c r="AC804" s="46"/>
      <c r="AD804" s="46"/>
      <c r="AE804" s="46"/>
      <c r="AF804" s="46"/>
      <c r="AG804" s="46"/>
    </row>
    <row r="805" spans="1:33" ht="13.5" customHeight="1">
      <c r="A805" s="46"/>
      <c r="B805" s="46"/>
      <c r="C805" s="41"/>
      <c r="D805" s="42"/>
      <c r="E805" s="42"/>
      <c r="F805" s="42"/>
      <c r="G805" s="43"/>
      <c r="H805" s="43"/>
      <c r="I805" s="43"/>
      <c r="J805" s="43"/>
      <c r="K805" s="43"/>
      <c r="L805" s="43"/>
      <c r="M805" s="43"/>
      <c r="N805" s="43"/>
      <c r="O805" s="43"/>
      <c r="P805" s="41"/>
      <c r="Q805" s="41"/>
      <c r="R805" s="41"/>
      <c r="S805" s="44"/>
      <c r="T805" s="45"/>
      <c r="U805" s="45"/>
      <c r="V805" s="45"/>
      <c r="W805" s="45"/>
      <c r="X805" s="46"/>
      <c r="Y805" s="46"/>
      <c r="Z805" s="46"/>
      <c r="AA805" s="46"/>
      <c r="AB805" s="46"/>
      <c r="AC805" s="46"/>
      <c r="AD805" s="46"/>
      <c r="AE805" s="46"/>
      <c r="AF805" s="46"/>
      <c r="AG805" s="46"/>
    </row>
    <row r="806" spans="1:33" ht="13.5" customHeight="1">
      <c r="A806" s="46"/>
      <c r="B806" s="46"/>
      <c r="C806" s="41"/>
      <c r="D806" s="42"/>
      <c r="E806" s="42"/>
      <c r="F806" s="42"/>
      <c r="G806" s="43"/>
      <c r="H806" s="43"/>
      <c r="I806" s="43"/>
      <c r="J806" s="43"/>
      <c r="K806" s="43"/>
      <c r="L806" s="43"/>
      <c r="M806" s="43"/>
      <c r="N806" s="43"/>
      <c r="O806" s="43"/>
      <c r="P806" s="41"/>
      <c r="Q806" s="41"/>
      <c r="R806" s="41"/>
      <c r="S806" s="44"/>
      <c r="T806" s="45"/>
      <c r="U806" s="45"/>
      <c r="V806" s="45"/>
      <c r="W806" s="45"/>
      <c r="X806" s="46"/>
      <c r="Y806" s="46"/>
      <c r="Z806" s="46"/>
      <c r="AA806" s="46"/>
      <c r="AB806" s="46"/>
      <c r="AC806" s="46"/>
      <c r="AD806" s="46"/>
      <c r="AE806" s="46"/>
      <c r="AF806" s="46"/>
      <c r="AG806" s="46"/>
    </row>
    <row r="807" spans="1:33" ht="13.5" customHeight="1">
      <c r="A807" s="46"/>
      <c r="B807" s="46"/>
      <c r="C807" s="41"/>
      <c r="D807" s="42"/>
      <c r="E807" s="42"/>
      <c r="F807" s="42"/>
      <c r="G807" s="43"/>
      <c r="H807" s="43"/>
      <c r="I807" s="43"/>
      <c r="J807" s="43"/>
      <c r="K807" s="43"/>
      <c r="L807" s="43"/>
      <c r="M807" s="43"/>
      <c r="N807" s="43"/>
      <c r="O807" s="43"/>
      <c r="P807" s="41"/>
      <c r="Q807" s="41"/>
      <c r="R807" s="41"/>
      <c r="S807" s="44"/>
      <c r="T807" s="45"/>
      <c r="U807" s="45"/>
      <c r="V807" s="45"/>
      <c r="W807" s="45"/>
      <c r="X807" s="46"/>
      <c r="Y807" s="46"/>
      <c r="Z807" s="46"/>
      <c r="AA807" s="46"/>
      <c r="AB807" s="46"/>
      <c r="AC807" s="46"/>
      <c r="AD807" s="46"/>
      <c r="AE807" s="46"/>
      <c r="AF807" s="46"/>
      <c r="AG807" s="46"/>
    </row>
    <row r="808" spans="1:33" ht="13.5" customHeight="1">
      <c r="A808" s="46"/>
      <c r="B808" s="46"/>
      <c r="C808" s="41"/>
      <c r="D808" s="42"/>
      <c r="E808" s="42"/>
      <c r="F808" s="42"/>
      <c r="G808" s="43"/>
      <c r="H808" s="43"/>
      <c r="I808" s="43"/>
      <c r="J808" s="43"/>
      <c r="K808" s="43"/>
      <c r="L808" s="43"/>
      <c r="M808" s="43"/>
      <c r="N808" s="43"/>
      <c r="O808" s="43"/>
      <c r="P808" s="41"/>
      <c r="Q808" s="41"/>
      <c r="R808" s="41"/>
      <c r="S808" s="44"/>
      <c r="T808" s="45"/>
      <c r="U808" s="45"/>
      <c r="V808" s="45"/>
      <c r="W808" s="45"/>
      <c r="X808" s="46"/>
      <c r="Y808" s="46"/>
      <c r="Z808" s="46"/>
      <c r="AA808" s="46"/>
      <c r="AB808" s="46"/>
      <c r="AC808" s="46"/>
      <c r="AD808" s="46"/>
      <c r="AE808" s="46"/>
      <c r="AF808" s="46"/>
      <c r="AG808" s="46"/>
    </row>
    <row r="809" spans="1:33" ht="13.5" customHeight="1">
      <c r="A809" s="46"/>
      <c r="B809" s="46"/>
      <c r="C809" s="41"/>
      <c r="D809" s="42"/>
      <c r="E809" s="42"/>
      <c r="F809" s="42"/>
      <c r="G809" s="43"/>
      <c r="H809" s="43"/>
      <c r="I809" s="43"/>
      <c r="J809" s="43"/>
      <c r="K809" s="43"/>
      <c r="L809" s="43"/>
      <c r="M809" s="43"/>
      <c r="N809" s="43"/>
      <c r="O809" s="43"/>
      <c r="P809" s="41"/>
      <c r="Q809" s="41"/>
      <c r="R809" s="41"/>
      <c r="S809" s="44"/>
      <c r="T809" s="45"/>
      <c r="U809" s="45"/>
      <c r="V809" s="45"/>
      <c r="W809" s="45"/>
      <c r="X809" s="46"/>
      <c r="Y809" s="46"/>
      <c r="Z809" s="46"/>
      <c r="AA809" s="46"/>
      <c r="AB809" s="46"/>
      <c r="AC809" s="46"/>
      <c r="AD809" s="46"/>
      <c r="AE809" s="46"/>
      <c r="AF809" s="46"/>
      <c r="AG809" s="46"/>
    </row>
    <row r="810" spans="1:33" ht="13.5" customHeight="1">
      <c r="A810" s="46"/>
      <c r="B810" s="46"/>
      <c r="C810" s="41"/>
      <c r="D810" s="42"/>
      <c r="E810" s="42"/>
      <c r="F810" s="42"/>
      <c r="G810" s="43"/>
      <c r="H810" s="43"/>
      <c r="I810" s="43"/>
      <c r="J810" s="43"/>
      <c r="K810" s="43"/>
      <c r="L810" s="43"/>
      <c r="M810" s="43"/>
      <c r="N810" s="43"/>
      <c r="O810" s="43"/>
      <c r="P810" s="41"/>
      <c r="Q810" s="41"/>
      <c r="R810" s="41"/>
      <c r="S810" s="44"/>
      <c r="T810" s="45"/>
      <c r="U810" s="45"/>
      <c r="V810" s="45"/>
      <c r="W810" s="45"/>
      <c r="X810" s="46"/>
      <c r="Y810" s="46"/>
      <c r="Z810" s="46"/>
      <c r="AA810" s="46"/>
      <c r="AB810" s="46"/>
      <c r="AC810" s="46"/>
      <c r="AD810" s="46"/>
      <c r="AE810" s="46"/>
      <c r="AF810" s="46"/>
      <c r="AG810" s="46"/>
    </row>
    <row r="811" spans="1:33" ht="13.5" customHeight="1">
      <c r="A811" s="46"/>
      <c r="B811" s="46"/>
      <c r="C811" s="41"/>
      <c r="D811" s="42"/>
      <c r="E811" s="42"/>
      <c r="F811" s="42"/>
      <c r="G811" s="43"/>
      <c r="H811" s="43"/>
      <c r="I811" s="43"/>
      <c r="J811" s="43"/>
      <c r="K811" s="43"/>
      <c r="L811" s="43"/>
      <c r="M811" s="43"/>
      <c r="N811" s="43"/>
      <c r="O811" s="43"/>
      <c r="P811" s="41"/>
      <c r="Q811" s="41"/>
      <c r="R811" s="41"/>
      <c r="S811" s="44"/>
      <c r="T811" s="45"/>
      <c r="U811" s="45"/>
      <c r="V811" s="45"/>
      <c r="W811" s="45"/>
      <c r="X811" s="46"/>
      <c r="Y811" s="46"/>
      <c r="Z811" s="46"/>
      <c r="AA811" s="46"/>
      <c r="AB811" s="46"/>
      <c r="AC811" s="46"/>
      <c r="AD811" s="46"/>
      <c r="AE811" s="46"/>
      <c r="AF811" s="46"/>
      <c r="AG811" s="46"/>
    </row>
    <row r="812" spans="1:33" ht="13.5" customHeight="1">
      <c r="A812" s="46"/>
      <c r="B812" s="46"/>
      <c r="C812" s="41"/>
      <c r="D812" s="42"/>
      <c r="E812" s="42"/>
      <c r="F812" s="42"/>
      <c r="G812" s="43"/>
      <c r="H812" s="43"/>
      <c r="I812" s="43"/>
      <c r="J812" s="43"/>
      <c r="K812" s="43"/>
      <c r="L812" s="43"/>
      <c r="M812" s="43"/>
      <c r="N812" s="43"/>
      <c r="O812" s="43"/>
      <c r="P812" s="41"/>
      <c r="Q812" s="41"/>
      <c r="R812" s="41"/>
      <c r="S812" s="44"/>
      <c r="T812" s="45"/>
      <c r="U812" s="45"/>
      <c r="V812" s="45"/>
      <c r="W812" s="45"/>
      <c r="X812" s="46"/>
      <c r="Y812" s="46"/>
      <c r="Z812" s="46"/>
      <c r="AA812" s="46"/>
      <c r="AB812" s="46"/>
      <c r="AC812" s="46"/>
      <c r="AD812" s="46"/>
      <c r="AE812" s="46"/>
      <c r="AF812" s="46"/>
      <c r="AG812" s="46"/>
    </row>
    <row r="813" spans="1:33" ht="13.5" customHeight="1">
      <c r="A813" s="46"/>
      <c r="B813" s="46"/>
      <c r="C813" s="41"/>
      <c r="D813" s="42"/>
      <c r="E813" s="42"/>
      <c r="F813" s="42"/>
      <c r="G813" s="43"/>
      <c r="H813" s="43"/>
      <c r="I813" s="43"/>
      <c r="J813" s="43"/>
      <c r="K813" s="43"/>
      <c r="L813" s="43"/>
      <c r="M813" s="43"/>
      <c r="N813" s="43"/>
      <c r="O813" s="43"/>
      <c r="P813" s="41"/>
      <c r="Q813" s="41"/>
      <c r="R813" s="41"/>
      <c r="S813" s="44"/>
      <c r="T813" s="45"/>
      <c r="U813" s="45"/>
      <c r="V813" s="45"/>
      <c r="W813" s="45"/>
      <c r="X813" s="46"/>
      <c r="Y813" s="46"/>
      <c r="Z813" s="46"/>
      <c r="AA813" s="46"/>
      <c r="AB813" s="46"/>
      <c r="AC813" s="46"/>
      <c r="AD813" s="46"/>
      <c r="AE813" s="46"/>
      <c r="AF813" s="46"/>
      <c r="AG813" s="46"/>
    </row>
    <row r="814" spans="1:33" ht="13.5" customHeight="1">
      <c r="A814" s="46"/>
      <c r="B814" s="46"/>
      <c r="C814" s="41"/>
      <c r="D814" s="42"/>
      <c r="E814" s="42"/>
      <c r="F814" s="42"/>
      <c r="G814" s="43"/>
      <c r="H814" s="43"/>
      <c r="I814" s="43"/>
      <c r="J814" s="43"/>
      <c r="K814" s="43"/>
      <c r="L814" s="43"/>
      <c r="M814" s="43"/>
      <c r="N814" s="43"/>
      <c r="O814" s="43"/>
      <c r="P814" s="41"/>
      <c r="Q814" s="41"/>
      <c r="R814" s="41"/>
      <c r="S814" s="44"/>
      <c r="T814" s="45"/>
      <c r="U814" s="45"/>
      <c r="V814" s="45"/>
      <c r="W814" s="45"/>
      <c r="X814" s="46"/>
      <c r="Y814" s="46"/>
      <c r="Z814" s="46"/>
      <c r="AA814" s="46"/>
      <c r="AB814" s="46"/>
      <c r="AC814" s="46"/>
      <c r="AD814" s="46"/>
      <c r="AE814" s="46"/>
      <c r="AF814" s="46"/>
      <c r="AG814" s="46"/>
    </row>
    <row r="815" spans="1:33" ht="13.5" customHeight="1">
      <c r="A815" s="46"/>
      <c r="B815" s="46"/>
      <c r="C815" s="41"/>
      <c r="D815" s="42"/>
      <c r="E815" s="42"/>
      <c r="F815" s="42"/>
      <c r="G815" s="43"/>
      <c r="H815" s="43"/>
      <c r="I815" s="43"/>
      <c r="J815" s="43"/>
      <c r="K815" s="43"/>
      <c r="L815" s="43"/>
      <c r="M815" s="43"/>
      <c r="N815" s="43"/>
      <c r="O815" s="43"/>
      <c r="P815" s="41"/>
      <c r="Q815" s="41"/>
      <c r="R815" s="41"/>
      <c r="S815" s="44"/>
      <c r="T815" s="45"/>
      <c r="U815" s="45"/>
      <c r="V815" s="45"/>
      <c r="W815" s="45"/>
      <c r="X815" s="46"/>
      <c r="Y815" s="46"/>
      <c r="Z815" s="46"/>
      <c r="AA815" s="46"/>
      <c r="AB815" s="46"/>
      <c r="AC815" s="46"/>
      <c r="AD815" s="46"/>
      <c r="AE815" s="46"/>
      <c r="AF815" s="46"/>
      <c r="AG815" s="46"/>
    </row>
    <row r="816" spans="1:33" ht="13.5" customHeight="1">
      <c r="A816" s="46"/>
      <c r="B816" s="46"/>
      <c r="C816" s="41"/>
      <c r="D816" s="42"/>
      <c r="E816" s="42"/>
      <c r="F816" s="42"/>
      <c r="G816" s="43"/>
      <c r="H816" s="43"/>
      <c r="I816" s="43"/>
      <c r="J816" s="43"/>
      <c r="K816" s="43"/>
      <c r="L816" s="43"/>
      <c r="M816" s="43"/>
      <c r="N816" s="43"/>
      <c r="O816" s="43"/>
      <c r="P816" s="41"/>
      <c r="Q816" s="41"/>
      <c r="R816" s="41"/>
      <c r="S816" s="44"/>
      <c r="T816" s="45"/>
      <c r="U816" s="45"/>
      <c r="V816" s="45"/>
      <c r="W816" s="45"/>
      <c r="X816" s="46"/>
      <c r="Y816" s="46"/>
      <c r="Z816" s="46"/>
      <c r="AA816" s="46"/>
      <c r="AB816" s="46"/>
      <c r="AC816" s="46"/>
      <c r="AD816" s="46"/>
      <c r="AE816" s="46"/>
      <c r="AF816" s="46"/>
      <c r="AG816" s="46"/>
    </row>
    <row r="817" spans="1:33" ht="13.5" customHeight="1">
      <c r="A817" s="46"/>
      <c r="B817" s="46"/>
      <c r="C817" s="41"/>
      <c r="D817" s="42"/>
      <c r="E817" s="42"/>
      <c r="F817" s="42"/>
      <c r="G817" s="43"/>
      <c r="H817" s="43"/>
      <c r="I817" s="43"/>
      <c r="J817" s="43"/>
      <c r="K817" s="43"/>
      <c r="L817" s="43"/>
      <c r="M817" s="43"/>
      <c r="N817" s="43"/>
      <c r="O817" s="43"/>
      <c r="P817" s="41"/>
      <c r="Q817" s="41"/>
      <c r="R817" s="41"/>
      <c r="S817" s="44"/>
      <c r="T817" s="45"/>
      <c r="U817" s="45"/>
      <c r="V817" s="45"/>
      <c r="W817" s="45"/>
      <c r="X817" s="46"/>
      <c r="Y817" s="46"/>
      <c r="Z817" s="46"/>
      <c r="AA817" s="46"/>
      <c r="AB817" s="46"/>
      <c r="AC817" s="46"/>
      <c r="AD817" s="46"/>
      <c r="AE817" s="46"/>
      <c r="AF817" s="46"/>
      <c r="AG817" s="46"/>
    </row>
    <row r="818" spans="1:33" ht="13.5" customHeight="1">
      <c r="A818" s="46"/>
      <c r="B818" s="46"/>
      <c r="C818" s="41"/>
      <c r="D818" s="42"/>
      <c r="E818" s="42"/>
      <c r="F818" s="42"/>
      <c r="G818" s="43"/>
      <c r="H818" s="43"/>
      <c r="I818" s="43"/>
      <c r="J818" s="43"/>
      <c r="K818" s="43"/>
      <c r="L818" s="43"/>
      <c r="M818" s="43"/>
      <c r="N818" s="43"/>
      <c r="O818" s="43"/>
      <c r="P818" s="41"/>
      <c r="Q818" s="41"/>
      <c r="R818" s="41"/>
      <c r="S818" s="44"/>
      <c r="T818" s="45"/>
      <c r="U818" s="45"/>
      <c r="V818" s="45"/>
      <c r="W818" s="45"/>
      <c r="X818" s="46"/>
      <c r="Y818" s="46"/>
      <c r="Z818" s="46"/>
      <c r="AA818" s="46"/>
      <c r="AB818" s="46"/>
      <c r="AC818" s="46"/>
      <c r="AD818" s="46"/>
      <c r="AE818" s="46"/>
      <c r="AF818" s="46"/>
      <c r="AG818" s="46"/>
    </row>
    <row r="819" spans="1:33" ht="13.5" customHeight="1">
      <c r="A819" s="46"/>
      <c r="B819" s="46"/>
      <c r="C819" s="41"/>
      <c r="D819" s="42"/>
      <c r="E819" s="42"/>
      <c r="F819" s="42"/>
      <c r="G819" s="43"/>
      <c r="H819" s="43"/>
      <c r="I819" s="43"/>
      <c r="J819" s="43"/>
      <c r="K819" s="43"/>
      <c r="L819" s="43"/>
      <c r="M819" s="43"/>
      <c r="N819" s="43"/>
      <c r="O819" s="43"/>
      <c r="P819" s="41"/>
      <c r="Q819" s="41"/>
      <c r="R819" s="41"/>
      <c r="S819" s="44"/>
      <c r="T819" s="45"/>
      <c r="U819" s="45"/>
      <c r="V819" s="45"/>
      <c r="W819" s="45"/>
      <c r="X819" s="46"/>
      <c r="Y819" s="46"/>
      <c r="Z819" s="46"/>
      <c r="AA819" s="46"/>
      <c r="AB819" s="46"/>
      <c r="AC819" s="46"/>
      <c r="AD819" s="46"/>
      <c r="AE819" s="46"/>
      <c r="AF819" s="46"/>
      <c r="AG819" s="46"/>
    </row>
    <row r="820" spans="1:33" ht="13.5" customHeight="1">
      <c r="A820" s="46"/>
      <c r="B820" s="46"/>
      <c r="C820" s="41"/>
      <c r="D820" s="42"/>
      <c r="E820" s="42"/>
      <c r="F820" s="42"/>
      <c r="G820" s="43"/>
      <c r="H820" s="43"/>
      <c r="I820" s="43"/>
      <c r="J820" s="43"/>
      <c r="K820" s="43"/>
      <c r="L820" s="43"/>
      <c r="M820" s="43"/>
      <c r="N820" s="43"/>
      <c r="O820" s="43"/>
      <c r="P820" s="41"/>
      <c r="Q820" s="41"/>
      <c r="R820" s="41"/>
      <c r="S820" s="44"/>
      <c r="T820" s="45"/>
      <c r="U820" s="45"/>
      <c r="V820" s="45"/>
      <c r="W820" s="45"/>
      <c r="X820" s="46"/>
      <c r="Y820" s="46"/>
      <c r="Z820" s="46"/>
      <c r="AA820" s="46"/>
      <c r="AB820" s="46"/>
      <c r="AC820" s="46"/>
      <c r="AD820" s="46"/>
      <c r="AE820" s="46"/>
      <c r="AF820" s="46"/>
      <c r="AG820" s="46"/>
    </row>
    <row r="821" spans="1:33" ht="13.5" customHeight="1">
      <c r="A821" s="46"/>
      <c r="B821" s="46"/>
      <c r="C821" s="41"/>
      <c r="D821" s="42"/>
      <c r="E821" s="42"/>
      <c r="F821" s="42"/>
      <c r="G821" s="43"/>
      <c r="H821" s="43"/>
      <c r="I821" s="43"/>
      <c r="J821" s="43"/>
      <c r="K821" s="43"/>
      <c r="L821" s="43"/>
      <c r="M821" s="43"/>
      <c r="N821" s="43"/>
      <c r="O821" s="43"/>
      <c r="P821" s="41"/>
      <c r="Q821" s="41"/>
      <c r="R821" s="41"/>
      <c r="S821" s="44"/>
      <c r="T821" s="45"/>
      <c r="U821" s="45"/>
      <c r="V821" s="45"/>
      <c r="W821" s="45"/>
      <c r="X821" s="46"/>
      <c r="Y821" s="46"/>
      <c r="Z821" s="46"/>
      <c r="AA821" s="46"/>
      <c r="AB821" s="46"/>
      <c r="AC821" s="46"/>
      <c r="AD821" s="46"/>
      <c r="AE821" s="46"/>
      <c r="AF821" s="46"/>
      <c r="AG821" s="46"/>
    </row>
    <row r="822" spans="1:33" ht="13.5" customHeight="1">
      <c r="A822" s="46"/>
      <c r="B822" s="46"/>
      <c r="C822" s="41"/>
      <c r="D822" s="42"/>
      <c r="E822" s="42"/>
      <c r="F822" s="42"/>
      <c r="G822" s="43"/>
      <c r="H822" s="43"/>
      <c r="I822" s="43"/>
      <c r="J822" s="43"/>
      <c r="K822" s="43"/>
      <c r="L822" s="43"/>
      <c r="M822" s="43"/>
      <c r="N822" s="43"/>
      <c r="O822" s="43"/>
      <c r="P822" s="41"/>
      <c r="Q822" s="41"/>
      <c r="R822" s="41"/>
      <c r="S822" s="44"/>
      <c r="T822" s="45"/>
      <c r="U822" s="45"/>
      <c r="V822" s="45"/>
      <c r="W822" s="45"/>
      <c r="X822" s="46"/>
      <c r="Y822" s="46"/>
      <c r="Z822" s="46"/>
      <c r="AA822" s="46"/>
      <c r="AB822" s="46"/>
      <c r="AC822" s="46"/>
      <c r="AD822" s="46"/>
      <c r="AE822" s="46"/>
      <c r="AF822" s="46"/>
      <c r="AG822" s="46"/>
    </row>
    <row r="823" spans="1:33" ht="13.5" customHeight="1">
      <c r="A823" s="46"/>
      <c r="B823" s="46"/>
      <c r="C823" s="41"/>
      <c r="D823" s="42"/>
      <c r="E823" s="42"/>
      <c r="F823" s="42"/>
      <c r="G823" s="43"/>
      <c r="H823" s="43"/>
      <c r="I823" s="43"/>
      <c r="J823" s="43"/>
      <c r="K823" s="43"/>
      <c r="L823" s="43"/>
      <c r="M823" s="43"/>
      <c r="N823" s="43"/>
      <c r="O823" s="43"/>
      <c r="P823" s="41"/>
      <c r="Q823" s="41"/>
      <c r="R823" s="41"/>
      <c r="S823" s="44"/>
      <c r="T823" s="45"/>
      <c r="U823" s="45"/>
      <c r="V823" s="45"/>
      <c r="W823" s="45"/>
      <c r="X823" s="46"/>
      <c r="Y823" s="46"/>
      <c r="Z823" s="46"/>
      <c r="AA823" s="46"/>
      <c r="AB823" s="46"/>
      <c r="AC823" s="46"/>
      <c r="AD823" s="46"/>
      <c r="AE823" s="46"/>
      <c r="AF823" s="46"/>
      <c r="AG823" s="46"/>
    </row>
    <row r="824" spans="1:33" ht="13.5" customHeight="1">
      <c r="A824" s="46"/>
      <c r="B824" s="46"/>
      <c r="C824" s="41"/>
      <c r="D824" s="42"/>
      <c r="E824" s="42"/>
      <c r="F824" s="42"/>
      <c r="G824" s="43"/>
      <c r="H824" s="43"/>
      <c r="I824" s="43"/>
      <c r="J824" s="43"/>
      <c r="K824" s="43"/>
      <c r="L824" s="43"/>
      <c r="M824" s="43"/>
      <c r="N824" s="43"/>
      <c r="O824" s="43"/>
      <c r="P824" s="41"/>
      <c r="Q824" s="41"/>
      <c r="R824" s="41"/>
      <c r="S824" s="44"/>
      <c r="T824" s="45"/>
      <c r="U824" s="45"/>
      <c r="V824" s="45"/>
      <c r="W824" s="45"/>
      <c r="X824" s="46"/>
      <c r="Y824" s="46"/>
      <c r="Z824" s="46"/>
      <c r="AA824" s="46"/>
      <c r="AB824" s="46"/>
      <c r="AC824" s="46"/>
      <c r="AD824" s="46"/>
      <c r="AE824" s="46"/>
      <c r="AF824" s="46"/>
      <c r="AG824" s="46"/>
    </row>
    <row r="825" spans="1:33" ht="13.5" customHeight="1">
      <c r="A825" s="46"/>
      <c r="B825" s="46"/>
      <c r="C825" s="41"/>
      <c r="D825" s="42"/>
      <c r="E825" s="42"/>
      <c r="F825" s="42"/>
      <c r="G825" s="43"/>
      <c r="H825" s="43"/>
      <c r="I825" s="43"/>
      <c r="J825" s="43"/>
      <c r="K825" s="43"/>
      <c r="L825" s="43"/>
      <c r="M825" s="43"/>
      <c r="N825" s="43"/>
      <c r="O825" s="43"/>
      <c r="P825" s="41"/>
      <c r="Q825" s="41"/>
      <c r="R825" s="41"/>
      <c r="S825" s="44"/>
      <c r="T825" s="45"/>
      <c r="U825" s="45"/>
      <c r="V825" s="45"/>
      <c r="W825" s="45"/>
      <c r="X825" s="46"/>
      <c r="Y825" s="46"/>
      <c r="Z825" s="46"/>
      <c r="AA825" s="46"/>
      <c r="AB825" s="46"/>
      <c r="AC825" s="46"/>
      <c r="AD825" s="46"/>
      <c r="AE825" s="46"/>
      <c r="AF825" s="46"/>
      <c r="AG825" s="46"/>
    </row>
    <row r="826" spans="1:33" ht="13.5" customHeight="1">
      <c r="A826" s="46"/>
      <c r="B826" s="46"/>
      <c r="C826" s="41"/>
      <c r="D826" s="42"/>
      <c r="E826" s="42"/>
      <c r="F826" s="42"/>
      <c r="G826" s="43"/>
      <c r="H826" s="43"/>
      <c r="I826" s="43"/>
      <c r="J826" s="43"/>
      <c r="K826" s="43"/>
      <c r="L826" s="43"/>
      <c r="M826" s="43"/>
      <c r="N826" s="43"/>
      <c r="O826" s="43"/>
      <c r="P826" s="41"/>
      <c r="Q826" s="41"/>
      <c r="R826" s="41"/>
      <c r="S826" s="44"/>
      <c r="T826" s="45"/>
      <c r="U826" s="45"/>
      <c r="V826" s="45"/>
      <c r="W826" s="45"/>
      <c r="X826" s="46"/>
      <c r="Y826" s="46"/>
      <c r="Z826" s="46"/>
      <c r="AA826" s="46"/>
      <c r="AB826" s="46"/>
      <c r="AC826" s="46"/>
      <c r="AD826" s="46"/>
      <c r="AE826" s="46"/>
      <c r="AF826" s="46"/>
      <c r="AG826" s="46"/>
    </row>
    <row r="827" spans="1:33" ht="13.5" customHeight="1">
      <c r="A827" s="46"/>
      <c r="B827" s="46"/>
      <c r="C827" s="41"/>
      <c r="D827" s="42"/>
      <c r="E827" s="42"/>
      <c r="F827" s="42"/>
      <c r="G827" s="43"/>
      <c r="H827" s="43"/>
      <c r="I827" s="43"/>
      <c r="J827" s="43"/>
      <c r="K827" s="43"/>
      <c r="L827" s="43"/>
      <c r="M827" s="43"/>
      <c r="N827" s="43"/>
      <c r="O827" s="43"/>
      <c r="P827" s="41"/>
      <c r="Q827" s="41"/>
      <c r="R827" s="41"/>
      <c r="S827" s="44"/>
      <c r="T827" s="45"/>
      <c r="U827" s="45"/>
      <c r="V827" s="45"/>
      <c r="W827" s="45"/>
      <c r="X827" s="46"/>
      <c r="Y827" s="46"/>
      <c r="Z827" s="46"/>
      <c r="AA827" s="46"/>
      <c r="AB827" s="46"/>
      <c r="AC827" s="46"/>
      <c r="AD827" s="46"/>
      <c r="AE827" s="46"/>
      <c r="AF827" s="46"/>
      <c r="AG827" s="46"/>
    </row>
    <row r="828" spans="1:33" ht="13.5" customHeight="1">
      <c r="A828" s="46"/>
      <c r="B828" s="46"/>
      <c r="C828" s="41"/>
      <c r="D828" s="42"/>
      <c r="E828" s="42"/>
      <c r="F828" s="42"/>
      <c r="G828" s="43"/>
      <c r="H828" s="43"/>
      <c r="I828" s="43"/>
      <c r="J828" s="43"/>
      <c r="K828" s="43"/>
      <c r="L828" s="43"/>
      <c r="M828" s="43"/>
      <c r="N828" s="43"/>
      <c r="O828" s="43"/>
      <c r="P828" s="41"/>
      <c r="Q828" s="41"/>
      <c r="R828" s="41"/>
      <c r="S828" s="44"/>
      <c r="T828" s="45"/>
      <c r="U828" s="45"/>
      <c r="V828" s="45"/>
      <c r="W828" s="45"/>
      <c r="X828" s="46"/>
      <c r="Y828" s="46"/>
      <c r="Z828" s="46"/>
      <c r="AA828" s="46"/>
      <c r="AB828" s="46"/>
      <c r="AC828" s="46"/>
      <c r="AD828" s="46"/>
      <c r="AE828" s="46"/>
      <c r="AF828" s="46"/>
      <c r="AG828" s="46"/>
    </row>
    <row r="829" spans="1:33" ht="13.5" customHeight="1">
      <c r="A829" s="46"/>
      <c r="B829" s="46"/>
      <c r="C829" s="41"/>
      <c r="D829" s="42"/>
      <c r="E829" s="42"/>
      <c r="F829" s="42"/>
      <c r="G829" s="43"/>
      <c r="H829" s="43"/>
      <c r="I829" s="43"/>
      <c r="J829" s="43"/>
      <c r="K829" s="43"/>
      <c r="L829" s="43"/>
      <c r="M829" s="43"/>
      <c r="N829" s="43"/>
      <c r="O829" s="43"/>
      <c r="P829" s="41"/>
      <c r="Q829" s="41"/>
      <c r="R829" s="41"/>
      <c r="S829" s="44"/>
      <c r="T829" s="45"/>
      <c r="U829" s="45"/>
      <c r="V829" s="45"/>
      <c r="W829" s="45"/>
      <c r="X829" s="46"/>
      <c r="Y829" s="46"/>
      <c r="Z829" s="46"/>
      <c r="AA829" s="46"/>
      <c r="AB829" s="46"/>
      <c r="AC829" s="46"/>
      <c r="AD829" s="46"/>
      <c r="AE829" s="46"/>
      <c r="AF829" s="46"/>
      <c r="AG829" s="46"/>
    </row>
    <row r="830" spans="1:33" ht="13.5" customHeight="1">
      <c r="A830" s="46"/>
      <c r="B830" s="46"/>
      <c r="C830" s="41"/>
      <c r="D830" s="42"/>
      <c r="E830" s="42"/>
      <c r="F830" s="42"/>
      <c r="G830" s="43"/>
      <c r="H830" s="43"/>
      <c r="I830" s="43"/>
      <c r="J830" s="43"/>
      <c r="K830" s="43"/>
      <c r="L830" s="43"/>
      <c r="M830" s="43"/>
      <c r="N830" s="43"/>
      <c r="O830" s="43"/>
      <c r="P830" s="41"/>
      <c r="Q830" s="41"/>
      <c r="R830" s="41"/>
      <c r="S830" s="44"/>
      <c r="T830" s="45"/>
      <c r="U830" s="45"/>
      <c r="V830" s="45"/>
      <c r="W830" s="45"/>
      <c r="X830" s="46"/>
      <c r="Y830" s="46"/>
      <c r="Z830" s="46"/>
      <c r="AA830" s="46"/>
      <c r="AB830" s="46"/>
      <c r="AC830" s="46"/>
      <c r="AD830" s="46"/>
      <c r="AE830" s="46"/>
      <c r="AF830" s="46"/>
      <c r="AG830" s="46"/>
    </row>
    <row r="831" spans="1:33" ht="13.5" customHeight="1">
      <c r="A831" s="46"/>
      <c r="B831" s="46"/>
      <c r="C831" s="41"/>
      <c r="D831" s="42"/>
      <c r="E831" s="42"/>
      <c r="F831" s="42"/>
      <c r="G831" s="43"/>
      <c r="H831" s="43"/>
      <c r="I831" s="43"/>
      <c r="J831" s="43"/>
      <c r="K831" s="43"/>
      <c r="L831" s="43"/>
      <c r="M831" s="43"/>
      <c r="N831" s="43"/>
      <c r="O831" s="43"/>
      <c r="P831" s="41"/>
      <c r="Q831" s="41"/>
      <c r="R831" s="41"/>
      <c r="S831" s="44"/>
      <c r="T831" s="45"/>
      <c r="U831" s="45"/>
      <c r="V831" s="45"/>
      <c r="W831" s="45"/>
      <c r="X831" s="46"/>
      <c r="Y831" s="46"/>
      <c r="Z831" s="46"/>
      <c r="AA831" s="46"/>
      <c r="AB831" s="46"/>
      <c r="AC831" s="46"/>
      <c r="AD831" s="46"/>
      <c r="AE831" s="46"/>
      <c r="AF831" s="46"/>
      <c r="AG831" s="46"/>
    </row>
    <row r="832" spans="1:33" ht="13.5" customHeight="1">
      <c r="A832" s="46"/>
      <c r="B832" s="46"/>
      <c r="C832" s="41"/>
      <c r="D832" s="42"/>
      <c r="E832" s="42"/>
      <c r="F832" s="42"/>
      <c r="G832" s="43"/>
      <c r="H832" s="43"/>
      <c r="I832" s="43"/>
      <c r="J832" s="43"/>
      <c r="K832" s="43"/>
      <c r="L832" s="43"/>
      <c r="M832" s="43"/>
      <c r="N832" s="43"/>
      <c r="O832" s="43"/>
      <c r="P832" s="41"/>
      <c r="Q832" s="41"/>
      <c r="R832" s="41"/>
      <c r="S832" s="44"/>
      <c r="T832" s="45"/>
      <c r="U832" s="45"/>
      <c r="V832" s="45"/>
      <c r="W832" s="45"/>
      <c r="X832" s="46"/>
      <c r="Y832" s="46"/>
      <c r="Z832" s="46"/>
      <c r="AA832" s="46"/>
      <c r="AB832" s="46"/>
      <c r="AC832" s="46"/>
      <c r="AD832" s="46"/>
      <c r="AE832" s="46"/>
      <c r="AF832" s="46"/>
      <c r="AG832" s="46"/>
    </row>
    <row r="833" spans="1:33" ht="13.5" customHeight="1">
      <c r="A833" s="46"/>
      <c r="B833" s="46"/>
      <c r="C833" s="41"/>
      <c r="D833" s="42"/>
      <c r="E833" s="42"/>
      <c r="F833" s="42"/>
      <c r="G833" s="43"/>
      <c r="H833" s="43"/>
      <c r="I833" s="43"/>
      <c r="J833" s="43"/>
      <c r="K833" s="43"/>
      <c r="L833" s="43"/>
      <c r="M833" s="43"/>
      <c r="N833" s="43"/>
      <c r="O833" s="43"/>
      <c r="P833" s="41"/>
      <c r="Q833" s="41"/>
      <c r="R833" s="41"/>
      <c r="S833" s="44"/>
      <c r="T833" s="45"/>
      <c r="U833" s="45"/>
      <c r="V833" s="45"/>
      <c r="W833" s="45"/>
      <c r="X833" s="46"/>
      <c r="Y833" s="46"/>
      <c r="Z833" s="46"/>
      <c r="AA833" s="46"/>
      <c r="AB833" s="46"/>
      <c r="AC833" s="46"/>
      <c r="AD833" s="46"/>
      <c r="AE833" s="46"/>
      <c r="AF833" s="46"/>
      <c r="AG833" s="46"/>
    </row>
    <row r="834" spans="1:33" ht="13.5" customHeight="1">
      <c r="A834" s="46"/>
      <c r="B834" s="46"/>
      <c r="C834" s="41"/>
      <c r="D834" s="42"/>
      <c r="E834" s="42"/>
      <c r="F834" s="42"/>
      <c r="G834" s="43"/>
      <c r="H834" s="43"/>
      <c r="I834" s="43"/>
      <c r="J834" s="43"/>
      <c r="K834" s="43"/>
      <c r="L834" s="43"/>
      <c r="M834" s="43"/>
      <c r="N834" s="43"/>
      <c r="O834" s="43"/>
      <c r="P834" s="41"/>
      <c r="Q834" s="41"/>
      <c r="R834" s="41"/>
      <c r="S834" s="44"/>
      <c r="T834" s="45"/>
      <c r="U834" s="45"/>
      <c r="V834" s="45"/>
      <c r="W834" s="45"/>
      <c r="X834" s="46"/>
      <c r="Y834" s="46"/>
      <c r="Z834" s="46"/>
      <c r="AA834" s="46"/>
      <c r="AB834" s="46"/>
      <c r="AC834" s="46"/>
      <c r="AD834" s="46"/>
      <c r="AE834" s="46"/>
      <c r="AF834" s="46"/>
      <c r="AG834" s="46"/>
    </row>
    <row r="835" spans="1:33" ht="13.5" customHeight="1">
      <c r="A835" s="46"/>
      <c r="B835" s="46"/>
      <c r="C835" s="41"/>
      <c r="D835" s="42"/>
      <c r="E835" s="42"/>
      <c r="F835" s="42"/>
      <c r="G835" s="43"/>
      <c r="H835" s="43"/>
      <c r="I835" s="43"/>
      <c r="J835" s="43"/>
      <c r="K835" s="43"/>
      <c r="L835" s="43"/>
      <c r="M835" s="43"/>
      <c r="N835" s="43"/>
      <c r="O835" s="43"/>
      <c r="P835" s="41"/>
      <c r="Q835" s="41"/>
      <c r="R835" s="41"/>
      <c r="S835" s="44"/>
      <c r="T835" s="45"/>
      <c r="U835" s="45"/>
      <c r="V835" s="45"/>
      <c r="W835" s="45"/>
      <c r="X835" s="46"/>
      <c r="Y835" s="46"/>
      <c r="Z835" s="46"/>
      <c r="AA835" s="46"/>
      <c r="AB835" s="46"/>
      <c r="AC835" s="46"/>
      <c r="AD835" s="46"/>
      <c r="AE835" s="46"/>
      <c r="AF835" s="46"/>
      <c r="AG835" s="46"/>
    </row>
    <row r="836" spans="1:33" ht="13.5" customHeight="1">
      <c r="A836" s="46"/>
      <c r="B836" s="46"/>
      <c r="C836" s="41"/>
      <c r="D836" s="42"/>
      <c r="E836" s="42"/>
      <c r="F836" s="42"/>
      <c r="G836" s="43"/>
      <c r="H836" s="43"/>
      <c r="I836" s="43"/>
      <c r="J836" s="43"/>
      <c r="K836" s="43"/>
      <c r="L836" s="43"/>
      <c r="M836" s="43"/>
      <c r="N836" s="43"/>
      <c r="O836" s="43"/>
      <c r="P836" s="41"/>
      <c r="Q836" s="41"/>
      <c r="R836" s="41"/>
      <c r="S836" s="44"/>
      <c r="T836" s="45"/>
      <c r="U836" s="45"/>
      <c r="V836" s="45"/>
      <c r="W836" s="45"/>
      <c r="X836" s="46"/>
      <c r="Y836" s="46"/>
      <c r="Z836" s="46"/>
      <c r="AA836" s="46"/>
      <c r="AB836" s="46"/>
      <c r="AC836" s="46"/>
      <c r="AD836" s="46"/>
      <c r="AE836" s="46"/>
      <c r="AF836" s="46"/>
      <c r="AG836" s="46"/>
    </row>
    <row r="837" spans="1:33" ht="13.5" customHeight="1">
      <c r="A837" s="46"/>
      <c r="B837" s="46"/>
      <c r="C837" s="41"/>
      <c r="D837" s="42"/>
      <c r="E837" s="42"/>
      <c r="F837" s="42"/>
      <c r="G837" s="43"/>
      <c r="H837" s="43"/>
      <c r="I837" s="43"/>
      <c r="J837" s="43"/>
      <c r="K837" s="43"/>
      <c r="L837" s="43"/>
      <c r="M837" s="43"/>
      <c r="N837" s="43"/>
      <c r="O837" s="43"/>
      <c r="P837" s="41"/>
      <c r="Q837" s="41"/>
      <c r="R837" s="41"/>
      <c r="S837" s="44"/>
      <c r="T837" s="45"/>
      <c r="U837" s="45"/>
      <c r="V837" s="45"/>
      <c r="W837" s="45"/>
      <c r="X837" s="46"/>
      <c r="Y837" s="46"/>
      <c r="Z837" s="46"/>
      <c r="AA837" s="46"/>
      <c r="AB837" s="46"/>
      <c r="AC837" s="46"/>
      <c r="AD837" s="46"/>
      <c r="AE837" s="46"/>
      <c r="AF837" s="46"/>
      <c r="AG837" s="46"/>
    </row>
    <row r="838" spans="1:33" ht="13.5" customHeight="1">
      <c r="A838" s="46"/>
      <c r="B838" s="46"/>
      <c r="C838" s="41"/>
      <c r="D838" s="42"/>
      <c r="E838" s="42"/>
      <c r="F838" s="42"/>
      <c r="G838" s="43"/>
      <c r="H838" s="43"/>
      <c r="I838" s="43"/>
      <c r="J838" s="43"/>
      <c r="K838" s="43"/>
      <c r="L838" s="43"/>
      <c r="M838" s="43"/>
      <c r="N838" s="43"/>
      <c r="O838" s="43"/>
      <c r="P838" s="41"/>
      <c r="Q838" s="41"/>
      <c r="R838" s="41"/>
      <c r="S838" s="44"/>
      <c r="T838" s="45"/>
      <c r="U838" s="45"/>
      <c r="V838" s="45"/>
      <c r="W838" s="45"/>
      <c r="X838" s="46"/>
      <c r="Y838" s="46"/>
      <c r="Z838" s="46"/>
      <c r="AA838" s="46"/>
      <c r="AB838" s="46"/>
      <c r="AC838" s="46"/>
      <c r="AD838" s="46"/>
      <c r="AE838" s="46"/>
      <c r="AF838" s="46"/>
      <c r="AG838" s="46"/>
    </row>
    <row r="839" spans="1:33" ht="13.5" customHeight="1">
      <c r="A839" s="46"/>
      <c r="B839" s="46"/>
      <c r="C839" s="41"/>
      <c r="D839" s="42"/>
      <c r="E839" s="42"/>
      <c r="F839" s="42"/>
      <c r="G839" s="43"/>
      <c r="H839" s="43"/>
      <c r="I839" s="43"/>
      <c r="J839" s="43"/>
      <c r="K839" s="43"/>
      <c r="L839" s="43"/>
      <c r="M839" s="43"/>
      <c r="N839" s="43"/>
      <c r="O839" s="43"/>
      <c r="P839" s="41"/>
      <c r="Q839" s="41"/>
      <c r="R839" s="41"/>
      <c r="S839" s="44"/>
      <c r="T839" s="45"/>
      <c r="U839" s="45"/>
      <c r="V839" s="45"/>
      <c r="W839" s="45"/>
      <c r="X839" s="46"/>
      <c r="Y839" s="46"/>
      <c r="Z839" s="46"/>
      <c r="AA839" s="46"/>
      <c r="AB839" s="46"/>
      <c r="AC839" s="46"/>
      <c r="AD839" s="46"/>
      <c r="AE839" s="46"/>
      <c r="AF839" s="46"/>
      <c r="AG839" s="46"/>
    </row>
    <row r="840" spans="1:33" ht="13.5" customHeight="1">
      <c r="A840" s="46"/>
      <c r="B840" s="46"/>
      <c r="C840" s="41"/>
      <c r="D840" s="42"/>
      <c r="E840" s="42"/>
      <c r="F840" s="42"/>
      <c r="G840" s="43"/>
      <c r="H840" s="43"/>
      <c r="I840" s="43"/>
      <c r="J840" s="43"/>
      <c r="K840" s="43"/>
      <c r="L840" s="43"/>
      <c r="M840" s="43"/>
      <c r="N840" s="43"/>
      <c r="O840" s="43"/>
      <c r="P840" s="41"/>
      <c r="Q840" s="41"/>
      <c r="R840" s="41"/>
      <c r="S840" s="44"/>
      <c r="T840" s="45"/>
      <c r="U840" s="45"/>
      <c r="V840" s="45"/>
      <c r="W840" s="45"/>
      <c r="X840" s="46"/>
      <c r="Y840" s="46"/>
      <c r="Z840" s="46"/>
      <c r="AA840" s="46"/>
      <c r="AB840" s="46"/>
      <c r="AC840" s="46"/>
      <c r="AD840" s="46"/>
      <c r="AE840" s="46"/>
      <c r="AF840" s="46"/>
      <c r="AG840" s="46"/>
    </row>
    <row r="841" spans="1:33" ht="13.5" customHeight="1">
      <c r="A841" s="46"/>
      <c r="B841" s="46"/>
      <c r="C841" s="41"/>
      <c r="D841" s="42"/>
      <c r="E841" s="42"/>
      <c r="F841" s="42"/>
      <c r="G841" s="43"/>
      <c r="H841" s="43"/>
      <c r="I841" s="43"/>
      <c r="J841" s="43"/>
      <c r="K841" s="43"/>
      <c r="L841" s="43"/>
      <c r="M841" s="43"/>
      <c r="N841" s="43"/>
      <c r="O841" s="43"/>
      <c r="P841" s="41"/>
      <c r="Q841" s="41"/>
      <c r="R841" s="41"/>
      <c r="S841" s="44"/>
      <c r="T841" s="45"/>
      <c r="U841" s="45"/>
      <c r="V841" s="45"/>
      <c r="W841" s="45"/>
      <c r="X841" s="46"/>
      <c r="Y841" s="46"/>
      <c r="Z841" s="46"/>
      <c r="AA841" s="46"/>
      <c r="AB841" s="46"/>
      <c r="AC841" s="46"/>
      <c r="AD841" s="46"/>
      <c r="AE841" s="46"/>
      <c r="AF841" s="46"/>
      <c r="AG841" s="46"/>
    </row>
    <row r="842" spans="1:33" ht="13.5" customHeight="1">
      <c r="A842" s="46"/>
      <c r="B842" s="46"/>
      <c r="C842" s="41"/>
      <c r="D842" s="42"/>
      <c r="E842" s="42"/>
      <c r="F842" s="42"/>
      <c r="G842" s="43"/>
      <c r="H842" s="43"/>
      <c r="I842" s="43"/>
      <c r="J842" s="43"/>
      <c r="K842" s="43"/>
      <c r="L842" s="43"/>
      <c r="M842" s="43"/>
      <c r="N842" s="43"/>
      <c r="O842" s="43"/>
      <c r="P842" s="41"/>
      <c r="Q842" s="41"/>
      <c r="R842" s="41"/>
      <c r="S842" s="44"/>
      <c r="T842" s="45"/>
      <c r="U842" s="45"/>
      <c r="V842" s="45"/>
      <c r="W842" s="45"/>
      <c r="X842" s="46"/>
      <c r="Y842" s="46"/>
      <c r="Z842" s="46"/>
      <c r="AA842" s="46"/>
      <c r="AB842" s="46"/>
      <c r="AC842" s="46"/>
      <c r="AD842" s="46"/>
      <c r="AE842" s="46"/>
      <c r="AF842" s="46"/>
      <c r="AG842" s="46"/>
    </row>
    <row r="843" spans="1:33" ht="13.5" customHeight="1">
      <c r="A843" s="46"/>
      <c r="B843" s="46"/>
      <c r="C843" s="41"/>
      <c r="D843" s="42"/>
      <c r="E843" s="42"/>
      <c r="F843" s="42"/>
      <c r="G843" s="43"/>
      <c r="H843" s="43"/>
      <c r="I843" s="43"/>
      <c r="J843" s="43"/>
      <c r="K843" s="43"/>
      <c r="L843" s="43"/>
      <c r="M843" s="43"/>
      <c r="N843" s="43"/>
      <c r="O843" s="43"/>
      <c r="P843" s="41"/>
      <c r="Q843" s="41"/>
      <c r="R843" s="41"/>
      <c r="S843" s="44"/>
      <c r="T843" s="45"/>
      <c r="U843" s="45"/>
      <c r="V843" s="45"/>
      <c r="W843" s="45"/>
      <c r="X843" s="46"/>
      <c r="Y843" s="46"/>
      <c r="Z843" s="46"/>
      <c r="AA843" s="46"/>
      <c r="AB843" s="46"/>
      <c r="AC843" s="46"/>
      <c r="AD843" s="46"/>
      <c r="AE843" s="46"/>
      <c r="AF843" s="46"/>
      <c r="AG843" s="46"/>
    </row>
    <row r="844" spans="1:33" ht="13.5" customHeight="1">
      <c r="A844" s="46"/>
      <c r="B844" s="46"/>
      <c r="C844" s="41"/>
      <c r="D844" s="42"/>
      <c r="E844" s="42"/>
      <c r="F844" s="42"/>
      <c r="G844" s="43"/>
      <c r="H844" s="43"/>
      <c r="I844" s="43"/>
      <c r="J844" s="43"/>
      <c r="K844" s="43"/>
      <c r="L844" s="43"/>
      <c r="M844" s="43"/>
      <c r="N844" s="43"/>
      <c r="O844" s="43"/>
      <c r="P844" s="41"/>
      <c r="Q844" s="41"/>
      <c r="R844" s="41"/>
      <c r="S844" s="44"/>
      <c r="T844" s="45"/>
      <c r="U844" s="45"/>
      <c r="V844" s="45"/>
      <c r="W844" s="45"/>
      <c r="X844" s="46"/>
      <c r="Y844" s="46"/>
      <c r="Z844" s="46"/>
      <c r="AA844" s="46"/>
      <c r="AB844" s="46"/>
      <c r="AC844" s="46"/>
      <c r="AD844" s="46"/>
      <c r="AE844" s="46"/>
      <c r="AF844" s="46"/>
      <c r="AG844" s="46"/>
    </row>
    <row r="845" spans="1:33" ht="13.5" customHeight="1">
      <c r="A845" s="46"/>
      <c r="B845" s="46"/>
      <c r="C845" s="41"/>
      <c r="D845" s="42"/>
      <c r="E845" s="42"/>
      <c r="F845" s="42"/>
      <c r="G845" s="43"/>
      <c r="H845" s="43"/>
      <c r="I845" s="43"/>
      <c r="J845" s="43"/>
      <c r="K845" s="43"/>
      <c r="L845" s="43"/>
      <c r="M845" s="43"/>
      <c r="N845" s="43"/>
      <c r="O845" s="43"/>
      <c r="P845" s="41"/>
      <c r="Q845" s="41"/>
      <c r="R845" s="41"/>
      <c r="S845" s="44"/>
      <c r="T845" s="45"/>
      <c r="U845" s="45"/>
      <c r="V845" s="45"/>
      <c r="W845" s="45"/>
      <c r="X845" s="46"/>
      <c r="Y845" s="46"/>
      <c r="Z845" s="46"/>
      <c r="AA845" s="46"/>
      <c r="AB845" s="46"/>
      <c r="AC845" s="46"/>
      <c r="AD845" s="46"/>
      <c r="AE845" s="46"/>
      <c r="AF845" s="46"/>
      <c r="AG845" s="46"/>
    </row>
    <row r="846" spans="1:33" ht="13.5" customHeight="1">
      <c r="A846" s="46"/>
      <c r="B846" s="46"/>
      <c r="C846" s="41"/>
      <c r="D846" s="42"/>
      <c r="E846" s="42"/>
      <c r="F846" s="42"/>
      <c r="G846" s="43"/>
      <c r="H846" s="43"/>
      <c r="I846" s="43"/>
      <c r="J846" s="43"/>
      <c r="K846" s="43"/>
      <c r="L846" s="43"/>
      <c r="M846" s="43"/>
      <c r="N846" s="43"/>
      <c r="O846" s="43"/>
      <c r="P846" s="41"/>
      <c r="Q846" s="41"/>
      <c r="R846" s="41"/>
      <c r="S846" s="44"/>
      <c r="T846" s="45"/>
      <c r="U846" s="45"/>
      <c r="V846" s="45"/>
      <c r="W846" s="45"/>
      <c r="X846" s="46"/>
      <c r="Y846" s="46"/>
      <c r="Z846" s="46"/>
      <c r="AA846" s="46"/>
      <c r="AB846" s="46"/>
      <c r="AC846" s="46"/>
      <c r="AD846" s="46"/>
      <c r="AE846" s="46"/>
      <c r="AF846" s="46"/>
      <c r="AG846" s="46"/>
    </row>
    <row r="847" spans="1:33" ht="13.5" customHeight="1">
      <c r="A847" s="46"/>
      <c r="B847" s="46"/>
      <c r="C847" s="41"/>
      <c r="D847" s="42"/>
      <c r="E847" s="42"/>
      <c r="F847" s="42"/>
      <c r="G847" s="43"/>
      <c r="H847" s="43"/>
      <c r="I847" s="43"/>
      <c r="J847" s="43"/>
      <c r="K847" s="43"/>
      <c r="L847" s="43"/>
      <c r="M847" s="43"/>
      <c r="N847" s="43"/>
      <c r="O847" s="43"/>
      <c r="P847" s="41"/>
      <c r="Q847" s="41"/>
      <c r="R847" s="41"/>
      <c r="S847" s="44"/>
      <c r="T847" s="45"/>
      <c r="U847" s="45"/>
      <c r="V847" s="45"/>
      <c r="W847" s="45"/>
      <c r="X847" s="46"/>
      <c r="Y847" s="46"/>
      <c r="Z847" s="46"/>
      <c r="AA847" s="46"/>
      <c r="AB847" s="46"/>
      <c r="AC847" s="46"/>
      <c r="AD847" s="46"/>
      <c r="AE847" s="46"/>
      <c r="AF847" s="46"/>
      <c r="AG847" s="46"/>
    </row>
    <row r="848" spans="1:33" ht="13.5" customHeight="1">
      <c r="A848" s="46"/>
      <c r="B848" s="46"/>
      <c r="C848" s="41"/>
      <c r="D848" s="42"/>
      <c r="E848" s="42"/>
      <c r="F848" s="42"/>
      <c r="G848" s="43"/>
      <c r="H848" s="43"/>
      <c r="I848" s="43"/>
      <c r="J848" s="43"/>
      <c r="K848" s="43"/>
      <c r="L848" s="43"/>
      <c r="M848" s="43"/>
      <c r="N848" s="43"/>
      <c r="O848" s="43"/>
      <c r="P848" s="41"/>
      <c r="Q848" s="41"/>
      <c r="R848" s="41"/>
      <c r="S848" s="44"/>
      <c r="T848" s="45"/>
      <c r="U848" s="45"/>
      <c r="V848" s="45"/>
      <c r="W848" s="45"/>
      <c r="X848" s="46"/>
      <c r="Y848" s="46"/>
      <c r="Z848" s="46"/>
      <c r="AA848" s="46"/>
      <c r="AB848" s="46"/>
      <c r="AC848" s="46"/>
      <c r="AD848" s="46"/>
      <c r="AE848" s="46"/>
      <c r="AF848" s="46"/>
      <c r="AG848" s="46"/>
    </row>
    <row r="849" spans="1:33" ht="13.5" customHeight="1">
      <c r="A849" s="46"/>
      <c r="B849" s="46"/>
      <c r="C849" s="41"/>
      <c r="D849" s="42"/>
      <c r="E849" s="42"/>
      <c r="F849" s="42"/>
      <c r="G849" s="43"/>
      <c r="H849" s="43"/>
      <c r="I849" s="43"/>
      <c r="J849" s="43"/>
      <c r="K849" s="43"/>
      <c r="L849" s="43"/>
      <c r="M849" s="43"/>
      <c r="N849" s="43"/>
      <c r="O849" s="43"/>
      <c r="P849" s="41"/>
      <c r="Q849" s="41"/>
      <c r="R849" s="41"/>
      <c r="S849" s="44"/>
      <c r="T849" s="45"/>
      <c r="U849" s="45"/>
      <c r="V849" s="45"/>
      <c r="W849" s="45"/>
      <c r="X849" s="46"/>
      <c r="Y849" s="46"/>
      <c r="Z849" s="46"/>
      <c r="AA849" s="46"/>
      <c r="AB849" s="46"/>
      <c r="AC849" s="46"/>
      <c r="AD849" s="46"/>
      <c r="AE849" s="46"/>
      <c r="AF849" s="46"/>
      <c r="AG849" s="46"/>
    </row>
    <row r="850" spans="1:33" ht="13.5" customHeight="1">
      <c r="A850" s="46"/>
      <c r="B850" s="46"/>
      <c r="C850" s="41"/>
      <c r="D850" s="42"/>
      <c r="E850" s="42"/>
      <c r="F850" s="42"/>
      <c r="G850" s="43"/>
      <c r="H850" s="43"/>
      <c r="I850" s="43"/>
      <c r="J850" s="43"/>
      <c r="K850" s="43"/>
      <c r="L850" s="43"/>
      <c r="M850" s="43"/>
      <c r="N850" s="43"/>
      <c r="O850" s="43"/>
      <c r="P850" s="41"/>
      <c r="Q850" s="41"/>
      <c r="R850" s="41"/>
      <c r="S850" s="44"/>
      <c r="T850" s="45"/>
      <c r="U850" s="45"/>
      <c r="V850" s="45"/>
      <c r="W850" s="45"/>
      <c r="X850" s="46"/>
      <c r="Y850" s="46"/>
      <c r="Z850" s="46"/>
      <c r="AA850" s="46"/>
      <c r="AB850" s="46"/>
      <c r="AC850" s="46"/>
      <c r="AD850" s="46"/>
      <c r="AE850" s="46"/>
      <c r="AF850" s="46"/>
      <c r="AG850" s="46"/>
    </row>
    <row r="851" spans="1:33" ht="13.5" customHeight="1">
      <c r="A851" s="46"/>
      <c r="B851" s="46"/>
      <c r="C851" s="41"/>
      <c r="D851" s="42"/>
      <c r="E851" s="42"/>
      <c r="F851" s="42"/>
      <c r="G851" s="43"/>
      <c r="H851" s="43"/>
      <c r="I851" s="43"/>
      <c r="J851" s="43"/>
      <c r="K851" s="43"/>
      <c r="L851" s="43"/>
      <c r="M851" s="43"/>
      <c r="N851" s="43"/>
      <c r="O851" s="43"/>
      <c r="P851" s="41"/>
      <c r="Q851" s="41"/>
      <c r="R851" s="41"/>
      <c r="S851" s="44"/>
      <c r="T851" s="45"/>
      <c r="U851" s="45"/>
      <c r="V851" s="45"/>
      <c r="W851" s="45"/>
      <c r="X851" s="46"/>
      <c r="Y851" s="46"/>
      <c r="Z851" s="46"/>
      <c r="AA851" s="46"/>
      <c r="AB851" s="46"/>
      <c r="AC851" s="46"/>
      <c r="AD851" s="46"/>
      <c r="AE851" s="46"/>
      <c r="AF851" s="46"/>
      <c r="AG851" s="46"/>
    </row>
    <row r="852" spans="1:33" ht="13.5" customHeight="1">
      <c r="A852" s="46"/>
      <c r="B852" s="46"/>
      <c r="C852" s="41"/>
      <c r="D852" s="42"/>
      <c r="E852" s="42"/>
      <c r="F852" s="42"/>
      <c r="G852" s="43"/>
      <c r="H852" s="43"/>
      <c r="I852" s="43"/>
      <c r="J852" s="43"/>
      <c r="K852" s="43"/>
      <c r="L852" s="43"/>
      <c r="M852" s="43"/>
      <c r="N852" s="43"/>
      <c r="O852" s="43"/>
      <c r="P852" s="41"/>
      <c r="Q852" s="41"/>
      <c r="R852" s="41"/>
      <c r="S852" s="44"/>
      <c r="T852" s="45"/>
      <c r="U852" s="45"/>
      <c r="V852" s="45"/>
      <c r="W852" s="45"/>
      <c r="X852" s="46"/>
      <c r="Y852" s="46"/>
      <c r="Z852" s="46"/>
      <c r="AA852" s="46"/>
      <c r="AB852" s="46"/>
      <c r="AC852" s="46"/>
      <c r="AD852" s="46"/>
      <c r="AE852" s="46"/>
      <c r="AF852" s="46"/>
      <c r="AG852" s="46"/>
    </row>
    <row r="853" spans="1:33" ht="13.5" customHeight="1">
      <c r="A853" s="46"/>
      <c r="B853" s="46"/>
      <c r="C853" s="41"/>
      <c r="D853" s="42"/>
      <c r="E853" s="42"/>
      <c r="F853" s="42"/>
      <c r="G853" s="43"/>
      <c r="H853" s="43"/>
      <c r="I853" s="43"/>
      <c r="J853" s="43"/>
      <c r="K853" s="43"/>
      <c r="L853" s="43"/>
      <c r="M853" s="43"/>
      <c r="N853" s="43"/>
      <c r="O853" s="43"/>
      <c r="P853" s="41"/>
      <c r="Q853" s="41"/>
      <c r="R853" s="41"/>
      <c r="S853" s="44"/>
      <c r="T853" s="45"/>
      <c r="U853" s="45"/>
      <c r="V853" s="45"/>
      <c r="W853" s="45"/>
      <c r="X853" s="46"/>
      <c r="Y853" s="46"/>
      <c r="Z853" s="46"/>
      <c r="AA853" s="46"/>
      <c r="AB853" s="46"/>
      <c r="AC853" s="46"/>
      <c r="AD853" s="46"/>
      <c r="AE853" s="46"/>
      <c r="AF853" s="46"/>
      <c r="AG853" s="46"/>
    </row>
    <row r="854" spans="1:33" ht="13.5" customHeight="1">
      <c r="A854" s="46"/>
      <c r="B854" s="46"/>
      <c r="C854" s="41"/>
      <c r="D854" s="42"/>
      <c r="E854" s="42"/>
      <c r="F854" s="42"/>
      <c r="G854" s="43"/>
      <c r="H854" s="43"/>
      <c r="I854" s="43"/>
      <c r="J854" s="43"/>
      <c r="K854" s="43"/>
      <c r="L854" s="43"/>
      <c r="M854" s="43"/>
      <c r="N854" s="43"/>
      <c r="O854" s="43"/>
      <c r="P854" s="41"/>
      <c r="Q854" s="41"/>
      <c r="R854" s="41"/>
      <c r="S854" s="44"/>
      <c r="T854" s="45"/>
      <c r="U854" s="45"/>
      <c r="V854" s="45"/>
      <c r="W854" s="45"/>
      <c r="X854" s="46"/>
      <c r="Y854" s="46"/>
      <c r="Z854" s="46"/>
      <c r="AA854" s="46"/>
      <c r="AB854" s="46"/>
      <c r="AC854" s="46"/>
      <c r="AD854" s="46"/>
      <c r="AE854" s="46"/>
      <c r="AF854" s="46"/>
      <c r="AG854" s="46"/>
    </row>
    <row r="855" spans="1:33" ht="13.5" customHeight="1">
      <c r="A855" s="46"/>
      <c r="B855" s="46"/>
      <c r="C855" s="41"/>
      <c r="D855" s="42"/>
      <c r="E855" s="42"/>
      <c r="F855" s="42"/>
      <c r="G855" s="43"/>
      <c r="H855" s="43"/>
      <c r="I855" s="43"/>
      <c r="J855" s="43"/>
      <c r="K855" s="43"/>
      <c r="L855" s="43"/>
      <c r="M855" s="43"/>
      <c r="N855" s="43"/>
      <c r="O855" s="43"/>
      <c r="P855" s="41"/>
      <c r="Q855" s="41"/>
      <c r="R855" s="41"/>
      <c r="S855" s="44"/>
      <c r="T855" s="45"/>
      <c r="U855" s="45"/>
      <c r="V855" s="45"/>
      <c r="W855" s="45"/>
      <c r="X855" s="46"/>
      <c r="Y855" s="46"/>
      <c r="Z855" s="46"/>
      <c r="AA855" s="46"/>
      <c r="AB855" s="46"/>
      <c r="AC855" s="46"/>
      <c r="AD855" s="46"/>
      <c r="AE855" s="46"/>
      <c r="AF855" s="46"/>
      <c r="AG855" s="46"/>
    </row>
    <row r="856" spans="1:33" ht="13.5" customHeight="1">
      <c r="A856" s="46"/>
      <c r="B856" s="46"/>
      <c r="C856" s="41"/>
      <c r="D856" s="42"/>
      <c r="E856" s="42"/>
      <c r="F856" s="42"/>
      <c r="G856" s="43"/>
      <c r="H856" s="43"/>
      <c r="I856" s="43"/>
      <c r="J856" s="43"/>
      <c r="K856" s="43"/>
      <c r="L856" s="43"/>
      <c r="M856" s="43"/>
      <c r="N856" s="43"/>
      <c r="O856" s="43"/>
      <c r="P856" s="41"/>
      <c r="Q856" s="41"/>
      <c r="R856" s="41"/>
      <c r="S856" s="44"/>
      <c r="T856" s="45"/>
      <c r="U856" s="45"/>
      <c r="V856" s="45"/>
      <c r="W856" s="45"/>
      <c r="X856" s="46"/>
      <c r="Y856" s="46"/>
      <c r="Z856" s="46"/>
      <c r="AA856" s="46"/>
      <c r="AB856" s="46"/>
      <c r="AC856" s="46"/>
      <c r="AD856" s="46"/>
      <c r="AE856" s="46"/>
      <c r="AF856" s="46"/>
      <c r="AG856" s="46"/>
    </row>
    <row r="857" spans="1:33" ht="13.5" customHeight="1">
      <c r="A857" s="46"/>
      <c r="B857" s="46"/>
      <c r="C857" s="41"/>
      <c r="D857" s="42"/>
      <c r="E857" s="42"/>
      <c r="F857" s="42"/>
      <c r="G857" s="43"/>
      <c r="H857" s="43"/>
      <c r="I857" s="43"/>
      <c r="J857" s="43"/>
      <c r="K857" s="43"/>
      <c r="L857" s="43"/>
      <c r="M857" s="43"/>
      <c r="N857" s="43"/>
      <c r="O857" s="43"/>
      <c r="P857" s="41"/>
      <c r="Q857" s="41"/>
      <c r="R857" s="41"/>
      <c r="S857" s="44"/>
      <c r="T857" s="45"/>
      <c r="U857" s="45"/>
      <c r="V857" s="45"/>
      <c r="W857" s="45"/>
      <c r="X857" s="46"/>
      <c r="Y857" s="46"/>
      <c r="Z857" s="46"/>
      <c r="AA857" s="46"/>
      <c r="AB857" s="46"/>
      <c r="AC857" s="46"/>
      <c r="AD857" s="46"/>
      <c r="AE857" s="46"/>
      <c r="AF857" s="46"/>
      <c r="AG857" s="46"/>
    </row>
    <row r="858" spans="1:33" ht="13.5" customHeight="1">
      <c r="A858" s="46"/>
      <c r="B858" s="46"/>
      <c r="C858" s="41"/>
      <c r="D858" s="42"/>
      <c r="E858" s="42"/>
      <c r="F858" s="42"/>
      <c r="G858" s="43"/>
      <c r="H858" s="43"/>
      <c r="I858" s="43"/>
      <c r="J858" s="43"/>
      <c r="K858" s="43"/>
      <c r="L858" s="43"/>
      <c r="M858" s="43"/>
      <c r="N858" s="43"/>
      <c r="O858" s="43"/>
      <c r="P858" s="41"/>
      <c r="Q858" s="41"/>
      <c r="R858" s="41"/>
      <c r="S858" s="44"/>
      <c r="T858" s="45"/>
      <c r="U858" s="45"/>
      <c r="V858" s="45"/>
      <c r="W858" s="45"/>
      <c r="X858" s="46"/>
      <c r="Y858" s="46"/>
      <c r="Z858" s="46"/>
      <c r="AA858" s="46"/>
      <c r="AB858" s="46"/>
      <c r="AC858" s="46"/>
      <c r="AD858" s="46"/>
      <c r="AE858" s="46"/>
      <c r="AF858" s="46"/>
      <c r="AG858" s="46"/>
    </row>
    <row r="859" spans="1:33" ht="13.5" customHeight="1">
      <c r="A859" s="46"/>
      <c r="B859" s="46"/>
      <c r="C859" s="41"/>
      <c r="D859" s="42"/>
      <c r="E859" s="42"/>
      <c r="F859" s="42"/>
      <c r="G859" s="43"/>
      <c r="H859" s="43"/>
      <c r="I859" s="43"/>
      <c r="J859" s="43"/>
      <c r="K859" s="43"/>
      <c r="L859" s="43"/>
      <c r="M859" s="43"/>
      <c r="N859" s="43"/>
      <c r="O859" s="43"/>
      <c r="P859" s="41"/>
      <c r="Q859" s="41"/>
      <c r="R859" s="41"/>
      <c r="S859" s="44"/>
      <c r="T859" s="45"/>
      <c r="U859" s="45"/>
      <c r="V859" s="45"/>
      <c r="W859" s="45"/>
      <c r="X859" s="46"/>
      <c r="Y859" s="46"/>
      <c r="Z859" s="46"/>
      <c r="AA859" s="46"/>
      <c r="AB859" s="46"/>
      <c r="AC859" s="46"/>
      <c r="AD859" s="46"/>
      <c r="AE859" s="46"/>
      <c r="AF859" s="46"/>
      <c r="AG859" s="46"/>
    </row>
    <row r="860" spans="1:33" ht="13.5" customHeight="1">
      <c r="A860" s="46"/>
      <c r="B860" s="46"/>
      <c r="C860" s="41"/>
      <c r="D860" s="42"/>
      <c r="E860" s="42"/>
      <c r="F860" s="42"/>
      <c r="G860" s="43"/>
      <c r="H860" s="43"/>
      <c r="I860" s="43"/>
      <c r="J860" s="43"/>
      <c r="K860" s="43"/>
      <c r="L860" s="43"/>
      <c r="M860" s="43"/>
      <c r="N860" s="43"/>
      <c r="O860" s="43"/>
      <c r="P860" s="41"/>
      <c r="Q860" s="41"/>
      <c r="R860" s="41"/>
      <c r="S860" s="44"/>
      <c r="T860" s="45"/>
      <c r="U860" s="45"/>
      <c r="V860" s="45"/>
      <c r="W860" s="45"/>
      <c r="X860" s="46"/>
      <c r="Y860" s="46"/>
      <c r="Z860" s="46"/>
      <c r="AA860" s="46"/>
      <c r="AB860" s="46"/>
      <c r="AC860" s="46"/>
      <c r="AD860" s="46"/>
      <c r="AE860" s="46"/>
      <c r="AF860" s="46"/>
      <c r="AG860" s="46"/>
    </row>
    <row r="861" spans="1:33" ht="13.5" customHeight="1">
      <c r="A861" s="46"/>
      <c r="B861" s="46"/>
      <c r="C861" s="41"/>
      <c r="D861" s="42"/>
      <c r="E861" s="42"/>
      <c r="F861" s="42"/>
      <c r="G861" s="43"/>
      <c r="H861" s="43"/>
      <c r="I861" s="43"/>
      <c r="J861" s="43"/>
      <c r="K861" s="43"/>
      <c r="L861" s="43"/>
      <c r="M861" s="43"/>
      <c r="N861" s="43"/>
      <c r="O861" s="43"/>
      <c r="P861" s="41"/>
      <c r="Q861" s="41"/>
      <c r="R861" s="41"/>
      <c r="S861" s="44"/>
      <c r="T861" s="45"/>
      <c r="U861" s="45"/>
      <c r="V861" s="45"/>
      <c r="W861" s="45"/>
      <c r="X861" s="46"/>
      <c r="Y861" s="46"/>
      <c r="Z861" s="46"/>
      <c r="AA861" s="46"/>
      <c r="AB861" s="46"/>
      <c r="AC861" s="46"/>
      <c r="AD861" s="46"/>
      <c r="AE861" s="46"/>
      <c r="AF861" s="46"/>
      <c r="AG861" s="46"/>
    </row>
    <row r="862" spans="1:33" ht="13.5" customHeight="1">
      <c r="A862" s="46"/>
      <c r="B862" s="46"/>
      <c r="C862" s="41"/>
      <c r="D862" s="42"/>
      <c r="E862" s="42"/>
      <c r="F862" s="42"/>
      <c r="G862" s="43"/>
      <c r="H862" s="43"/>
      <c r="I862" s="43"/>
      <c r="J862" s="43"/>
      <c r="K862" s="43"/>
      <c r="L862" s="43"/>
      <c r="M862" s="43"/>
      <c r="N862" s="43"/>
      <c r="O862" s="43"/>
      <c r="P862" s="41"/>
      <c r="Q862" s="41"/>
      <c r="R862" s="41"/>
      <c r="S862" s="44"/>
      <c r="T862" s="45"/>
      <c r="U862" s="45"/>
      <c r="V862" s="45"/>
      <c r="W862" s="45"/>
      <c r="X862" s="46"/>
      <c r="Y862" s="46"/>
      <c r="Z862" s="46"/>
      <c r="AA862" s="46"/>
      <c r="AB862" s="46"/>
      <c r="AC862" s="46"/>
      <c r="AD862" s="46"/>
      <c r="AE862" s="46"/>
      <c r="AF862" s="46"/>
      <c r="AG862" s="46"/>
    </row>
    <row r="863" spans="1:33" ht="13.5" customHeight="1">
      <c r="A863" s="46"/>
      <c r="B863" s="46"/>
      <c r="C863" s="41"/>
      <c r="D863" s="42"/>
      <c r="E863" s="42"/>
      <c r="F863" s="42"/>
      <c r="G863" s="43"/>
      <c r="H863" s="43"/>
      <c r="I863" s="43"/>
      <c r="J863" s="43"/>
      <c r="K863" s="43"/>
      <c r="L863" s="43"/>
      <c r="M863" s="43"/>
      <c r="N863" s="43"/>
      <c r="O863" s="43"/>
      <c r="P863" s="41"/>
      <c r="Q863" s="41"/>
      <c r="R863" s="41"/>
      <c r="S863" s="44"/>
      <c r="T863" s="45"/>
      <c r="U863" s="45"/>
      <c r="V863" s="45"/>
      <c r="W863" s="45"/>
      <c r="X863" s="46"/>
      <c r="Y863" s="46"/>
      <c r="Z863" s="46"/>
      <c r="AA863" s="46"/>
      <c r="AB863" s="46"/>
      <c r="AC863" s="46"/>
      <c r="AD863" s="46"/>
      <c r="AE863" s="46"/>
      <c r="AF863" s="46"/>
      <c r="AG863" s="46"/>
    </row>
    <row r="864" spans="1:33" ht="13.5" customHeight="1">
      <c r="A864" s="46"/>
      <c r="B864" s="46"/>
      <c r="C864" s="41"/>
      <c r="D864" s="42"/>
      <c r="E864" s="42"/>
      <c r="F864" s="42"/>
      <c r="G864" s="43"/>
      <c r="H864" s="43"/>
      <c r="I864" s="43"/>
      <c r="J864" s="43"/>
      <c r="K864" s="43"/>
      <c r="L864" s="43"/>
      <c r="M864" s="43"/>
      <c r="N864" s="43"/>
      <c r="O864" s="43"/>
      <c r="P864" s="41"/>
      <c r="Q864" s="41"/>
      <c r="R864" s="41"/>
      <c r="S864" s="44"/>
      <c r="T864" s="45"/>
      <c r="U864" s="45"/>
      <c r="V864" s="45"/>
      <c r="W864" s="45"/>
      <c r="X864" s="46"/>
      <c r="Y864" s="46"/>
      <c r="Z864" s="46"/>
      <c r="AA864" s="46"/>
      <c r="AB864" s="46"/>
      <c r="AC864" s="46"/>
      <c r="AD864" s="46"/>
      <c r="AE864" s="46"/>
      <c r="AF864" s="46"/>
      <c r="AG864" s="46"/>
    </row>
    <row r="865" spans="1:33" ht="13.5" customHeight="1">
      <c r="A865" s="46"/>
      <c r="B865" s="46"/>
      <c r="C865" s="41"/>
      <c r="D865" s="42"/>
      <c r="E865" s="42"/>
      <c r="F865" s="42"/>
      <c r="G865" s="43"/>
      <c r="H865" s="43"/>
      <c r="I865" s="43"/>
      <c r="J865" s="43"/>
      <c r="K865" s="43"/>
      <c r="L865" s="43"/>
      <c r="M865" s="43"/>
      <c r="N865" s="43"/>
      <c r="O865" s="43"/>
      <c r="P865" s="41"/>
      <c r="Q865" s="41"/>
      <c r="R865" s="41"/>
      <c r="S865" s="44"/>
      <c r="T865" s="45"/>
      <c r="U865" s="45"/>
      <c r="V865" s="45"/>
      <c r="W865" s="45"/>
      <c r="X865" s="46"/>
      <c r="Y865" s="46"/>
      <c r="Z865" s="46"/>
      <c r="AA865" s="46"/>
      <c r="AB865" s="46"/>
      <c r="AC865" s="46"/>
      <c r="AD865" s="46"/>
      <c r="AE865" s="46"/>
      <c r="AF865" s="46"/>
      <c r="AG865" s="46"/>
    </row>
    <row r="866" spans="1:33" ht="13.5" customHeight="1">
      <c r="A866" s="46"/>
      <c r="B866" s="46"/>
      <c r="C866" s="41"/>
      <c r="D866" s="42"/>
      <c r="E866" s="42"/>
      <c r="F866" s="42"/>
      <c r="G866" s="43"/>
      <c r="H866" s="43"/>
      <c r="I866" s="43"/>
      <c r="J866" s="43"/>
      <c r="K866" s="43"/>
      <c r="L866" s="43"/>
      <c r="M866" s="43"/>
      <c r="N866" s="43"/>
      <c r="O866" s="43"/>
      <c r="P866" s="41"/>
      <c r="Q866" s="41"/>
      <c r="R866" s="41"/>
      <c r="S866" s="44"/>
      <c r="T866" s="45"/>
      <c r="U866" s="45"/>
      <c r="V866" s="45"/>
      <c r="W866" s="45"/>
      <c r="X866" s="46"/>
      <c r="Y866" s="46"/>
      <c r="Z866" s="46"/>
      <c r="AA866" s="46"/>
      <c r="AB866" s="46"/>
      <c r="AC866" s="46"/>
      <c r="AD866" s="46"/>
      <c r="AE866" s="46"/>
      <c r="AF866" s="46"/>
      <c r="AG866" s="46"/>
    </row>
    <row r="867" spans="1:33" ht="13.5" customHeight="1">
      <c r="A867" s="46"/>
      <c r="B867" s="46"/>
      <c r="C867" s="41"/>
      <c r="D867" s="42"/>
      <c r="E867" s="42"/>
      <c r="F867" s="42"/>
      <c r="G867" s="43"/>
      <c r="H867" s="43"/>
      <c r="I867" s="43"/>
      <c r="J867" s="43"/>
      <c r="K867" s="43"/>
      <c r="L867" s="43"/>
      <c r="M867" s="43"/>
      <c r="N867" s="43"/>
      <c r="O867" s="43"/>
      <c r="P867" s="41"/>
      <c r="Q867" s="41"/>
      <c r="R867" s="41"/>
      <c r="S867" s="44"/>
      <c r="T867" s="45"/>
      <c r="U867" s="45"/>
      <c r="V867" s="45"/>
      <c r="W867" s="45"/>
      <c r="X867" s="46"/>
      <c r="Y867" s="46"/>
      <c r="Z867" s="46"/>
      <c r="AA867" s="46"/>
      <c r="AB867" s="46"/>
      <c r="AC867" s="46"/>
      <c r="AD867" s="46"/>
      <c r="AE867" s="46"/>
      <c r="AF867" s="46"/>
      <c r="AG867" s="46"/>
    </row>
    <row r="868" spans="1:33" ht="13.5" customHeight="1">
      <c r="A868" s="46"/>
      <c r="B868" s="46"/>
      <c r="C868" s="41"/>
      <c r="D868" s="42"/>
      <c r="E868" s="42"/>
      <c r="F868" s="42"/>
      <c r="G868" s="43"/>
      <c r="H868" s="43"/>
      <c r="I868" s="43"/>
      <c r="J868" s="43"/>
      <c r="K868" s="43"/>
      <c r="L868" s="43"/>
      <c r="M868" s="43"/>
      <c r="N868" s="43"/>
      <c r="O868" s="43"/>
      <c r="P868" s="41"/>
      <c r="Q868" s="41"/>
      <c r="R868" s="41"/>
      <c r="S868" s="44"/>
      <c r="T868" s="45"/>
      <c r="U868" s="45"/>
      <c r="V868" s="45"/>
      <c r="W868" s="45"/>
      <c r="X868" s="46"/>
      <c r="Y868" s="46"/>
      <c r="Z868" s="46"/>
      <c r="AA868" s="46"/>
      <c r="AB868" s="46"/>
      <c r="AC868" s="46"/>
      <c r="AD868" s="46"/>
      <c r="AE868" s="46"/>
      <c r="AF868" s="46"/>
      <c r="AG868" s="46"/>
    </row>
    <row r="869" spans="1:33" ht="13.5" customHeight="1">
      <c r="A869" s="46"/>
      <c r="B869" s="46"/>
      <c r="C869" s="41"/>
      <c r="D869" s="42"/>
      <c r="E869" s="42"/>
      <c r="F869" s="42"/>
      <c r="G869" s="43"/>
      <c r="H869" s="43"/>
      <c r="I869" s="43"/>
      <c r="J869" s="43"/>
      <c r="K869" s="43"/>
      <c r="L869" s="43"/>
      <c r="M869" s="43"/>
      <c r="N869" s="43"/>
      <c r="O869" s="43"/>
      <c r="P869" s="41"/>
      <c r="Q869" s="41"/>
      <c r="R869" s="41"/>
      <c r="S869" s="44"/>
      <c r="T869" s="45"/>
      <c r="U869" s="45"/>
      <c r="V869" s="45"/>
      <c r="W869" s="45"/>
      <c r="X869" s="46"/>
      <c r="Y869" s="46"/>
      <c r="Z869" s="46"/>
      <c r="AA869" s="46"/>
      <c r="AB869" s="46"/>
      <c r="AC869" s="46"/>
      <c r="AD869" s="46"/>
      <c r="AE869" s="46"/>
      <c r="AF869" s="46"/>
      <c r="AG869" s="46"/>
    </row>
    <row r="870" spans="1:33" ht="13.5" customHeight="1">
      <c r="A870" s="46"/>
      <c r="B870" s="46"/>
      <c r="C870" s="41"/>
      <c r="D870" s="42"/>
      <c r="E870" s="42"/>
      <c r="F870" s="42"/>
      <c r="G870" s="43"/>
      <c r="H870" s="43"/>
      <c r="I870" s="43"/>
      <c r="J870" s="43"/>
      <c r="K870" s="43"/>
      <c r="L870" s="43"/>
      <c r="M870" s="43"/>
      <c r="N870" s="43"/>
      <c r="O870" s="43"/>
      <c r="P870" s="41"/>
      <c r="Q870" s="41"/>
      <c r="R870" s="41"/>
      <c r="S870" s="44"/>
      <c r="T870" s="45"/>
      <c r="U870" s="45"/>
      <c r="V870" s="45"/>
      <c r="W870" s="45"/>
      <c r="X870" s="46"/>
      <c r="Y870" s="46"/>
      <c r="Z870" s="46"/>
      <c r="AA870" s="46"/>
      <c r="AB870" s="46"/>
      <c r="AC870" s="46"/>
      <c r="AD870" s="46"/>
      <c r="AE870" s="46"/>
      <c r="AF870" s="46"/>
      <c r="AG870" s="46"/>
    </row>
    <row r="871" spans="1:33" ht="13.5" customHeight="1">
      <c r="A871" s="46"/>
      <c r="B871" s="46"/>
      <c r="C871" s="41"/>
      <c r="D871" s="42"/>
      <c r="E871" s="42"/>
      <c r="F871" s="42"/>
      <c r="G871" s="43"/>
      <c r="H871" s="43"/>
      <c r="I871" s="43"/>
      <c r="J871" s="43"/>
      <c r="K871" s="43"/>
      <c r="L871" s="43"/>
      <c r="M871" s="43"/>
      <c r="N871" s="43"/>
      <c r="O871" s="43"/>
      <c r="P871" s="41"/>
      <c r="Q871" s="41"/>
      <c r="R871" s="41"/>
      <c r="S871" s="44"/>
      <c r="T871" s="45"/>
      <c r="U871" s="45"/>
      <c r="V871" s="45"/>
      <c r="W871" s="45"/>
      <c r="X871" s="46"/>
      <c r="Y871" s="46"/>
      <c r="Z871" s="46"/>
      <c r="AA871" s="46"/>
      <c r="AB871" s="46"/>
      <c r="AC871" s="46"/>
      <c r="AD871" s="46"/>
      <c r="AE871" s="46"/>
      <c r="AF871" s="46"/>
      <c r="AG871" s="46"/>
    </row>
    <row r="872" spans="1:33" ht="13.5" customHeight="1">
      <c r="A872" s="46"/>
      <c r="B872" s="46"/>
      <c r="C872" s="41"/>
      <c r="D872" s="42"/>
      <c r="E872" s="42"/>
      <c r="F872" s="42"/>
      <c r="G872" s="43"/>
      <c r="H872" s="43"/>
      <c r="I872" s="43"/>
      <c r="J872" s="43"/>
      <c r="K872" s="43"/>
      <c r="L872" s="43"/>
      <c r="M872" s="43"/>
      <c r="N872" s="43"/>
      <c r="O872" s="43"/>
      <c r="P872" s="41"/>
      <c r="Q872" s="41"/>
      <c r="R872" s="41"/>
      <c r="S872" s="44"/>
      <c r="T872" s="45"/>
      <c r="U872" s="45"/>
      <c r="V872" s="45"/>
      <c r="W872" s="45"/>
      <c r="X872" s="46"/>
      <c r="Y872" s="46"/>
      <c r="Z872" s="46"/>
      <c r="AA872" s="46"/>
      <c r="AB872" s="46"/>
      <c r="AC872" s="46"/>
      <c r="AD872" s="46"/>
      <c r="AE872" s="46"/>
      <c r="AF872" s="46"/>
      <c r="AG872" s="46"/>
    </row>
    <row r="873" spans="1:33" ht="13.5" customHeight="1">
      <c r="A873" s="46"/>
      <c r="B873" s="46"/>
      <c r="C873" s="41"/>
      <c r="D873" s="42"/>
      <c r="E873" s="42"/>
      <c r="F873" s="42"/>
      <c r="G873" s="43"/>
      <c r="H873" s="43"/>
      <c r="I873" s="43"/>
      <c r="J873" s="43"/>
      <c r="K873" s="43"/>
      <c r="L873" s="43"/>
      <c r="M873" s="43"/>
      <c r="N873" s="43"/>
      <c r="O873" s="43"/>
      <c r="P873" s="41"/>
      <c r="Q873" s="41"/>
      <c r="R873" s="41"/>
      <c r="S873" s="44"/>
      <c r="T873" s="45"/>
      <c r="U873" s="45"/>
      <c r="V873" s="45"/>
      <c r="W873" s="45"/>
      <c r="X873" s="46"/>
      <c r="Y873" s="46"/>
      <c r="Z873" s="46"/>
      <c r="AA873" s="46"/>
      <c r="AB873" s="46"/>
      <c r="AC873" s="46"/>
      <c r="AD873" s="46"/>
      <c r="AE873" s="46"/>
      <c r="AF873" s="46"/>
      <c r="AG873" s="46"/>
    </row>
    <row r="874" spans="1:33" ht="13.5" customHeight="1">
      <c r="A874" s="46"/>
      <c r="B874" s="46"/>
      <c r="C874" s="41"/>
      <c r="D874" s="42"/>
      <c r="E874" s="42"/>
      <c r="F874" s="42"/>
      <c r="G874" s="43"/>
      <c r="H874" s="43"/>
      <c r="I874" s="43"/>
      <c r="J874" s="43"/>
      <c r="K874" s="43"/>
      <c r="L874" s="43"/>
      <c r="M874" s="43"/>
      <c r="N874" s="43"/>
      <c r="O874" s="43"/>
      <c r="P874" s="41"/>
      <c r="Q874" s="41"/>
      <c r="R874" s="41"/>
      <c r="S874" s="44"/>
      <c r="T874" s="45"/>
      <c r="U874" s="45"/>
      <c r="V874" s="45"/>
      <c r="W874" s="45"/>
      <c r="X874" s="46"/>
      <c r="Y874" s="46"/>
      <c r="Z874" s="46"/>
      <c r="AA874" s="46"/>
      <c r="AB874" s="46"/>
      <c r="AC874" s="46"/>
      <c r="AD874" s="46"/>
      <c r="AE874" s="46"/>
      <c r="AF874" s="46"/>
      <c r="AG874" s="46"/>
    </row>
    <row r="875" spans="1:33" ht="13.5" customHeight="1">
      <c r="A875" s="46"/>
      <c r="B875" s="46"/>
      <c r="C875" s="41"/>
      <c r="D875" s="42"/>
      <c r="E875" s="42"/>
      <c r="F875" s="42"/>
      <c r="G875" s="43"/>
      <c r="H875" s="43"/>
      <c r="I875" s="43"/>
      <c r="J875" s="43"/>
      <c r="K875" s="43"/>
      <c r="L875" s="43"/>
      <c r="M875" s="43"/>
      <c r="N875" s="43"/>
      <c r="O875" s="43"/>
      <c r="P875" s="41"/>
      <c r="Q875" s="41"/>
      <c r="R875" s="41"/>
      <c r="S875" s="44"/>
      <c r="T875" s="45"/>
      <c r="U875" s="45"/>
      <c r="V875" s="45"/>
      <c r="W875" s="45"/>
      <c r="X875" s="46"/>
      <c r="Y875" s="46"/>
      <c r="Z875" s="46"/>
      <c r="AA875" s="46"/>
      <c r="AB875" s="46"/>
      <c r="AC875" s="46"/>
      <c r="AD875" s="46"/>
      <c r="AE875" s="46"/>
      <c r="AF875" s="46"/>
      <c r="AG875" s="46"/>
    </row>
    <row r="876" spans="1:33" ht="13.5" customHeight="1">
      <c r="A876" s="46"/>
      <c r="B876" s="46"/>
      <c r="C876" s="41"/>
      <c r="D876" s="42"/>
      <c r="E876" s="42"/>
      <c r="F876" s="42"/>
      <c r="G876" s="43"/>
      <c r="H876" s="43"/>
      <c r="I876" s="43"/>
      <c r="J876" s="43"/>
      <c r="K876" s="43"/>
      <c r="L876" s="43"/>
      <c r="M876" s="43"/>
      <c r="N876" s="43"/>
      <c r="O876" s="43"/>
      <c r="P876" s="41"/>
      <c r="Q876" s="41"/>
      <c r="R876" s="41"/>
      <c r="S876" s="44"/>
      <c r="T876" s="45"/>
      <c r="U876" s="45"/>
      <c r="V876" s="45"/>
      <c r="W876" s="45"/>
      <c r="X876" s="46"/>
      <c r="Y876" s="46"/>
      <c r="Z876" s="46"/>
      <c r="AA876" s="46"/>
      <c r="AB876" s="46"/>
      <c r="AC876" s="46"/>
      <c r="AD876" s="46"/>
      <c r="AE876" s="46"/>
      <c r="AF876" s="46"/>
      <c r="AG876" s="46"/>
    </row>
    <row r="877" spans="1:33" ht="13.5" customHeight="1">
      <c r="A877" s="46"/>
      <c r="B877" s="46"/>
      <c r="C877" s="41"/>
      <c r="D877" s="42"/>
      <c r="E877" s="42"/>
      <c r="F877" s="42"/>
      <c r="G877" s="43"/>
      <c r="H877" s="43"/>
      <c r="I877" s="43"/>
      <c r="J877" s="43"/>
      <c r="K877" s="43"/>
      <c r="L877" s="43"/>
      <c r="M877" s="43"/>
      <c r="N877" s="43"/>
      <c r="O877" s="43"/>
      <c r="P877" s="41"/>
      <c r="Q877" s="41"/>
      <c r="R877" s="41"/>
      <c r="S877" s="44"/>
      <c r="T877" s="45"/>
      <c r="U877" s="45"/>
      <c r="V877" s="45"/>
      <c r="W877" s="45"/>
      <c r="X877" s="46"/>
      <c r="Y877" s="46"/>
      <c r="Z877" s="46"/>
      <c r="AA877" s="46"/>
      <c r="AB877" s="46"/>
      <c r="AC877" s="46"/>
      <c r="AD877" s="46"/>
      <c r="AE877" s="46"/>
      <c r="AF877" s="46"/>
      <c r="AG877" s="46"/>
    </row>
    <row r="878" spans="1:33" ht="13.5" customHeight="1">
      <c r="A878" s="46"/>
      <c r="B878" s="46"/>
      <c r="C878" s="41"/>
      <c r="D878" s="42"/>
      <c r="E878" s="42"/>
      <c r="F878" s="42"/>
      <c r="G878" s="43"/>
      <c r="H878" s="43"/>
      <c r="I878" s="43"/>
      <c r="J878" s="43"/>
      <c r="K878" s="43"/>
      <c r="L878" s="43"/>
      <c r="M878" s="43"/>
      <c r="N878" s="43"/>
      <c r="O878" s="43"/>
      <c r="P878" s="41"/>
      <c r="Q878" s="41"/>
      <c r="R878" s="41"/>
      <c r="S878" s="44"/>
      <c r="T878" s="45"/>
      <c r="U878" s="45"/>
      <c r="V878" s="45"/>
      <c r="W878" s="45"/>
      <c r="X878" s="46"/>
      <c r="Y878" s="46"/>
      <c r="Z878" s="46"/>
      <c r="AA878" s="46"/>
      <c r="AB878" s="46"/>
      <c r="AC878" s="46"/>
      <c r="AD878" s="46"/>
      <c r="AE878" s="46"/>
      <c r="AF878" s="46"/>
      <c r="AG878" s="46"/>
    </row>
    <row r="879" spans="1:33" ht="13.5" customHeight="1">
      <c r="A879" s="46"/>
      <c r="B879" s="46"/>
      <c r="C879" s="41"/>
      <c r="D879" s="42"/>
      <c r="E879" s="42"/>
      <c r="F879" s="42"/>
      <c r="G879" s="43"/>
      <c r="H879" s="43"/>
      <c r="I879" s="43"/>
      <c r="J879" s="43"/>
      <c r="K879" s="43"/>
      <c r="L879" s="43"/>
      <c r="M879" s="43"/>
      <c r="N879" s="43"/>
      <c r="O879" s="43"/>
      <c r="P879" s="41"/>
      <c r="Q879" s="41"/>
      <c r="R879" s="41"/>
      <c r="S879" s="44"/>
      <c r="T879" s="45"/>
      <c r="U879" s="45"/>
      <c r="V879" s="45"/>
      <c r="W879" s="45"/>
      <c r="X879" s="46"/>
      <c r="Y879" s="46"/>
      <c r="Z879" s="46"/>
      <c r="AA879" s="46"/>
      <c r="AB879" s="46"/>
      <c r="AC879" s="46"/>
      <c r="AD879" s="46"/>
      <c r="AE879" s="46"/>
      <c r="AF879" s="46"/>
      <c r="AG879" s="46"/>
    </row>
    <row r="880" spans="1:33" ht="13.5" customHeight="1">
      <c r="A880" s="46"/>
      <c r="B880" s="46"/>
      <c r="C880" s="41"/>
      <c r="D880" s="42"/>
      <c r="E880" s="42"/>
      <c r="F880" s="42"/>
      <c r="G880" s="43"/>
      <c r="H880" s="43"/>
      <c r="I880" s="43"/>
      <c r="J880" s="43"/>
      <c r="K880" s="43"/>
      <c r="L880" s="43"/>
      <c r="M880" s="43"/>
      <c r="N880" s="43"/>
      <c r="O880" s="43"/>
      <c r="P880" s="41"/>
      <c r="Q880" s="41"/>
      <c r="R880" s="41"/>
      <c r="S880" s="44"/>
      <c r="T880" s="45"/>
      <c r="U880" s="45"/>
      <c r="V880" s="45"/>
      <c r="W880" s="45"/>
      <c r="X880" s="46"/>
      <c r="Y880" s="46"/>
      <c r="Z880" s="46"/>
      <c r="AA880" s="46"/>
      <c r="AB880" s="46"/>
      <c r="AC880" s="46"/>
      <c r="AD880" s="46"/>
      <c r="AE880" s="46"/>
      <c r="AF880" s="46"/>
      <c r="AG880" s="46"/>
    </row>
    <row r="881" spans="1:33" ht="13.5" customHeight="1">
      <c r="A881" s="46"/>
      <c r="B881" s="46"/>
      <c r="C881" s="41"/>
      <c r="D881" s="42"/>
      <c r="E881" s="42"/>
      <c r="F881" s="42"/>
      <c r="G881" s="43"/>
      <c r="H881" s="43"/>
      <c r="I881" s="43"/>
      <c r="J881" s="43"/>
      <c r="K881" s="43"/>
      <c r="L881" s="43"/>
      <c r="M881" s="43"/>
      <c r="N881" s="43"/>
      <c r="O881" s="43"/>
      <c r="P881" s="41"/>
      <c r="Q881" s="41"/>
      <c r="R881" s="41"/>
      <c r="S881" s="44"/>
      <c r="T881" s="45"/>
      <c r="U881" s="45"/>
      <c r="V881" s="45"/>
      <c r="W881" s="45"/>
      <c r="X881" s="46"/>
      <c r="Y881" s="46"/>
      <c r="Z881" s="46"/>
      <c r="AA881" s="46"/>
      <c r="AB881" s="46"/>
      <c r="AC881" s="46"/>
      <c r="AD881" s="46"/>
      <c r="AE881" s="46"/>
      <c r="AF881" s="46"/>
      <c r="AG881" s="46"/>
    </row>
    <row r="882" spans="1:33" ht="13.5" customHeight="1">
      <c r="A882" s="46"/>
      <c r="B882" s="46"/>
      <c r="C882" s="41"/>
      <c r="D882" s="42"/>
      <c r="E882" s="42"/>
      <c r="F882" s="42"/>
      <c r="G882" s="43"/>
      <c r="H882" s="43"/>
      <c r="I882" s="43"/>
      <c r="J882" s="43"/>
      <c r="K882" s="43"/>
      <c r="L882" s="43"/>
      <c r="M882" s="43"/>
      <c r="N882" s="43"/>
      <c r="O882" s="43"/>
      <c r="P882" s="41"/>
      <c r="Q882" s="41"/>
      <c r="R882" s="41"/>
      <c r="S882" s="44"/>
      <c r="T882" s="45"/>
      <c r="U882" s="45"/>
      <c r="V882" s="45"/>
      <c r="W882" s="45"/>
      <c r="X882" s="46"/>
      <c r="Y882" s="46"/>
      <c r="Z882" s="46"/>
      <c r="AA882" s="46"/>
      <c r="AB882" s="46"/>
      <c r="AC882" s="46"/>
      <c r="AD882" s="46"/>
      <c r="AE882" s="46"/>
      <c r="AF882" s="46"/>
      <c r="AG882" s="46"/>
    </row>
    <row r="883" spans="1:33" ht="13.5" customHeight="1">
      <c r="A883" s="46"/>
      <c r="B883" s="46"/>
      <c r="C883" s="41"/>
      <c r="D883" s="42"/>
      <c r="E883" s="42"/>
      <c r="F883" s="42"/>
      <c r="G883" s="43"/>
      <c r="H883" s="43"/>
      <c r="I883" s="43"/>
      <c r="J883" s="43"/>
      <c r="K883" s="43"/>
      <c r="L883" s="43"/>
      <c r="M883" s="43"/>
      <c r="N883" s="43"/>
      <c r="O883" s="43"/>
      <c r="P883" s="41"/>
      <c r="Q883" s="41"/>
      <c r="R883" s="41"/>
      <c r="S883" s="44"/>
      <c r="T883" s="45"/>
      <c r="U883" s="45"/>
      <c r="V883" s="45"/>
      <c r="W883" s="45"/>
      <c r="X883" s="46"/>
      <c r="Y883" s="46"/>
      <c r="Z883" s="46"/>
      <c r="AA883" s="46"/>
      <c r="AB883" s="46"/>
      <c r="AC883" s="46"/>
      <c r="AD883" s="46"/>
      <c r="AE883" s="46"/>
      <c r="AF883" s="46"/>
      <c r="AG883" s="46"/>
    </row>
    <row r="884" spans="1:33" ht="13.5" customHeight="1">
      <c r="A884" s="46"/>
      <c r="B884" s="46"/>
      <c r="C884" s="41"/>
      <c r="D884" s="42"/>
      <c r="E884" s="42"/>
      <c r="F884" s="42"/>
      <c r="G884" s="43"/>
      <c r="H884" s="43"/>
      <c r="I884" s="43"/>
      <c r="J884" s="43"/>
      <c r="K884" s="43"/>
      <c r="L884" s="43"/>
      <c r="M884" s="43"/>
      <c r="N884" s="43"/>
      <c r="O884" s="43"/>
      <c r="P884" s="41"/>
      <c r="Q884" s="41"/>
      <c r="R884" s="41"/>
      <c r="S884" s="44"/>
      <c r="T884" s="45"/>
      <c r="U884" s="45"/>
      <c r="V884" s="45"/>
      <c r="W884" s="45"/>
      <c r="X884" s="46"/>
      <c r="Y884" s="46"/>
      <c r="Z884" s="46"/>
      <c r="AA884" s="46"/>
      <c r="AB884" s="46"/>
      <c r="AC884" s="46"/>
      <c r="AD884" s="46"/>
      <c r="AE884" s="46"/>
      <c r="AF884" s="46"/>
      <c r="AG884" s="46"/>
    </row>
    <row r="885" spans="1:33" ht="13.5" customHeight="1">
      <c r="A885" s="46"/>
      <c r="B885" s="46"/>
      <c r="C885" s="41"/>
      <c r="D885" s="42"/>
      <c r="E885" s="42"/>
      <c r="F885" s="42"/>
      <c r="G885" s="43"/>
      <c r="H885" s="43"/>
      <c r="I885" s="43"/>
      <c r="J885" s="43"/>
      <c r="K885" s="43"/>
      <c r="L885" s="43"/>
      <c r="M885" s="43"/>
      <c r="N885" s="43"/>
      <c r="O885" s="43"/>
      <c r="P885" s="41"/>
      <c r="Q885" s="41"/>
      <c r="R885" s="41"/>
      <c r="S885" s="44"/>
      <c r="T885" s="45"/>
      <c r="U885" s="45"/>
      <c r="V885" s="45"/>
      <c r="W885" s="45"/>
      <c r="X885" s="46"/>
      <c r="Y885" s="46"/>
      <c r="Z885" s="46"/>
      <c r="AA885" s="46"/>
      <c r="AB885" s="46"/>
      <c r="AC885" s="46"/>
      <c r="AD885" s="46"/>
      <c r="AE885" s="46"/>
      <c r="AF885" s="46"/>
      <c r="AG885" s="46"/>
    </row>
    <row r="886" spans="1:33" ht="13.5" customHeight="1">
      <c r="A886" s="46"/>
      <c r="B886" s="46"/>
      <c r="C886" s="41"/>
      <c r="D886" s="42"/>
      <c r="E886" s="42"/>
      <c r="F886" s="42"/>
      <c r="G886" s="43"/>
      <c r="H886" s="43"/>
      <c r="I886" s="43"/>
      <c r="J886" s="43"/>
      <c r="K886" s="43"/>
      <c r="L886" s="43"/>
      <c r="M886" s="43"/>
      <c r="N886" s="43"/>
      <c r="O886" s="43"/>
      <c r="P886" s="41"/>
      <c r="Q886" s="41"/>
      <c r="R886" s="41"/>
      <c r="S886" s="44"/>
      <c r="T886" s="45"/>
      <c r="U886" s="45"/>
      <c r="V886" s="45"/>
      <c r="W886" s="45"/>
      <c r="X886" s="46"/>
      <c r="Y886" s="46"/>
      <c r="Z886" s="46"/>
      <c r="AA886" s="46"/>
      <c r="AB886" s="46"/>
      <c r="AC886" s="46"/>
      <c r="AD886" s="46"/>
      <c r="AE886" s="46"/>
      <c r="AF886" s="46"/>
      <c r="AG886" s="46"/>
    </row>
    <row r="887" spans="1:33" ht="13.5" customHeight="1">
      <c r="A887" s="46"/>
      <c r="B887" s="46"/>
      <c r="C887" s="41"/>
      <c r="D887" s="42"/>
      <c r="E887" s="42"/>
      <c r="F887" s="42"/>
      <c r="G887" s="43"/>
      <c r="H887" s="43"/>
      <c r="I887" s="43"/>
      <c r="J887" s="43"/>
      <c r="K887" s="43"/>
      <c r="L887" s="43"/>
      <c r="M887" s="43"/>
      <c r="N887" s="43"/>
      <c r="O887" s="43"/>
      <c r="P887" s="41"/>
      <c r="Q887" s="41"/>
      <c r="R887" s="41"/>
      <c r="S887" s="44"/>
      <c r="T887" s="45"/>
      <c r="U887" s="45"/>
      <c r="V887" s="45"/>
      <c r="W887" s="45"/>
      <c r="X887" s="46"/>
      <c r="Y887" s="46"/>
      <c r="Z887" s="46"/>
      <c r="AA887" s="46"/>
      <c r="AB887" s="46"/>
      <c r="AC887" s="46"/>
      <c r="AD887" s="46"/>
      <c r="AE887" s="46"/>
      <c r="AF887" s="46"/>
      <c r="AG887" s="46"/>
    </row>
    <row r="888" spans="1:33" ht="13.5" customHeight="1">
      <c r="A888" s="46"/>
      <c r="B888" s="46"/>
      <c r="C888" s="41"/>
      <c r="D888" s="42"/>
      <c r="E888" s="42"/>
      <c r="F888" s="42"/>
      <c r="G888" s="43"/>
      <c r="H888" s="43"/>
      <c r="I888" s="43"/>
      <c r="J888" s="43"/>
      <c r="K888" s="43"/>
      <c r="L888" s="43"/>
      <c r="M888" s="43"/>
      <c r="N888" s="43"/>
      <c r="O888" s="43"/>
      <c r="P888" s="41"/>
      <c r="Q888" s="41"/>
      <c r="R888" s="41"/>
      <c r="S888" s="44"/>
      <c r="T888" s="45"/>
      <c r="U888" s="45"/>
      <c r="V888" s="45"/>
      <c r="W888" s="45"/>
      <c r="X888" s="46"/>
      <c r="Y888" s="46"/>
      <c r="Z888" s="46"/>
      <c r="AA888" s="46"/>
      <c r="AB888" s="46"/>
      <c r="AC888" s="46"/>
      <c r="AD888" s="46"/>
      <c r="AE888" s="46"/>
      <c r="AF888" s="46"/>
      <c r="AG888" s="46"/>
    </row>
    <row r="889" spans="1:33" ht="13.5" customHeight="1">
      <c r="A889" s="46"/>
      <c r="B889" s="46"/>
      <c r="C889" s="41"/>
      <c r="D889" s="42"/>
      <c r="E889" s="42"/>
      <c r="F889" s="42"/>
      <c r="G889" s="43"/>
      <c r="H889" s="43"/>
      <c r="I889" s="43"/>
      <c r="J889" s="43"/>
      <c r="K889" s="43"/>
      <c r="L889" s="43"/>
      <c r="M889" s="43"/>
      <c r="N889" s="43"/>
      <c r="O889" s="43"/>
      <c r="P889" s="41"/>
      <c r="Q889" s="41"/>
      <c r="R889" s="41"/>
      <c r="S889" s="44"/>
      <c r="T889" s="45"/>
      <c r="U889" s="45"/>
      <c r="V889" s="45"/>
      <c r="W889" s="45"/>
      <c r="X889" s="46"/>
      <c r="Y889" s="46"/>
      <c r="Z889" s="46"/>
      <c r="AA889" s="46"/>
      <c r="AB889" s="46"/>
      <c r="AC889" s="46"/>
      <c r="AD889" s="46"/>
      <c r="AE889" s="46"/>
      <c r="AF889" s="46"/>
      <c r="AG889" s="46"/>
    </row>
    <row r="890" spans="1:33" ht="13.5" customHeight="1">
      <c r="A890" s="46"/>
      <c r="B890" s="46"/>
      <c r="C890" s="41"/>
      <c r="D890" s="42"/>
      <c r="E890" s="42"/>
      <c r="F890" s="42"/>
      <c r="G890" s="43"/>
      <c r="H890" s="43"/>
      <c r="I890" s="43"/>
      <c r="J890" s="43"/>
      <c r="K890" s="43"/>
      <c r="L890" s="43"/>
      <c r="M890" s="43"/>
      <c r="N890" s="43"/>
      <c r="O890" s="43"/>
      <c r="P890" s="41"/>
      <c r="Q890" s="41"/>
      <c r="R890" s="41"/>
      <c r="S890" s="44"/>
      <c r="T890" s="45"/>
      <c r="U890" s="45"/>
      <c r="V890" s="45"/>
      <c r="W890" s="45"/>
      <c r="X890" s="46"/>
      <c r="Y890" s="46"/>
      <c r="Z890" s="46"/>
      <c r="AA890" s="46"/>
      <c r="AB890" s="46"/>
      <c r="AC890" s="46"/>
      <c r="AD890" s="46"/>
      <c r="AE890" s="46"/>
      <c r="AF890" s="46"/>
      <c r="AG890" s="46"/>
    </row>
    <row r="891" spans="1:33" ht="13.5" customHeight="1">
      <c r="A891" s="46"/>
      <c r="B891" s="46"/>
      <c r="C891" s="41"/>
      <c r="D891" s="42"/>
      <c r="E891" s="42"/>
      <c r="F891" s="42"/>
      <c r="G891" s="43"/>
      <c r="H891" s="43"/>
      <c r="I891" s="43"/>
      <c r="J891" s="43"/>
      <c r="K891" s="43"/>
      <c r="L891" s="43"/>
      <c r="M891" s="43"/>
      <c r="N891" s="43"/>
      <c r="O891" s="43"/>
      <c r="P891" s="41"/>
      <c r="Q891" s="41"/>
      <c r="R891" s="41"/>
      <c r="S891" s="44"/>
      <c r="T891" s="45"/>
      <c r="U891" s="45"/>
      <c r="V891" s="45"/>
      <c r="W891" s="45"/>
      <c r="X891" s="46"/>
      <c r="Y891" s="46"/>
      <c r="Z891" s="46"/>
      <c r="AA891" s="46"/>
      <c r="AB891" s="46"/>
      <c r="AC891" s="46"/>
      <c r="AD891" s="46"/>
      <c r="AE891" s="46"/>
      <c r="AF891" s="46"/>
      <c r="AG891" s="46"/>
    </row>
    <row r="892" spans="1:33" ht="13.5" customHeight="1">
      <c r="A892" s="46"/>
      <c r="B892" s="46"/>
      <c r="C892" s="41"/>
      <c r="D892" s="42"/>
      <c r="E892" s="42"/>
      <c r="F892" s="42"/>
      <c r="G892" s="43"/>
      <c r="H892" s="43"/>
      <c r="I892" s="43"/>
      <c r="J892" s="43"/>
      <c r="K892" s="43"/>
      <c r="L892" s="43"/>
      <c r="M892" s="43"/>
      <c r="N892" s="43"/>
      <c r="O892" s="43"/>
      <c r="P892" s="41"/>
      <c r="Q892" s="41"/>
      <c r="R892" s="41"/>
      <c r="S892" s="44"/>
      <c r="T892" s="45"/>
      <c r="U892" s="45"/>
      <c r="V892" s="45"/>
      <c r="W892" s="45"/>
      <c r="X892" s="46"/>
      <c r="Y892" s="46"/>
      <c r="Z892" s="46"/>
      <c r="AA892" s="46"/>
      <c r="AB892" s="46"/>
      <c r="AC892" s="46"/>
      <c r="AD892" s="46"/>
      <c r="AE892" s="46"/>
      <c r="AF892" s="46"/>
      <c r="AG892" s="46"/>
    </row>
    <row r="893" spans="1:33" ht="13.5" customHeight="1">
      <c r="A893" s="46"/>
      <c r="B893" s="46"/>
      <c r="C893" s="41"/>
      <c r="D893" s="42"/>
      <c r="E893" s="42"/>
      <c r="F893" s="42"/>
      <c r="G893" s="43"/>
      <c r="H893" s="43"/>
      <c r="I893" s="43"/>
      <c r="J893" s="43"/>
      <c r="K893" s="43"/>
      <c r="L893" s="43"/>
      <c r="M893" s="43"/>
      <c r="N893" s="43"/>
      <c r="O893" s="43"/>
      <c r="P893" s="41"/>
      <c r="Q893" s="41"/>
      <c r="R893" s="41"/>
      <c r="S893" s="44"/>
      <c r="T893" s="45"/>
      <c r="U893" s="45"/>
      <c r="V893" s="45"/>
      <c r="W893" s="45"/>
      <c r="X893" s="46"/>
      <c r="Y893" s="46"/>
      <c r="Z893" s="46"/>
      <c r="AA893" s="46"/>
      <c r="AB893" s="46"/>
      <c r="AC893" s="46"/>
      <c r="AD893" s="46"/>
      <c r="AE893" s="46"/>
      <c r="AF893" s="46"/>
      <c r="AG893" s="46"/>
    </row>
    <row r="894" spans="1:33" ht="13.5" customHeight="1">
      <c r="A894" s="46"/>
      <c r="B894" s="46"/>
      <c r="C894" s="41"/>
      <c r="D894" s="42"/>
      <c r="E894" s="42"/>
      <c r="F894" s="42"/>
      <c r="G894" s="43"/>
      <c r="H894" s="43"/>
      <c r="I894" s="43"/>
      <c r="J894" s="43"/>
      <c r="K894" s="43"/>
      <c r="L894" s="43"/>
      <c r="M894" s="43"/>
      <c r="N894" s="43"/>
      <c r="O894" s="43"/>
      <c r="P894" s="41"/>
      <c r="Q894" s="41"/>
      <c r="R894" s="41"/>
      <c r="S894" s="44"/>
      <c r="T894" s="45"/>
      <c r="U894" s="45"/>
      <c r="V894" s="45"/>
      <c r="W894" s="45"/>
      <c r="X894" s="46"/>
      <c r="Y894" s="46"/>
      <c r="Z894" s="46"/>
      <c r="AA894" s="46"/>
      <c r="AB894" s="46"/>
      <c r="AC894" s="46"/>
      <c r="AD894" s="46"/>
      <c r="AE894" s="46"/>
      <c r="AF894" s="46"/>
      <c r="AG894" s="46"/>
    </row>
    <row r="895" spans="1:33" ht="13.5" customHeight="1">
      <c r="A895" s="46"/>
      <c r="B895" s="46"/>
      <c r="C895" s="41"/>
      <c r="D895" s="42"/>
      <c r="E895" s="42"/>
      <c r="F895" s="42"/>
      <c r="G895" s="43"/>
      <c r="H895" s="43"/>
      <c r="I895" s="43"/>
      <c r="J895" s="43"/>
      <c r="K895" s="43"/>
      <c r="L895" s="43"/>
      <c r="M895" s="43"/>
      <c r="N895" s="43"/>
      <c r="O895" s="43"/>
      <c r="P895" s="41"/>
      <c r="Q895" s="41"/>
      <c r="R895" s="41"/>
      <c r="S895" s="44"/>
      <c r="T895" s="45"/>
      <c r="U895" s="45"/>
      <c r="V895" s="45"/>
      <c r="W895" s="45"/>
      <c r="X895" s="46"/>
      <c r="Y895" s="46"/>
      <c r="Z895" s="46"/>
      <c r="AA895" s="46"/>
      <c r="AB895" s="46"/>
      <c r="AC895" s="46"/>
      <c r="AD895" s="46"/>
      <c r="AE895" s="46"/>
      <c r="AF895" s="46"/>
      <c r="AG895" s="46"/>
    </row>
    <row r="896" spans="1:33" ht="13.5" customHeight="1">
      <c r="A896" s="46"/>
      <c r="B896" s="46"/>
      <c r="C896" s="41"/>
      <c r="D896" s="42"/>
      <c r="E896" s="42"/>
      <c r="F896" s="42"/>
      <c r="G896" s="43"/>
      <c r="H896" s="43"/>
      <c r="I896" s="43"/>
      <c r="J896" s="43"/>
      <c r="K896" s="43"/>
      <c r="L896" s="43"/>
      <c r="M896" s="43"/>
      <c r="N896" s="43"/>
      <c r="O896" s="43"/>
      <c r="P896" s="41"/>
      <c r="Q896" s="41"/>
      <c r="R896" s="41"/>
      <c r="S896" s="44"/>
      <c r="T896" s="45"/>
      <c r="U896" s="45"/>
      <c r="V896" s="45"/>
      <c r="W896" s="45"/>
      <c r="X896" s="46"/>
      <c r="Y896" s="46"/>
      <c r="Z896" s="46"/>
      <c r="AA896" s="46"/>
      <c r="AB896" s="46"/>
      <c r="AC896" s="46"/>
      <c r="AD896" s="46"/>
      <c r="AE896" s="46"/>
      <c r="AF896" s="46"/>
      <c r="AG896" s="46"/>
    </row>
    <row r="897" spans="1:33" ht="13.5" customHeight="1">
      <c r="A897" s="46"/>
      <c r="B897" s="46"/>
      <c r="C897" s="41"/>
      <c r="D897" s="42"/>
      <c r="E897" s="42"/>
      <c r="F897" s="42"/>
      <c r="G897" s="43"/>
      <c r="H897" s="43"/>
      <c r="I897" s="43"/>
      <c r="J897" s="43"/>
      <c r="K897" s="43"/>
      <c r="L897" s="43"/>
      <c r="M897" s="43"/>
      <c r="N897" s="43"/>
      <c r="O897" s="43"/>
      <c r="P897" s="41"/>
      <c r="Q897" s="41"/>
      <c r="R897" s="41"/>
      <c r="S897" s="44"/>
      <c r="T897" s="45"/>
      <c r="U897" s="45"/>
      <c r="V897" s="45"/>
      <c r="W897" s="45"/>
      <c r="X897" s="46"/>
      <c r="Y897" s="46"/>
      <c r="Z897" s="46"/>
      <c r="AA897" s="46"/>
      <c r="AB897" s="46"/>
      <c r="AC897" s="46"/>
      <c r="AD897" s="46"/>
      <c r="AE897" s="46"/>
      <c r="AF897" s="46"/>
      <c r="AG897" s="46"/>
    </row>
    <row r="898" spans="1:33" ht="13.5" customHeight="1">
      <c r="A898" s="46"/>
      <c r="B898" s="46"/>
      <c r="C898" s="41"/>
      <c r="D898" s="42"/>
      <c r="E898" s="42"/>
      <c r="F898" s="42"/>
      <c r="G898" s="43"/>
      <c r="H898" s="43"/>
      <c r="I898" s="43"/>
      <c r="J898" s="43"/>
      <c r="K898" s="43"/>
      <c r="L898" s="43"/>
      <c r="M898" s="43"/>
      <c r="N898" s="43"/>
      <c r="O898" s="43"/>
      <c r="P898" s="41"/>
      <c r="Q898" s="41"/>
      <c r="R898" s="41"/>
      <c r="S898" s="44"/>
      <c r="T898" s="45"/>
      <c r="U898" s="45"/>
      <c r="V898" s="45"/>
      <c r="W898" s="45"/>
      <c r="X898" s="46"/>
      <c r="Y898" s="46"/>
      <c r="Z898" s="46"/>
      <c r="AA898" s="46"/>
      <c r="AB898" s="46"/>
      <c r="AC898" s="46"/>
      <c r="AD898" s="46"/>
      <c r="AE898" s="46"/>
      <c r="AF898" s="46"/>
      <c r="AG898" s="46"/>
    </row>
    <row r="899" spans="1:33" ht="13.5" customHeight="1">
      <c r="A899" s="46"/>
      <c r="B899" s="46"/>
      <c r="C899" s="41"/>
      <c r="D899" s="42"/>
      <c r="E899" s="42"/>
      <c r="F899" s="42"/>
      <c r="G899" s="43"/>
      <c r="H899" s="43"/>
      <c r="I899" s="43"/>
      <c r="J899" s="43"/>
      <c r="K899" s="43"/>
      <c r="L899" s="43"/>
      <c r="M899" s="43"/>
      <c r="N899" s="43"/>
      <c r="O899" s="43"/>
      <c r="P899" s="41"/>
      <c r="Q899" s="41"/>
      <c r="R899" s="41"/>
      <c r="S899" s="44"/>
      <c r="T899" s="45"/>
      <c r="U899" s="45"/>
      <c r="V899" s="45"/>
      <c r="W899" s="45"/>
      <c r="X899" s="46"/>
      <c r="Y899" s="46"/>
      <c r="Z899" s="46"/>
      <c r="AA899" s="46"/>
      <c r="AB899" s="46"/>
      <c r="AC899" s="46"/>
      <c r="AD899" s="46"/>
      <c r="AE899" s="46"/>
      <c r="AF899" s="46"/>
      <c r="AG899" s="46"/>
    </row>
    <row r="900" spans="1:33" ht="13.5" customHeight="1">
      <c r="A900" s="46"/>
      <c r="B900" s="46"/>
      <c r="C900" s="41"/>
      <c r="D900" s="42"/>
      <c r="E900" s="42"/>
      <c r="F900" s="42"/>
      <c r="G900" s="43"/>
      <c r="H900" s="43"/>
      <c r="I900" s="43"/>
      <c r="J900" s="43"/>
      <c r="K900" s="43"/>
      <c r="L900" s="43"/>
      <c r="M900" s="43"/>
      <c r="N900" s="43"/>
      <c r="O900" s="43"/>
      <c r="P900" s="41"/>
      <c r="Q900" s="41"/>
      <c r="R900" s="41"/>
      <c r="S900" s="44"/>
      <c r="T900" s="45"/>
      <c r="U900" s="45"/>
      <c r="V900" s="45"/>
      <c r="W900" s="45"/>
      <c r="X900" s="46"/>
      <c r="Y900" s="46"/>
      <c r="Z900" s="46"/>
      <c r="AA900" s="46"/>
      <c r="AB900" s="46"/>
      <c r="AC900" s="46"/>
      <c r="AD900" s="46"/>
      <c r="AE900" s="46"/>
      <c r="AF900" s="46"/>
      <c r="AG900" s="46"/>
    </row>
    <row r="901" spans="1:33" ht="13.5" customHeight="1">
      <c r="A901" s="46"/>
      <c r="B901" s="46"/>
      <c r="C901" s="41"/>
      <c r="D901" s="42"/>
      <c r="E901" s="42"/>
      <c r="F901" s="42"/>
      <c r="G901" s="43"/>
      <c r="H901" s="43"/>
      <c r="I901" s="43"/>
      <c r="J901" s="43"/>
      <c r="K901" s="43"/>
      <c r="L901" s="43"/>
      <c r="M901" s="43"/>
      <c r="N901" s="43"/>
      <c r="O901" s="43"/>
      <c r="P901" s="41"/>
      <c r="Q901" s="41"/>
      <c r="R901" s="41"/>
      <c r="S901" s="44"/>
      <c r="T901" s="45"/>
      <c r="U901" s="45"/>
      <c r="V901" s="45"/>
      <c r="W901" s="45"/>
      <c r="X901" s="46"/>
      <c r="Y901" s="46"/>
      <c r="Z901" s="46"/>
      <c r="AA901" s="46"/>
      <c r="AB901" s="46"/>
      <c r="AC901" s="46"/>
      <c r="AD901" s="46"/>
      <c r="AE901" s="46"/>
      <c r="AF901" s="46"/>
      <c r="AG901" s="46"/>
    </row>
    <row r="902" spans="1:33" ht="13.5" customHeight="1">
      <c r="A902" s="46"/>
      <c r="B902" s="46"/>
      <c r="C902" s="41"/>
      <c r="D902" s="42"/>
      <c r="E902" s="42"/>
      <c r="F902" s="42"/>
      <c r="G902" s="43"/>
      <c r="H902" s="43"/>
      <c r="I902" s="43"/>
      <c r="J902" s="43"/>
      <c r="K902" s="43"/>
      <c r="L902" s="43"/>
      <c r="M902" s="43"/>
      <c r="N902" s="43"/>
      <c r="O902" s="43"/>
      <c r="P902" s="41"/>
      <c r="Q902" s="41"/>
      <c r="R902" s="41"/>
      <c r="S902" s="44"/>
      <c r="T902" s="45"/>
      <c r="U902" s="45"/>
      <c r="V902" s="45"/>
      <c r="W902" s="45"/>
      <c r="X902" s="46"/>
      <c r="Y902" s="46"/>
      <c r="Z902" s="46"/>
      <c r="AA902" s="46"/>
      <c r="AB902" s="46"/>
      <c r="AC902" s="46"/>
      <c r="AD902" s="46"/>
      <c r="AE902" s="46"/>
      <c r="AF902" s="46"/>
      <c r="AG902" s="46"/>
    </row>
    <row r="903" spans="1:33" ht="13.5" customHeight="1">
      <c r="A903" s="46"/>
      <c r="B903" s="46"/>
      <c r="C903" s="41"/>
      <c r="D903" s="42"/>
      <c r="E903" s="42"/>
      <c r="F903" s="42"/>
      <c r="G903" s="43"/>
      <c r="H903" s="43"/>
      <c r="I903" s="43"/>
      <c r="J903" s="43"/>
      <c r="K903" s="43"/>
      <c r="L903" s="43"/>
      <c r="M903" s="43"/>
      <c r="N903" s="43"/>
      <c r="O903" s="43"/>
      <c r="P903" s="41"/>
      <c r="Q903" s="41"/>
      <c r="R903" s="41"/>
      <c r="S903" s="44"/>
      <c r="T903" s="45"/>
      <c r="U903" s="45"/>
      <c r="V903" s="45"/>
      <c r="W903" s="45"/>
      <c r="X903" s="46"/>
      <c r="Y903" s="46"/>
      <c r="Z903" s="46"/>
      <c r="AA903" s="46"/>
      <c r="AB903" s="46"/>
      <c r="AC903" s="46"/>
      <c r="AD903" s="46"/>
      <c r="AE903" s="46"/>
      <c r="AF903" s="46"/>
      <c r="AG903" s="46"/>
    </row>
    <row r="904" spans="1:33" ht="13.5" customHeight="1">
      <c r="A904" s="46"/>
      <c r="B904" s="46"/>
      <c r="C904" s="41"/>
      <c r="D904" s="42"/>
      <c r="E904" s="42"/>
      <c r="F904" s="42"/>
      <c r="G904" s="43"/>
      <c r="H904" s="43"/>
      <c r="I904" s="43"/>
      <c r="J904" s="43"/>
      <c r="K904" s="43"/>
      <c r="L904" s="43"/>
      <c r="M904" s="43"/>
      <c r="N904" s="43"/>
      <c r="O904" s="43"/>
      <c r="P904" s="41"/>
      <c r="Q904" s="41"/>
      <c r="R904" s="41"/>
      <c r="S904" s="44"/>
      <c r="T904" s="45"/>
      <c r="U904" s="45"/>
      <c r="V904" s="45"/>
      <c r="W904" s="45"/>
      <c r="X904" s="46"/>
      <c r="Y904" s="46"/>
      <c r="Z904" s="46"/>
      <c r="AA904" s="46"/>
      <c r="AB904" s="46"/>
      <c r="AC904" s="46"/>
      <c r="AD904" s="46"/>
      <c r="AE904" s="46"/>
      <c r="AF904" s="46"/>
      <c r="AG904" s="46"/>
    </row>
    <row r="905" spans="1:33" ht="13.5" customHeight="1">
      <c r="A905" s="46"/>
      <c r="B905" s="46"/>
      <c r="C905" s="41"/>
      <c r="D905" s="42"/>
      <c r="E905" s="42"/>
      <c r="F905" s="42"/>
      <c r="G905" s="43"/>
      <c r="H905" s="43"/>
      <c r="I905" s="43"/>
      <c r="J905" s="43"/>
      <c r="K905" s="43"/>
      <c r="L905" s="43"/>
      <c r="M905" s="43"/>
      <c r="N905" s="43"/>
      <c r="O905" s="43"/>
      <c r="P905" s="41"/>
      <c r="Q905" s="41"/>
      <c r="R905" s="41"/>
      <c r="S905" s="44"/>
      <c r="T905" s="45"/>
      <c r="U905" s="45"/>
      <c r="V905" s="45"/>
      <c r="W905" s="45"/>
      <c r="X905" s="46"/>
      <c r="Y905" s="46"/>
      <c r="Z905" s="46"/>
      <c r="AA905" s="46"/>
      <c r="AB905" s="46"/>
      <c r="AC905" s="46"/>
      <c r="AD905" s="46"/>
      <c r="AE905" s="46"/>
      <c r="AF905" s="46"/>
      <c r="AG905" s="46"/>
    </row>
    <row r="906" spans="1:33" ht="13.5" customHeight="1">
      <c r="A906" s="46"/>
      <c r="B906" s="46"/>
      <c r="C906" s="41"/>
      <c r="D906" s="42"/>
      <c r="E906" s="42"/>
      <c r="F906" s="42"/>
      <c r="G906" s="43"/>
      <c r="H906" s="43"/>
      <c r="I906" s="43"/>
      <c r="J906" s="43"/>
      <c r="K906" s="43"/>
      <c r="L906" s="43"/>
      <c r="M906" s="43"/>
      <c r="N906" s="43"/>
      <c r="O906" s="43"/>
      <c r="P906" s="41"/>
      <c r="Q906" s="41"/>
      <c r="R906" s="41"/>
      <c r="S906" s="44"/>
      <c r="T906" s="45"/>
      <c r="U906" s="45"/>
      <c r="V906" s="45"/>
      <c r="W906" s="45"/>
      <c r="X906" s="46"/>
      <c r="Y906" s="46"/>
      <c r="Z906" s="46"/>
      <c r="AA906" s="46"/>
      <c r="AB906" s="46"/>
      <c r="AC906" s="46"/>
      <c r="AD906" s="46"/>
      <c r="AE906" s="46"/>
      <c r="AF906" s="46"/>
      <c r="AG906" s="46"/>
    </row>
    <row r="907" spans="1:33" ht="13.5" customHeight="1">
      <c r="A907" s="46"/>
      <c r="B907" s="46"/>
      <c r="C907" s="41"/>
      <c r="D907" s="42"/>
      <c r="E907" s="42"/>
      <c r="F907" s="42"/>
      <c r="G907" s="43"/>
      <c r="H907" s="43"/>
      <c r="I907" s="43"/>
      <c r="J907" s="43"/>
      <c r="K907" s="43"/>
      <c r="L907" s="43"/>
      <c r="M907" s="43"/>
      <c r="N907" s="43"/>
      <c r="O907" s="43"/>
      <c r="P907" s="41"/>
      <c r="Q907" s="41"/>
      <c r="R907" s="41"/>
      <c r="S907" s="44"/>
      <c r="T907" s="45"/>
      <c r="U907" s="45"/>
      <c r="V907" s="45"/>
      <c r="W907" s="45"/>
      <c r="X907" s="46"/>
      <c r="Y907" s="46"/>
      <c r="Z907" s="46"/>
      <c r="AA907" s="46"/>
      <c r="AB907" s="46"/>
      <c r="AC907" s="46"/>
      <c r="AD907" s="46"/>
      <c r="AE907" s="46"/>
      <c r="AF907" s="46"/>
      <c r="AG907" s="46"/>
    </row>
    <row r="908" spans="1:33" ht="13.5" customHeight="1">
      <c r="A908" s="46"/>
      <c r="B908" s="46"/>
      <c r="C908" s="41"/>
      <c r="D908" s="42"/>
      <c r="E908" s="42"/>
      <c r="F908" s="42"/>
      <c r="G908" s="43"/>
      <c r="H908" s="43"/>
      <c r="I908" s="43"/>
      <c r="J908" s="43"/>
      <c r="K908" s="43"/>
      <c r="L908" s="43"/>
      <c r="M908" s="43"/>
      <c r="N908" s="43"/>
      <c r="O908" s="43"/>
      <c r="P908" s="41"/>
      <c r="Q908" s="41"/>
      <c r="R908" s="41"/>
      <c r="S908" s="44"/>
      <c r="T908" s="45"/>
      <c r="U908" s="45"/>
      <c r="V908" s="45"/>
      <c r="W908" s="45"/>
      <c r="X908" s="46"/>
      <c r="Y908" s="46"/>
      <c r="Z908" s="46"/>
      <c r="AA908" s="46"/>
      <c r="AB908" s="46"/>
      <c r="AC908" s="46"/>
      <c r="AD908" s="46"/>
      <c r="AE908" s="46"/>
      <c r="AF908" s="46"/>
      <c r="AG908" s="46"/>
    </row>
    <row r="909" spans="1:33" ht="13.5" customHeight="1">
      <c r="A909" s="46"/>
      <c r="B909" s="46"/>
      <c r="C909" s="41"/>
      <c r="D909" s="42"/>
      <c r="E909" s="42"/>
      <c r="F909" s="42"/>
      <c r="G909" s="43"/>
      <c r="H909" s="43"/>
      <c r="I909" s="43"/>
      <c r="J909" s="43"/>
      <c r="K909" s="43"/>
      <c r="L909" s="43"/>
      <c r="M909" s="43"/>
      <c r="N909" s="43"/>
      <c r="O909" s="43"/>
      <c r="P909" s="41"/>
      <c r="Q909" s="41"/>
      <c r="R909" s="41"/>
      <c r="S909" s="44"/>
      <c r="T909" s="45"/>
      <c r="U909" s="45"/>
      <c r="V909" s="45"/>
      <c r="W909" s="45"/>
      <c r="X909" s="46"/>
      <c r="Y909" s="46"/>
      <c r="Z909" s="46"/>
      <c r="AA909" s="46"/>
      <c r="AB909" s="46"/>
      <c r="AC909" s="46"/>
      <c r="AD909" s="46"/>
      <c r="AE909" s="46"/>
      <c r="AF909" s="46"/>
      <c r="AG909" s="46"/>
    </row>
    <row r="910" spans="1:33" ht="13.5" customHeight="1">
      <c r="A910" s="46"/>
      <c r="B910" s="46"/>
      <c r="C910" s="41"/>
      <c r="D910" s="42"/>
      <c r="E910" s="42"/>
      <c r="F910" s="42"/>
      <c r="G910" s="43"/>
      <c r="H910" s="43"/>
      <c r="I910" s="43"/>
      <c r="J910" s="43"/>
      <c r="K910" s="43"/>
      <c r="L910" s="43"/>
      <c r="M910" s="43"/>
      <c r="N910" s="43"/>
      <c r="O910" s="43"/>
      <c r="P910" s="41"/>
      <c r="Q910" s="41"/>
      <c r="R910" s="41"/>
      <c r="S910" s="44"/>
      <c r="T910" s="45"/>
      <c r="U910" s="45"/>
      <c r="V910" s="45"/>
      <c r="W910" s="45"/>
      <c r="X910" s="46"/>
      <c r="Y910" s="46"/>
      <c r="Z910" s="46"/>
      <c r="AA910" s="46"/>
      <c r="AB910" s="46"/>
      <c r="AC910" s="46"/>
      <c r="AD910" s="46"/>
      <c r="AE910" s="46"/>
      <c r="AF910" s="46"/>
      <c r="AG910" s="46"/>
    </row>
    <row r="911" spans="1:33" ht="13.5" customHeight="1">
      <c r="A911" s="46"/>
      <c r="B911" s="46"/>
      <c r="C911" s="41"/>
      <c r="D911" s="42"/>
      <c r="E911" s="42"/>
      <c r="F911" s="42"/>
      <c r="G911" s="43"/>
      <c r="H911" s="43"/>
      <c r="I911" s="43"/>
      <c r="J911" s="43"/>
      <c r="K911" s="43"/>
      <c r="L911" s="43"/>
      <c r="M911" s="43"/>
      <c r="N911" s="43"/>
      <c r="O911" s="43"/>
      <c r="P911" s="41"/>
      <c r="Q911" s="41"/>
      <c r="R911" s="41"/>
      <c r="S911" s="44"/>
      <c r="T911" s="45"/>
      <c r="U911" s="45"/>
      <c r="V911" s="45"/>
      <c r="W911" s="45"/>
      <c r="X911" s="46"/>
      <c r="Y911" s="46"/>
      <c r="Z911" s="46"/>
      <c r="AA911" s="46"/>
      <c r="AB911" s="46"/>
      <c r="AC911" s="46"/>
      <c r="AD911" s="46"/>
      <c r="AE911" s="46"/>
      <c r="AF911" s="46"/>
      <c r="AG911" s="46"/>
    </row>
    <row r="912" spans="1:33" ht="13.5" customHeight="1">
      <c r="A912" s="46"/>
      <c r="B912" s="46"/>
      <c r="C912" s="41"/>
      <c r="D912" s="42"/>
      <c r="E912" s="42"/>
      <c r="F912" s="42"/>
      <c r="G912" s="43"/>
      <c r="H912" s="43"/>
      <c r="I912" s="43"/>
      <c r="J912" s="43"/>
      <c r="K912" s="43"/>
      <c r="L912" s="43"/>
      <c r="M912" s="43"/>
      <c r="N912" s="43"/>
      <c r="O912" s="43"/>
      <c r="P912" s="41"/>
      <c r="Q912" s="41"/>
      <c r="R912" s="41"/>
      <c r="S912" s="44"/>
      <c r="T912" s="45"/>
      <c r="U912" s="45"/>
      <c r="V912" s="45"/>
      <c r="W912" s="45"/>
      <c r="X912" s="46"/>
      <c r="Y912" s="46"/>
      <c r="Z912" s="46"/>
      <c r="AA912" s="46"/>
      <c r="AB912" s="46"/>
      <c r="AC912" s="46"/>
      <c r="AD912" s="46"/>
      <c r="AE912" s="46"/>
      <c r="AF912" s="46"/>
      <c r="AG912" s="46"/>
    </row>
    <row r="913" spans="1:33" ht="13.5" customHeight="1">
      <c r="A913" s="46"/>
      <c r="B913" s="46"/>
      <c r="C913" s="41"/>
      <c r="D913" s="42"/>
      <c r="E913" s="42"/>
      <c r="F913" s="42"/>
      <c r="G913" s="43"/>
      <c r="H913" s="43"/>
      <c r="I913" s="43"/>
      <c r="J913" s="43"/>
      <c r="K913" s="43"/>
      <c r="L913" s="43"/>
      <c r="M913" s="43"/>
      <c r="N913" s="43"/>
      <c r="O913" s="43"/>
      <c r="P913" s="41"/>
      <c r="Q913" s="41"/>
      <c r="R913" s="41"/>
      <c r="S913" s="44"/>
      <c r="T913" s="45"/>
      <c r="U913" s="45"/>
      <c r="V913" s="45"/>
      <c r="W913" s="45"/>
      <c r="X913" s="46"/>
      <c r="Y913" s="46"/>
      <c r="Z913" s="46"/>
      <c r="AA913" s="46"/>
      <c r="AB913" s="46"/>
      <c r="AC913" s="46"/>
      <c r="AD913" s="46"/>
      <c r="AE913" s="46"/>
      <c r="AF913" s="46"/>
      <c r="AG913" s="46"/>
    </row>
    <row r="914" spans="1:33" ht="13.5" customHeight="1">
      <c r="A914" s="46"/>
      <c r="B914" s="46"/>
      <c r="C914" s="41"/>
      <c r="D914" s="42"/>
      <c r="E914" s="42"/>
      <c r="F914" s="42"/>
      <c r="G914" s="43"/>
      <c r="H914" s="43"/>
      <c r="I914" s="43"/>
      <c r="J914" s="43"/>
      <c r="K914" s="43"/>
      <c r="L914" s="43"/>
      <c r="M914" s="43"/>
      <c r="N914" s="43"/>
      <c r="O914" s="43"/>
      <c r="P914" s="41"/>
      <c r="Q914" s="41"/>
      <c r="R914" s="41"/>
      <c r="S914" s="44"/>
      <c r="T914" s="45"/>
      <c r="U914" s="45"/>
      <c r="V914" s="45"/>
      <c r="W914" s="45"/>
      <c r="X914" s="46"/>
      <c r="Y914" s="46"/>
      <c r="Z914" s="46"/>
      <c r="AA914" s="46"/>
      <c r="AB914" s="46"/>
      <c r="AC914" s="46"/>
      <c r="AD914" s="46"/>
      <c r="AE914" s="46"/>
      <c r="AF914" s="46"/>
      <c r="AG914" s="46"/>
    </row>
    <row r="915" spans="1:33" ht="13.5" customHeight="1">
      <c r="A915" s="46"/>
      <c r="B915" s="46"/>
      <c r="C915" s="41"/>
      <c r="D915" s="42"/>
      <c r="E915" s="42"/>
      <c r="F915" s="42"/>
      <c r="G915" s="43"/>
      <c r="H915" s="43"/>
      <c r="I915" s="43"/>
      <c r="J915" s="43"/>
      <c r="K915" s="43"/>
      <c r="L915" s="43"/>
      <c r="M915" s="43"/>
      <c r="N915" s="43"/>
      <c r="O915" s="43"/>
      <c r="P915" s="41"/>
      <c r="Q915" s="41"/>
      <c r="R915" s="41"/>
      <c r="S915" s="44"/>
      <c r="T915" s="45"/>
      <c r="U915" s="45"/>
      <c r="V915" s="45"/>
      <c r="W915" s="45"/>
      <c r="X915" s="46"/>
      <c r="Y915" s="46"/>
      <c r="Z915" s="46"/>
      <c r="AA915" s="46"/>
      <c r="AB915" s="46"/>
      <c r="AC915" s="46"/>
      <c r="AD915" s="46"/>
      <c r="AE915" s="46"/>
      <c r="AF915" s="46"/>
      <c r="AG915" s="46"/>
    </row>
    <row r="916" spans="1:33" ht="13.5" customHeight="1">
      <c r="A916" s="46"/>
      <c r="B916" s="46"/>
      <c r="C916" s="41"/>
      <c r="D916" s="42"/>
      <c r="E916" s="42"/>
      <c r="F916" s="42"/>
      <c r="G916" s="43"/>
      <c r="H916" s="43"/>
      <c r="I916" s="43"/>
      <c r="J916" s="43"/>
      <c r="K916" s="43"/>
      <c r="L916" s="43"/>
      <c r="M916" s="43"/>
      <c r="N916" s="43"/>
      <c r="O916" s="43"/>
      <c r="P916" s="41"/>
      <c r="Q916" s="41"/>
      <c r="R916" s="41"/>
      <c r="S916" s="44"/>
      <c r="T916" s="45"/>
      <c r="U916" s="45"/>
      <c r="V916" s="45"/>
      <c r="W916" s="45"/>
      <c r="X916" s="46"/>
      <c r="Y916" s="46"/>
      <c r="Z916" s="46"/>
      <c r="AA916" s="46"/>
      <c r="AB916" s="46"/>
      <c r="AC916" s="46"/>
      <c r="AD916" s="46"/>
      <c r="AE916" s="46"/>
      <c r="AF916" s="46"/>
      <c r="AG916" s="46"/>
    </row>
    <row r="917" spans="1:33" ht="13.5" customHeight="1">
      <c r="A917" s="46"/>
      <c r="B917" s="46"/>
      <c r="C917" s="41"/>
      <c r="D917" s="42"/>
      <c r="E917" s="42"/>
      <c r="F917" s="42"/>
      <c r="G917" s="43"/>
      <c r="H917" s="43"/>
      <c r="I917" s="43"/>
      <c r="J917" s="43"/>
      <c r="K917" s="43"/>
      <c r="L917" s="43"/>
      <c r="M917" s="43"/>
      <c r="N917" s="43"/>
      <c r="O917" s="43"/>
      <c r="P917" s="41"/>
      <c r="Q917" s="41"/>
      <c r="R917" s="41"/>
      <c r="S917" s="44"/>
      <c r="T917" s="45"/>
      <c r="U917" s="45"/>
      <c r="V917" s="45"/>
      <c r="W917" s="45"/>
      <c r="X917" s="46"/>
      <c r="Y917" s="46"/>
      <c r="Z917" s="46"/>
      <c r="AA917" s="46"/>
      <c r="AB917" s="46"/>
      <c r="AC917" s="46"/>
      <c r="AD917" s="46"/>
      <c r="AE917" s="46"/>
      <c r="AF917" s="46"/>
      <c r="AG917" s="46"/>
    </row>
    <row r="918" spans="1:33" ht="13.5" customHeight="1">
      <c r="A918" s="46"/>
      <c r="B918" s="46"/>
      <c r="C918" s="41"/>
      <c r="D918" s="42"/>
      <c r="E918" s="42"/>
      <c r="F918" s="42"/>
      <c r="G918" s="43"/>
      <c r="H918" s="43"/>
      <c r="I918" s="43"/>
      <c r="J918" s="43"/>
      <c r="K918" s="43"/>
      <c r="L918" s="43"/>
      <c r="M918" s="43"/>
      <c r="N918" s="43"/>
      <c r="O918" s="43"/>
      <c r="P918" s="41"/>
      <c r="Q918" s="41"/>
      <c r="R918" s="41"/>
      <c r="S918" s="44"/>
      <c r="T918" s="45"/>
      <c r="U918" s="45"/>
      <c r="V918" s="45"/>
      <c r="W918" s="45"/>
      <c r="X918" s="46"/>
      <c r="Y918" s="46"/>
      <c r="Z918" s="46"/>
      <c r="AA918" s="46"/>
      <c r="AB918" s="46"/>
      <c r="AC918" s="46"/>
      <c r="AD918" s="46"/>
      <c r="AE918" s="46"/>
      <c r="AF918" s="46"/>
      <c r="AG918" s="46"/>
    </row>
    <row r="919" spans="1:33" ht="13.5" customHeight="1">
      <c r="A919" s="46"/>
      <c r="B919" s="46"/>
      <c r="C919" s="41"/>
      <c r="D919" s="42"/>
      <c r="E919" s="42"/>
      <c r="F919" s="42"/>
      <c r="G919" s="43"/>
      <c r="H919" s="43"/>
      <c r="I919" s="43"/>
      <c r="J919" s="43"/>
      <c r="K919" s="43"/>
      <c r="L919" s="43"/>
      <c r="M919" s="43"/>
      <c r="N919" s="43"/>
      <c r="O919" s="43"/>
      <c r="P919" s="41"/>
      <c r="Q919" s="41"/>
      <c r="R919" s="41"/>
      <c r="S919" s="44"/>
      <c r="T919" s="45"/>
      <c r="U919" s="45"/>
      <c r="V919" s="45"/>
      <c r="W919" s="45"/>
      <c r="X919" s="46"/>
      <c r="Y919" s="46"/>
      <c r="Z919" s="46"/>
      <c r="AA919" s="46"/>
      <c r="AB919" s="46"/>
      <c r="AC919" s="46"/>
      <c r="AD919" s="46"/>
      <c r="AE919" s="46"/>
      <c r="AF919" s="46"/>
      <c r="AG919" s="46"/>
    </row>
    <row r="920" spans="1:33" ht="13.5" customHeight="1">
      <c r="A920" s="46"/>
      <c r="B920" s="46"/>
      <c r="C920" s="41"/>
      <c r="D920" s="42"/>
      <c r="E920" s="42"/>
      <c r="F920" s="42"/>
      <c r="G920" s="43"/>
      <c r="H920" s="43"/>
      <c r="I920" s="43"/>
      <c r="J920" s="43"/>
      <c r="K920" s="43"/>
      <c r="L920" s="43"/>
      <c r="M920" s="43"/>
      <c r="N920" s="43"/>
      <c r="O920" s="43"/>
      <c r="P920" s="41"/>
      <c r="Q920" s="41"/>
      <c r="R920" s="41"/>
      <c r="S920" s="44"/>
      <c r="T920" s="45"/>
      <c r="U920" s="45"/>
      <c r="V920" s="45"/>
      <c r="W920" s="45"/>
      <c r="X920" s="46"/>
      <c r="Y920" s="46"/>
      <c r="Z920" s="46"/>
      <c r="AA920" s="46"/>
      <c r="AB920" s="46"/>
      <c r="AC920" s="46"/>
      <c r="AD920" s="46"/>
      <c r="AE920" s="46"/>
      <c r="AF920" s="46"/>
      <c r="AG920" s="46"/>
    </row>
    <row r="921" spans="1:33" ht="13.5" customHeight="1">
      <c r="A921" s="46"/>
      <c r="B921" s="46"/>
      <c r="C921" s="41"/>
      <c r="D921" s="42"/>
      <c r="E921" s="42"/>
      <c r="F921" s="42"/>
      <c r="G921" s="43"/>
      <c r="H921" s="43"/>
      <c r="I921" s="43"/>
      <c r="J921" s="43"/>
      <c r="K921" s="43"/>
      <c r="L921" s="43"/>
      <c r="M921" s="43"/>
      <c r="N921" s="43"/>
      <c r="O921" s="43"/>
      <c r="P921" s="41"/>
      <c r="Q921" s="41"/>
      <c r="R921" s="41"/>
      <c r="S921" s="44"/>
      <c r="T921" s="45"/>
      <c r="U921" s="45"/>
      <c r="V921" s="45"/>
      <c r="W921" s="45"/>
      <c r="X921" s="46"/>
      <c r="Y921" s="46"/>
      <c r="Z921" s="46"/>
      <c r="AA921" s="46"/>
      <c r="AB921" s="46"/>
      <c r="AC921" s="46"/>
      <c r="AD921" s="46"/>
      <c r="AE921" s="46"/>
      <c r="AF921" s="46"/>
      <c r="AG921" s="46"/>
    </row>
    <row r="922" spans="1:33" ht="13.5" customHeight="1">
      <c r="A922" s="46"/>
      <c r="B922" s="46"/>
      <c r="C922" s="41"/>
      <c r="D922" s="42"/>
      <c r="E922" s="42"/>
      <c r="F922" s="42"/>
      <c r="G922" s="43"/>
      <c r="H922" s="43"/>
      <c r="I922" s="43"/>
      <c r="J922" s="43"/>
      <c r="K922" s="43"/>
      <c r="L922" s="43"/>
      <c r="M922" s="43"/>
      <c r="N922" s="43"/>
      <c r="O922" s="43"/>
      <c r="P922" s="41"/>
      <c r="Q922" s="41"/>
      <c r="R922" s="41"/>
      <c r="S922" s="44"/>
      <c r="T922" s="45"/>
      <c r="U922" s="45"/>
      <c r="V922" s="45"/>
      <c r="W922" s="45"/>
      <c r="X922" s="46"/>
      <c r="Y922" s="46"/>
      <c r="Z922" s="46"/>
      <c r="AA922" s="46"/>
      <c r="AB922" s="46"/>
      <c r="AC922" s="46"/>
      <c r="AD922" s="46"/>
      <c r="AE922" s="46"/>
      <c r="AF922" s="46"/>
      <c r="AG922" s="46"/>
    </row>
    <row r="923" spans="1:33" ht="13.5" customHeight="1">
      <c r="A923" s="46"/>
      <c r="B923" s="46"/>
      <c r="C923" s="41"/>
      <c r="D923" s="42"/>
      <c r="E923" s="42"/>
      <c r="F923" s="42"/>
      <c r="G923" s="43"/>
      <c r="H923" s="43"/>
      <c r="I923" s="43"/>
      <c r="J923" s="43"/>
      <c r="K923" s="43"/>
      <c r="L923" s="43"/>
      <c r="M923" s="43"/>
      <c r="N923" s="43"/>
      <c r="O923" s="43"/>
      <c r="P923" s="41"/>
      <c r="Q923" s="41"/>
      <c r="R923" s="41"/>
      <c r="S923" s="44"/>
      <c r="T923" s="45"/>
      <c r="U923" s="45"/>
      <c r="V923" s="45"/>
      <c r="W923" s="45"/>
      <c r="X923" s="46"/>
      <c r="Y923" s="46"/>
      <c r="Z923" s="46"/>
      <c r="AA923" s="46"/>
      <c r="AB923" s="46"/>
      <c r="AC923" s="46"/>
      <c r="AD923" s="46"/>
      <c r="AE923" s="46"/>
      <c r="AF923" s="46"/>
      <c r="AG923" s="46"/>
    </row>
    <row r="924" spans="1:33" ht="13.5" customHeight="1">
      <c r="A924" s="46"/>
      <c r="B924" s="46"/>
      <c r="C924" s="41"/>
      <c r="D924" s="42"/>
      <c r="E924" s="42"/>
      <c r="F924" s="42"/>
      <c r="G924" s="43"/>
      <c r="H924" s="43"/>
      <c r="I924" s="43"/>
      <c r="J924" s="43"/>
      <c r="K924" s="43"/>
      <c r="L924" s="43"/>
      <c r="M924" s="43"/>
      <c r="N924" s="43"/>
      <c r="O924" s="43"/>
      <c r="P924" s="41"/>
      <c r="Q924" s="41"/>
      <c r="R924" s="41"/>
      <c r="S924" s="44"/>
      <c r="T924" s="45"/>
      <c r="U924" s="45"/>
      <c r="V924" s="45"/>
      <c r="W924" s="45"/>
      <c r="X924" s="46"/>
      <c r="Y924" s="46"/>
      <c r="Z924" s="46"/>
      <c r="AA924" s="46"/>
      <c r="AB924" s="46"/>
      <c r="AC924" s="46"/>
      <c r="AD924" s="46"/>
      <c r="AE924" s="46"/>
      <c r="AF924" s="46"/>
      <c r="AG924" s="46"/>
    </row>
    <row r="925" spans="1:33" ht="13.5" customHeight="1">
      <c r="A925" s="46"/>
      <c r="B925" s="46"/>
      <c r="C925" s="41"/>
      <c r="D925" s="42"/>
      <c r="E925" s="42"/>
      <c r="F925" s="42"/>
      <c r="G925" s="43"/>
      <c r="H925" s="43"/>
      <c r="I925" s="43"/>
      <c r="J925" s="43"/>
      <c r="K925" s="43"/>
      <c r="L925" s="43"/>
      <c r="M925" s="43"/>
      <c r="N925" s="43"/>
      <c r="O925" s="43"/>
      <c r="P925" s="41"/>
      <c r="Q925" s="41"/>
      <c r="R925" s="41"/>
      <c r="S925" s="44"/>
      <c r="T925" s="45"/>
      <c r="U925" s="45"/>
      <c r="V925" s="45"/>
      <c r="W925" s="45"/>
      <c r="X925" s="46"/>
      <c r="Y925" s="46"/>
      <c r="Z925" s="46"/>
      <c r="AA925" s="46"/>
      <c r="AB925" s="46"/>
      <c r="AC925" s="46"/>
      <c r="AD925" s="46"/>
      <c r="AE925" s="46"/>
      <c r="AF925" s="46"/>
      <c r="AG925" s="46"/>
    </row>
    <row r="926" spans="1:33" ht="13.5" customHeight="1">
      <c r="A926" s="46"/>
      <c r="B926" s="46"/>
      <c r="C926" s="41"/>
      <c r="D926" s="42"/>
      <c r="E926" s="42"/>
      <c r="F926" s="42"/>
      <c r="G926" s="43"/>
      <c r="H926" s="43"/>
      <c r="I926" s="43"/>
      <c r="J926" s="43"/>
      <c r="K926" s="43"/>
      <c r="L926" s="43"/>
      <c r="M926" s="43"/>
      <c r="N926" s="43"/>
      <c r="O926" s="43"/>
      <c r="P926" s="41"/>
      <c r="Q926" s="41"/>
      <c r="R926" s="41"/>
      <c r="S926" s="44"/>
      <c r="T926" s="45"/>
      <c r="U926" s="45"/>
      <c r="V926" s="45"/>
      <c r="W926" s="45"/>
      <c r="X926" s="46"/>
      <c r="Y926" s="46"/>
      <c r="Z926" s="46"/>
      <c r="AA926" s="46"/>
      <c r="AB926" s="46"/>
      <c r="AC926" s="46"/>
      <c r="AD926" s="46"/>
      <c r="AE926" s="46"/>
      <c r="AF926" s="46"/>
      <c r="AG926" s="46"/>
    </row>
    <row r="927" spans="1:33" ht="13.5" customHeight="1">
      <c r="A927" s="46"/>
      <c r="B927" s="46"/>
      <c r="C927" s="41"/>
      <c r="D927" s="42"/>
      <c r="E927" s="42"/>
      <c r="F927" s="42"/>
      <c r="G927" s="43"/>
      <c r="H927" s="43"/>
      <c r="I927" s="43"/>
      <c r="J927" s="43"/>
      <c r="K927" s="43"/>
      <c r="L927" s="43"/>
      <c r="M927" s="43"/>
      <c r="N927" s="43"/>
      <c r="O927" s="43"/>
      <c r="P927" s="41"/>
      <c r="Q927" s="41"/>
      <c r="R927" s="41"/>
      <c r="S927" s="44"/>
      <c r="T927" s="45"/>
      <c r="U927" s="45"/>
      <c r="V927" s="45"/>
      <c r="W927" s="45"/>
      <c r="X927" s="46"/>
      <c r="Y927" s="46"/>
      <c r="Z927" s="46"/>
      <c r="AA927" s="46"/>
      <c r="AB927" s="46"/>
      <c r="AC927" s="46"/>
      <c r="AD927" s="46"/>
      <c r="AE927" s="46"/>
      <c r="AF927" s="46"/>
      <c r="AG927" s="46"/>
    </row>
    <row r="928" spans="1:33" ht="13.5" customHeight="1">
      <c r="A928" s="46"/>
      <c r="B928" s="46"/>
      <c r="C928" s="41"/>
      <c r="D928" s="42"/>
      <c r="E928" s="42"/>
      <c r="F928" s="42"/>
      <c r="G928" s="43"/>
      <c r="H928" s="43"/>
      <c r="I928" s="43"/>
      <c r="J928" s="43"/>
      <c r="K928" s="43"/>
      <c r="L928" s="43"/>
      <c r="M928" s="43"/>
      <c r="N928" s="43"/>
      <c r="O928" s="43"/>
      <c r="P928" s="41"/>
      <c r="Q928" s="41"/>
      <c r="R928" s="41"/>
      <c r="S928" s="44"/>
      <c r="T928" s="45"/>
      <c r="U928" s="45"/>
      <c r="V928" s="45"/>
      <c r="W928" s="45"/>
      <c r="X928" s="46"/>
      <c r="Y928" s="46"/>
      <c r="Z928" s="46"/>
      <c r="AA928" s="46"/>
      <c r="AB928" s="46"/>
      <c r="AC928" s="46"/>
      <c r="AD928" s="46"/>
      <c r="AE928" s="46"/>
      <c r="AF928" s="46"/>
      <c r="AG928" s="46"/>
    </row>
    <row r="929" spans="1:33" ht="13.5" customHeight="1">
      <c r="A929" s="46"/>
      <c r="B929" s="46"/>
      <c r="C929" s="41"/>
      <c r="D929" s="42"/>
      <c r="E929" s="42"/>
      <c r="F929" s="42"/>
      <c r="G929" s="43"/>
      <c r="H929" s="43"/>
      <c r="I929" s="43"/>
      <c r="J929" s="43"/>
      <c r="K929" s="43"/>
      <c r="L929" s="43"/>
      <c r="M929" s="43"/>
      <c r="N929" s="43"/>
      <c r="O929" s="43"/>
      <c r="P929" s="41"/>
      <c r="Q929" s="41"/>
      <c r="R929" s="41"/>
      <c r="S929" s="44"/>
      <c r="T929" s="45"/>
      <c r="U929" s="45"/>
      <c r="V929" s="45"/>
      <c r="W929" s="45"/>
      <c r="X929" s="46"/>
      <c r="Y929" s="46"/>
      <c r="Z929" s="46"/>
      <c r="AA929" s="46"/>
      <c r="AB929" s="46"/>
      <c r="AC929" s="46"/>
      <c r="AD929" s="46"/>
      <c r="AE929" s="46"/>
      <c r="AF929" s="46"/>
      <c r="AG929" s="46"/>
    </row>
    <row r="930" spans="1:33" ht="13.5" customHeight="1">
      <c r="A930" s="46"/>
      <c r="B930" s="46"/>
      <c r="C930" s="41"/>
      <c r="D930" s="42"/>
      <c r="E930" s="42"/>
      <c r="F930" s="42"/>
      <c r="G930" s="43"/>
      <c r="H930" s="43"/>
      <c r="I930" s="43"/>
      <c r="J930" s="43"/>
      <c r="K930" s="43"/>
      <c r="L930" s="43"/>
      <c r="M930" s="43"/>
      <c r="N930" s="43"/>
      <c r="O930" s="43"/>
      <c r="P930" s="41"/>
      <c r="Q930" s="41"/>
      <c r="R930" s="41"/>
      <c r="S930" s="44"/>
      <c r="T930" s="45"/>
      <c r="U930" s="45"/>
      <c r="V930" s="45"/>
      <c r="W930" s="45"/>
      <c r="X930" s="46"/>
      <c r="Y930" s="46"/>
      <c r="Z930" s="46"/>
      <c r="AA930" s="46"/>
      <c r="AB930" s="46"/>
      <c r="AC930" s="46"/>
      <c r="AD930" s="46"/>
      <c r="AE930" s="46"/>
      <c r="AF930" s="46"/>
      <c r="AG930" s="46"/>
    </row>
    <row r="931" spans="1:33" ht="13.5" customHeight="1">
      <c r="A931" s="46"/>
      <c r="B931" s="46"/>
      <c r="C931" s="41"/>
      <c r="D931" s="42"/>
      <c r="E931" s="42"/>
      <c r="F931" s="42"/>
      <c r="G931" s="43"/>
      <c r="H931" s="43"/>
      <c r="I931" s="43"/>
      <c r="J931" s="43"/>
      <c r="K931" s="43"/>
      <c r="L931" s="43"/>
      <c r="M931" s="43"/>
      <c r="N931" s="43"/>
      <c r="O931" s="43"/>
      <c r="P931" s="41"/>
      <c r="Q931" s="41"/>
      <c r="R931" s="41"/>
      <c r="S931" s="44"/>
      <c r="T931" s="45"/>
      <c r="U931" s="45"/>
      <c r="V931" s="45"/>
      <c r="W931" s="45"/>
      <c r="X931" s="46"/>
      <c r="Y931" s="46"/>
      <c r="Z931" s="46"/>
      <c r="AA931" s="46"/>
      <c r="AB931" s="46"/>
      <c r="AC931" s="46"/>
      <c r="AD931" s="46"/>
      <c r="AE931" s="46"/>
      <c r="AF931" s="46"/>
      <c r="AG931" s="46"/>
    </row>
    <row r="932" spans="1:33" ht="13.5" customHeight="1">
      <c r="A932" s="46"/>
      <c r="B932" s="46"/>
      <c r="C932" s="41"/>
      <c r="D932" s="42"/>
      <c r="E932" s="42"/>
      <c r="F932" s="42"/>
      <c r="G932" s="43"/>
      <c r="H932" s="43"/>
      <c r="I932" s="43"/>
      <c r="J932" s="43"/>
      <c r="K932" s="43"/>
      <c r="L932" s="43"/>
      <c r="M932" s="43"/>
      <c r="N932" s="43"/>
      <c r="O932" s="43"/>
      <c r="P932" s="41"/>
      <c r="Q932" s="41"/>
      <c r="R932" s="41"/>
      <c r="S932" s="44"/>
      <c r="T932" s="45"/>
      <c r="U932" s="45"/>
      <c r="V932" s="45"/>
      <c r="W932" s="45"/>
      <c r="X932" s="46"/>
      <c r="Y932" s="46"/>
      <c r="Z932" s="46"/>
      <c r="AA932" s="46"/>
      <c r="AB932" s="46"/>
      <c r="AC932" s="46"/>
      <c r="AD932" s="46"/>
      <c r="AE932" s="46"/>
      <c r="AF932" s="46"/>
      <c r="AG932" s="46"/>
    </row>
    <row r="933" spans="1:33" ht="13.5" customHeight="1">
      <c r="A933" s="46"/>
      <c r="B933" s="46"/>
      <c r="C933" s="41"/>
      <c r="D933" s="42"/>
      <c r="E933" s="42"/>
      <c r="F933" s="42"/>
      <c r="G933" s="43"/>
      <c r="H933" s="43"/>
      <c r="I933" s="43"/>
      <c r="J933" s="43"/>
      <c r="K933" s="43"/>
      <c r="L933" s="43"/>
      <c r="M933" s="43"/>
      <c r="N933" s="43"/>
      <c r="O933" s="43"/>
      <c r="P933" s="41"/>
      <c r="Q933" s="41"/>
      <c r="R933" s="41"/>
      <c r="S933" s="44"/>
      <c r="T933" s="45"/>
      <c r="U933" s="45"/>
      <c r="V933" s="45"/>
      <c r="W933" s="45"/>
      <c r="X933" s="46"/>
      <c r="Y933" s="46"/>
      <c r="Z933" s="46"/>
      <c r="AA933" s="46"/>
      <c r="AB933" s="46"/>
      <c r="AC933" s="46"/>
      <c r="AD933" s="46"/>
      <c r="AE933" s="46"/>
      <c r="AF933" s="46"/>
      <c r="AG933" s="46"/>
    </row>
    <row r="934" spans="1:33" ht="13.5" customHeight="1">
      <c r="A934" s="46"/>
      <c r="B934" s="46"/>
      <c r="C934" s="41"/>
      <c r="D934" s="42"/>
      <c r="E934" s="42"/>
      <c r="F934" s="42"/>
      <c r="G934" s="43"/>
      <c r="H934" s="43"/>
      <c r="I934" s="43"/>
      <c r="J934" s="43"/>
      <c r="K934" s="43"/>
      <c r="L934" s="43"/>
      <c r="M934" s="43"/>
      <c r="N934" s="43"/>
      <c r="O934" s="43"/>
      <c r="P934" s="41"/>
      <c r="Q934" s="41"/>
      <c r="R934" s="41"/>
      <c r="S934" s="44"/>
      <c r="T934" s="45"/>
      <c r="U934" s="45"/>
      <c r="V934" s="45"/>
      <c r="W934" s="45"/>
      <c r="X934" s="46"/>
      <c r="Y934" s="46"/>
      <c r="Z934" s="46"/>
      <c r="AA934" s="46"/>
      <c r="AB934" s="46"/>
      <c r="AC934" s="46"/>
      <c r="AD934" s="46"/>
      <c r="AE934" s="46"/>
      <c r="AF934" s="46"/>
      <c r="AG934" s="46"/>
    </row>
    <row r="935" spans="1:33" ht="13.5" customHeight="1">
      <c r="A935" s="46"/>
      <c r="B935" s="46"/>
      <c r="C935" s="41"/>
      <c r="D935" s="42"/>
      <c r="E935" s="42"/>
      <c r="F935" s="42"/>
      <c r="G935" s="43"/>
      <c r="H935" s="43"/>
      <c r="I935" s="43"/>
      <c r="J935" s="43"/>
      <c r="K935" s="43"/>
      <c r="L935" s="43"/>
      <c r="M935" s="43"/>
      <c r="N935" s="43"/>
      <c r="O935" s="43"/>
      <c r="P935" s="41"/>
      <c r="Q935" s="41"/>
      <c r="R935" s="41"/>
      <c r="S935" s="44"/>
      <c r="T935" s="45"/>
      <c r="U935" s="45"/>
      <c r="V935" s="45"/>
      <c r="W935" s="45"/>
      <c r="X935" s="46"/>
      <c r="Y935" s="46"/>
      <c r="Z935" s="46"/>
      <c r="AA935" s="46"/>
      <c r="AB935" s="46"/>
      <c r="AC935" s="46"/>
      <c r="AD935" s="46"/>
      <c r="AE935" s="46"/>
      <c r="AF935" s="46"/>
      <c r="AG935" s="46"/>
    </row>
    <row r="936" spans="1:33" ht="13.5" customHeight="1">
      <c r="A936" s="46"/>
      <c r="B936" s="46"/>
      <c r="C936" s="41"/>
      <c r="D936" s="42"/>
      <c r="E936" s="42"/>
      <c r="F936" s="42"/>
      <c r="G936" s="43"/>
      <c r="H936" s="43"/>
      <c r="I936" s="43"/>
      <c r="J936" s="43"/>
      <c r="K936" s="43"/>
      <c r="L936" s="43"/>
      <c r="M936" s="43"/>
      <c r="N936" s="43"/>
      <c r="O936" s="43"/>
      <c r="P936" s="41"/>
      <c r="Q936" s="41"/>
      <c r="R936" s="41"/>
      <c r="S936" s="44"/>
      <c r="T936" s="45"/>
      <c r="U936" s="45"/>
      <c r="V936" s="45"/>
      <c r="W936" s="45"/>
      <c r="X936" s="46"/>
      <c r="Y936" s="46"/>
      <c r="Z936" s="46"/>
      <c r="AA936" s="46"/>
      <c r="AB936" s="46"/>
      <c r="AC936" s="46"/>
      <c r="AD936" s="46"/>
      <c r="AE936" s="46"/>
      <c r="AF936" s="46"/>
      <c r="AG936" s="46"/>
    </row>
    <row r="937" spans="1:33" ht="13.5" customHeight="1">
      <c r="A937" s="46"/>
      <c r="B937" s="46"/>
      <c r="C937" s="41"/>
      <c r="D937" s="42"/>
      <c r="E937" s="42"/>
      <c r="F937" s="42"/>
      <c r="G937" s="43"/>
      <c r="H937" s="43"/>
      <c r="I937" s="43"/>
      <c r="J937" s="43"/>
      <c r="K937" s="43"/>
      <c r="L937" s="43"/>
      <c r="M937" s="43"/>
      <c r="N937" s="43"/>
      <c r="O937" s="43"/>
      <c r="P937" s="41"/>
      <c r="Q937" s="41"/>
      <c r="R937" s="41"/>
      <c r="S937" s="44"/>
      <c r="T937" s="45"/>
      <c r="U937" s="45"/>
      <c r="V937" s="45"/>
      <c r="W937" s="45"/>
      <c r="X937" s="46"/>
      <c r="Y937" s="46"/>
      <c r="Z937" s="46"/>
      <c r="AA937" s="46"/>
      <c r="AB937" s="46"/>
      <c r="AC937" s="46"/>
      <c r="AD937" s="46"/>
      <c r="AE937" s="46"/>
      <c r="AF937" s="46"/>
      <c r="AG937" s="46"/>
    </row>
    <row r="938" spans="1:33" ht="13.5" customHeight="1">
      <c r="A938" s="46"/>
      <c r="B938" s="46"/>
      <c r="C938" s="41"/>
      <c r="D938" s="42"/>
      <c r="E938" s="42"/>
      <c r="F938" s="42"/>
      <c r="G938" s="43"/>
      <c r="H938" s="43"/>
      <c r="I938" s="43"/>
      <c r="J938" s="43"/>
      <c r="K938" s="43"/>
      <c r="L938" s="43"/>
      <c r="M938" s="43"/>
      <c r="N938" s="43"/>
      <c r="O938" s="43"/>
      <c r="P938" s="41"/>
      <c r="Q938" s="41"/>
      <c r="R938" s="41"/>
      <c r="S938" s="44"/>
      <c r="T938" s="45"/>
      <c r="U938" s="45"/>
      <c r="V938" s="45"/>
      <c r="W938" s="45"/>
      <c r="X938" s="46"/>
      <c r="Y938" s="46"/>
      <c r="Z938" s="46"/>
      <c r="AA938" s="46"/>
      <c r="AB938" s="46"/>
      <c r="AC938" s="46"/>
      <c r="AD938" s="46"/>
      <c r="AE938" s="46"/>
      <c r="AF938" s="46"/>
      <c r="AG938" s="46"/>
    </row>
    <row r="939" spans="1:33" ht="13.5" customHeight="1">
      <c r="A939" s="46"/>
      <c r="B939" s="46"/>
      <c r="C939" s="41"/>
      <c r="D939" s="42"/>
      <c r="E939" s="42"/>
      <c r="F939" s="42"/>
      <c r="G939" s="43"/>
      <c r="H939" s="43"/>
      <c r="I939" s="43"/>
      <c r="J939" s="43"/>
      <c r="K939" s="43"/>
      <c r="L939" s="43"/>
      <c r="M939" s="43"/>
      <c r="N939" s="43"/>
      <c r="O939" s="43"/>
      <c r="P939" s="41"/>
      <c r="Q939" s="41"/>
      <c r="R939" s="41"/>
      <c r="S939" s="44"/>
      <c r="T939" s="45"/>
      <c r="U939" s="45"/>
      <c r="V939" s="45"/>
      <c r="W939" s="45"/>
      <c r="X939" s="46"/>
      <c r="Y939" s="46"/>
      <c r="Z939" s="46"/>
      <c r="AA939" s="46"/>
      <c r="AB939" s="46"/>
      <c r="AC939" s="46"/>
      <c r="AD939" s="46"/>
      <c r="AE939" s="46"/>
      <c r="AF939" s="46"/>
      <c r="AG939" s="46"/>
    </row>
    <row r="940" spans="1:33" ht="13.5" customHeight="1">
      <c r="A940" s="46"/>
      <c r="B940" s="46"/>
      <c r="C940" s="41"/>
      <c r="D940" s="42"/>
      <c r="E940" s="42"/>
      <c r="F940" s="42"/>
      <c r="G940" s="43"/>
      <c r="H940" s="43"/>
      <c r="I940" s="43"/>
      <c r="J940" s="43"/>
      <c r="K940" s="43"/>
      <c r="L940" s="43"/>
      <c r="M940" s="43"/>
      <c r="N940" s="43"/>
      <c r="O940" s="43"/>
      <c r="P940" s="41"/>
      <c r="Q940" s="41"/>
      <c r="R940" s="41"/>
      <c r="S940" s="44"/>
      <c r="T940" s="45"/>
      <c r="U940" s="45"/>
      <c r="V940" s="45"/>
      <c r="W940" s="45"/>
      <c r="X940" s="46"/>
      <c r="Y940" s="46"/>
      <c r="Z940" s="46"/>
      <c r="AA940" s="46"/>
      <c r="AB940" s="46"/>
      <c r="AC940" s="46"/>
      <c r="AD940" s="46"/>
      <c r="AE940" s="46"/>
      <c r="AF940" s="46"/>
      <c r="AG940" s="46"/>
    </row>
    <row r="941" spans="1:33" ht="13.5" customHeight="1">
      <c r="A941" s="46"/>
      <c r="B941" s="46"/>
      <c r="C941" s="41"/>
      <c r="D941" s="42"/>
      <c r="E941" s="42"/>
      <c r="F941" s="42"/>
      <c r="G941" s="43"/>
      <c r="H941" s="43"/>
      <c r="I941" s="43"/>
      <c r="J941" s="43"/>
      <c r="K941" s="43"/>
      <c r="L941" s="43"/>
      <c r="M941" s="43"/>
      <c r="N941" s="43"/>
      <c r="O941" s="43"/>
      <c r="P941" s="41"/>
      <c r="Q941" s="41"/>
      <c r="R941" s="41"/>
      <c r="S941" s="44"/>
      <c r="T941" s="45"/>
      <c r="U941" s="45"/>
      <c r="V941" s="45"/>
      <c r="W941" s="45"/>
      <c r="X941" s="46"/>
      <c r="Y941" s="46"/>
      <c r="Z941" s="46"/>
      <c r="AA941" s="46"/>
      <c r="AB941" s="46"/>
      <c r="AC941" s="46"/>
      <c r="AD941" s="46"/>
      <c r="AE941" s="46"/>
      <c r="AF941" s="46"/>
      <c r="AG941" s="46"/>
    </row>
    <row r="942" spans="1:33" ht="13.5" customHeight="1">
      <c r="A942" s="46"/>
      <c r="B942" s="46"/>
      <c r="C942" s="41"/>
      <c r="D942" s="42"/>
      <c r="E942" s="42"/>
      <c r="F942" s="42"/>
      <c r="G942" s="43"/>
      <c r="H942" s="43"/>
      <c r="I942" s="43"/>
      <c r="J942" s="43"/>
      <c r="K942" s="43"/>
      <c r="L942" s="43"/>
      <c r="M942" s="43"/>
      <c r="N942" s="43"/>
      <c r="O942" s="43"/>
      <c r="P942" s="41"/>
      <c r="Q942" s="41"/>
      <c r="R942" s="41"/>
      <c r="S942" s="44"/>
      <c r="T942" s="45"/>
      <c r="U942" s="45"/>
      <c r="V942" s="45"/>
      <c r="W942" s="45"/>
      <c r="X942" s="46"/>
      <c r="Y942" s="46"/>
      <c r="Z942" s="46"/>
      <c r="AA942" s="46"/>
      <c r="AB942" s="46"/>
      <c r="AC942" s="46"/>
      <c r="AD942" s="46"/>
      <c r="AE942" s="46"/>
      <c r="AF942" s="46"/>
      <c r="AG942" s="46"/>
    </row>
    <row r="943" spans="1:33" ht="13.5" customHeight="1">
      <c r="A943" s="46"/>
      <c r="B943" s="46"/>
      <c r="C943" s="41"/>
      <c r="D943" s="42"/>
      <c r="E943" s="42"/>
      <c r="F943" s="42"/>
      <c r="G943" s="43"/>
      <c r="H943" s="43"/>
      <c r="I943" s="43"/>
      <c r="J943" s="43"/>
      <c r="K943" s="43"/>
      <c r="L943" s="43"/>
      <c r="M943" s="43"/>
      <c r="N943" s="43"/>
      <c r="O943" s="43"/>
      <c r="P943" s="41"/>
      <c r="Q943" s="41"/>
      <c r="R943" s="41"/>
      <c r="S943" s="44"/>
      <c r="T943" s="45"/>
      <c r="U943" s="45"/>
      <c r="V943" s="45"/>
      <c r="W943" s="45"/>
      <c r="X943" s="46"/>
      <c r="Y943" s="46"/>
      <c r="Z943" s="46"/>
      <c r="AA943" s="46"/>
      <c r="AB943" s="46"/>
      <c r="AC943" s="46"/>
      <c r="AD943" s="46"/>
      <c r="AE943" s="46"/>
      <c r="AF943" s="46"/>
      <c r="AG943" s="46"/>
    </row>
    <row r="944" spans="1:33" ht="13.5" customHeight="1">
      <c r="A944" s="46"/>
      <c r="B944" s="46"/>
      <c r="C944" s="41"/>
      <c r="D944" s="42"/>
      <c r="E944" s="42"/>
      <c r="F944" s="42"/>
      <c r="G944" s="43"/>
      <c r="H944" s="43"/>
      <c r="I944" s="43"/>
      <c r="J944" s="43"/>
      <c r="K944" s="43"/>
      <c r="L944" s="43"/>
      <c r="M944" s="43"/>
      <c r="N944" s="43"/>
      <c r="O944" s="43"/>
      <c r="P944" s="41"/>
      <c r="Q944" s="41"/>
      <c r="R944" s="41"/>
      <c r="S944" s="44"/>
      <c r="T944" s="45"/>
      <c r="U944" s="45"/>
      <c r="V944" s="45"/>
      <c r="W944" s="45"/>
      <c r="X944" s="46"/>
      <c r="Y944" s="46"/>
      <c r="Z944" s="46"/>
      <c r="AA944" s="46"/>
      <c r="AB944" s="46"/>
      <c r="AC944" s="46"/>
      <c r="AD944" s="46"/>
      <c r="AE944" s="46"/>
      <c r="AF944" s="46"/>
      <c r="AG944" s="46"/>
    </row>
    <row r="945" spans="1:33" ht="13.5" customHeight="1">
      <c r="A945" s="46"/>
      <c r="B945" s="46"/>
      <c r="C945" s="41"/>
      <c r="D945" s="42"/>
      <c r="E945" s="42"/>
      <c r="F945" s="42"/>
      <c r="G945" s="43"/>
      <c r="H945" s="43"/>
      <c r="I945" s="43"/>
      <c r="J945" s="43"/>
      <c r="K945" s="43"/>
      <c r="L945" s="43"/>
      <c r="M945" s="43"/>
      <c r="N945" s="43"/>
      <c r="O945" s="43"/>
      <c r="P945" s="41"/>
      <c r="Q945" s="41"/>
      <c r="R945" s="41"/>
      <c r="S945" s="44"/>
      <c r="T945" s="45"/>
      <c r="U945" s="45"/>
      <c r="V945" s="45"/>
      <c r="W945" s="45"/>
      <c r="X945" s="46"/>
      <c r="Y945" s="46"/>
      <c r="Z945" s="46"/>
      <c r="AA945" s="46"/>
      <c r="AB945" s="46"/>
      <c r="AC945" s="46"/>
      <c r="AD945" s="46"/>
      <c r="AE945" s="46"/>
      <c r="AF945" s="46"/>
      <c r="AG945" s="46"/>
    </row>
    <row r="946" spans="1:33" ht="13.5" customHeight="1">
      <c r="A946" s="46"/>
      <c r="B946" s="46"/>
      <c r="C946" s="41"/>
      <c r="D946" s="42"/>
      <c r="E946" s="42"/>
      <c r="F946" s="42"/>
      <c r="G946" s="43"/>
      <c r="H946" s="43"/>
      <c r="I946" s="43"/>
      <c r="J946" s="43"/>
      <c r="K946" s="43"/>
      <c r="L946" s="43"/>
      <c r="M946" s="43"/>
      <c r="N946" s="43"/>
      <c r="O946" s="43"/>
      <c r="P946" s="41"/>
      <c r="Q946" s="41"/>
      <c r="R946" s="41"/>
      <c r="S946" s="44"/>
      <c r="T946" s="45"/>
      <c r="U946" s="45"/>
      <c r="V946" s="45"/>
      <c r="W946" s="45"/>
      <c r="X946" s="46"/>
      <c r="Y946" s="46"/>
      <c r="Z946" s="46"/>
      <c r="AA946" s="46"/>
      <c r="AB946" s="46"/>
      <c r="AC946" s="46"/>
      <c r="AD946" s="46"/>
      <c r="AE946" s="46"/>
      <c r="AF946" s="46"/>
      <c r="AG946" s="46"/>
    </row>
    <row r="947" spans="1:33" ht="13.5" customHeight="1">
      <c r="A947" s="46"/>
      <c r="B947" s="46"/>
      <c r="C947" s="41"/>
      <c r="D947" s="42"/>
      <c r="E947" s="42"/>
      <c r="F947" s="42"/>
      <c r="G947" s="43"/>
      <c r="H947" s="43"/>
      <c r="I947" s="43"/>
      <c r="J947" s="43"/>
      <c r="K947" s="43"/>
      <c r="L947" s="43"/>
      <c r="M947" s="43"/>
      <c r="N947" s="43"/>
      <c r="O947" s="43"/>
      <c r="P947" s="41"/>
      <c r="Q947" s="41"/>
      <c r="R947" s="41"/>
      <c r="S947" s="44"/>
      <c r="T947" s="45"/>
      <c r="U947" s="45"/>
      <c r="V947" s="45"/>
      <c r="W947" s="45"/>
      <c r="X947" s="46"/>
      <c r="Y947" s="46"/>
      <c r="Z947" s="46"/>
      <c r="AA947" s="46"/>
      <c r="AB947" s="46"/>
      <c r="AC947" s="46"/>
      <c r="AD947" s="46"/>
      <c r="AE947" s="46"/>
      <c r="AF947" s="46"/>
      <c r="AG947" s="46"/>
    </row>
    <row r="948" spans="1:33" ht="13.5" customHeight="1">
      <c r="A948" s="46"/>
      <c r="B948" s="46"/>
      <c r="C948" s="41"/>
      <c r="D948" s="42"/>
      <c r="E948" s="42"/>
      <c r="F948" s="42"/>
      <c r="G948" s="43"/>
      <c r="H948" s="43"/>
      <c r="I948" s="43"/>
      <c r="J948" s="43"/>
      <c r="K948" s="43"/>
      <c r="L948" s="43"/>
      <c r="M948" s="43"/>
      <c r="N948" s="43"/>
      <c r="O948" s="43"/>
      <c r="P948" s="41"/>
      <c r="Q948" s="41"/>
      <c r="R948" s="41"/>
      <c r="S948" s="44"/>
      <c r="T948" s="45"/>
      <c r="U948" s="45"/>
      <c r="V948" s="45"/>
      <c r="W948" s="45"/>
      <c r="X948" s="46"/>
      <c r="Y948" s="46"/>
      <c r="Z948" s="46"/>
      <c r="AA948" s="46"/>
      <c r="AB948" s="46"/>
      <c r="AC948" s="46"/>
      <c r="AD948" s="46"/>
      <c r="AE948" s="46"/>
      <c r="AF948" s="46"/>
      <c r="AG948" s="46"/>
    </row>
    <row r="949" spans="1:33" ht="13.5" customHeight="1">
      <c r="A949" s="46"/>
      <c r="B949" s="46"/>
      <c r="C949" s="41"/>
      <c r="D949" s="42"/>
      <c r="E949" s="42"/>
      <c r="F949" s="42"/>
      <c r="G949" s="43"/>
      <c r="H949" s="43"/>
      <c r="I949" s="43"/>
      <c r="J949" s="43"/>
      <c r="K949" s="43"/>
      <c r="L949" s="43"/>
      <c r="M949" s="43"/>
      <c r="N949" s="43"/>
      <c r="O949" s="43"/>
      <c r="P949" s="41"/>
      <c r="Q949" s="41"/>
      <c r="R949" s="41"/>
      <c r="S949" s="44"/>
      <c r="T949" s="45"/>
      <c r="U949" s="45"/>
      <c r="V949" s="45"/>
      <c r="W949" s="45"/>
      <c r="X949" s="46"/>
      <c r="Y949" s="46"/>
      <c r="Z949" s="46"/>
      <c r="AA949" s="46"/>
      <c r="AB949" s="46"/>
      <c r="AC949" s="46"/>
      <c r="AD949" s="46"/>
      <c r="AE949" s="46"/>
      <c r="AF949" s="46"/>
      <c r="AG949" s="46"/>
    </row>
    <row r="950" spans="1:33" ht="13.5" customHeight="1">
      <c r="A950" s="46"/>
      <c r="B950" s="46"/>
      <c r="C950" s="41"/>
      <c r="D950" s="42"/>
      <c r="E950" s="42"/>
      <c r="F950" s="42"/>
      <c r="G950" s="43"/>
      <c r="H950" s="43"/>
      <c r="I950" s="43"/>
      <c r="J950" s="43"/>
      <c r="K950" s="43"/>
      <c r="L950" s="43"/>
      <c r="M950" s="43"/>
      <c r="N950" s="43"/>
      <c r="O950" s="43"/>
      <c r="P950" s="41"/>
      <c r="Q950" s="41"/>
      <c r="R950" s="41"/>
      <c r="S950" s="44"/>
      <c r="T950" s="45"/>
      <c r="U950" s="45"/>
      <c r="V950" s="45"/>
      <c r="W950" s="45"/>
      <c r="X950" s="46"/>
      <c r="Y950" s="46"/>
      <c r="Z950" s="46"/>
      <c r="AA950" s="46"/>
      <c r="AB950" s="46"/>
      <c r="AC950" s="46"/>
      <c r="AD950" s="46"/>
      <c r="AE950" s="46"/>
      <c r="AF950" s="46"/>
      <c r="AG950" s="46"/>
    </row>
    <row r="951" spans="1:33" ht="13.5" customHeight="1">
      <c r="A951" s="46"/>
      <c r="B951" s="46"/>
      <c r="C951" s="41"/>
      <c r="D951" s="42"/>
      <c r="E951" s="42"/>
      <c r="F951" s="42"/>
      <c r="G951" s="43"/>
      <c r="H951" s="43"/>
      <c r="I951" s="43"/>
      <c r="J951" s="43"/>
      <c r="K951" s="43"/>
      <c r="L951" s="43"/>
      <c r="M951" s="43"/>
      <c r="N951" s="43"/>
      <c r="O951" s="43"/>
      <c r="P951" s="41"/>
      <c r="Q951" s="41"/>
      <c r="R951" s="41"/>
      <c r="S951" s="44"/>
      <c r="T951" s="45"/>
      <c r="U951" s="45"/>
      <c r="V951" s="45"/>
      <c r="W951" s="45"/>
      <c r="X951" s="46"/>
      <c r="Y951" s="46"/>
      <c r="Z951" s="46"/>
      <c r="AA951" s="46"/>
      <c r="AB951" s="46"/>
      <c r="AC951" s="46"/>
      <c r="AD951" s="46"/>
      <c r="AE951" s="46"/>
      <c r="AF951" s="46"/>
      <c r="AG951" s="46"/>
    </row>
    <row r="952" spans="1:33" ht="13.5" customHeight="1">
      <c r="A952" s="46"/>
      <c r="B952" s="46"/>
      <c r="C952" s="41"/>
      <c r="D952" s="42"/>
      <c r="E952" s="42"/>
      <c r="F952" s="42"/>
      <c r="G952" s="43"/>
      <c r="H952" s="43"/>
      <c r="I952" s="43"/>
      <c r="J952" s="43"/>
      <c r="K952" s="43"/>
      <c r="L952" s="43"/>
      <c r="M952" s="43"/>
      <c r="N952" s="43"/>
      <c r="O952" s="43"/>
      <c r="P952" s="41"/>
      <c r="Q952" s="41"/>
      <c r="R952" s="41"/>
      <c r="S952" s="44"/>
      <c r="T952" s="45"/>
      <c r="U952" s="45"/>
      <c r="V952" s="45"/>
      <c r="W952" s="45"/>
      <c r="X952" s="46"/>
      <c r="Y952" s="46"/>
      <c r="Z952" s="46"/>
      <c r="AA952" s="46"/>
      <c r="AB952" s="46"/>
      <c r="AC952" s="46"/>
      <c r="AD952" s="46"/>
      <c r="AE952" s="46"/>
      <c r="AF952" s="46"/>
      <c r="AG952" s="46"/>
    </row>
    <row r="953" spans="1:33" ht="13.5" customHeight="1">
      <c r="A953" s="46"/>
      <c r="B953" s="46"/>
      <c r="C953" s="41"/>
      <c r="D953" s="42"/>
      <c r="E953" s="42"/>
      <c r="F953" s="42"/>
      <c r="G953" s="43"/>
      <c r="H953" s="43"/>
      <c r="I953" s="43"/>
      <c r="J953" s="43"/>
      <c r="K953" s="43"/>
      <c r="L953" s="43"/>
      <c r="M953" s="43"/>
      <c r="N953" s="43"/>
      <c r="O953" s="43"/>
      <c r="P953" s="41"/>
      <c r="Q953" s="41"/>
      <c r="R953" s="41"/>
      <c r="S953" s="44"/>
      <c r="T953" s="45"/>
      <c r="U953" s="45"/>
      <c r="V953" s="45"/>
      <c r="W953" s="45"/>
      <c r="X953" s="46"/>
      <c r="Y953" s="46"/>
      <c r="Z953" s="46"/>
      <c r="AA953" s="46"/>
      <c r="AB953" s="46"/>
      <c r="AC953" s="46"/>
      <c r="AD953" s="46"/>
      <c r="AE953" s="46"/>
      <c r="AF953" s="46"/>
      <c r="AG953" s="46"/>
    </row>
    <row r="954" spans="1:33" ht="13.5" customHeight="1">
      <c r="A954" s="46"/>
      <c r="B954" s="46"/>
      <c r="C954" s="41"/>
      <c r="D954" s="42"/>
      <c r="E954" s="42"/>
      <c r="F954" s="42"/>
      <c r="G954" s="43"/>
      <c r="H954" s="43"/>
      <c r="I954" s="43"/>
      <c r="J954" s="43"/>
      <c r="K954" s="43"/>
      <c r="L954" s="43"/>
      <c r="M954" s="43"/>
      <c r="N954" s="43"/>
      <c r="O954" s="43"/>
      <c r="P954" s="41"/>
      <c r="Q954" s="41"/>
      <c r="R954" s="41"/>
      <c r="S954" s="44"/>
      <c r="T954" s="45"/>
      <c r="U954" s="45"/>
      <c r="V954" s="45"/>
      <c r="W954" s="45"/>
      <c r="X954" s="46"/>
      <c r="Y954" s="46"/>
      <c r="Z954" s="46"/>
      <c r="AA954" s="46"/>
      <c r="AB954" s="46"/>
      <c r="AC954" s="46"/>
      <c r="AD954" s="46"/>
      <c r="AE954" s="46"/>
      <c r="AF954" s="46"/>
      <c r="AG954" s="46"/>
    </row>
    <row r="955" spans="1:33" ht="13.5" customHeight="1">
      <c r="A955" s="46"/>
      <c r="B955" s="46"/>
      <c r="C955" s="41"/>
      <c r="D955" s="42"/>
      <c r="E955" s="42"/>
      <c r="F955" s="42"/>
      <c r="G955" s="43"/>
      <c r="H955" s="43"/>
      <c r="I955" s="43"/>
      <c r="J955" s="43"/>
      <c r="K955" s="43"/>
      <c r="L955" s="43"/>
      <c r="M955" s="43"/>
      <c r="N955" s="43"/>
      <c r="O955" s="43"/>
      <c r="P955" s="41"/>
      <c r="Q955" s="41"/>
      <c r="R955" s="41"/>
      <c r="S955" s="44"/>
      <c r="T955" s="45"/>
      <c r="U955" s="45"/>
      <c r="V955" s="45"/>
      <c r="W955" s="45"/>
      <c r="X955" s="46"/>
      <c r="Y955" s="46"/>
      <c r="Z955" s="46"/>
      <c r="AA955" s="46"/>
      <c r="AB955" s="46"/>
      <c r="AC955" s="46"/>
      <c r="AD955" s="46"/>
      <c r="AE955" s="46"/>
      <c r="AF955" s="46"/>
      <c r="AG955" s="46"/>
    </row>
    <row r="956" spans="1:33" ht="13.5" customHeight="1">
      <c r="A956" s="46"/>
      <c r="B956" s="46"/>
      <c r="C956" s="41"/>
      <c r="D956" s="42"/>
      <c r="E956" s="42"/>
      <c r="F956" s="42"/>
      <c r="G956" s="43"/>
      <c r="H956" s="43"/>
      <c r="I956" s="43"/>
      <c r="J956" s="43"/>
      <c r="K956" s="43"/>
      <c r="L956" s="43"/>
      <c r="M956" s="43"/>
      <c r="N956" s="43"/>
      <c r="O956" s="43"/>
      <c r="P956" s="41"/>
      <c r="Q956" s="41"/>
      <c r="R956" s="41"/>
      <c r="S956" s="44"/>
      <c r="T956" s="45"/>
      <c r="U956" s="45"/>
      <c r="V956" s="45"/>
      <c r="W956" s="45"/>
      <c r="X956" s="46"/>
      <c r="Y956" s="46"/>
      <c r="Z956" s="46"/>
      <c r="AA956" s="46"/>
      <c r="AB956" s="46"/>
      <c r="AC956" s="46"/>
      <c r="AD956" s="46"/>
      <c r="AE956" s="46"/>
      <c r="AF956" s="46"/>
      <c r="AG956" s="46"/>
    </row>
    <row r="957" spans="1:33" ht="13.5" customHeight="1">
      <c r="A957" s="46"/>
      <c r="B957" s="46"/>
      <c r="C957" s="41"/>
      <c r="D957" s="42"/>
      <c r="E957" s="42"/>
      <c r="F957" s="42"/>
      <c r="G957" s="43"/>
      <c r="H957" s="43"/>
      <c r="I957" s="43"/>
      <c r="J957" s="43"/>
      <c r="K957" s="43"/>
      <c r="L957" s="43"/>
      <c r="M957" s="43"/>
      <c r="N957" s="43"/>
      <c r="O957" s="43"/>
      <c r="P957" s="41"/>
      <c r="Q957" s="41"/>
      <c r="R957" s="41"/>
      <c r="S957" s="44"/>
      <c r="T957" s="45"/>
      <c r="U957" s="45"/>
      <c r="V957" s="45"/>
      <c r="W957" s="45"/>
      <c r="X957" s="46"/>
      <c r="Y957" s="46"/>
      <c r="Z957" s="46"/>
      <c r="AA957" s="46"/>
      <c r="AB957" s="46"/>
      <c r="AC957" s="46"/>
      <c r="AD957" s="46"/>
      <c r="AE957" s="46"/>
      <c r="AF957" s="46"/>
      <c r="AG957" s="46"/>
    </row>
    <row r="958" spans="1:33" ht="13.5" customHeight="1">
      <c r="A958" s="46"/>
      <c r="B958" s="46"/>
      <c r="C958" s="41"/>
      <c r="D958" s="42"/>
      <c r="E958" s="42"/>
      <c r="F958" s="42"/>
      <c r="G958" s="43"/>
      <c r="H958" s="43"/>
      <c r="I958" s="43"/>
      <c r="J958" s="43"/>
      <c r="K958" s="43"/>
      <c r="L958" s="43"/>
      <c r="M958" s="43"/>
      <c r="N958" s="43"/>
      <c r="O958" s="43"/>
      <c r="P958" s="41"/>
      <c r="Q958" s="41"/>
      <c r="R958" s="41"/>
      <c r="S958" s="44"/>
      <c r="T958" s="45"/>
      <c r="U958" s="45"/>
      <c r="V958" s="45"/>
      <c r="W958" s="45"/>
      <c r="X958" s="46"/>
      <c r="Y958" s="46"/>
      <c r="Z958" s="46"/>
      <c r="AA958" s="46"/>
      <c r="AB958" s="46"/>
      <c r="AC958" s="46"/>
      <c r="AD958" s="46"/>
      <c r="AE958" s="46"/>
      <c r="AF958" s="46"/>
      <c r="AG958" s="46"/>
    </row>
    <row r="959" spans="1:33" ht="13.5" customHeight="1">
      <c r="A959" s="46"/>
      <c r="B959" s="46"/>
      <c r="C959" s="41"/>
      <c r="D959" s="42"/>
      <c r="E959" s="42"/>
      <c r="F959" s="42"/>
      <c r="G959" s="43"/>
      <c r="H959" s="43"/>
      <c r="I959" s="43"/>
      <c r="J959" s="43"/>
      <c r="K959" s="43"/>
      <c r="L959" s="43"/>
      <c r="M959" s="43"/>
      <c r="N959" s="43"/>
      <c r="O959" s="43"/>
      <c r="P959" s="41"/>
      <c r="Q959" s="41"/>
      <c r="R959" s="41"/>
      <c r="S959" s="44"/>
      <c r="T959" s="45"/>
      <c r="U959" s="45"/>
      <c r="V959" s="45"/>
      <c r="W959" s="45"/>
      <c r="X959" s="46"/>
      <c r="Y959" s="46"/>
      <c r="Z959" s="46"/>
      <c r="AA959" s="46"/>
      <c r="AB959" s="46"/>
      <c r="AC959" s="46"/>
      <c r="AD959" s="46"/>
      <c r="AE959" s="46"/>
      <c r="AF959" s="46"/>
      <c r="AG959" s="46"/>
    </row>
    <row r="960" spans="1:33" ht="13.5" customHeight="1">
      <c r="A960" s="46"/>
      <c r="B960" s="46"/>
      <c r="C960" s="41"/>
      <c r="D960" s="42"/>
      <c r="E960" s="42"/>
      <c r="F960" s="42"/>
      <c r="G960" s="43"/>
      <c r="H960" s="43"/>
      <c r="I960" s="43"/>
      <c r="J960" s="43"/>
      <c r="K960" s="43"/>
      <c r="L960" s="43"/>
      <c r="M960" s="43"/>
      <c r="N960" s="43"/>
      <c r="O960" s="43"/>
      <c r="P960" s="41"/>
      <c r="Q960" s="41"/>
      <c r="R960" s="41"/>
      <c r="S960" s="44"/>
      <c r="T960" s="45"/>
      <c r="U960" s="45"/>
      <c r="V960" s="45"/>
      <c r="W960" s="45"/>
      <c r="X960" s="46"/>
      <c r="Y960" s="46"/>
      <c r="Z960" s="46"/>
      <c r="AA960" s="46"/>
      <c r="AB960" s="46"/>
      <c r="AC960" s="46"/>
      <c r="AD960" s="46"/>
      <c r="AE960" s="46"/>
      <c r="AF960" s="46"/>
      <c r="AG960" s="46"/>
    </row>
    <row r="961" spans="1:33" ht="13.5" customHeight="1">
      <c r="A961" s="46"/>
      <c r="B961" s="46"/>
      <c r="C961" s="41"/>
      <c r="D961" s="42"/>
      <c r="E961" s="42"/>
      <c r="F961" s="42"/>
      <c r="G961" s="43"/>
      <c r="H961" s="43"/>
      <c r="I961" s="43"/>
      <c r="J961" s="43"/>
      <c r="K961" s="43"/>
      <c r="L961" s="43"/>
      <c r="M961" s="43"/>
      <c r="N961" s="43"/>
      <c r="O961" s="43"/>
      <c r="P961" s="41"/>
      <c r="Q961" s="41"/>
      <c r="R961" s="41"/>
      <c r="S961" s="44"/>
      <c r="T961" s="45"/>
      <c r="U961" s="45"/>
      <c r="V961" s="45"/>
      <c r="W961" s="45"/>
      <c r="X961" s="46"/>
      <c r="Y961" s="46"/>
      <c r="Z961" s="46"/>
      <c r="AA961" s="46"/>
      <c r="AB961" s="46"/>
      <c r="AC961" s="46"/>
      <c r="AD961" s="46"/>
      <c r="AE961" s="46"/>
      <c r="AF961" s="46"/>
      <c r="AG961" s="46"/>
    </row>
    <row r="962" spans="1:33" ht="13.5" customHeight="1">
      <c r="A962" s="46"/>
      <c r="B962" s="46"/>
      <c r="C962" s="41"/>
      <c r="D962" s="42"/>
      <c r="E962" s="42"/>
      <c r="F962" s="42"/>
      <c r="G962" s="43"/>
      <c r="H962" s="43"/>
      <c r="I962" s="43"/>
      <c r="J962" s="43"/>
      <c r="K962" s="43"/>
      <c r="L962" s="43"/>
      <c r="M962" s="43"/>
      <c r="N962" s="43"/>
      <c r="O962" s="43"/>
      <c r="P962" s="41"/>
      <c r="Q962" s="41"/>
      <c r="R962" s="41"/>
      <c r="S962" s="44"/>
      <c r="T962" s="45"/>
      <c r="U962" s="45"/>
      <c r="V962" s="45"/>
      <c r="W962" s="45"/>
      <c r="X962" s="46"/>
      <c r="Y962" s="46"/>
      <c r="Z962" s="46"/>
      <c r="AA962" s="46"/>
      <c r="AB962" s="46"/>
      <c r="AC962" s="46"/>
      <c r="AD962" s="46"/>
      <c r="AE962" s="46"/>
      <c r="AF962" s="46"/>
      <c r="AG962" s="46"/>
    </row>
    <row r="963" spans="1:33" ht="13.5" customHeight="1">
      <c r="A963" s="46"/>
      <c r="B963" s="46"/>
      <c r="C963" s="41"/>
      <c r="D963" s="42"/>
      <c r="E963" s="42"/>
      <c r="F963" s="42"/>
      <c r="G963" s="43"/>
      <c r="H963" s="43"/>
      <c r="I963" s="43"/>
      <c r="J963" s="43"/>
      <c r="K963" s="43"/>
      <c r="L963" s="43"/>
      <c r="M963" s="43"/>
      <c r="N963" s="43"/>
      <c r="O963" s="43"/>
      <c r="P963" s="41"/>
      <c r="Q963" s="41"/>
      <c r="R963" s="41"/>
      <c r="S963" s="44"/>
      <c r="T963" s="45"/>
      <c r="U963" s="45"/>
      <c r="V963" s="45"/>
      <c r="W963" s="45"/>
      <c r="X963" s="46"/>
      <c r="Y963" s="46"/>
      <c r="Z963" s="46"/>
      <c r="AA963" s="46"/>
      <c r="AB963" s="46"/>
      <c r="AC963" s="46"/>
      <c r="AD963" s="46"/>
      <c r="AE963" s="46"/>
      <c r="AF963" s="46"/>
      <c r="AG963" s="46"/>
    </row>
    <row r="964" spans="1:33" ht="13.5" customHeight="1">
      <c r="A964" s="46"/>
      <c r="B964" s="46"/>
      <c r="C964" s="41"/>
      <c r="D964" s="42"/>
      <c r="E964" s="42"/>
      <c r="F964" s="42"/>
      <c r="G964" s="43"/>
      <c r="H964" s="43"/>
      <c r="I964" s="43"/>
      <c r="J964" s="43"/>
      <c r="K964" s="43"/>
      <c r="L964" s="43"/>
      <c r="M964" s="43"/>
      <c r="N964" s="43"/>
      <c r="O964" s="43"/>
      <c r="P964" s="41"/>
      <c r="Q964" s="41"/>
      <c r="R964" s="41"/>
      <c r="S964" s="44"/>
      <c r="T964" s="45"/>
      <c r="U964" s="45"/>
      <c r="V964" s="45"/>
      <c r="W964" s="45"/>
      <c r="X964" s="46"/>
      <c r="Y964" s="46"/>
      <c r="Z964" s="46"/>
      <c r="AA964" s="46"/>
      <c r="AB964" s="46"/>
      <c r="AC964" s="46"/>
      <c r="AD964" s="46"/>
      <c r="AE964" s="46"/>
      <c r="AF964" s="46"/>
      <c r="AG964" s="46"/>
    </row>
    <row r="965" spans="1:33" ht="13.5" customHeight="1">
      <c r="A965" s="46"/>
      <c r="B965" s="46"/>
      <c r="C965" s="41"/>
      <c r="D965" s="42"/>
      <c r="E965" s="42"/>
      <c r="F965" s="42"/>
      <c r="G965" s="43"/>
      <c r="H965" s="43"/>
      <c r="I965" s="43"/>
      <c r="J965" s="43"/>
      <c r="K965" s="43"/>
      <c r="L965" s="43"/>
      <c r="M965" s="43"/>
      <c r="N965" s="43"/>
      <c r="O965" s="43"/>
      <c r="P965" s="41"/>
      <c r="Q965" s="41"/>
      <c r="R965" s="41"/>
      <c r="S965" s="44"/>
      <c r="T965" s="45"/>
      <c r="U965" s="45"/>
      <c r="V965" s="45"/>
      <c r="W965" s="45"/>
      <c r="X965" s="46"/>
      <c r="Y965" s="46"/>
      <c r="Z965" s="46"/>
      <c r="AA965" s="46"/>
      <c r="AB965" s="46"/>
      <c r="AC965" s="46"/>
      <c r="AD965" s="46"/>
      <c r="AE965" s="46"/>
      <c r="AF965" s="46"/>
      <c r="AG965" s="46"/>
    </row>
    <row r="966" spans="1:33" ht="13.5" customHeight="1">
      <c r="A966" s="46"/>
      <c r="B966" s="46"/>
      <c r="C966" s="41"/>
      <c r="D966" s="42"/>
      <c r="E966" s="42"/>
      <c r="F966" s="42"/>
      <c r="G966" s="43"/>
      <c r="H966" s="43"/>
      <c r="I966" s="43"/>
      <c r="J966" s="43"/>
      <c r="K966" s="43"/>
      <c r="L966" s="43"/>
      <c r="M966" s="43"/>
      <c r="N966" s="43"/>
      <c r="O966" s="43"/>
      <c r="P966" s="41"/>
      <c r="Q966" s="41"/>
      <c r="R966" s="41"/>
      <c r="S966" s="44"/>
      <c r="T966" s="45"/>
      <c r="U966" s="45"/>
      <c r="V966" s="45"/>
      <c r="W966" s="45"/>
      <c r="X966" s="46"/>
      <c r="Y966" s="46"/>
      <c r="Z966" s="46"/>
      <c r="AA966" s="46"/>
      <c r="AB966" s="46"/>
      <c r="AC966" s="46"/>
      <c r="AD966" s="46"/>
      <c r="AE966" s="46"/>
      <c r="AF966" s="46"/>
      <c r="AG966" s="46"/>
    </row>
    <row r="967" spans="1:33" ht="13.5" customHeight="1">
      <c r="A967" s="46"/>
      <c r="B967" s="46"/>
      <c r="C967" s="41"/>
      <c r="D967" s="42"/>
      <c r="E967" s="42"/>
      <c r="F967" s="42"/>
      <c r="G967" s="43"/>
      <c r="H967" s="43"/>
      <c r="I967" s="43"/>
      <c r="J967" s="43"/>
      <c r="K967" s="43"/>
      <c r="L967" s="43"/>
      <c r="M967" s="43"/>
      <c r="N967" s="43"/>
      <c r="O967" s="43"/>
      <c r="P967" s="41"/>
      <c r="Q967" s="41"/>
      <c r="R967" s="41"/>
      <c r="S967" s="44"/>
      <c r="T967" s="45"/>
      <c r="U967" s="45"/>
      <c r="V967" s="45"/>
      <c r="W967" s="45"/>
      <c r="X967" s="46"/>
      <c r="Y967" s="46"/>
      <c r="Z967" s="46"/>
      <c r="AA967" s="46"/>
      <c r="AB967" s="46"/>
      <c r="AC967" s="46"/>
      <c r="AD967" s="46"/>
      <c r="AE967" s="46"/>
      <c r="AF967" s="46"/>
      <c r="AG967" s="46"/>
    </row>
    <row r="968" spans="1:33" ht="13.5" customHeight="1">
      <c r="A968" s="46"/>
      <c r="B968" s="46"/>
      <c r="C968" s="41"/>
      <c r="D968" s="42"/>
      <c r="E968" s="42"/>
      <c r="F968" s="42"/>
      <c r="G968" s="43"/>
      <c r="H968" s="43"/>
      <c r="I968" s="43"/>
      <c r="J968" s="43"/>
      <c r="K968" s="43"/>
      <c r="L968" s="43"/>
      <c r="M968" s="43"/>
      <c r="N968" s="43"/>
      <c r="O968" s="43"/>
      <c r="P968" s="41"/>
      <c r="Q968" s="41"/>
      <c r="R968" s="41"/>
      <c r="S968" s="44"/>
      <c r="T968" s="45"/>
      <c r="U968" s="45"/>
      <c r="V968" s="45"/>
      <c r="W968" s="45"/>
      <c r="X968" s="46"/>
      <c r="Y968" s="46"/>
      <c r="Z968" s="46"/>
      <c r="AA968" s="46"/>
      <c r="AB968" s="46"/>
      <c r="AC968" s="46"/>
      <c r="AD968" s="46"/>
      <c r="AE968" s="46"/>
      <c r="AF968" s="46"/>
      <c r="AG968" s="46"/>
    </row>
    <row r="969" spans="1:33" ht="13.5" customHeight="1">
      <c r="A969" s="46"/>
      <c r="B969" s="46"/>
      <c r="C969" s="41"/>
      <c r="D969" s="42"/>
      <c r="E969" s="42"/>
      <c r="F969" s="42"/>
      <c r="G969" s="43"/>
      <c r="H969" s="43"/>
      <c r="I969" s="43"/>
      <c r="J969" s="43"/>
      <c r="K969" s="43"/>
      <c r="L969" s="43"/>
      <c r="M969" s="43"/>
      <c r="N969" s="43"/>
      <c r="O969" s="43"/>
      <c r="P969" s="41"/>
      <c r="Q969" s="41"/>
      <c r="R969" s="41"/>
      <c r="S969" s="44"/>
      <c r="T969" s="45"/>
      <c r="U969" s="45"/>
      <c r="V969" s="45"/>
      <c r="W969" s="45"/>
      <c r="X969" s="46"/>
      <c r="Y969" s="46"/>
      <c r="Z969" s="46"/>
      <c r="AA969" s="46"/>
      <c r="AB969" s="46"/>
      <c r="AC969" s="46"/>
      <c r="AD969" s="46"/>
      <c r="AE969" s="46"/>
      <c r="AF969" s="46"/>
      <c r="AG969" s="46"/>
    </row>
    <row r="970" spans="1:33" ht="13.5" customHeight="1">
      <c r="A970" s="46"/>
      <c r="B970" s="46"/>
      <c r="C970" s="41"/>
      <c r="D970" s="42"/>
      <c r="E970" s="42"/>
      <c r="F970" s="42"/>
      <c r="G970" s="43"/>
      <c r="H970" s="43"/>
      <c r="I970" s="43"/>
      <c r="J970" s="43"/>
      <c r="K970" s="43"/>
      <c r="L970" s="43"/>
      <c r="M970" s="43"/>
      <c r="N970" s="43"/>
      <c r="O970" s="43"/>
      <c r="P970" s="41"/>
      <c r="Q970" s="41"/>
      <c r="R970" s="41"/>
      <c r="S970" s="44"/>
      <c r="T970" s="45"/>
      <c r="U970" s="45"/>
      <c r="V970" s="45"/>
      <c r="W970" s="45"/>
      <c r="X970" s="46"/>
      <c r="Y970" s="46"/>
      <c r="Z970" s="46"/>
      <c r="AA970" s="46"/>
      <c r="AB970" s="46"/>
      <c r="AC970" s="46"/>
      <c r="AD970" s="46"/>
      <c r="AE970" s="46"/>
      <c r="AF970" s="46"/>
      <c r="AG970" s="46"/>
    </row>
    <row r="971" spans="1:33" ht="13.5" customHeight="1">
      <c r="A971" s="46"/>
      <c r="B971" s="46"/>
      <c r="C971" s="41"/>
      <c r="D971" s="42"/>
      <c r="E971" s="42"/>
      <c r="F971" s="42"/>
      <c r="G971" s="43"/>
      <c r="H971" s="43"/>
      <c r="I971" s="43"/>
      <c r="J971" s="43"/>
      <c r="K971" s="43"/>
      <c r="L971" s="43"/>
      <c r="M971" s="43"/>
      <c r="N971" s="43"/>
      <c r="O971" s="43"/>
      <c r="P971" s="41"/>
      <c r="Q971" s="41"/>
      <c r="R971" s="41"/>
      <c r="S971" s="44"/>
      <c r="T971" s="45"/>
      <c r="U971" s="45"/>
      <c r="V971" s="45"/>
      <c r="W971" s="45"/>
      <c r="X971" s="46"/>
      <c r="Y971" s="46"/>
      <c r="Z971" s="46"/>
      <c r="AA971" s="46"/>
      <c r="AB971" s="46"/>
      <c r="AC971" s="46"/>
      <c r="AD971" s="46"/>
      <c r="AE971" s="46"/>
      <c r="AF971" s="46"/>
      <c r="AG971" s="46"/>
    </row>
    <row r="972" spans="1:33" ht="13.5" customHeight="1">
      <c r="A972" s="46"/>
      <c r="B972" s="46"/>
      <c r="C972" s="41"/>
      <c r="D972" s="42"/>
      <c r="E972" s="42"/>
      <c r="F972" s="42"/>
      <c r="G972" s="43"/>
      <c r="H972" s="43"/>
      <c r="I972" s="43"/>
      <c r="J972" s="43"/>
      <c r="K972" s="43"/>
      <c r="L972" s="43"/>
      <c r="M972" s="43"/>
      <c r="N972" s="43"/>
      <c r="O972" s="43"/>
      <c r="P972" s="41"/>
      <c r="Q972" s="41"/>
      <c r="R972" s="41"/>
      <c r="S972" s="44"/>
      <c r="T972" s="45"/>
      <c r="U972" s="45"/>
      <c r="V972" s="45"/>
      <c r="W972" s="45"/>
      <c r="X972" s="46"/>
      <c r="Y972" s="46"/>
      <c r="Z972" s="46"/>
      <c r="AA972" s="46"/>
      <c r="AB972" s="46"/>
      <c r="AC972" s="46"/>
      <c r="AD972" s="46"/>
      <c r="AE972" s="46"/>
      <c r="AF972" s="46"/>
      <c r="AG972" s="46"/>
    </row>
    <row r="973" spans="1:33" ht="13.5" customHeight="1">
      <c r="A973" s="46"/>
      <c r="B973" s="46"/>
      <c r="C973" s="41"/>
      <c r="D973" s="42"/>
      <c r="E973" s="42"/>
      <c r="F973" s="42"/>
      <c r="G973" s="43"/>
      <c r="H973" s="43"/>
      <c r="I973" s="43"/>
      <c r="J973" s="43"/>
      <c r="K973" s="43"/>
      <c r="L973" s="43"/>
      <c r="M973" s="43"/>
      <c r="N973" s="43"/>
      <c r="O973" s="43"/>
      <c r="P973" s="41"/>
      <c r="Q973" s="41"/>
      <c r="R973" s="41"/>
      <c r="S973" s="44"/>
      <c r="T973" s="45"/>
      <c r="U973" s="45"/>
      <c r="V973" s="45"/>
      <c r="W973" s="45"/>
      <c r="X973" s="46"/>
      <c r="Y973" s="46"/>
      <c r="Z973" s="46"/>
      <c r="AA973" s="46"/>
      <c r="AB973" s="46"/>
      <c r="AC973" s="46"/>
      <c r="AD973" s="46"/>
      <c r="AE973" s="46"/>
      <c r="AF973" s="46"/>
      <c r="AG973" s="46"/>
    </row>
    <row r="974" spans="1:33" ht="13.5" customHeight="1">
      <c r="A974" s="46"/>
      <c r="B974" s="46"/>
      <c r="C974" s="41"/>
      <c r="D974" s="42"/>
      <c r="E974" s="42"/>
      <c r="F974" s="42"/>
      <c r="G974" s="43"/>
      <c r="H974" s="43"/>
      <c r="I974" s="43"/>
      <c r="J974" s="43"/>
      <c r="K974" s="43"/>
      <c r="L974" s="43"/>
      <c r="M974" s="43"/>
      <c r="N974" s="43"/>
      <c r="O974" s="43"/>
      <c r="P974" s="41"/>
      <c r="Q974" s="41"/>
      <c r="R974" s="41"/>
      <c r="S974" s="44"/>
      <c r="T974" s="45"/>
      <c r="U974" s="45"/>
      <c r="V974" s="45"/>
      <c r="W974" s="45"/>
      <c r="X974" s="46"/>
      <c r="Y974" s="46"/>
      <c r="Z974" s="46"/>
      <c r="AA974" s="46"/>
      <c r="AB974" s="46"/>
      <c r="AC974" s="46"/>
      <c r="AD974" s="46"/>
      <c r="AE974" s="46"/>
      <c r="AF974" s="46"/>
      <c r="AG974" s="46"/>
    </row>
    <row r="975" spans="1:33" ht="13.5" customHeight="1">
      <c r="A975" s="46"/>
      <c r="B975" s="46"/>
      <c r="C975" s="41"/>
      <c r="D975" s="42"/>
      <c r="E975" s="42"/>
      <c r="F975" s="42"/>
      <c r="G975" s="43"/>
      <c r="H975" s="43"/>
      <c r="I975" s="43"/>
      <c r="J975" s="43"/>
      <c r="K975" s="43"/>
      <c r="L975" s="43"/>
      <c r="M975" s="43"/>
      <c r="N975" s="43"/>
      <c r="O975" s="43"/>
      <c r="P975" s="41"/>
      <c r="Q975" s="41"/>
      <c r="R975" s="41"/>
      <c r="S975" s="44"/>
      <c r="T975" s="45"/>
      <c r="U975" s="45"/>
      <c r="V975" s="45"/>
      <c r="W975" s="45"/>
      <c r="X975" s="46"/>
      <c r="Y975" s="46"/>
      <c r="Z975" s="46"/>
      <c r="AA975" s="46"/>
      <c r="AB975" s="46"/>
      <c r="AC975" s="46"/>
      <c r="AD975" s="46"/>
      <c r="AE975" s="46"/>
      <c r="AF975" s="46"/>
      <c r="AG975" s="46"/>
    </row>
    <row r="976" spans="1:33" ht="13.5" customHeight="1">
      <c r="A976" s="46"/>
      <c r="B976" s="46"/>
      <c r="C976" s="41"/>
      <c r="D976" s="42"/>
      <c r="E976" s="42"/>
      <c r="F976" s="42"/>
      <c r="G976" s="43"/>
      <c r="H976" s="43"/>
      <c r="I976" s="43"/>
      <c r="J976" s="43"/>
      <c r="K976" s="43"/>
      <c r="L976" s="43"/>
      <c r="M976" s="43"/>
      <c r="N976" s="43"/>
      <c r="O976" s="43"/>
      <c r="P976" s="41"/>
      <c r="Q976" s="41"/>
      <c r="R976" s="41"/>
      <c r="S976" s="44"/>
      <c r="T976" s="45"/>
      <c r="U976" s="45"/>
      <c r="V976" s="45"/>
      <c r="W976" s="45"/>
      <c r="X976" s="46"/>
      <c r="Y976" s="46"/>
      <c r="Z976" s="46"/>
      <c r="AA976" s="46"/>
      <c r="AB976" s="46"/>
      <c r="AC976" s="46"/>
      <c r="AD976" s="46"/>
      <c r="AE976" s="46"/>
      <c r="AF976" s="46"/>
      <c r="AG976" s="46"/>
    </row>
    <row r="977" spans="1:33" ht="13.5" customHeight="1">
      <c r="A977" s="46"/>
      <c r="B977" s="46"/>
      <c r="C977" s="41"/>
      <c r="D977" s="42"/>
      <c r="E977" s="42"/>
      <c r="F977" s="42"/>
      <c r="G977" s="43"/>
      <c r="H977" s="43"/>
      <c r="I977" s="43"/>
      <c r="J977" s="43"/>
      <c r="K977" s="43"/>
      <c r="L977" s="43"/>
      <c r="M977" s="43"/>
      <c r="N977" s="43"/>
      <c r="O977" s="43"/>
      <c r="P977" s="41"/>
      <c r="Q977" s="41"/>
      <c r="R977" s="41"/>
      <c r="S977" s="44"/>
      <c r="T977" s="45"/>
      <c r="U977" s="45"/>
      <c r="V977" s="45"/>
      <c r="W977" s="45"/>
      <c r="X977" s="46"/>
      <c r="Y977" s="46"/>
      <c r="Z977" s="46"/>
      <c r="AA977" s="46"/>
      <c r="AB977" s="46"/>
      <c r="AC977" s="46"/>
      <c r="AD977" s="46"/>
      <c r="AE977" s="46"/>
      <c r="AF977" s="46"/>
      <c r="AG977" s="46"/>
    </row>
    <row r="978" spans="1:33" ht="13.5" customHeight="1">
      <c r="A978" s="46"/>
      <c r="B978" s="46"/>
      <c r="C978" s="41"/>
      <c r="D978" s="42"/>
      <c r="E978" s="42"/>
      <c r="F978" s="42"/>
      <c r="G978" s="43"/>
      <c r="H978" s="43"/>
      <c r="I978" s="43"/>
      <c r="J978" s="43"/>
      <c r="K978" s="43"/>
      <c r="L978" s="43"/>
      <c r="M978" s="43"/>
      <c r="N978" s="43"/>
      <c r="O978" s="43"/>
      <c r="P978" s="41"/>
      <c r="Q978" s="41"/>
      <c r="R978" s="41"/>
      <c r="S978" s="44"/>
      <c r="T978" s="45"/>
      <c r="U978" s="45"/>
      <c r="V978" s="45"/>
      <c r="W978" s="45"/>
      <c r="X978" s="46"/>
      <c r="Y978" s="46"/>
      <c r="Z978" s="46"/>
      <c r="AA978" s="46"/>
      <c r="AB978" s="46"/>
      <c r="AC978" s="46"/>
      <c r="AD978" s="46"/>
      <c r="AE978" s="46"/>
      <c r="AF978" s="46"/>
      <c r="AG978" s="46"/>
    </row>
    <row r="979" spans="1:33" ht="13.5" customHeight="1">
      <c r="A979" s="46"/>
      <c r="B979" s="46"/>
      <c r="C979" s="41"/>
      <c r="D979" s="42"/>
      <c r="E979" s="42"/>
      <c r="F979" s="42"/>
      <c r="G979" s="43"/>
      <c r="H979" s="43"/>
      <c r="I979" s="43"/>
      <c r="J979" s="43"/>
      <c r="K979" s="43"/>
      <c r="L979" s="43"/>
      <c r="M979" s="43"/>
      <c r="N979" s="43"/>
      <c r="O979" s="43"/>
      <c r="P979" s="41"/>
      <c r="Q979" s="41"/>
      <c r="R979" s="41"/>
      <c r="S979" s="44"/>
      <c r="T979" s="45"/>
      <c r="U979" s="45"/>
      <c r="V979" s="45"/>
      <c r="W979" s="45"/>
      <c r="X979" s="46"/>
      <c r="Y979" s="46"/>
      <c r="Z979" s="46"/>
      <c r="AA979" s="46"/>
      <c r="AB979" s="46"/>
      <c r="AC979" s="46"/>
      <c r="AD979" s="46"/>
      <c r="AE979" s="46"/>
      <c r="AF979" s="46"/>
      <c r="AG979" s="46"/>
    </row>
    <row r="980" spans="1:33" ht="13.5" customHeight="1">
      <c r="A980" s="46"/>
      <c r="B980" s="46"/>
      <c r="C980" s="41"/>
      <c r="D980" s="42"/>
      <c r="E980" s="42"/>
      <c r="F980" s="42"/>
      <c r="G980" s="43"/>
      <c r="H980" s="43"/>
      <c r="I980" s="43"/>
      <c r="J980" s="43"/>
      <c r="K980" s="43"/>
      <c r="L980" s="43"/>
      <c r="M980" s="43"/>
      <c r="N980" s="43"/>
      <c r="O980" s="43"/>
      <c r="P980" s="41"/>
      <c r="Q980" s="41"/>
      <c r="R980" s="41"/>
      <c r="S980" s="44"/>
      <c r="T980" s="45"/>
      <c r="U980" s="45"/>
      <c r="V980" s="45"/>
      <c r="W980" s="45"/>
      <c r="X980" s="46"/>
      <c r="Y980" s="46"/>
      <c r="Z980" s="46"/>
      <c r="AA980" s="46"/>
      <c r="AB980" s="46"/>
      <c r="AC980" s="46"/>
      <c r="AD980" s="46"/>
      <c r="AE980" s="46"/>
      <c r="AF980" s="46"/>
      <c r="AG980" s="46"/>
    </row>
    <row r="981" spans="1:33" ht="13.5" customHeight="1">
      <c r="A981" s="46"/>
      <c r="B981" s="46"/>
      <c r="C981" s="41"/>
      <c r="D981" s="42"/>
      <c r="E981" s="42"/>
      <c r="F981" s="42"/>
      <c r="G981" s="43"/>
      <c r="H981" s="43"/>
      <c r="I981" s="43"/>
      <c r="J981" s="43"/>
      <c r="K981" s="43"/>
      <c r="L981" s="43"/>
      <c r="M981" s="43"/>
      <c r="N981" s="43"/>
      <c r="O981" s="43"/>
      <c r="P981" s="41"/>
      <c r="Q981" s="41"/>
      <c r="R981" s="41"/>
      <c r="S981" s="44"/>
      <c r="T981" s="45"/>
      <c r="U981" s="45"/>
      <c r="V981" s="45"/>
      <c r="W981" s="45"/>
      <c r="X981" s="46"/>
      <c r="Y981" s="46"/>
      <c r="Z981" s="46"/>
      <c r="AA981" s="46"/>
      <c r="AB981" s="46"/>
      <c r="AC981" s="46"/>
      <c r="AD981" s="46"/>
      <c r="AE981" s="46"/>
      <c r="AF981" s="46"/>
      <c r="AG981" s="46"/>
    </row>
    <row r="982" spans="1:33" ht="13.5" customHeight="1">
      <c r="A982" s="46"/>
      <c r="B982" s="46"/>
      <c r="C982" s="41"/>
      <c r="D982" s="42"/>
      <c r="E982" s="42"/>
      <c r="F982" s="42"/>
      <c r="G982" s="43"/>
      <c r="H982" s="43"/>
      <c r="I982" s="43"/>
      <c r="J982" s="43"/>
      <c r="K982" s="43"/>
      <c r="L982" s="43"/>
      <c r="M982" s="43"/>
      <c r="N982" s="43"/>
      <c r="O982" s="43"/>
      <c r="P982" s="41"/>
      <c r="Q982" s="41"/>
      <c r="R982" s="41"/>
      <c r="S982" s="44"/>
      <c r="T982" s="45"/>
      <c r="U982" s="45"/>
      <c r="V982" s="45"/>
      <c r="W982" s="45"/>
      <c r="X982" s="46"/>
      <c r="Y982" s="46"/>
      <c r="Z982" s="46"/>
      <c r="AA982" s="46"/>
      <c r="AB982" s="46"/>
      <c r="AC982" s="46"/>
      <c r="AD982" s="46"/>
      <c r="AE982" s="46"/>
      <c r="AF982" s="46"/>
      <c r="AG982" s="46"/>
    </row>
    <row r="983" spans="1:33" ht="13.5" customHeight="1">
      <c r="A983" s="46"/>
      <c r="B983" s="46"/>
      <c r="C983" s="41"/>
      <c r="D983" s="42"/>
      <c r="E983" s="42"/>
      <c r="F983" s="42"/>
      <c r="G983" s="43"/>
      <c r="H983" s="43"/>
      <c r="I983" s="43"/>
      <c r="J983" s="43"/>
      <c r="K983" s="43"/>
      <c r="L983" s="43"/>
      <c r="M983" s="43"/>
      <c r="N983" s="43"/>
      <c r="O983" s="43"/>
      <c r="P983" s="41"/>
      <c r="Q983" s="41"/>
      <c r="R983" s="41"/>
      <c r="S983" s="44"/>
      <c r="T983" s="45"/>
      <c r="U983" s="45"/>
      <c r="V983" s="45"/>
      <c r="W983" s="45"/>
      <c r="X983" s="46"/>
      <c r="Y983" s="46"/>
      <c r="Z983" s="46"/>
      <c r="AA983" s="46"/>
      <c r="AB983" s="46"/>
      <c r="AC983" s="46"/>
      <c r="AD983" s="46"/>
      <c r="AE983" s="46"/>
      <c r="AF983" s="46"/>
      <c r="AG983" s="46"/>
    </row>
    <row r="984" spans="1:33" ht="13.5" customHeight="1">
      <c r="A984" s="46"/>
      <c r="B984" s="46"/>
      <c r="C984" s="41"/>
      <c r="D984" s="42"/>
      <c r="E984" s="42"/>
      <c r="F984" s="42"/>
      <c r="G984" s="43"/>
      <c r="H984" s="43"/>
      <c r="I984" s="43"/>
      <c r="J984" s="43"/>
      <c r="K984" s="43"/>
      <c r="L984" s="43"/>
      <c r="M984" s="43"/>
      <c r="N984" s="43"/>
      <c r="O984" s="43"/>
      <c r="P984" s="41"/>
      <c r="Q984" s="41"/>
      <c r="R984" s="41"/>
      <c r="S984" s="44"/>
      <c r="T984" s="45"/>
      <c r="U984" s="45"/>
      <c r="V984" s="45"/>
      <c r="W984" s="45"/>
      <c r="X984" s="46"/>
      <c r="Y984" s="46"/>
      <c r="Z984" s="46"/>
      <c r="AA984" s="46"/>
      <c r="AB984" s="46"/>
      <c r="AC984" s="46"/>
      <c r="AD984" s="46"/>
      <c r="AE984" s="46"/>
      <c r="AF984" s="46"/>
      <c r="AG984" s="46"/>
    </row>
    <row r="985" spans="1:33" ht="13.5" customHeight="1">
      <c r="A985" s="46"/>
      <c r="B985" s="46"/>
      <c r="C985" s="41"/>
      <c r="D985" s="42"/>
      <c r="E985" s="42"/>
      <c r="F985" s="42"/>
      <c r="G985" s="43"/>
      <c r="H985" s="43"/>
      <c r="I985" s="43"/>
      <c r="J985" s="43"/>
      <c r="K985" s="43"/>
      <c r="L985" s="43"/>
      <c r="M985" s="43"/>
      <c r="N985" s="43"/>
      <c r="O985" s="43"/>
      <c r="P985" s="41"/>
      <c r="Q985" s="41"/>
      <c r="R985" s="41"/>
      <c r="S985" s="44"/>
      <c r="T985" s="45"/>
      <c r="U985" s="45"/>
      <c r="V985" s="45"/>
      <c r="W985" s="45"/>
      <c r="X985" s="46"/>
      <c r="Y985" s="46"/>
      <c r="Z985" s="46"/>
      <c r="AA985" s="46"/>
      <c r="AB985" s="46"/>
      <c r="AC985" s="46"/>
      <c r="AD985" s="46"/>
      <c r="AE985" s="46"/>
      <c r="AF985" s="46"/>
      <c r="AG985" s="46"/>
    </row>
    <row r="986" spans="1:33" ht="13.5" customHeight="1">
      <c r="A986" s="46"/>
      <c r="B986" s="46"/>
      <c r="C986" s="41"/>
      <c r="D986" s="42"/>
      <c r="E986" s="42"/>
      <c r="F986" s="42"/>
      <c r="G986" s="43"/>
      <c r="H986" s="43"/>
      <c r="I986" s="43"/>
      <c r="J986" s="43"/>
      <c r="K986" s="43"/>
      <c r="L986" s="43"/>
      <c r="M986" s="43"/>
      <c r="N986" s="43"/>
      <c r="O986" s="43"/>
      <c r="P986" s="41"/>
      <c r="Q986" s="41"/>
      <c r="R986" s="41"/>
      <c r="S986" s="44"/>
      <c r="T986" s="45"/>
      <c r="U986" s="45"/>
      <c r="V986" s="45"/>
      <c r="W986" s="45"/>
      <c r="X986" s="46"/>
      <c r="Y986" s="46"/>
      <c r="Z986" s="46"/>
      <c r="AA986" s="46"/>
      <c r="AB986" s="46"/>
      <c r="AC986" s="46"/>
      <c r="AD986" s="46"/>
      <c r="AE986" s="46"/>
      <c r="AF986" s="46"/>
      <c r="AG986" s="46"/>
    </row>
    <row r="987" spans="1:33" ht="13.5" customHeight="1">
      <c r="A987" s="46"/>
      <c r="B987" s="46"/>
      <c r="C987" s="41"/>
      <c r="D987" s="42"/>
      <c r="E987" s="42"/>
      <c r="F987" s="42"/>
      <c r="G987" s="43"/>
      <c r="H987" s="43"/>
      <c r="I987" s="43"/>
      <c r="J987" s="43"/>
      <c r="K987" s="43"/>
      <c r="L987" s="43"/>
      <c r="M987" s="43"/>
      <c r="N987" s="43"/>
      <c r="O987" s="43"/>
      <c r="P987" s="41"/>
      <c r="Q987" s="41"/>
      <c r="R987" s="41"/>
      <c r="S987" s="44"/>
      <c r="T987" s="45"/>
      <c r="U987" s="45"/>
      <c r="V987" s="45"/>
      <c r="W987" s="45"/>
      <c r="X987" s="46"/>
      <c r="Y987" s="46"/>
      <c r="Z987" s="46"/>
      <c r="AA987" s="46"/>
      <c r="AB987" s="46"/>
      <c r="AC987" s="46"/>
      <c r="AD987" s="46"/>
      <c r="AE987" s="46"/>
      <c r="AF987" s="46"/>
      <c r="AG987" s="46"/>
    </row>
    <row r="988" spans="1:33" ht="13.5" customHeight="1">
      <c r="A988" s="46"/>
      <c r="B988" s="46"/>
      <c r="C988" s="41"/>
      <c r="D988" s="42"/>
      <c r="E988" s="42"/>
      <c r="F988" s="42"/>
      <c r="G988" s="43"/>
      <c r="H988" s="43"/>
      <c r="I988" s="43"/>
      <c r="J988" s="43"/>
      <c r="K988" s="43"/>
      <c r="L988" s="43"/>
      <c r="M988" s="43"/>
      <c r="N988" s="43"/>
      <c r="O988" s="43"/>
      <c r="P988" s="41"/>
      <c r="Q988" s="41"/>
      <c r="R988" s="41"/>
      <c r="S988" s="44"/>
      <c r="T988" s="45"/>
      <c r="U988" s="45"/>
      <c r="V988" s="45"/>
      <c r="W988" s="45"/>
      <c r="X988" s="46"/>
      <c r="Y988" s="46"/>
      <c r="Z988" s="46"/>
      <c r="AA988" s="46"/>
      <c r="AB988" s="46"/>
      <c r="AC988" s="46"/>
      <c r="AD988" s="46"/>
      <c r="AE988" s="46"/>
      <c r="AF988" s="46"/>
      <c r="AG988" s="46"/>
    </row>
    <row r="989" spans="1:33" ht="13.5" customHeight="1">
      <c r="A989" s="46"/>
      <c r="B989" s="46"/>
      <c r="C989" s="41"/>
      <c r="D989" s="42"/>
      <c r="E989" s="42"/>
      <c r="F989" s="42"/>
      <c r="G989" s="43"/>
      <c r="H989" s="43"/>
      <c r="I989" s="43"/>
      <c r="J989" s="43"/>
      <c r="K989" s="43"/>
      <c r="L989" s="43"/>
      <c r="M989" s="43"/>
      <c r="N989" s="43"/>
      <c r="O989" s="43"/>
      <c r="P989" s="41"/>
      <c r="Q989" s="41"/>
      <c r="R989" s="41"/>
      <c r="S989" s="44"/>
      <c r="T989" s="45"/>
      <c r="U989" s="45"/>
      <c r="V989" s="45"/>
      <c r="W989" s="45"/>
      <c r="X989" s="46"/>
      <c r="Y989" s="46"/>
      <c r="Z989" s="46"/>
      <c r="AA989" s="46"/>
      <c r="AB989" s="46"/>
      <c r="AC989" s="46"/>
      <c r="AD989" s="46"/>
      <c r="AE989" s="46"/>
      <c r="AF989" s="46"/>
      <c r="AG989" s="46"/>
    </row>
    <row r="990" spans="1:33" ht="13.5" customHeight="1">
      <c r="A990" s="46"/>
      <c r="B990" s="46"/>
      <c r="C990" s="41"/>
      <c r="D990" s="42"/>
      <c r="E990" s="42"/>
      <c r="F990" s="42"/>
      <c r="G990" s="43"/>
      <c r="H990" s="43"/>
      <c r="I990" s="43"/>
      <c r="J990" s="43"/>
      <c r="K990" s="43"/>
      <c r="L990" s="43"/>
      <c r="M990" s="43"/>
      <c r="N990" s="43"/>
      <c r="O990" s="43"/>
      <c r="P990" s="41"/>
      <c r="Q990" s="41"/>
      <c r="R990" s="41"/>
      <c r="S990" s="44"/>
      <c r="T990" s="45"/>
      <c r="U990" s="45"/>
      <c r="V990" s="45"/>
      <c r="W990" s="45"/>
      <c r="X990" s="46"/>
      <c r="Y990" s="46"/>
      <c r="Z990" s="46"/>
      <c r="AA990" s="46"/>
      <c r="AB990" s="46"/>
      <c r="AC990" s="46"/>
      <c r="AD990" s="46"/>
      <c r="AE990" s="46"/>
      <c r="AF990" s="46"/>
      <c r="AG990" s="46"/>
    </row>
    <row r="991" spans="1:33" ht="13.5" customHeight="1">
      <c r="A991" s="46"/>
      <c r="B991" s="46"/>
      <c r="C991" s="41"/>
      <c r="D991" s="42"/>
      <c r="E991" s="42"/>
      <c r="F991" s="42"/>
      <c r="G991" s="43"/>
      <c r="H991" s="43"/>
      <c r="I991" s="43"/>
      <c r="J991" s="43"/>
      <c r="K991" s="43"/>
      <c r="L991" s="43"/>
      <c r="M991" s="43"/>
      <c r="N991" s="43"/>
      <c r="O991" s="43"/>
      <c r="P991" s="41"/>
      <c r="Q991" s="41"/>
      <c r="R991" s="41"/>
      <c r="S991" s="44"/>
      <c r="T991" s="45"/>
      <c r="U991" s="45"/>
      <c r="V991" s="45"/>
      <c r="W991" s="45"/>
      <c r="X991" s="46"/>
      <c r="Y991" s="46"/>
      <c r="Z991" s="46"/>
      <c r="AA991" s="46"/>
      <c r="AB991" s="46"/>
      <c r="AC991" s="46"/>
      <c r="AD991" s="46"/>
      <c r="AE991" s="46"/>
      <c r="AF991" s="46"/>
      <c r="AG991" s="46"/>
    </row>
    <row r="992" spans="1:33" ht="13.5" customHeight="1">
      <c r="A992" s="46"/>
      <c r="B992" s="46"/>
      <c r="C992" s="41"/>
      <c r="D992" s="42"/>
      <c r="E992" s="42"/>
      <c r="F992" s="42"/>
      <c r="G992" s="43"/>
      <c r="H992" s="43"/>
      <c r="I992" s="43"/>
      <c r="J992" s="43"/>
      <c r="K992" s="43"/>
      <c r="L992" s="43"/>
      <c r="M992" s="43"/>
      <c r="N992" s="43"/>
      <c r="O992" s="43"/>
      <c r="P992" s="41"/>
      <c r="Q992" s="41"/>
      <c r="R992" s="41"/>
      <c r="S992" s="44"/>
      <c r="T992" s="45"/>
      <c r="U992" s="45"/>
      <c r="V992" s="45"/>
      <c r="W992" s="45"/>
      <c r="X992" s="46"/>
      <c r="Y992" s="46"/>
      <c r="Z992" s="46"/>
      <c r="AA992" s="46"/>
      <c r="AB992" s="46"/>
      <c r="AC992" s="46"/>
      <c r="AD992" s="46"/>
      <c r="AE992" s="46"/>
      <c r="AF992" s="46"/>
      <c r="AG992" s="46"/>
    </row>
    <row r="993" spans="1:33" ht="13.5" customHeight="1">
      <c r="A993" s="46"/>
      <c r="B993" s="46"/>
      <c r="C993" s="41"/>
      <c r="D993" s="42"/>
      <c r="E993" s="42"/>
      <c r="F993" s="42"/>
      <c r="G993" s="43"/>
      <c r="H993" s="43"/>
      <c r="I993" s="43"/>
      <c r="J993" s="43"/>
      <c r="K993" s="43"/>
      <c r="L993" s="43"/>
      <c r="M993" s="43"/>
      <c r="N993" s="43"/>
      <c r="O993" s="43"/>
      <c r="P993" s="41"/>
      <c r="Q993" s="41"/>
      <c r="R993" s="41"/>
      <c r="S993" s="44"/>
      <c r="T993" s="45"/>
      <c r="U993" s="45"/>
      <c r="V993" s="45"/>
      <c r="W993" s="45"/>
      <c r="X993" s="46"/>
      <c r="Y993" s="46"/>
      <c r="Z993" s="46"/>
      <c r="AA993" s="46"/>
      <c r="AB993" s="46"/>
      <c r="AC993" s="46"/>
      <c r="AD993" s="46"/>
      <c r="AE993" s="46"/>
      <c r="AF993" s="46"/>
      <c r="AG993" s="46"/>
    </row>
    <row r="994" spans="1:33" ht="13.5" customHeight="1">
      <c r="A994" s="46"/>
      <c r="B994" s="46"/>
      <c r="C994" s="41"/>
      <c r="D994" s="42"/>
      <c r="E994" s="42"/>
      <c r="F994" s="42"/>
      <c r="G994" s="43"/>
      <c r="H994" s="43"/>
      <c r="I994" s="43"/>
      <c r="J994" s="43"/>
      <c r="K994" s="43"/>
      <c r="L994" s="43"/>
      <c r="M994" s="43"/>
      <c r="N994" s="43"/>
      <c r="O994" s="43"/>
      <c r="P994" s="41"/>
      <c r="Q994" s="41"/>
      <c r="R994" s="41"/>
      <c r="S994" s="44"/>
      <c r="T994" s="45"/>
      <c r="U994" s="45"/>
      <c r="V994" s="45"/>
      <c r="W994" s="45"/>
      <c r="X994" s="46"/>
      <c r="Y994" s="46"/>
      <c r="Z994" s="46"/>
      <c r="AA994" s="46"/>
      <c r="AB994" s="46"/>
      <c r="AC994" s="46"/>
      <c r="AD994" s="46"/>
      <c r="AE994" s="46"/>
      <c r="AF994" s="46"/>
      <c r="AG994" s="46"/>
    </row>
    <row r="995" spans="1:33" ht="13.5" customHeight="1">
      <c r="A995" s="46"/>
      <c r="B995" s="46"/>
      <c r="C995" s="41"/>
      <c r="D995" s="42"/>
      <c r="E995" s="42"/>
      <c r="F995" s="42"/>
      <c r="G995" s="43"/>
      <c r="H995" s="43"/>
      <c r="I995" s="43"/>
      <c r="J995" s="43"/>
      <c r="K995" s="43"/>
      <c r="L995" s="43"/>
      <c r="M995" s="43"/>
      <c r="N995" s="43"/>
      <c r="O995" s="43"/>
      <c r="P995" s="41"/>
      <c r="Q995" s="41"/>
      <c r="R995" s="41"/>
      <c r="S995" s="44"/>
      <c r="T995" s="45"/>
      <c r="U995" s="45"/>
      <c r="V995" s="45"/>
      <c r="W995" s="45"/>
      <c r="X995" s="46"/>
      <c r="Y995" s="46"/>
      <c r="Z995" s="46"/>
      <c r="AA995" s="46"/>
      <c r="AB995" s="46"/>
      <c r="AC995" s="46"/>
      <c r="AD995" s="46"/>
      <c r="AE995" s="46"/>
      <c r="AF995" s="46"/>
      <c r="AG995" s="46"/>
    </row>
    <row r="996" spans="1:33" ht="13.5" customHeight="1">
      <c r="A996" s="46"/>
      <c r="B996" s="46"/>
      <c r="C996" s="41"/>
      <c r="D996" s="42"/>
      <c r="E996" s="42"/>
      <c r="F996" s="42"/>
      <c r="G996" s="43"/>
      <c r="H996" s="43"/>
      <c r="I996" s="43"/>
      <c r="J996" s="43"/>
      <c r="K996" s="43"/>
      <c r="L996" s="43"/>
      <c r="M996" s="43"/>
      <c r="N996" s="43"/>
      <c r="O996" s="43"/>
      <c r="P996" s="41"/>
      <c r="Q996" s="41"/>
      <c r="R996" s="41"/>
      <c r="S996" s="44"/>
      <c r="T996" s="45"/>
      <c r="U996" s="45"/>
      <c r="V996" s="45"/>
      <c r="W996" s="45"/>
      <c r="X996" s="46"/>
      <c r="Y996" s="46"/>
      <c r="Z996" s="46"/>
      <c r="AA996" s="46"/>
      <c r="AB996" s="46"/>
      <c r="AC996" s="46"/>
      <c r="AD996" s="46"/>
      <c r="AE996" s="46"/>
      <c r="AF996" s="46"/>
      <c r="AG996" s="46"/>
    </row>
    <row r="997" spans="1:33" ht="13.5" customHeight="1">
      <c r="A997" s="46"/>
      <c r="B997" s="46"/>
      <c r="C997" s="41"/>
      <c r="D997" s="42"/>
      <c r="E997" s="42"/>
      <c r="F997" s="42"/>
      <c r="G997" s="43"/>
      <c r="H997" s="43"/>
      <c r="I997" s="43"/>
      <c r="J997" s="43"/>
      <c r="K997" s="43"/>
      <c r="L997" s="43"/>
      <c r="M997" s="43"/>
      <c r="N997" s="43"/>
      <c r="O997" s="43"/>
      <c r="P997" s="41"/>
      <c r="Q997" s="41"/>
      <c r="R997" s="41"/>
      <c r="S997" s="44"/>
      <c r="T997" s="45"/>
      <c r="U997" s="45"/>
      <c r="V997" s="45"/>
      <c r="W997" s="45"/>
      <c r="X997" s="46"/>
      <c r="Y997" s="46"/>
      <c r="Z997" s="46"/>
      <c r="AA997" s="46"/>
      <c r="AB997" s="46"/>
      <c r="AC997" s="46"/>
      <c r="AD997" s="46"/>
      <c r="AE997" s="46"/>
      <c r="AF997" s="46"/>
      <c r="AG997" s="46"/>
    </row>
    <row r="998" spans="1:33" ht="13.5" customHeight="1">
      <c r="A998" s="46"/>
      <c r="B998" s="46"/>
      <c r="C998" s="41"/>
      <c r="D998" s="42"/>
      <c r="E998" s="42"/>
      <c r="F998" s="42"/>
      <c r="G998" s="43"/>
      <c r="H998" s="43"/>
      <c r="I998" s="43"/>
      <c r="J998" s="43"/>
      <c r="K998" s="43"/>
      <c r="L998" s="43"/>
      <c r="M998" s="43"/>
      <c r="N998" s="43"/>
      <c r="O998" s="43"/>
      <c r="P998" s="41"/>
      <c r="Q998" s="41"/>
      <c r="R998" s="41"/>
      <c r="S998" s="44"/>
      <c r="T998" s="45"/>
      <c r="U998" s="45"/>
      <c r="V998" s="45"/>
      <c r="W998" s="45"/>
      <c r="X998" s="46"/>
      <c r="Y998" s="46"/>
      <c r="Z998" s="46"/>
      <c r="AA998" s="46"/>
      <c r="AB998" s="46"/>
      <c r="AC998" s="46"/>
      <c r="AD998" s="46"/>
      <c r="AE998" s="46"/>
      <c r="AF998" s="46"/>
      <c r="AG998" s="46"/>
    </row>
    <row r="999" spans="1:33" ht="13.5" customHeight="1">
      <c r="A999" s="46"/>
      <c r="B999" s="46"/>
      <c r="C999" s="41"/>
      <c r="D999" s="42"/>
      <c r="E999" s="42"/>
      <c r="F999" s="42"/>
      <c r="G999" s="43"/>
      <c r="H999" s="43"/>
      <c r="I999" s="43"/>
      <c r="J999" s="43"/>
      <c r="K999" s="43"/>
      <c r="L999" s="43"/>
      <c r="M999" s="43"/>
      <c r="N999" s="43"/>
      <c r="O999" s="43"/>
      <c r="P999" s="41"/>
      <c r="Q999" s="41"/>
      <c r="R999" s="41"/>
      <c r="S999" s="44"/>
      <c r="T999" s="45"/>
      <c r="U999" s="45"/>
      <c r="V999" s="45"/>
      <c r="W999" s="45"/>
      <c r="X999" s="46"/>
      <c r="Y999" s="46"/>
      <c r="Z999" s="46"/>
      <c r="AA999" s="46"/>
      <c r="AB999" s="46"/>
      <c r="AC999" s="46"/>
      <c r="AD999" s="46"/>
      <c r="AE999" s="46"/>
      <c r="AF999" s="46"/>
      <c r="AG999" s="46"/>
    </row>
    <row r="1000" spans="1:33" ht="13.5" customHeight="1">
      <c r="A1000" s="46"/>
      <c r="B1000" s="46"/>
      <c r="C1000" s="41"/>
      <c r="D1000" s="42"/>
      <c r="E1000" s="42"/>
      <c r="F1000" s="42"/>
      <c r="G1000" s="43"/>
      <c r="H1000" s="43"/>
      <c r="I1000" s="43"/>
      <c r="J1000" s="43"/>
      <c r="K1000" s="43"/>
      <c r="L1000" s="43"/>
      <c r="M1000" s="43"/>
      <c r="N1000" s="43"/>
      <c r="O1000" s="43"/>
      <c r="P1000" s="41"/>
      <c r="Q1000" s="41"/>
      <c r="R1000" s="41"/>
      <c r="S1000" s="44"/>
      <c r="T1000" s="45"/>
      <c r="U1000" s="45"/>
      <c r="V1000" s="45"/>
      <c r="W1000" s="45"/>
      <c r="X1000" s="46"/>
      <c r="Y1000" s="46"/>
      <c r="Z1000" s="46"/>
      <c r="AA1000" s="46"/>
      <c r="AB1000" s="46"/>
      <c r="AC1000" s="46"/>
      <c r="AD1000" s="46"/>
      <c r="AE1000" s="46"/>
      <c r="AF1000" s="46"/>
      <c r="AG1000" s="46"/>
    </row>
    <row r="1001" spans="1:33" ht="13.5" customHeight="1">
      <c r="A1001" s="46"/>
      <c r="B1001" s="46"/>
      <c r="C1001" s="41"/>
      <c r="D1001" s="42"/>
      <c r="E1001" s="42"/>
      <c r="F1001" s="42"/>
      <c r="G1001" s="43"/>
      <c r="H1001" s="43"/>
      <c r="I1001" s="43"/>
      <c r="J1001" s="43"/>
      <c r="K1001" s="43"/>
      <c r="L1001" s="43"/>
      <c r="M1001" s="43"/>
      <c r="N1001" s="43"/>
      <c r="O1001" s="43"/>
      <c r="P1001" s="41"/>
      <c r="Q1001" s="41"/>
      <c r="R1001" s="41"/>
      <c r="S1001" s="44"/>
      <c r="T1001" s="45"/>
      <c r="U1001" s="45"/>
      <c r="V1001" s="45"/>
      <c r="W1001" s="45"/>
      <c r="X1001" s="46"/>
      <c r="Y1001" s="46"/>
      <c r="Z1001" s="46"/>
      <c r="AA1001" s="46"/>
      <c r="AB1001" s="46"/>
      <c r="AC1001" s="46"/>
      <c r="AD1001" s="46"/>
      <c r="AE1001" s="46"/>
      <c r="AF1001" s="46"/>
      <c r="AG1001" s="46"/>
    </row>
    <row r="1002" spans="1:33" ht="13.5" customHeight="1">
      <c r="A1002" s="46"/>
      <c r="B1002" s="46"/>
      <c r="C1002" s="41"/>
      <c r="D1002" s="42"/>
      <c r="E1002" s="42"/>
      <c r="F1002" s="42"/>
      <c r="G1002" s="43"/>
      <c r="H1002" s="43"/>
      <c r="I1002" s="43"/>
      <c r="J1002" s="43"/>
      <c r="K1002" s="43"/>
      <c r="L1002" s="43"/>
      <c r="M1002" s="43"/>
      <c r="N1002" s="43"/>
      <c r="O1002" s="43"/>
      <c r="P1002" s="41"/>
      <c r="Q1002" s="41"/>
      <c r="R1002" s="41"/>
      <c r="S1002" s="44"/>
      <c r="T1002" s="45"/>
      <c r="U1002" s="45"/>
      <c r="V1002" s="45"/>
      <c r="W1002" s="45"/>
      <c r="X1002" s="46"/>
      <c r="Y1002" s="46"/>
      <c r="Z1002" s="46"/>
      <c r="AA1002" s="46"/>
      <c r="AB1002" s="46"/>
      <c r="AC1002" s="46"/>
      <c r="AD1002" s="46"/>
      <c r="AE1002" s="46"/>
      <c r="AF1002" s="46"/>
      <c r="AG1002" s="46"/>
    </row>
    <row r="1003" spans="1:33" ht="13.5" customHeight="1">
      <c r="A1003" s="46"/>
      <c r="B1003" s="46"/>
      <c r="C1003" s="41"/>
      <c r="D1003" s="42"/>
      <c r="E1003" s="42"/>
      <c r="F1003" s="42"/>
      <c r="G1003" s="43"/>
      <c r="H1003" s="43"/>
      <c r="I1003" s="43"/>
      <c r="J1003" s="43"/>
      <c r="K1003" s="43"/>
      <c r="L1003" s="43"/>
      <c r="M1003" s="43"/>
      <c r="N1003" s="43"/>
      <c r="O1003" s="43"/>
      <c r="P1003" s="41"/>
      <c r="Q1003" s="41"/>
      <c r="R1003" s="41"/>
      <c r="S1003" s="44"/>
      <c r="T1003" s="45"/>
      <c r="U1003" s="45"/>
      <c r="V1003" s="45"/>
      <c r="W1003" s="45"/>
      <c r="X1003" s="46"/>
      <c r="Y1003" s="46"/>
      <c r="Z1003" s="46"/>
      <c r="AA1003" s="46"/>
      <c r="AB1003" s="46"/>
      <c r="AC1003" s="46"/>
      <c r="AD1003" s="46"/>
      <c r="AE1003" s="46"/>
      <c r="AF1003" s="46"/>
      <c r="AG1003" s="46"/>
    </row>
    <row r="1004" spans="1:33" ht="13.5" customHeight="1">
      <c r="A1004" s="46"/>
      <c r="B1004" s="46"/>
      <c r="C1004" s="41"/>
      <c r="D1004" s="42"/>
      <c r="E1004" s="42"/>
      <c r="F1004" s="42"/>
      <c r="G1004" s="43"/>
      <c r="H1004" s="43"/>
      <c r="I1004" s="43"/>
      <c r="J1004" s="43"/>
      <c r="K1004" s="43"/>
      <c r="L1004" s="43"/>
      <c r="M1004" s="43"/>
      <c r="N1004" s="43"/>
      <c r="O1004" s="43"/>
      <c r="P1004" s="41"/>
      <c r="Q1004" s="41"/>
      <c r="R1004" s="41"/>
      <c r="S1004" s="44"/>
      <c r="T1004" s="45"/>
      <c r="U1004" s="45"/>
      <c r="V1004" s="45"/>
      <c r="W1004" s="45"/>
      <c r="X1004" s="46"/>
      <c r="Y1004" s="46"/>
      <c r="Z1004" s="46"/>
      <c r="AA1004" s="46"/>
      <c r="AB1004" s="46"/>
      <c r="AC1004" s="46"/>
      <c r="AD1004" s="46"/>
      <c r="AE1004" s="46"/>
      <c r="AF1004" s="46"/>
      <c r="AG1004" s="46"/>
    </row>
    <row r="1005" spans="1:33" ht="13.5" customHeight="1">
      <c r="A1005" s="46"/>
      <c r="B1005" s="46"/>
      <c r="C1005" s="41"/>
      <c r="D1005" s="42"/>
      <c r="E1005" s="42"/>
      <c r="F1005" s="42"/>
      <c r="G1005" s="43"/>
      <c r="H1005" s="43"/>
      <c r="I1005" s="43"/>
      <c r="J1005" s="43"/>
      <c r="K1005" s="43"/>
      <c r="L1005" s="43"/>
      <c r="M1005" s="43"/>
      <c r="N1005" s="43"/>
      <c r="O1005" s="43"/>
      <c r="P1005" s="41"/>
      <c r="Q1005" s="41"/>
      <c r="R1005" s="41"/>
      <c r="S1005" s="44"/>
      <c r="T1005" s="45"/>
      <c r="U1005" s="45"/>
      <c r="V1005" s="45"/>
      <c r="W1005" s="45"/>
      <c r="X1005" s="46"/>
      <c r="Y1005" s="46"/>
      <c r="Z1005" s="46"/>
      <c r="AA1005" s="46"/>
      <c r="AB1005" s="46"/>
      <c r="AC1005" s="46"/>
      <c r="AD1005" s="46"/>
      <c r="AE1005" s="46"/>
      <c r="AF1005" s="46"/>
      <c r="AG1005" s="46"/>
    </row>
    <row r="1006" spans="1:33" ht="13.5" customHeight="1">
      <c r="A1006" s="46"/>
      <c r="B1006" s="46"/>
      <c r="C1006" s="41"/>
      <c r="D1006" s="42"/>
      <c r="E1006" s="42"/>
      <c r="F1006" s="42"/>
      <c r="G1006" s="43"/>
      <c r="H1006" s="43"/>
      <c r="I1006" s="43"/>
      <c r="J1006" s="43"/>
      <c r="K1006" s="43"/>
      <c r="L1006" s="43"/>
      <c r="M1006" s="43"/>
      <c r="N1006" s="43"/>
      <c r="O1006" s="43"/>
      <c r="P1006" s="41"/>
      <c r="Q1006" s="41"/>
      <c r="R1006" s="41"/>
      <c r="S1006" s="44"/>
      <c r="T1006" s="45"/>
      <c r="U1006" s="45"/>
      <c r="V1006" s="45"/>
      <c r="W1006" s="45"/>
      <c r="X1006" s="46"/>
      <c r="Y1006" s="46"/>
      <c r="Z1006" s="46"/>
      <c r="AA1006" s="46"/>
      <c r="AB1006" s="46"/>
      <c r="AC1006" s="46"/>
      <c r="AD1006" s="46"/>
      <c r="AE1006" s="46"/>
      <c r="AF1006" s="46"/>
      <c r="AG1006" s="46"/>
    </row>
    <row r="1007" spans="1:33" ht="13.5" customHeight="1">
      <c r="A1007" s="46"/>
      <c r="B1007" s="46"/>
      <c r="C1007" s="41"/>
      <c r="D1007" s="42"/>
      <c r="E1007" s="42"/>
      <c r="F1007" s="42"/>
      <c r="G1007" s="43"/>
      <c r="H1007" s="43"/>
      <c r="I1007" s="43"/>
      <c r="J1007" s="43"/>
      <c r="K1007" s="43"/>
      <c r="L1007" s="43"/>
      <c r="M1007" s="43"/>
      <c r="N1007" s="43"/>
      <c r="O1007" s="43"/>
      <c r="P1007" s="41"/>
      <c r="Q1007" s="41"/>
      <c r="R1007" s="41"/>
      <c r="S1007" s="44"/>
      <c r="T1007" s="45"/>
      <c r="U1007" s="45"/>
      <c r="V1007" s="45"/>
      <c r="W1007" s="45"/>
      <c r="X1007" s="46"/>
      <c r="Y1007" s="46"/>
      <c r="Z1007" s="46"/>
      <c r="AA1007" s="46"/>
      <c r="AB1007" s="46"/>
      <c r="AC1007" s="46"/>
      <c r="AD1007" s="46"/>
      <c r="AE1007" s="46"/>
      <c r="AF1007" s="46"/>
      <c r="AG1007" s="46"/>
    </row>
    <row r="1008" spans="1:33" ht="13.5" customHeight="1">
      <c r="A1008" s="46"/>
      <c r="B1008" s="46"/>
      <c r="C1008" s="41"/>
      <c r="D1008" s="42"/>
      <c r="E1008" s="42"/>
      <c r="F1008" s="42"/>
      <c r="G1008" s="43"/>
      <c r="H1008" s="43"/>
      <c r="I1008" s="43"/>
      <c r="J1008" s="43"/>
      <c r="K1008" s="43"/>
      <c r="L1008" s="43"/>
      <c r="M1008" s="43"/>
      <c r="N1008" s="43"/>
      <c r="O1008" s="43"/>
      <c r="P1008" s="41"/>
      <c r="Q1008" s="41"/>
      <c r="R1008" s="41"/>
      <c r="S1008" s="44"/>
      <c r="T1008" s="45"/>
      <c r="U1008" s="45"/>
      <c r="V1008" s="45"/>
      <c r="W1008" s="45"/>
      <c r="X1008" s="46"/>
      <c r="Y1008" s="46"/>
      <c r="Z1008" s="46"/>
      <c r="AA1008" s="46"/>
      <c r="AB1008" s="46"/>
      <c r="AC1008" s="46"/>
      <c r="AD1008" s="46"/>
      <c r="AE1008" s="46"/>
      <c r="AF1008" s="46"/>
      <c r="AG1008" s="46"/>
    </row>
    <row r="1009" spans="1:33" ht="13.5" customHeight="1">
      <c r="A1009" s="46"/>
      <c r="B1009" s="46"/>
      <c r="C1009" s="41"/>
      <c r="D1009" s="42"/>
      <c r="E1009" s="42"/>
      <c r="F1009" s="42"/>
      <c r="G1009" s="43"/>
      <c r="H1009" s="43"/>
      <c r="I1009" s="43"/>
      <c r="J1009" s="43"/>
      <c r="K1009" s="43"/>
      <c r="L1009" s="43"/>
      <c r="M1009" s="43"/>
      <c r="N1009" s="43"/>
      <c r="O1009" s="43"/>
      <c r="P1009" s="41"/>
      <c r="Q1009" s="41"/>
      <c r="R1009" s="41"/>
      <c r="S1009" s="44"/>
      <c r="T1009" s="45"/>
      <c r="U1009" s="45"/>
      <c r="V1009" s="45"/>
      <c r="W1009" s="45"/>
      <c r="X1009" s="46"/>
      <c r="Y1009" s="46"/>
      <c r="Z1009" s="46"/>
      <c r="AA1009" s="46"/>
      <c r="AB1009" s="46"/>
      <c r="AC1009" s="46"/>
      <c r="AD1009" s="46"/>
      <c r="AE1009" s="46"/>
      <c r="AF1009" s="46"/>
      <c r="AG1009" s="46"/>
    </row>
    <row r="1010" spans="1:33" ht="13.5" customHeight="1">
      <c r="A1010" s="46"/>
      <c r="B1010" s="46"/>
      <c r="C1010" s="41"/>
      <c r="D1010" s="42"/>
      <c r="E1010" s="42"/>
      <c r="F1010" s="42"/>
      <c r="G1010" s="43"/>
      <c r="H1010" s="43"/>
      <c r="I1010" s="43"/>
      <c r="J1010" s="43"/>
      <c r="K1010" s="43"/>
      <c r="L1010" s="43"/>
      <c r="M1010" s="43"/>
      <c r="N1010" s="43"/>
      <c r="O1010" s="43"/>
      <c r="P1010" s="41"/>
      <c r="Q1010" s="41"/>
      <c r="R1010" s="41"/>
      <c r="S1010" s="44"/>
      <c r="T1010" s="45"/>
      <c r="U1010" s="45"/>
      <c r="V1010" s="45"/>
      <c r="W1010" s="45"/>
      <c r="X1010" s="46"/>
      <c r="Y1010" s="46"/>
      <c r="Z1010" s="46"/>
      <c r="AA1010" s="46"/>
      <c r="AB1010" s="46"/>
      <c r="AC1010" s="46"/>
      <c r="AD1010" s="46"/>
      <c r="AE1010" s="46"/>
      <c r="AF1010" s="46"/>
      <c r="AG1010" s="46"/>
    </row>
    <row r="1011" spans="1:33" ht="13.5" customHeight="1">
      <c r="A1011" s="46"/>
      <c r="B1011" s="46"/>
      <c r="C1011" s="41"/>
      <c r="D1011" s="42"/>
      <c r="E1011" s="42"/>
      <c r="F1011" s="42"/>
      <c r="G1011" s="43"/>
      <c r="H1011" s="43"/>
      <c r="I1011" s="43"/>
      <c r="J1011" s="43"/>
      <c r="K1011" s="43"/>
      <c r="L1011" s="43"/>
      <c r="M1011" s="43"/>
      <c r="N1011" s="43"/>
      <c r="O1011" s="43"/>
      <c r="P1011" s="41"/>
      <c r="Q1011" s="41"/>
      <c r="R1011" s="41"/>
      <c r="S1011" s="44"/>
      <c r="T1011" s="45"/>
      <c r="U1011" s="45"/>
      <c r="V1011" s="45"/>
      <c r="W1011" s="45"/>
      <c r="X1011" s="46"/>
      <c r="Y1011" s="46"/>
      <c r="Z1011" s="46"/>
      <c r="AA1011" s="46"/>
      <c r="AB1011" s="46"/>
      <c r="AC1011" s="46"/>
      <c r="AD1011" s="46"/>
      <c r="AE1011" s="46"/>
      <c r="AF1011" s="46"/>
      <c r="AG1011" s="46"/>
    </row>
    <row r="1012" spans="1:33" ht="13.5" customHeight="1">
      <c r="A1012" s="46"/>
      <c r="B1012" s="46"/>
      <c r="C1012" s="41"/>
      <c r="D1012" s="42"/>
      <c r="E1012" s="42"/>
      <c r="F1012" s="42"/>
      <c r="G1012" s="43"/>
      <c r="H1012" s="43"/>
      <c r="I1012" s="43"/>
      <c r="J1012" s="43"/>
      <c r="K1012" s="43"/>
      <c r="L1012" s="43"/>
      <c r="M1012" s="43"/>
      <c r="N1012" s="43"/>
      <c r="O1012" s="43"/>
      <c r="P1012" s="41"/>
      <c r="Q1012" s="41"/>
      <c r="R1012" s="41"/>
      <c r="S1012" s="44"/>
      <c r="T1012" s="45"/>
      <c r="U1012" s="45"/>
      <c r="V1012" s="45"/>
      <c r="W1012" s="45"/>
      <c r="X1012" s="46"/>
      <c r="Y1012" s="46"/>
      <c r="Z1012" s="46"/>
      <c r="AA1012" s="46"/>
      <c r="AB1012" s="46"/>
      <c r="AC1012" s="46"/>
      <c r="AD1012" s="46"/>
      <c r="AE1012" s="46"/>
      <c r="AF1012" s="46"/>
      <c r="AG1012" s="46"/>
    </row>
    <row r="1013" spans="1:33" ht="13.5" customHeight="1">
      <c r="A1013" s="46"/>
      <c r="B1013" s="46"/>
      <c r="C1013" s="41"/>
      <c r="D1013" s="42"/>
      <c r="E1013" s="42"/>
      <c r="F1013" s="42"/>
      <c r="G1013" s="43"/>
      <c r="H1013" s="43"/>
      <c r="I1013" s="43"/>
      <c r="J1013" s="43"/>
      <c r="K1013" s="43"/>
      <c r="L1013" s="43"/>
      <c r="M1013" s="43"/>
      <c r="N1013" s="43"/>
      <c r="O1013" s="43"/>
      <c r="P1013" s="41"/>
      <c r="Q1013" s="41"/>
      <c r="R1013" s="41"/>
      <c r="S1013" s="44"/>
      <c r="T1013" s="45"/>
      <c r="U1013" s="45"/>
      <c r="V1013" s="45"/>
      <c r="W1013" s="45"/>
      <c r="X1013" s="46"/>
      <c r="Y1013" s="46"/>
      <c r="Z1013" s="46"/>
      <c r="AA1013" s="46"/>
      <c r="AB1013" s="46"/>
      <c r="AC1013" s="46"/>
      <c r="AD1013" s="46"/>
      <c r="AE1013" s="46"/>
      <c r="AF1013" s="46"/>
      <c r="AG1013" s="46"/>
    </row>
    <row r="1014" spans="1:33" ht="13.5" customHeight="1">
      <c r="A1014" s="46"/>
      <c r="B1014" s="46"/>
      <c r="C1014" s="41"/>
      <c r="D1014" s="42"/>
      <c r="E1014" s="42"/>
      <c r="F1014" s="42"/>
      <c r="G1014" s="43"/>
      <c r="H1014" s="43"/>
      <c r="I1014" s="43"/>
      <c r="J1014" s="43"/>
      <c r="K1014" s="43"/>
      <c r="L1014" s="43"/>
      <c r="M1014" s="43"/>
      <c r="N1014" s="43"/>
      <c r="O1014" s="43"/>
      <c r="P1014" s="41"/>
      <c r="Q1014" s="41"/>
      <c r="R1014" s="41"/>
      <c r="S1014" s="44"/>
      <c r="T1014" s="45"/>
      <c r="U1014" s="45"/>
      <c r="V1014" s="45"/>
      <c r="W1014" s="45"/>
      <c r="X1014" s="46"/>
      <c r="Y1014" s="46"/>
      <c r="Z1014" s="46"/>
      <c r="AA1014" s="46"/>
      <c r="AB1014" s="46"/>
      <c r="AC1014" s="46"/>
      <c r="AD1014" s="46"/>
      <c r="AE1014" s="46"/>
      <c r="AF1014" s="46"/>
      <c r="AG1014" s="46"/>
    </row>
    <row r="1015" spans="1:33" ht="13.5" customHeight="1">
      <c r="A1015" s="46"/>
      <c r="B1015" s="46"/>
      <c r="C1015" s="41"/>
      <c r="D1015" s="42"/>
      <c r="E1015" s="42"/>
      <c r="F1015" s="42"/>
      <c r="G1015" s="43"/>
      <c r="H1015" s="43"/>
      <c r="I1015" s="43"/>
      <c r="J1015" s="43"/>
      <c r="K1015" s="43"/>
      <c r="L1015" s="43"/>
      <c r="M1015" s="43"/>
      <c r="N1015" s="43"/>
      <c r="O1015" s="43"/>
      <c r="P1015" s="41"/>
      <c r="Q1015" s="41"/>
      <c r="R1015" s="41"/>
      <c r="S1015" s="44"/>
      <c r="T1015" s="45"/>
      <c r="U1015" s="45"/>
      <c r="V1015" s="45"/>
      <c r="W1015" s="45"/>
      <c r="X1015" s="46"/>
      <c r="Y1015" s="46"/>
      <c r="Z1015" s="46"/>
      <c r="AA1015" s="46"/>
      <c r="AB1015" s="46"/>
      <c r="AC1015" s="46"/>
      <c r="AD1015" s="46"/>
      <c r="AE1015" s="46"/>
      <c r="AF1015" s="46"/>
      <c r="AG1015" s="46"/>
    </row>
    <row r="1016" spans="1:33" ht="13.5" customHeight="1">
      <c r="A1016" s="46"/>
      <c r="B1016" s="46"/>
      <c r="C1016" s="41"/>
      <c r="D1016" s="42"/>
      <c r="E1016" s="42"/>
      <c r="F1016" s="42"/>
      <c r="G1016" s="43"/>
      <c r="H1016" s="43"/>
      <c r="I1016" s="43"/>
      <c r="J1016" s="43"/>
      <c r="K1016" s="43"/>
      <c r="L1016" s="43"/>
      <c r="M1016" s="43"/>
      <c r="N1016" s="43"/>
      <c r="O1016" s="43"/>
      <c r="P1016" s="41"/>
      <c r="Q1016" s="41"/>
      <c r="R1016" s="41"/>
      <c r="S1016" s="44"/>
      <c r="T1016" s="45"/>
      <c r="U1016" s="45"/>
      <c r="V1016" s="45"/>
      <c r="W1016" s="45"/>
      <c r="X1016" s="46"/>
      <c r="Y1016" s="46"/>
      <c r="Z1016" s="46"/>
      <c r="AA1016" s="46"/>
      <c r="AB1016" s="46"/>
      <c r="AC1016" s="46"/>
      <c r="AD1016" s="46"/>
      <c r="AE1016" s="46"/>
      <c r="AF1016" s="46"/>
      <c r="AG1016" s="46"/>
    </row>
    <row r="1017" spans="1:33" ht="13.5" customHeight="1">
      <c r="P1017" s="41"/>
      <c r="Q1017" s="41"/>
      <c r="R1017" s="41"/>
      <c r="S1017" s="44"/>
      <c r="T1017" s="45"/>
      <c r="U1017" s="45"/>
      <c r="V1017" s="45"/>
      <c r="W1017" s="45"/>
      <c r="X1017" s="46"/>
      <c r="Y1017" s="46"/>
      <c r="Z1017" s="46"/>
      <c r="AA1017" s="46"/>
      <c r="AB1017" s="46"/>
      <c r="AC1017" s="46"/>
      <c r="AD1017" s="46"/>
      <c r="AE1017" s="46"/>
      <c r="AF1017" s="46"/>
      <c r="AG1017" s="46"/>
    </row>
    <row r="1018" spans="1:33" ht="13.5" customHeight="1">
      <c r="P1018" s="41"/>
      <c r="Q1018" s="41"/>
      <c r="R1018" s="41"/>
      <c r="S1018" s="44"/>
      <c r="T1018" s="45"/>
      <c r="U1018" s="45"/>
      <c r="V1018" s="45"/>
      <c r="W1018" s="45"/>
      <c r="X1018" s="46"/>
      <c r="Y1018" s="46"/>
      <c r="Z1018" s="46"/>
      <c r="AA1018" s="46"/>
      <c r="AB1018" s="46"/>
      <c r="AC1018" s="46"/>
      <c r="AD1018" s="46"/>
      <c r="AE1018" s="46"/>
      <c r="AF1018" s="46"/>
      <c r="AG1018" s="46"/>
    </row>
    <row r="1019" spans="1:33" ht="13.5" customHeight="1">
      <c r="P1019" s="41"/>
      <c r="Q1019" s="41"/>
      <c r="R1019" s="41"/>
      <c r="S1019" s="44"/>
      <c r="T1019" s="45"/>
      <c r="U1019" s="45"/>
      <c r="V1019" s="45"/>
      <c r="W1019" s="45"/>
      <c r="X1019" s="46"/>
      <c r="Y1019" s="46"/>
      <c r="Z1019" s="46"/>
      <c r="AA1019" s="46"/>
      <c r="AB1019" s="46"/>
      <c r="AC1019" s="46"/>
      <c r="AD1019" s="46"/>
      <c r="AE1019" s="46"/>
      <c r="AF1019" s="46"/>
      <c r="AG1019" s="46"/>
    </row>
    <row r="1020" spans="1:33" ht="13.5" customHeight="1">
      <c r="P1020" s="41"/>
      <c r="Q1020" s="41"/>
      <c r="R1020" s="41"/>
      <c r="S1020" s="44"/>
      <c r="T1020" s="45"/>
      <c r="U1020" s="45"/>
      <c r="V1020" s="45"/>
      <c r="W1020" s="45"/>
      <c r="X1020" s="46"/>
      <c r="Y1020" s="46"/>
      <c r="Z1020" s="46"/>
      <c r="AA1020" s="46"/>
      <c r="AB1020" s="46"/>
      <c r="AC1020" s="46"/>
      <c r="AD1020" s="46"/>
      <c r="AE1020" s="46"/>
      <c r="AF1020" s="46"/>
      <c r="AG1020" s="46"/>
    </row>
    <row r="1021" spans="1:33" ht="13.5" customHeight="1">
      <c r="P1021" s="41"/>
      <c r="Q1021" s="41"/>
      <c r="R1021" s="41"/>
      <c r="S1021" s="44"/>
      <c r="T1021" s="45"/>
      <c r="U1021" s="45"/>
      <c r="V1021" s="45"/>
      <c r="W1021" s="45"/>
      <c r="X1021" s="46"/>
      <c r="Y1021" s="46"/>
      <c r="Z1021" s="46"/>
      <c r="AA1021" s="46"/>
      <c r="AB1021" s="46"/>
      <c r="AC1021" s="46"/>
      <c r="AD1021" s="46"/>
      <c r="AE1021" s="46"/>
      <c r="AF1021" s="46"/>
      <c r="AG1021" s="46"/>
    </row>
    <row r="1022" spans="1:33" ht="13.5" customHeight="1">
      <c r="P1022" s="41"/>
      <c r="Q1022" s="41"/>
      <c r="R1022" s="41"/>
      <c r="S1022" s="44"/>
      <c r="T1022" s="45"/>
      <c r="U1022" s="45"/>
      <c r="V1022" s="45"/>
      <c r="W1022" s="45"/>
      <c r="X1022" s="46"/>
      <c r="Y1022" s="46"/>
      <c r="Z1022" s="46"/>
      <c r="AA1022" s="46"/>
      <c r="AB1022" s="46"/>
      <c r="AC1022" s="46"/>
      <c r="AD1022" s="46"/>
      <c r="AE1022" s="46"/>
      <c r="AF1022" s="46"/>
      <c r="AG1022" s="46"/>
    </row>
    <row r="1023" spans="1:33" ht="13.5" customHeight="1">
      <c r="P1023" s="41"/>
      <c r="Q1023" s="41"/>
      <c r="R1023" s="41"/>
      <c r="S1023" s="44"/>
      <c r="T1023" s="45"/>
      <c r="U1023" s="45"/>
      <c r="V1023" s="45"/>
      <c r="W1023" s="45"/>
      <c r="X1023" s="46"/>
      <c r="Y1023" s="46"/>
      <c r="Z1023" s="46"/>
      <c r="AA1023" s="46"/>
      <c r="AB1023" s="46"/>
      <c r="AC1023" s="46"/>
      <c r="AD1023" s="46"/>
      <c r="AE1023" s="46"/>
      <c r="AF1023" s="46"/>
      <c r="AG1023" s="46"/>
    </row>
    <row r="1024" spans="1:33" ht="13.5" customHeight="1">
      <c r="P1024" s="41"/>
      <c r="Q1024" s="41"/>
      <c r="R1024" s="41"/>
      <c r="S1024" s="44"/>
      <c r="T1024" s="45"/>
      <c r="U1024" s="45"/>
      <c r="V1024" s="45"/>
      <c r="W1024" s="45"/>
      <c r="X1024" s="46"/>
      <c r="Y1024" s="46"/>
      <c r="Z1024" s="46"/>
      <c r="AA1024" s="46"/>
      <c r="AB1024" s="46"/>
      <c r="AC1024" s="46"/>
      <c r="AD1024" s="46"/>
      <c r="AE1024" s="46"/>
      <c r="AF1024" s="46"/>
      <c r="AG1024" s="46"/>
    </row>
    <row r="1025" spans="16:33" ht="13.5" customHeight="1">
      <c r="P1025" s="41"/>
      <c r="Q1025" s="41"/>
      <c r="R1025" s="41"/>
      <c r="S1025" s="44"/>
      <c r="T1025" s="45"/>
      <c r="U1025" s="45"/>
      <c r="V1025" s="45"/>
      <c r="W1025" s="45"/>
      <c r="X1025" s="46"/>
      <c r="Y1025" s="46"/>
      <c r="Z1025" s="46"/>
      <c r="AA1025" s="46"/>
      <c r="AB1025" s="46"/>
      <c r="AC1025" s="46"/>
      <c r="AD1025" s="46"/>
      <c r="AE1025" s="46"/>
      <c r="AF1025" s="46"/>
      <c r="AG1025" s="46"/>
    </row>
    <row r="1026" spans="16:33" ht="13.5" customHeight="1">
      <c r="P1026" s="41"/>
      <c r="Q1026" s="41"/>
      <c r="R1026" s="41"/>
      <c r="S1026" s="44"/>
      <c r="T1026" s="45"/>
      <c r="U1026" s="45"/>
      <c r="V1026" s="45"/>
      <c r="W1026" s="45"/>
      <c r="X1026" s="46"/>
      <c r="Y1026" s="46"/>
      <c r="Z1026" s="46"/>
      <c r="AA1026" s="46"/>
      <c r="AB1026" s="46"/>
      <c r="AC1026" s="46"/>
      <c r="AD1026" s="46"/>
      <c r="AE1026" s="46"/>
      <c r="AF1026" s="46"/>
      <c r="AG1026" s="46"/>
    </row>
  </sheetData>
  <mergeCells count="13">
    <mergeCell ref="R4:R5"/>
    <mergeCell ref="S4:S5"/>
    <mergeCell ref="A45:B45"/>
    <mergeCell ref="A1:B1"/>
    <mergeCell ref="A2:C2"/>
    <mergeCell ref="A3:S3"/>
    <mergeCell ref="A4:A5"/>
    <mergeCell ref="B4:B5"/>
    <mergeCell ref="C4:C5"/>
    <mergeCell ref="D4:F4"/>
    <mergeCell ref="G4:O4"/>
    <mergeCell ref="P4:P5"/>
    <mergeCell ref="Q4:Q5"/>
  </mergeCells>
  <pageMargins left="0.25" right="0.25" top="0.75" bottom="0.75" header="0" footer="0"/>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15626-B6BA-4F49-9FAB-4D224DC298AE}">
  <dimension ref="A1:L72"/>
  <sheetViews>
    <sheetView topLeftCell="A6" zoomScale="115" zoomScaleNormal="115" workbookViewId="0">
      <selection activeCell="B11" sqref="B10:B11"/>
    </sheetView>
  </sheetViews>
  <sheetFormatPr defaultRowHeight="14.4"/>
  <cols>
    <col min="1" max="1" width="6.5546875" bestFit="1" customWidth="1"/>
    <col min="2" max="2" width="44.44140625" bestFit="1" customWidth="1"/>
    <col min="3" max="3" width="20.6640625" customWidth="1"/>
    <col min="4" max="4" width="19.88671875" bestFit="1" customWidth="1"/>
    <col min="5" max="6" width="20.6640625" customWidth="1"/>
    <col min="8" max="8" width="20.33203125" bestFit="1" customWidth="1"/>
    <col min="9" max="9" width="20.109375" hidden="1" customWidth="1"/>
    <col min="10" max="10" width="14" hidden="1" customWidth="1"/>
    <col min="11" max="11" width="21.33203125" customWidth="1"/>
    <col min="12" max="12" width="9.88671875" bestFit="1" customWidth="1"/>
  </cols>
  <sheetData>
    <row r="1" spans="1:12" s="316" customFormat="1" ht="32.25" customHeight="1">
      <c r="C1" s="317"/>
      <c r="D1" s="317"/>
      <c r="E1" s="317"/>
      <c r="F1" s="317"/>
    </row>
    <row r="2" spans="1:12" s="316" customFormat="1" ht="32.25" customHeight="1">
      <c r="A2" s="1059" t="s">
        <v>287</v>
      </c>
      <c r="B2" s="1060"/>
      <c r="C2" s="1060"/>
      <c r="D2" s="1060"/>
      <c r="E2" s="1060"/>
      <c r="F2" s="1061"/>
    </row>
    <row r="3" spans="1:12" s="316" customFormat="1" ht="25.2" customHeight="1">
      <c r="A3" s="1062" t="s">
        <v>288</v>
      </c>
      <c r="B3" s="1062" t="s">
        <v>289</v>
      </c>
      <c r="C3" s="1065" t="s">
        <v>290</v>
      </c>
      <c r="D3" s="1066"/>
      <c r="E3" s="1066"/>
      <c r="F3" s="1067"/>
      <c r="I3" s="318"/>
    </row>
    <row r="4" spans="1:12" s="316" customFormat="1" ht="25.2" customHeight="1">
      <c r="A4" s="1063"/>
      <c r="B4" s="1063"/>
      <c r="C4" s="1065" t="s">
        <v>291</v>
      </c>
      <c r="D4" s="1067"/>
      <c r="E4" s="303">
        <f>'Construction Area'!S45</f>
        <v>650726.7483600002</v>
      </c>
      <c r="F4" s="304"/>
      <c r="I4" s="318"/>
      <c r="J4" s="318"/>
      <c r="K4" s="318"/>
    </row>
    <row r="5" spans="1:12" s="316" customFormat="1" ht="34.950000000000003" customHeight="1">
      <c r="A5" s="1064"/>
      <c r="B5" s="1064"/>
      <c r="C5" s="305" t="s">
        <v>292</v>
      </c>
      <c r="D5" s="305" t="s">
        <v>293</v>
      </c>
      <c r="E5" s="305" t="s">
        <v>294</v>
      </c>
      <c r="F5" s="305" t="s">
        <v>295</v>
      </c>
      <c r="I5" s="318"/>
      <c r="J5" s="318"/>
      <c r="K5" s="318"/>
    </row>
    <row r="6" spans="1:12" s="316" customFormat="1" ht="25.2" customHeight="1">
      <c r="A6" s="306">
        <v>1</v>
      </c>
      <c r="B6" s="307" t="s">
        <v>296</v>
      </c>
      <c r="C6" s="308">
        <f>D6*10^7/$E$4</f>
        <v>18.931487560824579</v>
      </c>
      <c r="D6" s="309">
        <f>Preliminary!F13/10^7</f>
        <v>1.2319225342073168</v>
      </c>
      <c r="E6" s="309">
        <v>0</v>
      </c>
      <c r="F6" s="309">
        <f t="shared" ref="F6:F14" si="0">+D6-E6</f>
        <v>1.2319225342073168</v>
      </c>
      <c r="G6" s="319"/>
      <c r="I6" s="997"/>
      <c r="J6" s="310"/>
      <c r="K6" s="318"/>
    </row>
    <row r="7" spans="1:12" s="316" customFormat="1" ht="25.2" customHeight="1">
      <c r="A7" s="306">
        <v>2</v>
      </c>
      <c r="B7" s="307" t="s">
        <v>297</v>
      </c>
      <c r="C7" s="308">
        <f ca="1">D7*10^7/$E$4</f>
        <v>1580.8538650936027</v>
      </c>
      <c r="D7" s="309">
        <f ca="1">(SUM('Cost Sheet Tower'!I5:I38)/10^7)+(SUM('Cost Sheet office'!I6:I11)/10^7)</f>
        <v>102.87038952646985</v>
      </c>
      <c r="E7" s="309">
        <v>0</v>
      </c>
      <c r="F7" s="309">
        <f t="shared" ca="1" si="0"/>
        <v>102.87038952646985</v>
      </c>
      <c r="G7" s="319"/>
      <c r="I7" s="997"/>
      <c r="J7" s="310"/>
      <c r="K7" s="318"/>
    </row>
    <row r="8" spans="1:12" s="316" customFormat="1" ht="25.2" customHeight="1">
      <c r="A8" s="306">
        <v>3</v>
      </c>
      <c r="B8" s="307" t="s">
        <v>298</v>
      </c>
      <c r="C8" s="308">
        <f>D8*10^7/$E$4</f>
        <v>500.21369640308836</v>
      </c>
      <c r="D8" s="309">
        <f>((SUM('Cost Sheet Tower'!I39:I99))/10^7)+((SUM('Cost Sheet office'!I13:I48)/10^7))</f>
        <v>32.550243214551799</v>
      </c>
      <c r="E8" s="309">
        <v>0</v>
      </c>
      <c r="F8" s="309">
        <f t="shared" si="0"/>
        <v>32.550243214551799</v>
      </c>
      <c r="G8" s="319"/>
      <c r="I8" s="997"/>
      <c r="J8" s="310"/>
      <c r="K8" s="318"/>
    </row>
    <row r="9" spans="1:12" s="316" customFormat="1" ht="25.2" customHeight="1">
      <c r="A9" s="306">
        <v>4</v>
      </c>
      <c r="B9" s="307" t="s">
        <v>154</v>
      </c>
      <c r="C9" s="308">
        <f t="shared" ref="C9:C13" si="1">D9*10^7/$E$4</f>
        <v>368.2619557347989</v>
      </c>
      <c r="D9" s="310">
        <f>(SUM('Cost Sheet Tower'!I100:I110))/10^7</f>
        <v>23.963790500000002</v>
      </c>
      <c r="E9" s="310">
        <v>0</v>
      </c>
      <c r="F9" s="309">
        <f t="shared" si="0"/>
        <v>23.963790500000002</v>
      </c>
      <c r="G9" s="319"/>
      <c r="I9" s="997"/>
      <c r="J9" s="310"/>
      <c r="K9" s="318"/>
    </row>
    <row r="10" spans="1:12" s="316" customFormat="1" ht="25.2" customHeight="1">
      <c r="A10" s="306">
        <v>5</v>
      </c>
      <c r="B10" s="307" t="s">
        <v>299</v>
      </c>
      <c r="C10" s="308">
        <f t="shared" si="1"/>
        <v>114.66270318232162</v>
      </c>
      <c r="D10" s="310">
        <f>(SUM('Cost Sheet Tower'!I111:I117))/10^7</f>
        <v>7.4614088000000001</v>
      </c>
      <c r="E10" s="310">
        <v>0</v>
      </c>
      <c r="F10" s="309">
        <f t="shared" si="0"/>
        <v>7.4614088000000001</v>
      </c>
      <c r="G10" s="319"/>
      <c r="I10" s="997"/>
      <c r="J10" s="310"/>
      <c r="K10" s="318"/>
    </row>
    <row r="11" spans="1:12" s="316" customFormat="1" ht="25.2" customHeight="1">
      <c r="A11" s="306">
        <v>6</v>
      </c>
      <c r="B11" s="307" t="s">
        <v>300</v>
      </c>
      <c r="C11" s="308">
        <f t="shared" si="1"/>
        <v>31.525306208330143</v>
      </c>
      <c r="D11" s="310">
        <f>(SUM('Cost Sheet Tower'!I118:I125))/10^7</f>
        <v>2.0514359999999998</v>
      </c>
      <c r="E11" s="310">
        <v>0</v>
      </c>
      <c r="F11" s="309">
        <f t="shared" si="0"/>
        <v>2.0514359999999998</v>
      </c>
      <c r="G11" s="319"/>
      <c r="I11" s="997"/>
      <c r="J11" s="310"/>
      <c r="K11" s="318"/>
    </row>
    <row r="12" spans="1:12" s="316" customFormat="1" ht="25.2" customHeight="1">
      <c r="A12" s="306">
        <v>7</v>
      </c>
      <c r="B12" s="307" t="s">
        <v>301</v>
      </c>
      <c r="C12" s="308">
        <f t="shared" si="1"/>
        <v>57.888061013223151</v>
      </c>
      <c r="D12" s="310">
        <f>Amenities!F29/10^7</f>
        <v>3.7669309711999999</v>
      </c>
      <c r="E12" s="310">
        <v>0</v>
      </c>
      <c r="F12" s="309">
        <f t="shared" si="0"/>
        <v>3.7669309711999999</v>
      </c>
      <c r="G12" s="319"/>
      <c r="I12" s="997"/>
      <c r="J12" s="310"/>
      <c r="K12" s="318"/>
    </row>
    <row r="13" spans="1:12" s="316" customFormat="1" ht="25.2" customHeight="1">
      <c r="A13" s="306">
        <v>8</v>
      </c>
      <c r="B13" s="307" t="s">
        <v>302</v>
      </c>
      <c r="C13" s="308">
        <f t="shared" si="1"/>
        <v>71.596848839883734</v>
      </c>
      <c r="D13" s="309">
        <f>'Cost Sheet Tower'!I127/10^7</f>
        <v>4.6589984638399997</v>
      </c>
      <c r="E13" s="309">
        <v>0</v>
      </c>
      <c r="F13" s="309">
        <f t="shared" si="0"/>
        <v>4.6589984638399997</v>
      </c>
      <c r="G13" s="319"/>
      <c r="I13" s="1009"/>
      <c r="J13" s="1009"/>
      <c r="K13" s="1008"/>
      <c r="L13" s="1008"/>
    </row>
    <row r="14" spans="1:12" s="316" customFormat="1" ht="25.2" customHeight="1">
      <c r="A14" s="306">
        <v>9</v>
      </c>
      <c r="B14" s="307" t="s">
        <v>303</v>
      </c>
      <c r="C14" s="308">
        <v>15</v>
      </c>
      <c r="D14" s="309">
        <f>(C14*E4)/10^7</f>
        <v>0.97609012254000027</v>
      </c>
      <c r="E14" s="309">
        <v>0</v>
      </c>
      <c r="F14" s="309">
        <f t="shared" si="0"/>
        <v>0.97609012254000027</v>
      </c>
      <c r="G14" s="319"/>
      <c r="I14" s="1009"/>
      <c r="J14" s="1009"/>
      <c r="K14" s="1008"/>
      <c r="L14" s="1008"/>
    </row>
    <row r="15" spans="1:12" s="316" customFormat="1" ht="25.2" customHeight="1">
      <c r="A15" s="311"/>
      <c r="B15" s="312" t="s">
        <v>304</v>
      </c>
      <c r="C15" s="313">
        <f ca="1">D15*10^7/$E$4</f>
        <v>2758.9339240360728</v>
      </c>
      <c r="D15" s="314">
        <f ca="1">SUBTOTAL(9,D6:D14)</f>
        <v>179.53121013280895</v>
      </c>
      <c r="E15" s="314">
        <f>SUBTOTAL(9,E7:E13)</f>
        <v>0</v>
      </c>
      <c r="F15" s="314">
        <f ca="1">SUBTOTAL(9,F6:F14)</f>
        <v>179.53121013280895</v>
      </c>
      <c r="G15" s="319"/>
      <c r="I15" s="998"/>
      <c r="J15" s="999"/>
      <c r="K15" s="318"/>
    </row>
    <row r="16" spans="1:12" s="316" customFormat="1" ht="25.2" customHeight="1">
      <c r="A16" s="306">
        <v>9</v>
      </c>
      <c r="B16" s="315" t="s">
        <v>1217</v>
      </c>
      <c r="C16" s="308">
        <f t="shared" ref="C16:C19" ca="1" si="2">D16*10^7/$E$4</f>
        <v>82.768017721082174</v>
      </c>
      <c r="D16" s="309">
        <f ca="1">+D15*3%</f>
        <v>5.385936303984268</v>
      </c>
      <c r="E16" s="309">
        <f>+E15*4%</f>
        <v>0</v>
      </c>
      <c r="F16" s="309">
        <f ca="1">+D16-E16</f>
        <v>5.385936303984268</v>
      </c>
      <c r="G16" s="319"/>
      <c r="I16" s="997"/>
      <c r="J16" s="310"/>
      <c r="K16" s="318"/>
    </row>
    <row r="17" spans="1:11" s="316" customFormat="1" ht="25.2" customHeight="1">
      <c r="A17" s="306">
        <v>10</v>
      </c>
      <c r="B17" s="315" t="s">
        <v>1218</v>
      </c>
      <c r="C17" s="308">
        <f t="shared" ca="1" si="2"/>
        <v>110.35735696144292</v>
      </c>
      <c r="D17" s="309">
        <f ca="1">+D15*4%</f>
        <v>7.181248405312358</v>
      </c>
      <c r="E17" s="309">
        <f>+E15*5%</f>
        <v>0</v>
      </c>
      <c r="F17" s="309">
        <f t="shared" ref="F17" ca="1" si="3">+D17-E17</f>
        <v>7.181248405312358</v>
      </c>
      <c r="G17" s="319"/>
      <c r="I17" s="997"/>
      <c r="J17" s="310"/>
      <c r="K17" s="318"/>
    </row>
    <row r="18" spans="1:11" s="316" customFormat="1" ht="25.2" customHeight="1">
      <c r="A18" s="311"/>
      <c r="B18" s="312" t="s">
        <v>305</v>
      </c>
      <c r="C18" s="313">
        <f ca="1">D18*10^7/$E$4</f>
        <v>2952.0592987185978</v>
      </c>
      <c r="D18" s="314">
        <f ca="1">SUBTOTAL(9,D6:D17)</f>
        <v>192.09839484210556</v>
      </c>
      <c r="E18" s="314">
        <f>SUBTOTAL(9,E7:E17)</f>
        <v>0</v>
      </c>
      <c r="F18" s="314">
        <f ca="1">SUBTOTAL(9,F6:F17)</f>
        <v>192.09839484210556</v>
      </c>
      <c r="G18" s="319"/>
      <c r="I18" s="998"/>
      <c r="J18" s="999"/>
      <c r="K18" s="318"/>
    </row>
    <row r="19" spans="1:11" s="316" customFormat="1" ht="25.2" customHeight="1">
      <c r="A19" s="306">
        <v>11</v>
      </c>
      <c r="B19" s="307" t="s">
        <v>306</v>
      </c>
      <c r="C19" s="308">
        <f t="shared" ca="1" si="2"/>
        <v>531.3706737693476</v>
      </c>
      <c r="D19" s="309">
        <f ca="1">+D18*0.18</f>
        <v>34.577711071579003</v>
      </c>
      <c r="E19" s="309">
        <f>+E18*0.18</f>
        <v>0</v>
      </c>
      <c r="F19" s="309">
        <f ca="1">+F18*0.18</f>
        <v>34.577711071579003</v>
      </c>
      <c r="G19" s="319"/>
      <c r="H19" s="1024"/>
      <c r="I19" s="997"/>
      <c r="J19" s="310"/>
      <c r="K19" s="318"/>
    </row>
    <row r="20" spans="1:11" s="316" customFormat="1" ht="25.2" customHeight="1">
      <c r="A20" s="311"/>
      <c r="B20" s="312" t="s">
        <v>307</v>
      </c>
      <c r="C20" s="313">
        <f ca="1">D20*10^7/$E$4</f>
        <v>3483.4299724879452</v>
      </c>
      <c r="D20" s="314">
        <f ca="1">SUBTOTAL(9,D6:D19)</f>
        <v>226.67610591368458</v>
      </c>
      <c r="E20" s="314">
        <f>SUBTOTAL(9,E7:E19)</f>
        <v>0</v>
      </c>
      <c r="F20" s="314">
        <f ca="1">SUBTOTAL(9,F6:F19)</f>
        <v>226.67610591368458</v>
      </c>
      <c r="H20" s="1024"/>
      <c r="I20" s="998"/>
      <c r="J20" s="999"/>
      <c r="K20" s="318"/>
    </row>
    <row r="21" spans="1:11">
      <c r="F21" s="1007">
        <v>2268500000</v>
      </c>
      <c r="I21" s="981"/>
    </row>
    <row r="22" spans="1:11" s="316" customFormat="1" ht="32.25" customHeight="1">
      <c r="C22" s="317"/>
      <c r="D22" s="317"/>
      <c r="E22" s="317"/>
      <c r="F22" s="317"/>
    </row>
    <row r="23" spans="1:11" s="316" customFormat="1" ht="32.25" customHeight="1">
      <c r="A23" s="1059" t="s">
        <v>1229</v>
      </c>
      <c r="B23" s="1060"/>
      <c r="C23" s="1060"/>
      <c r="D23" s="1060"/>
      <c r="E23" s="1060"/>
      <c r="F23" s="1061"/>
    </row>
    <row r="24" spans="1:11" s="316" customFormat="1" ht="25.2" customHeight="1">
      <c r="A24" s="1062" t="s">
        <v>288</v>
      </c>
      <c r="B24" s="1062" t="s">
        <v>289</v>
      </c>
      <c r="C24" s="1065" t="s">
        <v>290</v>
      </c>
      <c r="D24" s="1066"/>
      <c r="E24" s="1066"/>
      <c r="F24" s="1067"/>
      <c r="I24" s="318"/>
    </row>
    <row r="25" spans="1:11" s="316" customFormat="1" ht="25.2" customHeight="1">
      <c r="A25" s="1063"/>
      <c r="B25" s="1063"/>
      <c r="C25" s="1065" t="s">
        <v>291</v>
      </c>
      <c r="D25" s="1067"/>
      <c r="E25" s="303">
        <f>'Construction Area'!S45</f>
        <v>650726.7483600002</v>
      </c>
      <c r="F25" s="304"/>
      <c r="I25" s="318"/>
      <c r="J25" s="318"/>
      <c r="K25" s="318"/>
    </row>
    <row r="26" spans="1:11" s="316" customFormat="1" ht="34.950000000000003" customHeight="1">
      <c r="A26" s="1064"/>
      <c r="B26" s="1064"/>
      <c r="C26" s="305" t="s">
        <v>292</v>
      </c>
      <c r="D26" s="305" t="s">
        <v>293</v>
      </c>
      <c r="E26" s="305" t="s">
        <v>294</v>
      </c>
      <c r="F26" s="305" t="s">
        <v>295</v>
      </c>
      <c r="I26" s="318"/>
      <c r="J26" s="318"/>
      <c r="K26" s="318"/>
    </row>
    <row r="27" spans="1:11" s="316" customFormat="1" ht="25.2" customHeight="1">
      <c r="A27" s="306">
        <v>1</v>
      </c>
      <c r="B27" s="307" t="s">
        <v>296</v>
      </c>
      <c r="C27" s="308">
        <f>D27*10^7/$E$4</f>
        <v>18.931487560824579</v>
      </c>
      <c r="D27" s="309">
        <f>D6</f>
        <v>1.2319225342073168</v>
      </c>
      <c r="E27" s="309">
        <v>0</v>
      </c>
      <c r="F27" s="309">
        <f t="shared" ref="F27:F35" si="4">+D27-E27</f>
        <v>1.2319225342073168</v>
      </c>
      <c r="G27" s="319"/>
      <c r="H27" s="1032">
        <f>D27+D47</f>
        <v>1.2319225342073168</v>
      </c>
      <c r="I27" s="997"/>
      <c r="J27" s="310"/>
      <c r="K27" s="318" t="b">
        <f>H27=D6</f>
        <v>1</v>
      </c>
    </row>
    <row r="28" spans="1:11" s="316" customFormat="1" ht="25.2" customHeight="1">
      <c r="A28" s="306">
        <v>2</v>
      </c>
      <c r="B28" s="307" t="s">
        <v>297</v>
      </c>
      <c r="C28" s="308">
        <f ca="1">D28*10^7/$E$4</f>
        <v>1578.6901684112167</v>
      </c>
      <c r="D28" s="309">
        <f ca="1">(SUM('Cost Sheet Tower'!I5:I38))/10^7</f>
        <v>102.72959199581321</v>
      </c>
      <c r="E28" s="309">
        <v>0</v>
      </c>
      <c r="F28" s="309">
        <f t="shared" ca="1" si="4"/>
        <v>102.72959199581321</v>
      </c>
      <c r="G28" s="319"/>
      <c r="H28" s="1032">
        <f t="shared" ref="H28:H35" ca="1" si="5">D28+D48</f>
        <v>102.87038952646985</v>
      </c>
      <c r="I28" s="997"/>
      <c r="J28" s="310"/>
      <c r="K28" s="318" t="b">
        <f t="shared" ref="K28:K35" ca="1" si="6">H28=D7</f>
        <v>1</v>
      </c>
    </row>
    <row r="29" spans="1:11" s="316" customFormat="1" ht="25.2" customHeight="1">
      <c r="A29" s="306">
        <v>3</v>
      </c>
      <c r="B29" s="307" t="s">
        <v>298</v>
      </c>
      <c r="C29" s="308">
        <f>D29*10^7/$E$4</f>
        <v>437.67624469945781</v>
      </c>
      <c r="D29" s="309">
        <f>((SUM('Cost Sheet Tower'!I39:I99))/10^7)</f>
        <v>28.480763954769397</v>
      </c>
      <c r="E29" s="309">
        <v>0</v>
      </c>
      <c r="F29" s="309">
        <f t="shared" si="4"/>
        <v>28.480763954769397</v>
      </c>
      <c r="G29" s="319"/>
      <c r="H29" s="1032">
        <f t="shared" si="5"/>
        <v>32.550243214551799</v>
      </c>
      <c r="I29" s="997"/>
      <c r="J29" s="310"/>
      <c r="K29" s="318" t="b">
        <f t="shared" si="6"/>
        <v>1</v>
      </c>
    </row>
    <row r="30" spans="1:11" s="316" customFormat="1" ht="25.2" customHeight="1">
      <c r="A30" s="306">
        <v>4</v>
      </c>
      <c r="B30" s="307" t="s">
        <v>154</v>
      </c>
      <c r="C30" s="308">
        <f t="shared" ref="C30:C34" si="7">D30*10^7/$E$4</f>
        <v>368.2619557347989</v>
      </c>
      <c r="D30" s="310">
        <f>D9</f>
        <v>23.963790500000002</v>
      </c>
      <c r="E30" s="310">
        <v>0</v>
      </c>
      <c r="F30" s="309">
        <f t="shared" si="4"/>
        <v>23.963790500000002</v>
      </c>
      <c r="G30" s="319"/>
      <c r="H30" s="1032">
        <f t="shared" si="5"/>
        <v>23.963790500000002</v>
      </c>
      <c r="I30" s="997"/>
      <c r="J30" s="310"/>
      <c r="K30" s="318" t="b">
        <f t="shared" si="6"/>
        <v>1</v>
      </c>
    </row>
    <row r="31" spans="1:11" s="316" customFormat="1" ht="25.2" customHeight="1">
      <c r="A31" s="306">
        <v>5</v>
      </c>
      <c r="B31" s="307" t="s">
        <v>299</v>
      </c>
      <c r="C31" s="308">
        <f t="shared" si="7"/>
        <v>114.66270318232162</v>
      </c>
      <c r="D31" s="310">
        <f t="shared" ref="D31:D35" si="8">D10</f>
        <v>7.4614088000000001</v>
      </c>
      <c r="E31" s="310">
        <v>0</v>
      </c>
      <c r="F31" s="309">
        <f t="shared" si="4"/>
        <v>7.4614088000000001</v>
      </c>
      <c r="G31" s="319"/>
      <c r="H31" s="1032">
        <f t="shared" si="5"/>
        <v>7.4614088000000001</v>
      </c>
      <c r="I31" s="997"/>
      <c r="J31" s="310"/>
      <c r="K31" s="318" t="b">
        <f t="shared" si="6"/>
        <v>1</v>
      </c>
    </row>
    <row r="32" spans="1:11" s="316" customFormat="1" ht="25.2" customHeight="1">
      <c r="A32" s="306">
        <v>6</v>
      </c>
      <c r="B32" s="307" t="s">
        <v>300</v>
      </c>
      <c r="C32" s="308">
        <f t="shared" si="7"/>
        <v>31.525306208330143</v>
      </c>
      <c r="D32" s="310">
        <f t="shared" si="8"/>
        <v>2.0514359999999998</v>
      </c>
      <c r="E32" s="310">
        <v>0</v>
      </c>
      <c r="F32" s="309">
        <f t="shared" si="4"/>
        <v>2.0514359999999998</v>
      </c>
      <c r="G32" s="319"/>
      <c r="H32" s="1032">
        <f t="shared" si="5"/>
        <v>2.0514359999999998</v>
      </c>
      <c r="I32" s="997"/>
      <c r="J32" s="310"/>
      <c r="K32" s="318" t="b">
        <f t="shared" si="6"/>
        <v>1</v>
      </c>
    </row>
    <row r="33" spans="1:12" s="316" customFormat="1" ht="25.2" customHeight="1">
      <c r="A33" s="306">
        <v>7</v>
      </c>
      <c r="B33" s="307" t="s">
        <v>301</v>
      </c>
      <c r="C33" s="308">
        <f t="shared" si="7"/>
        <v>57.888061013223151</v>
      </c>
      <c r="D33" s="310">
        <f t="shared" si="8"/>
        <v>3.7669309711999999</v>
      </c>
      <c r="E33" s="310">
        <v>0</v>
      </c>
      <c r="F33" s="309">
        <f t="shared" si="4"/>
        <v>3.7669309711999999</v>
      </c>
      <c r="G33" s="319"/>
      <c r="H33" s="1032">
        <f t="shared" si="5"/>
        <v>3.7669309711999999</v>
      </c>
      <c r="I33" s="997"/>
      <c r="J33" s="310"/>
      <c r="K33" s="318" t="b">
        <f t="shared" si="6"/>
        <v>1</v>
      </c>
    </row>
    <row r="34" spans="1:12" s="316" customFormat="1" ht="25.2" customHeight="1">
      <c r="A34" s="306">
        <v>8</v>
      </c>
      <c r="B34" s="307" t="s">
        <v>302</v>
      </c>
      <c r="C34" s="308">
        <f t="shared" si="7"/>
        <v>71.596848839883734</v>
      </c>
      <c r="D34" s="310">
        <f t="shared" si="8"/>
        <v>4.6589984638399997</v>
      </c>
      <c r="E34" s="309">
        <v>0</v>
      </c>
      <c r="F34" s="309">
        <f t="shared" si="4"/>
        <v>4.6589984638399997</v>
      </c>
      <c r="G34" s="319"/>
      <c r="H34" s="1032">
        <f t="shared" si="5"/>
        <v>4.6589984638399997</v>
      </c>
      <c r="I34" s="1009"/>
      <c r="J34" s="1009"/>
      <c r="K34" s="318" t="b">
        <f t="shared" si="6"/>
        <v>1</v>
      </c>
      <c r="L34" s="1008"/>
    </row>
    <row r="35" spans="1:12" s="316" customFormat="1" ht="25.2" customHeight="1">
      <c r="A35" s="306">
        <v>9</v>
      </c>
      <c r="B35" s="307" t="s">
        <v>303</v>
      </c>
      <c r="C35" s="308">
        <v>15</v>
      </c>
      <c r="D35" s="310">
        <f t="shared" si="8"/>
        <v>0.97609012254000027</v>
      </c>
      <c r="E35" s="309">
        <v>0</v>
      </c>
      <c r="F35" s="309">
        <f t="shared" si="4"/>
        <v>0.97609012254000027</v>
      </c>
      <c r="G35" s="319"/>
      <c r="H35" s="1032">
        <f t="shared" si="5"/>
        <v>0.97609012254000027</v>
      </c>
      <c r="I35" s="1009"/>
      <c r="J35" s="1009"/>
      <c r="K35" s="318" t="b">
        <f t="shared" si="6"/>
        <v>1</v>
      </c>
      <c r="L35" s="1008"/>
    </row>
    <row r="36" spans="1:12" s="316" customFormat="1" ht="25.2" customHeight="1">
      <c r="A36" s="311"/>
      <c r="B36" s="312" t="s">
        <v>304</v>
      </c>
      <c r="C36" s="313">
        <f ca="1">D36*10^7/$E$4</f>
        <v>2694.2327756500558</v>
      </c>
      <c r="D36" s="314">
        <f ca="1">SUBTOTAL(9,D27:D35)</f>
        <v>175.32093334236987</v>
      </c>
      <c r="E36" s="314">
        <f>SUBTOTAL(9,E28:E34)</f>
        <v>0</v>
      </c>
      <c r="F36" s="314">
        <f ca="1">SUBTOTAL(9,F27:F35)</f>
        <v>175.32093334236987</v>
      </c>
      <c r="G36" s="319"/>
      <c r="I36" s="998"/>
      <c r="J36" s="999"/>
      <c r="K36" s="318"/>
    </row>
    <row r="37" spans="1:12" s="316" customFormat="1" ht="25.2" customHeight="1">
      <c r="A37" s="306">
        <v>9</v>
      </c>
      <c r="B37" s="315" t="s">
        <v>1217</v>
      </c>
      <c r="C37" s="308">
        <f t="shared" ref="C37:C38" ca="1" si="9">D37*10^7/$E$4</f>
        <v>80.826983269501667</v>
      </c>
      <c r="D37" s="309">
        <f ca="1">+D36*3%</f>
        <v>5.2596280002710962</v>
      </c>
      <c r="E37" s="309">
        <f>+E36*4%</f>
        <v>0</v>
      </c>
      <c r="F37" s="309">
        <f ca="1">+D37-E37</f>
        <v>5.2596280002710962</v>
      </c>
      <c r="G37" s="319"/>
      <c r="I37" s="997"/>
      <c r="J37" s="310"/>
      <c r="K37" s="318"/>
    </row>
    <row r="38" spans="1:12" s="316" customFormat="1" ht="25.2" customHeight="1">
      <c r="A38" s="306">
        <v>10</v>
      </c>
      <c r="B38" s="315" t="s">
        <v>1218</v>
      </c>
      <c r="C38" s="308">
        <f t="shared" ca="1" si="9"/>
        <v>107.76931102600223</v>
      </c>
      <c r="D38" s="309">
        <f ca="1">+D36*4%</f>
        <v>7.0128373336947947</v>
      </c>
      <c r="E38" s="309">
        <f>+E36*5%</f>
        <v>0</v>
      </c>
      <c r="F38" s="309">
        <f t="shared" ref="F38" ca="1" si="10">+D38-E38</f>
        <v>7.0128373336947947</v>
      </c>
      <c r="G38" s="319"/>
      <c r="I38" s="997"/>
      <c r="J38" s="310"/>
      <c r="K38" s="318"/>
    </row>
    <row r="39" spans="1:12" s="316" customFormat="1" ht="25.2" customHeight="1">
      <c r="A39" s="311"/>
      <c r="B39" s="312" t="s">
        <v>305</v>
      </c>
      <c r="C39" s="313">
        <f ca="1">D39*10^7/$E$4</f>
        <v>2882.8290699455597</v>
      </c>
      <c r="D39" s="314">
        <f ca="1">SUBTOTAL(9,D27:D38)</f>
        <v>187.59339867633577</v>
      </c>
      <c r="E39" s="314">
        <f>SUBTOTAL(9,E28:E38)</f>
        <v>0</v>
      </c>
      <c r="F39" s="314">
        <f ca="1">SUBTOTAL(9,F27:F38)</f>
        <v>187.59339867633577</v>
      </c>
      <c r="G39" s="319"/>
      <c r="I39" s="998"/>
      <c r="J39" s="999"/>
      <c r="K39" s="318"/>
    </row>
    <row r="40" spans="1:12" s="316" customFormat="1" ht="25.2" customHeight="1">
      <c r="A40" s="306">
        <v>11</v>
      </c>
      <c r="B40" s="307" t="s">
        <v>306</v>
      </c>
      <c r="C40" s="308">
        <f t="shared" ref="C40" ca="1" si="11">D40*10^7/$E$4</f>
        <v>518.90923259020065</v>
      </c>
      <c r="D40" s="309">
        <f ca="1">+D39*0.18</f>
        <v>33.766811761740435</v>
      </c>
      <c r="E40" s="309">
        <f>+E39*0.18</f>
        <v>0</v>
      </c>
      <c r="F40" s="309">
        <f ca="1">+F39*0.18</f>
        <v>33.766811761740435</v>
      </c>
      <c r="G40" s="319"/>
      <c r="H40" s="1024"/>
      <c r="I40" s="997"/>
      <c r="J40" s="310"/>
      <c r="K40" s="318"/>
    </row>
    <row r="41" spans="1:12" s="316" customFormat="1" ht="25.2" customHeight="1">
      <c r="A41" s="311"/>
      <c r="B41" s="312" t="s">
        <v>307</v>
      </c>
      <c r="C41" s="313">
        <f ca="1">D41*10^7/$E$4</f>
        <v>3401.7383025357603</v>
      </c>
      <c r="D41" s="314">
        <f ca="1">SUBTOTAL(9,D27:D40)</f>
        <v>221.36021043807619</v>
      </c>
      <c r="E41" s="314">
        <f>SUBTOTAL(9,E28:E40)</f>
        <v>0</v>
      </c>
      <c r="F41" s="314">
        <f ca="1">SUBTOTAL(9,F27:F40)</f>
        <v>221.36021043807619</v>
      </c>
      <c r="H41" s="1024"/>
      <c r="I41" s="998"/>
      <c r="J41" s="999"/>
      <c r="K41" s="318"/>
    </row>
    <row r="42" spans="1:12" s="316" customFormat="1" ht="32.25" customHeight="1">
      <c r="C42" s="317"/>
      <c r="D42" s="317"/>
      <c r="E42" s="317"/>
      <c r="F42" s="317"/>
    </row>
    <row r="43" spans="1:12" s="316" customFormat="1" ht="32.25" customHeight="1">
      <c r="A43" s="1059" t="s">
        <v>1228</v>
      </c>
      <c r="B43" s="1060"/>
      <c r="C43" s="1060"/>
      <c r="D43" s="1060"/>
      <c r="E43" s="1060"/>
      <c r="F43" s="1061"/>
    </row>
    <row r="44" spans="1:12" s="316" customFormat="1" ht="25.2" customHeight="1">
      <c r="A44" s="1062" t="s">
        <v>288</v>
      </c>
      <c r="B44" s="1062" t="s">
        <v>289</v>
      </c>
      <c r="C44" s="1065" t="s">
        <v>290</v>
      </c>
      <c r="D44" s="1066"/>
      <c r="E44" s="1066"/>
      <c r="F44" s="1067"/>
      <c r="I44" s="318"/>
    </row>
    <row r="45" spans="1:12" s="316" customFormat="1" ht="25.2" customHeight="1">
      <c r="A45" s="1063"/>
      <c r="B45" s="1063"/>
      <c r="C45" s="1065" t="s">
        <v>291</v>
      </c>
      <c r="D45" s="1067"/>
      <c r="E45" s="303">
        <f>'Construction Area'!S45</f>
        <v>650726.7483600002</v>
      </c>
      <c r="F45" s="304"/>
      <c r="I45" s="318"/>
      <c r="J45" s="318"/>
      <c r="K45" s="318"/>
    </row>
    <row r="46" spans="1:12" s="316" customFormat="1" ht="34.950000000000003" customHeight="1">
      <c r="A46" s="1064"/>
      <c r="B46" s="1064"/>
      <c r="C46" s="305" t="s">
        <v>292</v>
      </c>
      <c r="D46" s="305" t="s">
        <v>293</v>
      </c>
      <c r="E46" s="305" t="s">
        <v>294</v>
      </c>
      <c r="F46" s="305" t="s">
        <v>295</v>
      </c>
      <c r="I46" s="318"/>
      <c r="J46" s="318"/>
      <c r="K46" s="318"/>
    </row>
    <row r="47" spans="1:12" s="316" customFormat="1" ht="25.2" customHeight="1">
      <c r="A47" s="306">
        <v>1</v>
      </c>
      <c r="B47" s="307" t="s">
        <v>296</v>
      </c>
      <c r="C47" s="308">
        <f>D47*10^7/$E$4</f>
        <v>0</v>
      </c>
      <c r="D47" s="309"/>
      <c r="E47" s="309">
        <v>0</v>
      </c>
      <c r="F47" s="309">
        <f t="shared" ref="F47:F55" si="12">+D47-E47</f>
        <v>0</v>
      </c>
      <c r="G47" s="319"/>
      <c r="I47" s="997"/>
      <c r="J47" s="310"/>
      <c r="K47" s="318"/>
    </row>
    <row r="48" spans="1:12" s="316" customFormat="1" ht="25.2" customHeight="1">
      <c r="A48" s="306">
        <v>2</v>
      </c>
      <c r="B48" s="307" t="s">
        <v>297</v>
      </c>
      <c r="C48" s="308">
        <f>D48*10^7/$E$4</f>
        <v>2.1636966823860586</v>
      </c>
      <c r="D48" s="309">
        <f>+(SUM('Cost Sheet office'!I6:I11)/10^7)</f>
        <v>0.14079753065664</v>
      </c>
      <c r="E48" s="309">
        <v>0</v>
      </c>
      <c r="F48" s="309">
        <f t="shared" si="12"/>
        <v>0.14079753065664</v>
      </c>
      <c r="G48" s="319"/>
      <c r="H48" s="1024">
        <f>[1]Summary!$D$47+[2]Summary!$D$49</f>
        <v>0.14079753065664</v>
      </c>
      <c r="I48" s="997"/>
      <c r="J48" s="310"/>
      <c r="K48" s="318"/>
    </row>
    <row r="49" spans="1:12" s="316" customFormat="1" ht="25.2" customHeight="1">
      <c r="A49" s="306">
        <v>3</v>
      </c>
      <c r="B49" s="307" t="s">
        <v>298</v>
      </c>
      <c r="C49" s="308">
        <f>D49*10^7/$E$4</f>
        <v>62.537451703630452</v>
      </c>
      <c r="D49" s="309">
        <f>+((SUM('Cost Sheet office'!I13:I48)/10^7))</f>
        <v>4.0694792597824003</v>
      </c>
      <c r="E49" s="309">
        <v>0</v>
      </c>
      <c r="F49" s="309">
        <f t="shared" si="12"/>
        <v>4.0694792597824003</v>
      </c>
      <c r="G49" s="319"/>
      <c r="H49" s="1024">
        <f>[1]Summary!$D$48+[2]Summary!$D$50</f>
        <v>3.967354171782401</v>
      </c>
      <c r="I49" s="997"/>
      <c r="J49" s="310"/>
      <c r="K49" s="318">
        <f>H49-D49</f>
        <v>-0.10212508799999931</v>
      </c>
    </row>
    <row r="50" spans="1:12" s="316" customFormat="1" ht="25.2" customHeight="1">
      <c r="A50" s="306">
        <v>4</v>
      </c>
      <c r="B50" s="307" t="s">
        <v>154</v>
      </c>
      <c r="C50" s="308">
        <f t="shared" ref="C50:C54" si="13">D50*10^7/$E$4</f>
        <v>0</v>
      </c>
      <c r="D50" s="310"/>
      <c r="E50" s="310">
        <v>0</v>
      </c>
      <c r="F50" s="309">
        <f t="shared" si="12"/>
        <v>0</v>
      </c>
      <c r="G50" s="319"/>
      <c r="I50" s="997"/>
      <c r="J50" s="310"/>
      <c r="K50" s="318"/>
    </row>
    <row r="51" spans="1:12" s="316" customFormat="1" ht="25.2" customHeight="1">
      <c r="A51" s="306">
        <v>5</v>
      </c>
      <c r="B51" s="307" t="s">
        <v>299</v>
      </c>
      <c r="C51" s="308">
        <f t="shared" si="13"/>
        <v>0</v>
      </c>
      <c r="D51" s="310"/>
      <c r="E51" s="310">
        <v>0</v>
      </c>
      <c r="F51" s="309">
        <f t="shared" si="12"/>
        <v>0</v>
      </c>
      <c r="G51" s="319"/>
      <c r="I51" s="997"/>
      <c r="J51" s="310"/>
      <c r="K51" s="318"/>
    </row>
    <row r="52" spans="1:12" s="316" customFormat="1" ht="25.2" customHeight="1">
      <c r="A52" s="306">
        <v>6</v>
      </c>
      <c r="B52" s="307" t="s">
        <v>300</v>
      </c>
      <c r="C52" s="308">
        <f t="shared" si="13"/>
        <v>0</v>
      </c>
      <c r="D52" s="310"/>
      <c r="E52" s="310">
        <v>0</v>
      </c>
      <c r="F52" s="309">
        <f t="shared" si="12"/>
        <v>0</v>
      </c>
      <c r="G52" s="319"/>
      <c r="I52" s="997"/>
      <c r="J52" s="310"/>
      <c r="K52" s="318"/>
    </row>
    <row r="53" spans="1:12" s="316" customFormat="1" ht="25.2" customHeight="1">
      <c r="A53" s="306">
        <v>7</v>
      </c>
      <c r="B53" s="307" t="s">
        <v>301</v>
      </c>
      <c r="C53" s="308">
        <f t="shared" si="13"/>
        <v>0</v>
      </c>
      <c r="D53" s="310"/>
      <c r="E53" s="310">
        <v>0</v>
      </c>
      <c r="F53" s="309">
        <f t="shared" si="12"/>
        <v>0</v>
      </c>
      <c r="G53" s="319"/>
      <c r="I53" s="997"/>
      <c r="J53" s="310"/>
      <c r="K53" s="318"/>
    </row>
    <row r="54" spans="1:12" s="316" customFormat="1" ht="25.2" customHeight="1">
      <c r="A54" s="306">
        <v>8</v>
      </c>
      <c r="B54" s="307" t="s">
        <v>302</v>
      </c>
      <c r="C54" s="308">
        <f t="shared" si="13"/>
        <v>0</v>
      </c>
      <c r="D54" s="309"/>
      <c r="E54" s="309">
        <v>0</v>
      </c>
      <c r="F54" s="309">
        <f t="shared" si="12"/>
        <v>0</v>
      </c>
      <c r="G54" s="319"/>
      <c r="I54" s="1009"/>
      <c r="J54" s="1009"/>
      <c r="K54" s="1008"/>
      <c r="L54" s="1008"/>
    </row>
    <row r="55" spans="1:12" s="316" customFormat="1" ht="25.2" customHeight="1">
      <c r="A55" s="306">
        <v>9</v>
      </c>
      <c r="B55" s="307" t="s">
        <v>303</v>
      </c>
      <c r="C55" s="308">
        <v>15</v>
      </c>
      <c r="D55" s="309"/>
      <c r="E55" s="309">
        <v>0</v>
      </c>
      <c r="F55" s="309">
        <f t="shared" si="12"/>
        <v>0</v>
      </c>
      <c r="G55" s="319"/>
      <c r="I55" s="1009"/>
      <c r="J55" s="1009"/>
      <c r="K55" s="1008"/>
      <c r="L55" s="1008"/>
    </row>
    <row r="56" spans="1:12" s="316" customFormat="1" ht="25.2" customHeight="1">
      <c r="A56" s="311"/>
      <c r="B56" s="312" t="s">
        <v>304</v>
      </c>
      <c r="C56" s="313">
        <f>D56*10^7/$E$4</f>
        <v>64.701148386016513</v>
      </c>
      <c r="D56" s="314">
        <f>SUBTOTAL(9,D47:D55)</f>
        <v>4.2102767904390399</v>
      </c>
      <c r="E56" s="314">
        <f>SUBTOTAL(9,E48:E54)</f>
        <v>0</v>
      </c>
      <c r="F56" s="314">
        <f>SUBTOTAL(9,F47:F55)</f>
        <v>4.2102767904390399</v>
      </c>
      <c r="G56" s="319"/>
      <c r="H56" s="1024">
        <f>[1]Summary!$D$55+[2]Summary!$D$57</f>
        <v>4.1081517024390406</v>
      </c>
      <c r="I56" s="998"/>
      <c r="J56" s="999"/>
      <c r="K56" s="318"/>
    </row>
    <row r="57" spans="1:12" s="316" customFormat="1" ht="25.2" customHeight="1">
      <c r="A57" s="306">
        <v>9</v>
      </c>
      <c r="B57" s="315" t="s">
        <v>1217</v>
      </c>
      <c r="C57" s="308">
        <f t="shared" ref="C57:C58" si="14">D57*10^7/$E$4</f>
        <v>1.9410344515804954</v>
      </c>
      <c r="D57" s="309">
        <f>+D56*3%</f>
        <v>0.1263083037131712</v>
      </c>
      <c r="E57" s="309">
        <f>+E56*4%</f>
        <v>0</v>
      </c>
      <c r="F57" s="309">
        <f>+D57-E57</f>
        <v>0.1263083037131712</v>
      </c>
      <c r="G57" s="319"/>
      <c r="I57" s="997"/>
      <c r="J57" s="310"/>
      <c r="K57" s="318"/>
    </row>
    <row r="58" spans="1:12" s="316" customFormat="1" ht="25.2" customHeight="1">
      <c r="A58" s="306">
        <v>10</v>
      </c>
      <c r="B58" s="315" t="s">
        <v>1218</v>
      </c>
      <c r="C58" s="308">
        <f t="shared" si="14"/>
        <v>2.5880459354406606</v>
      </c>
      <c r="D58" s="309">
        <f>+D56*4%</f>
        <v>0.16841107161756161</v>
      </c>
      <c r="E58" s="309">
        <f>+E56*5%</f>
        <v>0</v>
      </c>
      <c r="F58" s="309">
        <f t="shared" ref="F58" si="15">+D58-E58</f>
        <v>0.16841107161756161</v>
      </c>
      <c r="G58" s="319"/>
      <c r="I58" s="997"/>
      <c r="J58" s="310"/>
      <c r="K58" s="318"/>
    </row>
    <row r="59" spans="1:12" s="316" customFormat="1" ht="25.2" customHeight="1">
      <c r="A59" s="311"/>
      <c r="B59" s="312" t="s">
        <v>305</v>
      </c>
      <c r="C59" s="313">
        <f>D59*10^7/$E$4</f>
        <v>69.230228773037666</v>
      </c>
      <c r="D59" s="314">
        <f>SUBTOTAL(9,D47:D58)</f>
        <v>4.5049961657697724</v>
      </c>
      <c r="E59" s="314">
        <f>SUBTOTAL(9,E48:E58)</f>
        <v>0</v>
      </c>
      <c r="F59" s="314">
        <f>SUBTOTAL(9,F47:F58)</f>
        <v>4.5049961657697724</v>
      </c>
      <c r="G59" s="319"/>
      <c r="I59" s="998"/>
      <c r="J59" s="999"/>
      <c r="K59" s="318"/>
    </row>
    <row r="60" spans="1:12" s="316" customFormat="1" ht="25.2" customHeight="1">
      <c r="A60" s="306">
        <v>11</v>
      </c>
      <c r="B60" s="307" t="s">
        <v>306</v>
      </c>
      <c r="C60" s="308">
        <f t="shared" ref="C60" si="16">D60*10^7/$E$4</f>
        <v>12.461441179146778</v>
      </c>
      <c r="D60" s="309">
        <f>+D59*0.18</f>
        <v>0.81089930983855896</v>
      </c>
      <c r="E60" s="309">
        <f>+E59*0.18</f>
        <v>0</v>
      </c>
      <c r="F60" s="309">
        <f>+F59*0.18</f>
        <v>0.81089930983855896</v>
      </c>
      <c r="G60" s="319"/>
      <c r="H60" s="1024"/>
      <c r="I60" s="997"/>
      <c r="J60" s="310"/>
      <c r="K60" s="318"/>
    </row>
    <row r="61" spans="1:12" s="316" customFormat="1" ht="25.2" customHeight="1">
      <c r="A61" s="311"/>
      <c r="B61" s="312" t="s">
        <v>307</v>
      </c>
      <c r="C61" s="313">
        <f>D61*10^7/$E$4</f>
        <v>81.691669952184441</v>
      </c>
      <c r="D61" s="314">
        <f>SUBTOTAL(9,D47:D60)</f>
        <v>5.3158954756083316</v>
      </c>
      <c r="E61" s="314">
        <f>SUBTOTAL(9,E48:E60)</f>
        <v>0</v>
      </c>
      <c r="F61" s="314">
        <f>SUBTOTAL(9,F47:F60)</f>
        <v>5.3158954756083316</v>
      </c>
      <c r="H61" s="1024"/>
      <c r="I61" s="998"/>
      <c r="J61" s="999"/>
      <c r="K61" s="318"/>
    </row>
    <row r="62" spans="1:12">
      <c r="I62" s="981"/>
    </row>
    <row r="63" spans="1:12">
      <c r="I63" s="981"/>
    </row>
    <row r="64" spans="1:12">
      <c r="D64">
        <f ca="1">D18*10^7</f>
        <v>1920983948.4210556</v>
      </c>
      <c r="E64" s="626">
        <f>6.15*E4*54*1.05</f>
        <v>226911670.78687388</v>
      </c>
      <c r="F64" t="s">
        <v>329</v>
      </c>
      <c r="I64" s="981"/>
    </row>
    <row r="65" spans="5:6">
      <c r="E65" s="626">
        <f>E4*0.05*7200*1.03</f>
        <v>241289478.29188809</v>
      </c>
      <c r="F65" t="s">
        <v>332</v>
      </c>
    </row>
    <row r="66" spans="5:6">
      <c r="E66" s="626">
        <f>E4*550</f>
        <v>357899711.59800011</v>
      </c>
      <c r="F66" t="s">
        <v>1220</v>
      </c>
    </row>
    <row r="67" spans="5:6">
      <c r="E67" s="1006">
        <f>SUM(E64:E66)</f>
        <v>826100860.6767621</v>
      </c>
    </row>
    <row r="68" spans="5:6">
      <c r="E68" s="1007">
        <f>5*10^7</f>
        <v>50000000</v>
      </c>
    </row>
    <row r="69" spans="5:6">
      <c r="E69" s="1006">
        <f>SUM(E67:E68)</f>
        <v>876100860.6767621</v>
      </c>
    </row>
    <row r="70" spans="5:6">
      <c r="E70" s="1007">
        <f>SUM(D8:D14)*10^7</f>
        <v>754288980.72131801</v>
      </c>
    </row>
    <row r="71" spans="5:6">
      <c r="E71" s="1006">
        <f>E69+E70</f>
        <v>1630389841.3980801</v>
      </c>
    </row>
    <row r="72" spans="5:6">
      <c r="E72" s="605">
        <f>E71/E4</f>
        <v>2505.4907386350483</v>
      </c>
    </row>
  </sheetData>
  <mergeCells count="15">
    <mergeCell ref="A23:F23"/>
    <mergeCell ref="A24:A26"/>
    <mergeCell ref="B24:B26"/>
    <mergeCell ref="C24:F24"/>
    <mergeCell ref="C25:D25"/>
    <mergeCell ref="A43:F43"/>
    <mergeCell ref="A44:A46"/>
    <mergeCell ref="B44:B46"/>
    <mergeCell ref="C44:F44"/>
    <mergeCell ref="C45:D45"/>
    <mergeCell ref="A2:F2"/>
    <mergeCell ref="A3:A5"/>
    <mergeCell ref="B3:B5"/>
    <mergeCell ref="C3:F3"/>
    <mergeCell ref="C4:D4"/>
  </mergeCells>
  <pageMargins left="0.7" right="0.7" top="0.75" bottom="0.75" header="0.3" footer="0.3"/>
  <ignoredErrors>
    <ignoredError sqref="E15"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09DBC-D7EE-40D7-B1AF-E97CE1EBFB4D}">
  <dimension ref="A2:CP145"/>
  <sheetViews>
    <sheetView zoomScale="70" zoomScaleNormal="70" workbookViewId="0">
      <pane xSplit="2" ySplit="4" topLeftCell="E76" activePane="bottomRight" state="frozen"/>
      <selection activeCell="D12" sqref="D12"/>
      <selection pane="topRight" activeCell="D12" sqref="D12"/>
      <selection pane="bottomLeft" activeCell="D12" sqref="D12"/>
      <selection pane="bottomRight" activeCell="M104" sqref="M104"/>
    </sheetView>
  </sheetViews>
  <sheetFormatPr defaultColWidth="8.88671875" defaultRowHeight="13.8"/>
  <cols>
    <col min="1" max="1" width="12.109375" style="125" customWidth="1"/>
    <col min="2" max="2" width="60.109375" style="126" bestFit="1" customWidth="1"/>
    <col min="3" max="3" width="12.33203125" style="126" customWidth="1"/>
    <col min="4" max="6" width="16.5546875" style="99" customWidth="1"/>
    <col min="7" max="8" width="16.5546875" style="127" customWidth="1"/>
    <col min="9" max="9" width="23.88671875" style="128" bestFit="1" customWidth="1"/>
    <col min="10" max="10" width="17.33203125" style="127" bestFit="1" customWidth="1"/>
    <col min="11" max="11" width="23.88671875" style="128" bestFit="1" customWidth="1"/>
    <col min="12" max="12" width="18.6640625" style="99" customWidth="1"/>
    <col min="13" max="13" width="11.88671875" style="99" bestFit="1" customWidth="1"/>
    <col min="14" max="14" width="10.109375" style="99" bestFit="1" customWidth="1"/>
    <col min="15" max="16384" width="8.88671875" style="99"/>
  </cols>
  <sheetData>
    <row r="2" spans="1:13" ht="20.100000000000001" customHeight="1">
      <c r="A2" s="1034" t="s">
        <v>308</v>
      </c>
      <c r="B2" s="1034"/>
      <c r="C2" s="1034"/>
      <c r="D2" s="1034"/>
      <c r="E2" s="1034"/>
      <c r="F2" s="1034"/>
      <c r="G2" s="1034"/>
      <c r="H2" s="1034"/>
      <c r="I2" s="1034"/>
      <c r="J2" s="1034"/>
      <c r="K2" s="1034"/>
    </row>
    <row r="3" spans="1:13" ht="20.100000000000001" customHeight="1">
      <c r="A3" s="100"/>
      <c r="B3" s="101"/>
      <c r="C3" s="102"/>
      <c r="D3" s="102"/>
      <c r="E3" s="102" t="s">
        <v>309</v>
      </c>
      <c r="F3" s="102"/>
      <c r="G3" s="103">
        <f>'Construction Area'!S45</f>
        <v>650726.7483600002</v>
      </c>
      <c r="H3" s="103" t="s">
        <v>310</v>
      </c>
      <c r="I3" s="104"/>
      <c r="J3" s="103"/>
      <c r="K3" s="104"/>
    </row>
    <row r="4" spans="1:13" ht="27.6">
      <c r="A4" s="102" t="s">
        <v>311</v>
      </c>
      <c r="B4" s="102" t="s">
        <v>2</v>
      </c>
      <c r="C4" s="972" t="s">
        <v>312</v>
      </c>
      <c r="D4" s="102" t="s">
        <v>313</v>
      </c>
      <c r="E4" s="102" t="s">
        <v>314</v>
      </c>
      <c r="F4" s="102" t="s">
        <v>315</v>
      </c>
      <c r="G4" s="973" t="s">
        <v>316</v>
      </c>
      <c r="H4" s="103" t="s">
        <v>5</v>
      </c>
      <c r="I4" s="103" t="s">
        <v>317</v>
      </c>
      <c r="J4" s="103" t="s">
        <v>318</v>
      </c>
      <c r="K4" s="103" t="s">
        <v>319</v>
      </c>
      <c r="L4" s="99" t="s">
        <v>320</v>
      </c>
    </row>
    <row r="5" spans="1:13" ht="20.100000000000001" customHeight="1">
      <c r="A5" s="1035" t="s">
        <v>321</v>
      </c>
      <c r="B5" s="105" t="s">
        <v>207</v>
      </c>
      <c r="C5" s="106">
        <f>I5/$G$3</f>
        <v>16.074128659013276</v>
      </c>
      <c r="D5" s="107">
        <v>0</v>
      </c>
      <c r="E5" s="107">
        <f t="shared" ref="E5:E14" si="0">+(1-D5)</f>
        <v>1</v>
      </c>
      <c r="F5" s="106" t="s">
        <v>322</v>
      </c>
      <c r="G5" s="108">
        <f>Excavation!I12</f>
        <v>22223.2045</v>
      </c>
      <c r="H5" s="108">
        <f>I5/G5</f>
        <v>470.67314144546526</v>
      </c>
      <c r="I5" s="110">
        <f>Excavation!K12</f>
        <v>10459865.475</v>
      </c>
      <c r="J5" s="109">
        <f t="shared" ref="J5:J78" si="1">+I5*D5</f>
        <v>0</v>
      </c>
      <c r="K5" s="110">
        <f t="shared" ref="K5:K77" si="2">+E5*I5</f>
        <v>10459865.475</v>
      </c>
    </row>
    <row r="6" spans="1:13" ht="20.100000000000001" customHeight="1">
      <c r="A6" s="1036"/>
      <c r="B6" s="105" t="s">
        <v>323</v>
      </c>
      <c r="C6" s="106">
        <f>I6/$G$3</f>
        <v>19.728638322512445</v>
      </c>
      <c r="D6" s="107">
        <v>0</v>
      </c>
      <c r="E6" s="107">
        <f t="shared" si="0"/>
        <v>1</v>
      </c>
      <c r="F6" s="106" t="s">
        <v>324</v>
      </c>
      <c r="G6" s="108">
        <f>'Shore Pile'!M3</f>
        <v>200</v>
      </c>
      <c r="H6" s="108">
        <f>I6/G6</f>
        <v>64189.763325895059</v>
      </c>
      <c r="I6" s="110">
        <f>'Shore Pile'!F12</f>
        <v>12837952.665179012</v>
      </c>
      <c r="J6" s="109">
        <f t="shared" si="1"/>
        <v>0</v>
      </c>
      <c r="K6" s="110">
        <f t="shared" si="2"/>
        <v>12837952.665179012</v>
      </c>
    </row>
    <row r="7" spans="1:13" ht="20.100000000000001" customHeight="1">
      <c r="A7" s="1036"/>
      <c r="B7" s="105" t="s">
        <v>325</v>
      </c>
      <c r="C7" s="106">
        <f t="shared" ref="C7:C14" si="3">I7/$G$3</f>
        <v>11.464612096324551</v>
      </c>
      <c r="D7" s="107">
        <v>0</v>
      </c>
      <c r="E7" s="107">
        <f t="shared" si="0"/>
        <v>1</v>
      </c>
      <c r="F7" s="106" t="s">
        <v>322</v>
      </c>
      <c r="G7" s="108">
        <f>Excavation!I13</f>
        <v>6666.9613499999996</v>
      </c>
      <c r="H7" s="109">
        <f>'Rate List - Flats'!G277</f>
        <v>1119</v>
      </c>
      <c r="I7" s="110">
        <f t="shared" ref="I7:I39" si="4">G7*H7</f>
        <v>7460329.7506499998</v>
      </c>
      <c r="J7" s="109">
        <f t="shared" si="1"/>
        <v>0</v>
      </c>
      <c r="K7" s="110">
        <f t="shared" si="2"/>
        <v>7460329.7506499998</v>
      </c>
    </row>
    <row r="8" spans="1:13" ht="20.100000000000001" customHeight="1">
      <c r="A8" s="1036"/>
      <c r="B8" s="105" t="s">
        <v>326</v>
      </c>
      <c r="C8" s="106">
        <f t="shared" si="3"/>
        <v>0.30006536613426005</v>
      </c>
      <c r="D8" s="107">
        <v>0</v>
      </c>
      <c r="E8" s="107">
        <f t="shared" si="0"/>
        <v>1</v>
      </c>
      <c r="F8" s="106" t="s">
        <v>327</v>
      </c>
      <c r="G8" s="108">
        <f>Excavation!I14</f>
        <v>2077.2399999999998</v>
      </c>
      <c r="H8" s="109">
        <f>'Rate List - Flats'!G279</f>
        <v>94</v>
      </c>
      <c r="I8" s="110">
        <f t="shared" si="4"/>
        <v>195260.55999999997</v>
      </c>
      <c r="J8" s="109">
        <f t="shared" si="1"/>
        <v>0</v>
      </c>
      <c r="K8" s="110">
        <f t="shared" si="2"/>
        <v>195260.55999999997</v>
      </c>
    </row>
    <row r="9" spans="1:13" ht="20.100000000000001" customHeight="1">
      <c r="A9" s="1036"/>
      <c r="B9" s="105" t="s">
        <v>328</v>
      </c>
      <c r="C9" s="106">
        <f t="shared" si="3"/>
        <v>0</v>
      </c>
      <c r="D9" s="107">
        <v>0</v>
      </c>
      <c r="E9" s="107">
        <f t="shared" ref="E9" si="5">+(1-D9)</f>
        <v>1</v>
      </c>
      <c r="F9" s="106" t="s">
        <v>327</v>
      </c>
      <c r="G9" s="108">
        <v>0</v>
      </c>
      <c r="H9" s="109"/>
      <c r="I9" s="110">
        <f t="shared" ref="I9" si="6">G9*H9</f>
        <v>0</v>
      </c>
      <c r="J9" s="109">
        <f t="shared" ref="J9" si="7">+I9*D9</f>
        <v>0</v>
      </c>
      <c r="K9" s="110">
        <f t="shared" ref="K9" si="8">+E9*I9</f>
        <v>0</v>
      </c>
    </row>
    <row r="10" spans="1:13" ht="20.25" customHeight="1">
      <c r="A10" s="1036"/>
      <c r="B10" s="105" t="s">
        <v>329</v>
      </c>
      <c r="C10" s="106">
        <f t="shared" si="3"/>
        <v>492.63643684823876</v>
      </c>
      <c r="D10" s="107">
        <v>0</v>
      </c>
      <c r="E10" s="107">
        <f t="shared" si="0"/>
        <v>1</v>
      </c>
      <c r="F10" s="106" t="s">
        <v>330</v>
      </c>
      <c r="G10" s="108">
        <f>'Concrete &amp; Steel Summary'!I60</f>
        <v>4042.0086581</v>
      </c>
      <c r="H10" s="108">
        <f>'Rate List - Flats'!G245</f>
        <v>79310</v>
      </c>
      <c r="I10" s="110">
        <f t="shared" si="4"/>
        <v>320571706.67391098</v>
      </c>
      <c r="J10" s="109">
        <f t="shared" si="1"/>
        <v>0</v>
      </c>
      <c r="K10" s="110">
        <f t="shared" si="2"/>
        <v>320571706.67391098</v>
      </c>
      <c r="L10" s="99">
        <f>G10*1000/G3</f>
        <v>6.2115299060426024</v>
      </c>
      <c r="M10" s="99" t="s">
        <v>331</v>
      </c>
    </row>
    <row r="11" spans="1:13" ht="20.100000000000001" customHeight="1">
      <c r="A11" s="1036"/>
      <c r="B11" s="105" t="s">
        <v>332</v>
      </c>
      <c r="C11" s="106">
        <f t="shared" ca="1" si="3"/>
        <v>510.78890517874612</v>
      </c>
      <c r="D11" s="107">
        <v>0</v>
      </c>
      <c r="E11" s="107">
        <f t="shared" si="0"/>
        <v>1</v>
      </c>
      <c r="F11" s="106" t="s">
        <v>322</v>
      </c>
      <c r="G11" s="108">
        <f ca="1">'Concrete &amp; Steel Summary'!D80</f>
        <v>32058.569664999999</v>
      </c>
      <c r="H11" s="108">
        <f ca="1">I11/G11</f>
        <v>10368.023490711463</v>
      </c>
      <c r="I11" s="110">
        <f ca="1">'Concrete &amp; Steel Summary'!F80</f>
        <v>332384003.36532992</v>
      </c>
      <c r="J11" s="109">
        <f t="shared" ca="1" si="1"/>
        <v>0</v>
      </c>
      <c r="K11" s="110">
        <f t="shared" ca="1" si="2"/>
        <v>332384003.36532992</v>
      </c>
      <c r="L11" s="99">
        <f ca="1">G11/G3</f>
        <v>4.9265793585089118E-2</v>
      </c>
      <c r="M11" s="111"/>
    </row>
    <row r="12" spans="1:13" ht="20.100000000000001" customHeight="1">
      <c r="A12" s="1036"/>
      <c r="B12" s="105" t="s">
        <v>333</v>
      </c>
      <c r="C12" s="106">
        <f t="shared" si="3"/>
        <v>137.87358951352675</v>
      </c>
      <c r="D12" s="107">
        <v>0</v>
      </c>
      <c r="E12" s="107">
        <f t="shared" si="0"/>
        <v>1</v>
      </c>
      <c r="F12" s="106" t="s">
        <v>327</v>
      </c>
      <c r="G12" s="112">
        <f>'Shuttering Summary'!C4</f>
        <v>119624.04345181159</v>
      </c>
      <c r="H12" s="108">
        <f>'Rate List - Flats'!G247</f>
        <v>750</v>
      </c>
      <c r="I12" s="110">
        <f t="shared" si="4"/>
        <v>89718032.588858694</v>
      </c>
      <c r="J12" s="109">
        <f t="shared" si="1"/>
        <v>0</v>
      </c>
      <c r="K12" s="110">
        <f t="shared" si="2"/>
        <v>89718032.588858694</v>
      </c>
      <c r="L12" s="99">
        <f>G12/G3</f>
        <v>0.18383145268470236</v>
      </c>
    </row>
    <row r="13" spans="1:13" ht="20.100000000000001" customHeight="1">
      <c r="A13" s="1036"/>
      <c r="B13" s="105" t="s">
        <v>334</v>
      </c>
      <c r="C13" s="106">
        <f t="shared" si="3"/>
        <v>85.631839823252619</v>
      </c>
      <c r="D13" s="107">
        <v>0</v>
      </c>
      <c r="E13" s="107">
        <f t="shared" si="0"/>
        <v>1</v>
      </c>
      <c r="F13" s="106" t="s">
        <v>327</v>
      </c>
      <c r="G13" s="109">
        <f>'Shuttering Summary'!C3</f>
        <v>51310.247407246366</v>
      </c>
      <c r="H13" s="109">
        <f>'Rate List - Flats'!G246</f>
        <v>1086</v>
      </c>
      <c r="I13" s="110">
        <f t="shared" si="4"/>
        <v>55722928.684269555</v>
      </c>
      <c r="J13" s="109">
        <f t="shared" si="1"/>
        <v>0</v>
      </c>
      <c r="K13" s="110">
        <f t="shared" si="2"/>
        <v>55722928.684269555</v>
      </c>
      <c r="L13" s="99">
        <f>G13/G3</f>
        <v>7.8850681236880868E-2</v>
      </c>
    </row>
    <row r="14" spans="1:13" ht="20.100000000000001" customHeight="1">
      <c r="A14" s="1036"/>
      <c r="B14" s="105" t="s">
        <v>335</v>
      </c>
      <c r="C14" s="106">
        <f t="shared" si="3"/>
        <v>58.051446164160851</v>
      </c>
      <c r="D14" s="107">
        <v>0</v>
      </c>
      <c r="E14" s="107">
        <f t="shared" si="0"/>
        <v>1</v>
      </c>
      <c r="F14" s="106" t="s">
        <v>327</v>
      </c>
      <c r="G14" s="109">
        <f>'Blockwork &amp; Plaster &amp; Painting'!G3</f>
        <v>13162.24</v>
      </c>
      <c r="H14" s="109">
        <f>'Rate List - Flats'!G264</f>
        <v>2870</v>
      </c>
      <c r="I14" s="110">
        <f t="shared" si="4"/>
        <v>37775628.799999997</v>
      </c>
      <c r="J14" s="109">
        <f t="shared" si="1"/>
        <v>0</v>
      </c>
      <c r="K14" s="110">
        <f t="shared" si="2"/>
        <v>37775628.799999997</v>
      </c>
    </row>
    <row r="15" spans="1:13" ht="20.100000000000001" customHeight="1">
      <c r="A15" s="1036"/>
      <c r="B15" s="105" t="s">
        <v>224</v>
      </c>
      <c r="C15" s="106">
        <f>I15/$G$3</f>
        <v>61.723478958297768</v>
      </c>
      <c r="D15" s="107">
        <v>0</v>
      </c>
      <c r="E15" s="107">
        <f>+(1-D15)</f>
        <v>1</v>
      </c>
      <c r="F15" s="106" t="s">
        <v>322</v>
      </c>
      <c r="G15" s="109">
        <f>'Measurement Sheet'!F363</f>
        <v>6132.0791999999992</v>
      </c>
      <c r="H15" s="109">
        <f>'Rate List - Flats'!G237</f>
        <v>6550</v>
      </c>
      <c r="I15" s="110">
        <f>G15*H15</f>
        <v>40165118.759999998</v>
      </c>
      <c r="J15" s="109">
        <f>+I15*D15</f>
        <v>0</v>
      </c>
      <c r="K15" s="110">
        <f>+E15*I15</f>
        <v>40165118.759999998</v>
      </c>
    </row>
    <row r="16" spans="1:13" ht="20.100000000000001" customHeight="1">
      <c r="A16" s="1036"/>
      <c r="B16" s="113" t="s">
        <v>336</v>
      </c>
      <c r="C16" s="106"/>
      <c r="D16" s="107"/>
      <c r="E16" s="107"/>
      <c r="F16" s="106"/>
      <c r="G16" s="108"/>
      <c r="H16" s="109"/>
      <c r="I16" s="110"/>
      <c r="J16" s="109"/>
      <c r="K16" s="110"/>
      <c r="L16" s="99">
        <f ca="1">+SUM(I10:I13)/G3</f>
        <v>1226.9307713637643</v>
      </c>
    </row>
    <row r="17" spans="1:11" ht="20.100000000000001" customHeight="1">
      <c r="A17" s="1036"/>
      <c r="B17" s="105" t="s">
        <v>337</v>
      </c>
      <c r="C17" s="106">
        <f t="shared" ref="C17:C87" si="9">I17/$G$3</f>
        <v>4.5845156622416479</v>
      </c>
      <c r="D17" s="107">
        <v>0</v>
      </c>
      <c r="E17" s="107">
        <f>+(1-D17)</f>
        <v>1</v>
      </c>
      <c r="F17" s="106" t="s">
        <v>327</v>
      </c>
      <c r="G17" s="106">
        <f>VLOOKUP(B17,'Internal Finishes Flats'!$B$1998:$F$2038,3,FALSE)</f>
        <v>5229.2880000000014</v>
      </c>
      <c r="H17" s="106">
        <f>VLOOKUP(B17,'Internal Finishes Flats'!$B$1998:$F$2038,4,FALSE)</f>
        <v>570.49199999999985</v>
      </c>
      <c r="I17" s="110">
        <f t="shared" si="4"/>
        <v>2983266.9696960002</v>
      </c>
      <c r="J17" s="109">
        <f t="shared" si="1"/>
        <v>0</v>
      </c>
      <c r="K17" s="110">
        <f t="shared" si="2"/>
        <v>2983266.9696960002</v>
      </c>
    </row>
    <row r="18" spans="1:11" ht="20.100000000000001" customHeight="1">
      <c r="A18" s="1036"/>
      <c r="B18" s="105" t="s">
        <v>338</v>
      </c>
      <c r="C18" s="106">
        <f t="shared" si="9"/>
        <v>0</v>
      </c>
      <c r="D18" s="107">
        <v>0</v>
      </c>
      <c r="E18" s="107">
        <f>+(1-D18)</f>
        <v>1</v>
      </c>
      <c r="F18" s="106" t="s">
        <v>327</v>
      </c>
      <c r="G18" s="106">
        <f>VLOOKUP(B18,'Internal Finishes Flats'!$B$1998:$F$2038,3,FALSE)</f>
        <v>0</v>
      </c>
      <c r="H18" s="106">
        <f>VLOOKUP(B18,'Internal Finishes Flats'!$B$1998:$F$2038,4,FALSE)</f>
        <v>0</v>
      </c>
      <c r="I18" s="110">
        <f t="shared" ref="I18" si="10">G18*H18</f>
        <v>0</v>
      </c>
      <c r="J18" s="109">
        <f t="shared" si="1"/>
        <v>0</v>
      </c>
      <c r="K18" s="110">
        <f t="shared" si="2"/>
        <v>0</v>
      </c>
    </row>
    <row r="19" spans="1:11" ht="20.100000000000001" customHeight="1">
      <c r="A19" s="1036"/>
      <c r="B19" s="105" t="s">
        <v>339</v>
      </c>
      <c r="C19" s="106">
        <f t="shared" si="9"/>
        <v>20.895496668284423</v>
      </c>
      <c r="D19" s="107">
        <v>0</v>
      </c>
      <c r="E19" s="107">
        <f t="shared" ref="E19:E21" si="11">+(1-D19)</f>
        <v>1</v>
      </c>
      <c r="F19" s="106" t="s">
        <v>327</v>
      </c>
      <c r="G19" s="106">
        <f>VLOOKUP(B19,'Internal Finishes Flats'!$B$1998:$F$2038,3,FALSE)</f>
        <v>23086.989000000005</v>
      </c>
      <c r="H19" s="106">
        <f>VLOOKUP(B19,'Internal Finishes Flats'!$B$1998:$F$2038,4,FALSE)</f>
        <v>588.95764199999996</v>
      </c>
      <c r="I19" s="110">
        <f t="shared" ref="I19" si="12">G19*H19</f>
        <v>13597258.602319941</v>
      </c>
      <c r="J19" s="109">
        <f t="shared" si="1"/>
        <v>0</v>
      </c>
      <c r="K19" s="110">
        <f t="shared" si="2"/>
        <v>13597258.602319941</v>
      </c>
    </row>
    <row r="20" spans="1:11" ht="20.100000000000001" customHeight="1">
      <c r="A20" s="1036"/>
      <c r="B20" s="113" t="s">
        <v>119</v>
      </c>
      <c r="C20" s="106"/>
      <c r="D20" s="107"/>
      <c r="E20" s="107"/>
      <c r="F20" s="106"/>
      <c r="G20" s="108"/>
      <c r="H20" s="108"/>
      <c r="I20" s="110"/>
      <c r="J20" s="109"/>
      <c r="K20" s="110"/>
    </row>
    <row r="21" spans="1:11" ht="20.100000000000001" customHeight="1">
      <c r="A21" s="1036"/>
      <c r="B21" s="105" t="s">
        <v>340</v>
      </c>
      <c r="C21" s="106">
        <f t="shared" si="9"/>
        <v>10.140040219016143</v>
      </c>
      <c r="D21" s="107">
        <v>0</v>
      </c>
      <c r="E21" s="107">
        <f t="shared" si="11"/>
        <v>1</v>
      </c>
      <c r="F21" s="106" t="s">
        <v>327</v>
      </c>
      <c r="G21" s="106">
        <f>VLOOKUP(B21,'Internal Finishes Flats'!$B$1998:$F$2038,3,FALSE)</f>
        <v>7211.8340000000017</v>
      </c>
      <c r="H21" s="106">
        <f>VLOOKUP(B21,'Internal Finishes Flats'!$B$1998:$F$2038,4,FALSE)</f>
        <v>914.93999999999971</v>
      </c>
      <c r="I21" s="110">
        <f t="shared" ref="I21" si="13">G21*H21</f>
        <v>6598395.3999599991</v>
      </c>
      <c r="J21" s="109">
        <f t="shared" si="1"/>
        <v>0</v>
      </c>
      <c r="K21" s="110">
        <f t="shared" si="2"/>
        <v>6598395.3999599991</v>
      </c>
    </row>
    <row r="22" spans="1:11" ht="20.100000000000001" customHeight="1">
      <c r="A22" s="1036"/>
      <c r="B22" s="105" t="s">
        <v>341</v>
      </c>
      <c r="C22" s="106">
        <f t="shared" si="9"/>
        <v>4.5488325501757583</v>
      </c>
      <c r="D22" s="107">
        <v>0</v>
      </c>
      <c r="E22" s="107">
        <f>+(1-D22)</f>
        <v>1</v>
      </c>
      <c r="F22" s="106" t="s">
        <v>327</v>
      </c>
      <c r="G22" s="106">
        <f>'Blockwork &amp; Plaster &amp; Painting'!F11</f>
        <v>3846.0849999999987</v>
      </c>
      <c r="H22" s="106">
        <f>'Rate List - Flats'!G249</f>
        <v>769.62599999999998</v>
      </c>
      <c r="I22" s="110">
        <f t="shared" si="4"/>
        <v>2960047.0142099988</v>
      </c>
      <c r="J22" s="109">
        <f t="shared" si="1"/>
        <v>0</v>
      </c>
      <c r="K22" s="110">
        <f t="shared" si="2"/>
        <v>2960047.0142099988</v>
      </c>
    </row>
    <row r="23" spans="1:11" ht="20.100000000000001" customHeight="1">
      <c r="A23" s="1036"/>
      <c r="B23" s="113" t="s">
        <v>125</v>
      </c>
      <c r="C23" s="106"/>
      <c r="D23" s="107"/>
      <c r="E23" s="107"/>
      <c r="F23" s="106"/>
      <c r="G23" s="108"/>
      <c r="H23" s="109"/>
      <c r="I23" s="110">
        <f t="shared" si="4"/>
        <v>0</v>
      </c>
      <c r="J23" s="109">
        <f t="shared" si="1"/>
        <v>0</v>
      </c>
      <c r="K23" s="110">
        <f t="shared" si="2"/>
        <v>0</v>
      </c>
    </row>
    <row r="24" spans="1:11" ht="20.100000000000001" customHeight="1">
      <c r="A24" s="1036"/>
      <c r="B24" s="105" t="s">
        <v>342</v>
      </c>
      <c r="C24" s="106">
        <f t="shared" ca="1" si="9"/>
        <v>38.430283923360541</v>
      </c>
      <c r="D24" s="107">
        <v>0</v>
      </c>
      <c r="E24" s="107">
        <f t="shared" ref="E24:E31" si="14">+(1-D24)</f>
        <v>1</v>
      </c>
      <c r="F24" s="106" t="s">
        <v>327</v>
      </c>
      <c r="G24" s="106">
        <f ca="1">VLOOKUP(B24,Waterproofing!$B$147:$F$154,3,FALSE)</f>
        <v>18586.111999999997</v>
      </c>
      <c r="H24" s="106">
        <f>VLOOKUP(B24,Waterproofing!$B$147:$F$154,4,FALSE)</f>
        <v>1345.5</v>
      </c>
      <c r="I24" s="110">
        <f t="shared" ca="1" si="4"/>
        <v>25007613.695999995</v>
      </c>
      <c r="J24" s="109">
        <f t="shared" ca="1" si="1"/>
        <v>0</v>
      </c>
      <c r="K24" s="110">
        <f t="shared" ca="1" si="2"/>
        <v>25007613.695999995</v>
      </c>
    </row>
    <row r="25" spans="1:11" ht="20.100000000000001" customHeight="1">
      <c r="A25" s="1036"/>
      <c r="B25" s="105" t="s">
        <v>126</v>
      </c>
      <c r="C25" s="106">
        <f t="shared" ca="1" si="9"/>
        <v>4.6591333342927381</v>
      </c>
      <c r="D25" s="107">
        <v>0</v>
      </c>
      <c r="E25" s="107">
        <f t="shared" si="14"/>
        <v>1</v>
      </c>
      <c r="F25" s="106" t="s">
        <v>327</v>
      </c>
      <c r="G25" s="106">
        <f ca="1">VLOOKUP(B25,Waterproofing!$B$147:$F$154,3,FALSE)</f>
        <v>1083.32</v>
      </c>
      <c r="H25" s="106">
        <f>VLOOKUP(B25,Waterproofing!$B$147:$F$154,4,FALSE)</f>
        <v>2798.64</v>
      </c>
      <c r="I25" s="110">
        <f t="shared" ca="1" si="4"/>
        <v>3031822.6847999995</v>
      </c>
      <c r="J25" s="109">
        <f t="shared" ca="1" si="1"/>
        <v>0</v>
      </c>
      <c r="K25" s="110">
        <f t="shared" ca="1" si="2"/>
        <v>3031822.6847999995</v>
      </c>
    </row>
    <row r="26" spans="1:11" ht="20.100000000000001" customHeight="1">
      <c r="A26" s="1036"/>
      <c r="B26" s="105" t="s">
        <v>343</v>
      </c>
      <c r="C26" s="106">
        <f t="shared" ca="1" si="9"/>
        <v>5.8399586197701741</v>
      </c>
      <c r="D26" s="107">
        <v>0</v>
      </c>
      <c r="E26" s="107">
        <f t="shared" si="14"/>
        <v>1</v>
      </c>
      <c r="F26" s="106" t="s">
        <v>327</v>
      </c>
      <c r="G26" s="106">
        <f ca="1">VLOOKUP(B26,Waterproofing!$B$147:$F$154,3,FALSE)</f>
        <v>1357.88</v>
      </c>
      <c r="H26" s="106">
        <f>VLOOKUP(B26,Waterproofing!$B$147:$F$154,4,FALSE)</f>
        <v>2798.64</v>
      </c>
      <c r="I26" s="110">
        <f t="shared" ca="1" si="4"/>
        <v>3800217.2831999999</v>
      </c>
      <c r="J26" s="109">
        <f t="shared" ca="1" si="1"/>
        <v>0</v>
      </c>
      <c r="K26" s="110">
        <f t="shared" ca="1" si="2"/>
        <v>3800217.2831999999</v>
      </c>
    </row>
    <row r="27" spans="1:11" ht="20.100000000000001" customHeight="1">
      <c r="A27" s="1036"/>
      <c r="B27" s="105" t="s">
        <v>191</v>
      </c>
      <c r="C27" s="106">
        <f t="shared" ref="C27" ca="1" si="15">I27/$G$3</f>
        <v>5.642204096040639</v>
      </c>
      <c r="D27" s="107">
        <v>0</v>
      </c>
      <c r="E27" s="107">
        <f t="shared" ref="E27" si="16">+(1-D27)</f>
        <v>1</v>
      </c>
      <c r="F27" s="106" t="s">
        <v>327</v>
      </c>
      <c r="G27" s="106">
        <f ca="1">VLOOKUP(B27,Waterproofing!$B$147:$F$154,3,FALSE)</f>
        <v>2728.7499999999995</v>
      </c>
      <c r="H27" s="106">
        <f>VLOOKUP(B27,Waterproofing!$B$147:$F$154,4,FALSE)</f>
        <v>1345.5</v>
      </c>
      <c r="I27" s="110">
        <f t="shared" ref="I27" ca="1" si="17">G27*H27</f>
        <v>3671533.1249999995</v>
      </c>
      <c r="J27" s="109">
        <f t="shared" ref="J27" ca="1" si="18">+I27*D27</f>
        <v>0</v>
      </c>
      <c r="K27" s="110">
        <f t="shared" ref="K27" ca="1" si="19">+E27*I27</f>
        <v>3671533.1249999995</v>
      </c>
    </row>
    <row r="28" spans="1:11" ht="20.100000000000001" customHeight="1">
      <c r="A28" s="1036"/>
      <c r="B28" s="105" t="s">
        <v>344</v>
      </c>
      <c r="C28" s="106">
        <f t="shared" ca="1" si="9"/>
        <v>1.5919809428624971</v>
      </c>
      <c r="D28" s="107">
        <v>0</v>
      </c>
      <c r="E28" s="107">
        <f t="shared" si="14"/>
        <v>1</v>
      </c>
      <c r="F28" s="106" t="s">
        <v>327</v>
      </c>
      <c r="G28" s="106">
        <f ca="1">VLOOKUP(B28,Waterproofing!$B$147:$F$154,3,FALSE)</f>
        <v>370.16</v>
      </c>
      <c r="H28" s="106">
        <f>VLOOKUP(B28,Waterproofing!$B$147:$F$154,4,FALSE)</f>
        <v>2798.64</v>
      </c>
      <c r="I28" s="110">
        <f t="shared" ca="1" si="4"/>
        <v>1035944.5824000001</v>
      </c>
      <c r="J28" s="109">
        <f t="shared" ca="1" si="1"/>
        <v>0</v>
      </c>
      <c r="K28" s="110">
        <f t="shared" ca="1" si="2"/>
        <v>1035944.5824000001</v>
      </c>
    </row>
    <row r="29" spans="1:11" ht="20.100000000000001" customHeight="1">
      <c r="A29" s="1036"/>
      <c r="B29" s="105" t="s">
        <v>345</v>
      </c>
      <c r="C29" s="106">
        <f t="shared" ca="1" si="9"/>
        <v>7.2969175033406009</v>
      </c>
      <c r="D29" s="107">
        <v>0</v>
      </c>
      <c r="E29" s="107">
        <f t="shared" si="14"/>
        <v>1</v>
      </c>
      <c r="F29" s="106" t="s">
        <v>327</v>
      </c>
      <c r="G29" s="106">
        <f ca="1">VLOOKUP(B29,Waterproofing!$B$147:$F$154,3,FALSE)</f>
        <v>4128.9560000000001</v>
      </c>
      <c r="H29" s="106">
        <f>VLOOKUP(B29,Waterproofing!$B$147:$F$154,4,FALSE)</f>
        <v>1150</v>
      </c>
      <c r="I29" s="110">
        <f t="shared" ca="1" si="4"/>
        <v>4748299.4000000004</v>
      </c>
      <c r="J29" s="109">
        <f t="shared" ca="1" si="1"/>
        <v>0</v>
      </c>
      <c r="K29" s="110">
        <f t="shared" ca="1" si="2"/>
        <v>4748299.4000000004</v>
      </c>
    </row>
    <row r="30" spans="1:11" ht="20.100000000000001" customHeight="1">
      <c r="A30" s="1036"/>
      <c r="B30" s="105" t="s">
        <v>346</v>
      </c>
      <c r="C30" s="106">
        <f t="shared" ca="1" si="9"/>
        <v>0.40805908758048876</v>
      </c>
      <c r="D30" s="107">
        <v>0</v>
      </c>
      <c r="E30" s="107">
        <f t="shared" si="14"/>
        <v>1</v>
      </c>
      <c r="F30" s="106" t="s">
        <v>327</v>
      </c>
      <c r="G30" s="106">
        <f ca="1">VLOOKUP(B30,Waterproofing!$B$147:$F$154,3,FALSE)</f>
        <v>94.88</v>
      </c>
      <c r="H30" s="106">
        <f>VLOOKUP(B30,Waterproofing!$B$147:$F$154,4,FALSE)</f>
        <v>2798.64</v>
      </c>
      <c r="I30" s="110">
        <f t="shared" ca="1" si="4"/>
        <v>265534.9632</v>
      </c>
      <c r="J30" s="109">
        <f t="shared" ca="1" si="1"/>
        <v>0</v>
      </c>
      <c r="K30" s="110">
        <f t="shared" ca="1" si="2"/>
        <v>265534.9632</v>
      </c>
    </row>
    <row r="31" spans="1:11" ht="20.100000000000001" customHeight="1">
      <c r="A31" s="1036"/>
      <c r="B31" s="105" t="s">
        <v>347</v>
      </c>
      <c r="C31" s="106">
        <f t="shared" si="9"/>
        <v>17.78378486694362</v>
      </c>
      <c r="D31" s="107">
        <v>0</v>
      </c>
      <c r="E31" s="107">
        <f t="shared" si="14"/>
        <v>1</v>
      </c>
      <c r="F31" s="106" t="s">
        <v>322</v>
      </c>
      <c r="G31" s="106">
        <f>VLOOKUP(B31,Waterproofing!$B$147:$F$154,3,FALSE)</f>
        <v>1361.4570000000001</v>
      </c>
      <c r="H31" s="106">
        <f>VLOOKUP(B31,Waterproofing!$B$147:$F$154,4,FALSE)</f>
        <v>8500</v>
      </c>
      <c r="I31" s="110">
        <f t="shared" si="4"/>
        <v>11572384.5</v>
      </c>
      <c r="J31" s="109">
        <f t="shared" si="1"/>
        <v>0</v>
      </c>
      <c r="K31" s="110">
        <f t="shared" si="2"/>
        <v>11572384.5</v>
      </c>
    </row>
    <row r="32" spans="1:11" ht="20.100000000000001" customHeight="1">
      <c r="A32" s="1036"/>
      <c r="B32" s="105" t="s">
        <v>348</v>
      </c>
      <c r="C32" s="106">
        <f t="shared" ref="C32" si="20">I32/$G$3</f>
        <v>0.16360784348932453</v>
      </c>
      <c r="D32" s="107">
        <v>0</v>
      </c>
      <c r="E32" s="107">
        <f t="shared" ref="E32" si="21">+(1-D32)</f>
        <v>1</v>
      </c>
      <c r="F32" s="106" t="s">
        <v>322</v>
      </c>
      <c r="G32" s="106">
        <f>VLOOKUP(B32,Waterproofing!$B$147:$F$155,3,FALSE)</f>
        <v>133.07999999999998</v>
      </c>
      <c r="H32" s="106">
        <f>VLOOKUP(B32,Waterproofing!$B$147:$F$155,4,FALSE)</f>
        <v>800</v>
      </c>
      <c r="I32" s="110">
        <f t="shared" ref="I32" si="22">G32*H32</f>
        <v>106463.99999999999</v>
      </c>
      <c r="J32" s="109">
        <f t="shared" ref="J32" si="23">+I32*D32</f>
        <v>0</v>
      </c>
      <c r="K32" s="110">
        <f t="shared" ref="K32" si="24">+E32*I32</f>
        <v>106463.99999999999</v>
      </c>
    </row>
    <row r="33" spans="1:11" ht="20.100000000000001" customHeight="1">
      <c r="A33" s="1036"/>
      <c r="B33" s="105" t="s">
        <v>150</v>
      </c>
      <c r="C33" s="106">
        <f t="shared" ref="C33" si="25">I33/$G$3</f>
        <v>2.0494245908302613</v>
      </c>
      <c r="D33" s="107">
        <v>0</v>
      </c>
      <c r="E33" s="107">
        <f t="shared" ref="E33" si="26">+(1-D33)</f>
        <v>1</v>
      </c>
      <c r="F33" s="106" t="s">
        <v>322</v>
      </c>
      <c r="G33" s="106">
        <f>VLOOKUP(B33,Waterproofing!$B$147:$F$156,3,FALSE)</f>
        <v>2051.7159999999999</v>
      </c>
      <c r="H33" s="106">
        <f>VLOOKUP(B33,Waterproofing!$B$147:$F$156,4,FALSE)</f>
        <v>650</v>
      </c>
      <c r="I33" s="110">
        <f t="shared" ref="I33" si="27">G33*H33</f>
        <v>1333615.3999999999</v>
      </c>
      <c r="J33" s="109">
        <f t="shared" ref="J33" si="28">+I33*D33</f>
        <v>0</v>
      </c>
      <c r="K33" s="110">
        <f t="shared" ref="K33" si="29">+E33*I33</f>
        <v>1333615.3999999999</v>
      </c>
    </row>
    <row r="34" spans="1:11" ht="20.100000000000001" customHeight="1">
      <c r="A34" s="1036"/>
      <c r="B34" s="113" t="s">
        <v>349</v>
      </c>
      <c r="C34" s="106"/>
      <c r="D34" s="107"/>
      <c r="E34" s="107"/>
      <c r="F34" s="106"/>
      <c r="G34" s="108"/>
      <c r="H34" s="108"/>
      <c r="I34" s="110">
        <f t="shared" si="4"/>
        <v>0</v>
      </c>
      <c r="J34" s="109">
        <f t="shared" si="1"/>
        <v>0</v>
      </c>
      <c r="K34" s="110">
        <f t="shared" si="2"/>
        <v>0</v>
      </c>
    </row>
    <row r="35" spans="1:11" ht="20.100000000000001" customHeight="1">
      <c r="A35" s="1036"/>
      <c r="B35" s="105" t="s">
        <v>350</v>
      </c>
      <c r="C35" s="106">
        <f t="shared" si="9"/>
        <v>28.2904249496187</v>
      </c>
      <c r="D35" s="107">
        <v>0</v>
      </c>
      <c r="E35" s="107">
        <f>+(1-D35)</f>
        <v>1</v>
      </c>
      <c r="F35" s="106" t="s">
        <v>327</v>
      </c>
      <c r="G35" s="106">
        <f>VLOOKUP(B35,'Internal Finishes Flats'!$B$1998:$F$2038,3,FALSE)</f>
        <v>51990.327000000012</v>
      </c>
      <c r="H35" s="106">
        <f>VLOOKUP(B35,'Internal Finishes Flats'!$B$1998:$F$2038,4,FALSE)</f>
        <v>354.09156470948903</v>
      </c>
      <c r="I35" s="110">
        <f>VLOOKUP(B35,'Internal Finishes Flats'!$B$1998:$F$2038,5,FALSE)</f>
        <v>18409336.237188</v>
      </c>
      <c r="J35" s="109">
        <f t="shared" si="1"/>
        <v>0</v>
      </c>
      <c r="K35" s="110">
        <f t="shared" si="2"/>
        <v>18409336.237188</v>
      </c>
    </row>
    <row r="36" spans="1:11" ht="20.100000000000001" customHeight="1">
      <c r="A36" s="1036"/>
      <c r="B36" s="105" t="s">
        <v>351</v>
      </c>
      <c r="C36" s="106">
        <f t="shared" si="9"/>
        <v>12.186832333151212</v>
      </c>
      <c r="D36" s="107">
        <v>0</v>
      </c>
      <c r="E36" s="107">
        <f>+(1-D36)</f>
        <v>1</v>
      </c>
      <c r="F36" s="106" t="s">
        <v>327</v>
      </c>
      <c r="G36" s="106">
        <f>VLOOKUP(B36,'Internal Finishes Flats'!$B$1998:$F$2038,3,FALSE)</f>
        <v>22443.659999999993</v>
      </c>
      <c r="H36" s="106">
        <f>VLOOKUP(B36,'Internal Finishes Flats'!$B$1998:$F$2038,4,FALSE)</f>
        <v>353.34244846696151</v>
      </c>
      <c r="I36" s="110">
        <f t="shared" si="4"/>
        <v>7930297.7769600032</v>
      </c>
      <c r="J36" s="109">
        <f t="shared" si="1"/>
        <v>0</v>
      </c>
      <c r="K36" s="110">
        <f t="shared" si="2"/>
        <v>7930297.7769600032</v>
      </c>
    </row>
    <row r="37" spans="1:11" ht="20.100000000000001" customHeight="1">
      <c r="A37" s="1036"/>
      <c r="B37" s="113" t="s">
        <v>352</v>
      </c>
      <c r="C37" s="106"/>
      <c r="D37" s="107"/>
      <c r="E37" s="107"/>
      <c r="F37" s="106"/>
      <c r="G37" s="106"/>
      <c r="H37" s="106"/>
      <c r="I37" s="110"/>
      <c r="J37" s="109"/>
      <c r="K37" s="110"/>
    </row>
    <row r="38" spans="1:11" ht="20.100000000000001" customHeight="1">
      <c r="A38" s="1037"/>
      <c r="B38" s="105" t="s">
        <v>353</v>
      </c>
      <c r="C38" s="106">
        <f t="shared" ref="C38" si="30">I38/$G$3</f>
        <v>19.905530290010461</v>
      </c>
      <c r="D38" s="107">
        <v>0</v>
      </c>
      <c r="E38" s="107">
        <f>+(1-D38)</f>
        <v>1</v>
      </c>
      <c r="F38" s="106" t="s">
        <v>327</v>
      </c>
      <c r="G38" s="106">
        <f>Tremix!E7</f>
        <v>8722.5999999999985</v>
      </c>
      <c r="H38" s="106">
        <f>'Rate List - Flats'!G267</f>
        <v>1485</v>
      </c>
      <c r="I38" s="110">
        <f t="shared" ref="I38" si="31">G38*H38</f>
        <v>12953060.999999998</v>
      </c>
      <c r="J38" s="109">
        <f t="shared" ref="J38" si="32">+I38*D38</f>
        <v>0</v>
      </c>
      <c r="K38" s="110">
        <f t="shared" ref="K38" si="33">+E38*I38</f>
        <v>12953060.999999998</v>
      </c>
    </row>
    <row r="39" spans="1:11" ht="20.100000000000001" customHeight="1">
      <c r="A39" s="1033" t="s">
        <v>354</v>
      </c>
      <c r="B39" s="113" t="s">
        <v>355</v>
      </c>
      <c r="C39" s="106"/>
      <c r="D39" s="107"/>
      <c r="E39" s="107"/>
      <c r="F39" s="106"/>
      <c r="G39" s="108"/>
      <c r="H39" s="108"/>
      <c r="I39" s="110">
        <f t="shared" si="4"/>
        <v>0</v>
      </c>
      <c r="J39" s="109">
        <f t="shared" si="1"/>
        <v>0</v>
      </c>
      <c r="K39" s="110">
        <f t="shared" si="2"/>
        <v>0</v>
      </c>
    </row>
    <row r="40" spans="1:11" ht="20.100000000000001" customHeight="1">
      <c r="A40" s="1033"/>
      <c r="B40" s="105" t="s">
        <v>356</v>
      </c>
      <c r="C40" s="106">
        <f t="shared" si="9"/>
        <v>38.817224388332342</v>
      </c>
      <c r="D40" s="107">
        <v>0</v>
      </c>
      <c r="E40" s="107">
        <f t="shared" ref="E40:E59" si="34">+(1-D40)</f>
        <v>1</v>
      </c>
      <c r="F40" s="106" t="s">
        <v>327</v>
      </c>
      <c r="G40" s="106">
        <f>VLOOKUP(B40,'Internal Finishes Flats'!$B$1998:$F$2038,3,FALSE)</f>
        <v>18809.629999999994</v>
      </c>
      <c r="H40" s="106">
        <f>VLOOKUP(B40,'Internal Finishes Flats'!$B$1998:$F$2038,4,FALSE)</f>
        <v>1342.8975586749984</v>
      </c>
      <c r="I40" s="110">
        <f t="shared" ref="I40" si="35">G40*H40</f>
        <v>25259406.206580002</v>
      </c>
      <c r="J40" s="109">
        <f t="shared" si="1"/>
        <v>0</v>
      </c>
      <c r="K40" s="110">
        <f t="shared" si="2"/>
        <v>25259406.206580002</v>
      </c>
    </row>
    <row r="41" spans="1:11" ht="20.100000000000001" customHeight="1">
      <c r="A41" s="1033"/>
      <c r="B41" s="105" t="s">
        <v>357</v>
      </c>
      <c r="C41" s="106">
        <f t="shared" si="9"/>
        <v>9.7594334156471483</v>
      </c>
      <c r="D41" s="107">
        <v>0</v>
      </c>
      <c r="E41" s="107">
        <f t="shared" si="34"/>
        <v>1</v>
      </c>
      <c r="F41" s="106" t="s">
        <v>358</v>
      </c>
      <c r="G41" s="106">
        <f>VLOOKUP(B41,'Internal Finishes Flats'!$B$1998:$F$2038,3,FALSE)</f>
        <v>16182.690000000002</v>
      </c>
      <c r="H41" s="106">
        <f>VLOOKUP(B41,'Internal Finishes Flats'!$B$1998:$F$2038,4,FALSE)</f>
        <v>392.43935170234357</v>
      </c>
      <c r="I41" s="110">
        <f t="shared" ref="I41:I66" si="36">G41*H41</f>
        <v>6350724.3723999988</v>
      </c>
      <c r="J41" s="109">
        <f t="shared" si="1"/>
        <v>0</v>
      </c>
      <c r="K41" s="110">
        <f t="shared" si="2"/>
        <v>6350724.3723999988</v>
      </c>
    </row>
    <row r="42" spans="1:11" ht="20.100000000000001" customHeight="1">
      <c r="A42" s="1033"/>
      <c r="B42" s="105" t="s">
        <v>359</v>
      </c>
      <c r="C42" s="106">
        <f t="shared" si="9"/>
        <v>5.0621174880268436</v>
      </c>
      <c r="D42" s="107">
        <v>0</v>
      </c>
      <c r="E42" s="107">
        <f t="shared" si="34"/>
        <v>1</v>
      </c>
      <c r="F42" s="106" t="s">
        <v>327</v>
      </c>
      <c r="G42" s="106">
        <f>VLOOKUP(B42,'Internal Finishes Flats'!$B$1998:$F$2038,3,FALSE)</f>
        <v>2354.04</v>
      </c>
      <c r="H42" s="106">
        <f>VLOOKUP(B42,'Internal Finishes Flats'!$B$1998:$F$2038,4,FALSE)</f>
        <v>1399.32</v>
      </c>
      <c r="I42" s="110">
        <f t="shared" si="36"/>
        <v>3294055.2527999999</v>
      </c>
      <c r="J42" s="109">
        <f t="shared" si="1"/>
        <v>0</v>
      </c>
      <c r="K42" s="110">
        <f t="shared" si="2"/>
        <v>3294055.2527999999</v>
      </c>
    </row>
    <row r="43" spans="1:11" ht="20.100000000000001" customHeight="1">
      <c r="A43" s="1033"/>
      <c r="B43" s="105" t="s">
        <v>360</v>
      </c>
      <c r="C43" s="106">
        <f t="shared" si="9"/>
        <v>25.858795052237241</v>
      </c>
      <c r="D43" s="107">
        <v>0</v>
      </c>
      <c r="E43" s="107">
        <f t="shared" si="34"/>
        <v>1</v>
      </c>
      <c r="F43" s="106" t="s">
        <v>327</v>
      </c>
      <c r="G43" s="106">
        <f>VLOOKUP(B43,'Internal Finishes Flats'!$B$1998:$F$2038,3,FALSE)</f>
        <v>11369.217000000002</v>
      </c>
      <c r="H43" s="106">
        <f>VLOOKUP(B43,'Internal Finishes Flats'!$B$1998:$F$2038,4,FALSE)</f>
        <v>1480.0499999999997</v>
      </c>
      <c r="I43" s="110">
        <f t="shared" si="36"/>
        <v>16827009.620850001</v>
      </c>
      <c r="J43" s="109">
        <f t="shared" si="1"/>
        <v>0</v>
      </c>
      <c r="K43" s="110">
        <f t="shared" si="2"/>
        <v>16827009.620850001</v>
      </c>
    </row>
    <row r="44" spans="1:11" ht="20.100000000000001" customHeight="1">
      <c r="A44" s="1033"/>
      <c r="B44" s="105" t="s">
        <v>361</v>
      </c>
      <c r="C44" s="106">
        <f t="shared" si="9"/>
        <v>4.9322426857185109</v>
      </c>
      <c r="D44" s="107">
        <v>0</v>
      </c>
      <c r="E44" s="107">
        <f t="shared" si="34"/>
        <v>1</v>
      </c>
      <c r="F44" s="106" t="s">
        <v>327</v>
      </c>
      <c r="G44" s="106">
        <f>VLOOKUP(B44,'Internal Finishes Flats'!$B$1998:$F$2038,3,FALSE)</f>
        <v>2302.5000000000009</v>
      </c>
      <c r="H44" s="106">
        <f>VLOOKUP(B44,'Internal Finishes Flats'!$B$1998:$F$2038,4,FALSE)</f>
        <v>1393.9379999999999</v>
      </c>
      <c r="I44" s="110">
        <f t="shared" si="36"/>
        <v>3209542.245000001</v>
      </c>
      <c r="J44" s="109">
        <f t="shared" si="1"/>
        <v>0</v>
      </c>
      <c r="K44" s="110">
        <f t="shared" si="2"/>
        <v>3209542.245000001</v>
      </c>
    </row>
    <row r="45" spans="1:11" ht="20.100000000000001" customHeight="1">
      <c r="A45" s="1033"/>
      <c r="B45" s="105" t="s">
        <v>362</v>
      </c>
      <c r="C45" s="106">
        <f t="shared" si="9"/>
        <v>2.4063250415729378</v>
      </c>
      <c r="D45" s="107">
        <v>0</v>
      </c>
      <c r="E45" s="107">
        <f t="shared" si="34"/>
        <v>1</v>
      </c>
      <c r="F45" s="106" t="s">
        <v>327</v>
      </c>
      <c r="G45" s="106">
        <f>VLOOKUP(B45,'Internal Finishes Flats'!$B$1998:$F$2038,3,FALSE)</f>
        <v>1381.5000000000005</v>
      </c>
      <c r="H45" s="106">
        <f>VLOOKUP(B45,'Internal Finishes Flats'!$B$1998:$F$2038,4,FALSE)</f>
        <v>1133.4491999999998</v>
      </c>
      <c r="I45" s="110">
        <f t="shared" si="36"/>
        <v>1565860.0698000002</v>
      </c>
      <c r="J45" s="109">
        <f t="shared" si="1"/>
        <v>0</v>
      </c>
      <c r="K45" s="110">
        <f t="shared" si="2"/>
        <v>1565860.0698000002</v>
      </c>
    </row>
    <row r="46" spans="1:11" ht="20.100000000000001" customHeight="1">
      <c r="A46" s="1033"/>
      <c r="B46" s="105" t="s">
        <v>363</v>
      </c>
      <c r="C46" s="106">
        <f t="shared" si="9"/>
        <v>1.3497009874782453</v>
      </c>
      <c r="D46" s="107">
        <v>0</v>
      </c>
      <c r="E46" s="107">
        <f t="shared" si="34"/>
        <v>1</v>
      </c>
      <c r="F46" s="106" t="s">
        <v>327</v>
      </c>
      <c r="G46" s="106">
        <f>VLOOKUP(B46,'Internal Finishes Flats'!$B$1998:$F$2038,3,FALSE)</f>
        <v>655.37999999999988</v>
      </c>
      <c r="H46" s="106">
        <f>VLOOKUP(B46,'Internal Finishes Flats'!$B$1998:$F$2038,4,FALSE)</f>
        <v>1340.1180000000002</v>
      </c>
      <c r="I46" s="110">
        <f t="shared" si="36"/>
        <v>878286.53483999998</v>
      </c>
      <c r="J46" s="109">
        <f t="shared" si="1"/>
        <v>0</v>
      </c>
      <c r="K46" s="110">
        <f t="shared" si="2"/>
        <v>878286.53483999998</v>
      </c>
    </row>
    <row r="47" spans="1:11" ht="20.100000000000001" customHeight="1">
      <c r="A47" s="1033"/>
      <c r="B47" s="105" t="s">
        <v>364</v>
      </c>
      <c r="C47" s="106">
        <f t="shared" si="9"/>
        <v>1.013211393048874</v>
      </c>
      <c r="D47" s="107">
        <v>0</v>
      </c>
      <c r="E47" s="107">
        <f t="shared" si="34"/>
        <v>1</v>
      </c>
      <c r="F47" s="106" t="s">
        <v>358</v>
      </c>
      <c r="G47" s="106">
        <f>VLOOKUP(B47,'Internal Finishes Flats'!$B$1998:$F$2038,3,FALSE)</f>
        <v>1682.1199999999997</v>
      </c>
      <c r="H47" s="106">
        <f>VLOOKUP(B47,'Internal Finishes Flats'!$B$1998:$F$2038,4,FALSE)</f>
        <v>391.96000000000004</v>
      </c>
      <c r="I47" s="110">
        <f t="shared" si="36"/>
        <v>659323.7551999999</v>
      </c>
      <c r="J47" s="109">
        <f t="shared" si="1"/>
        <v>0</v>
      </c>
      <c r="K47" s="110">
        <f t="shared" si="2"/>
        <v>659323.7551999999</v>
      </c>
    </row>
    <row r="48" spans="1:11" ht="20.100000000000001" customHeight="1">
      <c r="A48" s="1033"/>
      <c r="B48" s="105" t="s">
        <v>365</v>
      </c>
      <c r="C48" s="106">
        <f t="shared" si="9"/>
        <v>0</v>
      </c>
      <c r="D48" s="107">
        <v>0</v>
      </c>
      <c r="E48" s="107">
        <f t="shared" si="34"/>
        <v>1</v>
      </c>
      <c r="F48" s="106" t="s">
        <v>327</v>
      </c>
      <c r="G48" s="106">
        <f>VLOOKUP(B48,'Internal Finishes Flats'!$B$1998:$F$2038,3,FALSE)</f>
        <v>0</v>
      </c>
      <c r="H48" s="106">
        <f>VLOOKUP(B48,'Internal Finishes Flats'!$B$1998:$F$2038,4,FALSE)</f>
        <v>0</v>
      </c>
      <c r="I48" s="110">
        <f t="shared" si="36"/>
        <v>0</v>
      </c>
      <c r="J48" s="109">
        <f t="shared" si="1"/>
        <v>0</v>
      </c>
      <c r="K48" s="110">
        <f t="shared" si="2"/>
        <v>0</v>
      </c>
    </row>
    <row r="49" spans="1:11" ht="20.100000000000001" customHeight="1">
      <c r="A49" s="1033"/>
      <c r="B49" s="105" t="s">
        <v>366</v>
      </c>
      <c r="C49" s="106">
        <f t="shared" ref="C49" si="37">I49/$G$3</f>
        <v>1.2863327135231268</v>
      </c>
      <c r="D49" s="107">
        <v>0</v>
      </c>
      <c r="E49" s="107">
        <f t="shared" ref="E49" si="38">+(1-D49)</f>
        <v>1</v>
      </c>
      <c r="F49" s="106" t="s">
        <v>327</v>
      </c>
      <c r="G49" s="106">
        <f>VLOOKUP(B49,'Internal Finishes Flats'!$B$1998:$F$2038,3,FALSE)</f>
        <v>624.61</v>
      </c>
      <c r="H49" s="106">
        <f>VLOOKUP(B49,'Internal Finishes Flats'!$B$1998:$F$2038,4,FALSE)</f>
        <v>1340.1179999999999</v>
      </c>
      <c r="I49" s="110">
        <f t="shared" si="36"/>
        <v>837051.10398000001</v>
      </c>
      <c r="J49" s="109">
        <f t="shared" ref="J49" si="39">+I49*D49</f>
        <v>0</v>
      </c>
      <c r="K49" s="110">
        <f t="shared" ref="K49" si="40">+E49*I49</f>
        <v>837051.10398000001</v>
      </c>
    </row>
    <row r="50" spans="1:11" ht="20.100000000000001" customHeight="1">
      <c r="A50" s="1033"/>
      <c r="B50" s="105" t="s">
        <v>367</v>
      </c>
      <c r="C50" s="106">
        <f t="shared" ref="C50" si="41">I50/$G$3</f>
        <v>0.98581688245755905</v>
      </c>
      <c r="D50" s="107">
        <v>0</v>
      </c>
      <c r="E50" s="107">
        <f t="shared" ref="E50" si="42">+(1-D50)</f>
        <v>1</v>
      </c>
      <c r="F50" s="106" t="s">
        <v>327</v>
      </c>
      <c r="G50" s="106">
        <f>VLOOKUP(B50,'Internal Finishes Flats'!$B$1998:$F$2038,3,FALSE)</f>
        <v>1636.6399999999999</v>
      </c>
      <c r="H50" s="106">
        <f>VLOOKUP(B50,'Internal Finishes Flats'!$B$1998:$F$2038,4,FALSE)</f>
        <v>391.96</v>
      </c>
      <c r="I50" s="110">
        <f t="shared" si="36"/>
        <v>641497.41439999989</v>
      </c>
      <c r="J50" s="109">
        <f t="shared" ref="J50" si="43">+I50*D50</f>
        <v>0</v>
      </c>
      <c r="K50" s="110">
        <f t="shared" ref="K50" si="44">+E50*I50</f>
        <v>641497.41439999989</v>
      </c>
    </row>
    <row r="51" spans="1:11" ht="20.100000000000001" customHeight="1">
      <c r="A51" s="1033"/>
      <c r="B51" s="105" t="s">
        <v>368</v>
      </c>
      <c r="C51" s="106">
        <f t="shared" ref="C51" si="45">I51/$G$3</f>
        <v>0</v>
      </c>
      <c r="D51" s="107">
        <v>0</v>
      </c>
      <c r="E51" s="107">
        <f t="shared" ref="E51" si="46">+(1-D51)</f>
        <v>1</v>
      </c>
      <c r="F51" s="106" t="s">
        <v>327</v>
      </c>
      <c r="G51" s="106">
        <f>VLOOKUP(B51,'Internal Finishes Flats'!$B$1998:$F$2038,3,FALSE)</f>
        <v>0</v>
      </c>
      <c r="H51" s="106">
        <f>VLOOKUP(B51,'Internal Finishes Flats'!$B$1998:$F$2038,4,FALSE)</f>
        <v>0</v>
      </c>
      <c r="I51" s="110">
        <f t="shared" si="36"/>
        <v>0</v>
      </c>
      <c r="J51" s="109">
        <f t="shared" ref="J51" si="47">+I51*D51</f>
        <v>0</v>
      </c>
      <c r="K51" s="110">
        <f t="shared" ref="K51" si="48">+E51*I51</f>
        <v>0</v>
      </c>
    </row>
    <row r="52" spans="1:11" ht="20.100000000000001" customHeight="1">
      <c r="A52" s="1033"/>
      <c r="B52" s="105" t="s">
        <v>369</v>
      </c>
      <c r="C52" s="106">
        <f t="shared" si="9"/>
        <v>14.06876088741206</v>
      </c>
      <c r="D52" s="107">
        <v>0</v>
      </c>
      <c r="E52" s="107">
        <f t="shared" si="34"/>
        <v>1</v>
      </c>
      <c r="F52" s="106" t="s">
        <v>327</v>
      </c>
      <c r="G52" s="106">
        <f>VLOOKUP(B52,'Internal Finishes Flats'!$B$1998:$F$2038,3,FALSE)</f>
        <v>5093.6899999999996</v>
      </c>
      <c r="H52" s="106">
        <f>VLOOKUP(B52,'Internal Finishes Flats'!$B$1998:$F$2038,4,FALSE)</f>
        <v>1797.3058874254227</v>
      </c>
      <c r="I52" s="110">
        <f t="shared" si="36"/>
        <v>9154919.0257200003</v>
      </c>
      <c r="J52" s="109">
        <f t="shared" si="1"/>
        <v>0</v>
      </c>
      <c r="K52" s="110">
        <f t="shared" si="2"/>
        <v>9154919.0257200003</v>
      </c>
    </row>
    <row r="53" spans="1:11" ht="20.100000000000001" customHeight="1">
      <c r="A53" s="1033"/>
      <c r="B53" s="105" t="s">
        <v>370</v>
      </c>
      <c r="C53" s="106">
        <f t="shared" si="9"/>
        <v>0.3361957069558934</v>
      </c>
      <c r="D53" s="107">
        <v>0</v>
      </c>
      <c r="E53" s="107">
        <f t="shared" si="34"/>
        <v>1</v>
      </c>
      <c r="F53" s="106" t="s">
        <v>327</v>
      </c>
      <c r="G53" s="106">
        <f>VLOOKUP(B53,'Internal Finishes Flats'!$B$1998:$F$2038,3,FALSE)</f>
        <v>414.72</v>
      </c>
      <c r="H53" s="106">
        <f>VLOOKUP(B53,'Internal Finishes Flats'!$B$1998:$F$2038,4,FALSE)</f>
        <v>527.51625000000001</v>
      </c>
      <c r="I53" s="110">
        <f t="shared" si="36"/>
        <v>218771.53920000003</v>
      </c>
      <c r="J53" s="109">
        <f t="shared" si="1"/>
        <v>0</v>
      </c>
      <c r="K53" s="110">
        <f t="shared" si="2"/>
        <v>218771.53920000003</v>
      </c>
    </row>
    <row r="54" spans="1:11" ht="20.100000000000001" customHeight="1">
      <c r="A54" s="1033"/>
      <c r="B54" s="105" t="s">
        <v>371</v>
      </c>
      <c r="C54" s="106">
        <f t="shared" si="9"/>
        <v>26.027199991266077</v>
      </c>
      <c r="D54" s="107">
        <v>0</v>
      </c>
      <c r="E54" s="107">
        <f t="shared" si="34"/>
        <v>1</v>
      </c>
      <c r="F54" s="106" t="s">
        <v>327</v>
      </c>
      <c r="G54" s="106">
        <f>VLOOKUP(B54,'Internal Finishes Flats'!$B$1998:$F$2038,3,FALSE)</f>
        <v>8033.7720000000008</v>
      </c>
      <c r="H54" s="106">
        <f>VLOOKUP(B54,'Internal Finishes Flats'!$B$1998:$F$2038,4,FALSE)</f>
        <v>2108.1747427275754</v>
      </c>
      <c r="I54" s="110">
        <f t="shared" si="36"/>
        <v>16936595.219232</v>
      </c>
      <c r="J54" s="109">
        <f t="shared" si="1"/>
        <v>0</v>
      </c>
      <c r="K54" s="110">
        <f t="shared" si="2"/>
        <v>16936595.219232</v>
      </c>
    </row>
    <row r="55" spans="1:11" ht="20.100000000000001" customHeight="1">
      <c r="A55" s="1033"/>
      <c r="B55" s="105" t="s">
        <v>372</v>
      </c>
      <c r="C55" s="106">
        <f t="shared" si="9"/>
        <v>6.8195042213094599</v>
      </c>
      <c r="D55" s="107">
        <v>0</v>
      </c>
      <c r="E55" s="107">
        <f t="shared" si="34"/>
        <v>1</v>
      </c>
      <c r="F55" s="106" t="s">
        <v>327</v>
      </c>
      <c r="G55" s="106">
        <f>VLOOKUP(B55,'Internal Finishes Flats'!$B$1998:$F$2038,3,FALSE)</f>
        <v>2730.2400000000002</v>
      </c>
      <c r="H55" s="106">
        <f>VLOOKUP(B55,'Internal Finishes Flats'!$B$1998:$F$2038,4,FALSE)</f>
        <v>1625.3639999999998</v>
      </c>
      <c r="I55" s="110">
        <f t="shared" si="36"/>
        <v>4437633.80736</v>
      </c>
      <c r="J55" s="109">
        <f t="shared" si="1"/>
        <v>0</v>
      </c>
      <c r="K55" s="110">
        <f t="shared" si="2"/>
        <v>4437633.80736</v>
      </c>
    </row>
    <row r="56" spans="1:11" ht="20.100000000000001" customHeight="1">
      <c r="A56" s="1033"/>
      <c r="B56" s="105" t="s">
        <v>373</v>
      </c>
      <c r="C56" s="106">
        <f t="shared" si="9"/>
        <v>1.9259005386799859</v>
      </c>
      <c r="D56" s="107">
        <v>0</v>
      </c>
      <c r="E56" s="107">
        <f t="shared" si="34"/>
        <v>1</v>
      </c>
      <c r="F56" s="106" t="s">
        <v>327</v>
      </c>
      <c r="G56" s="106">
        <f>VLOOKUP(B56,'Internal Finishes Flats'!$B$1998:$F$2038,3,FALSE)</f>
        <v>2809.44</v>
      </c>
      <c r="H56" s="106">
        <f>VLOOKUP(B56,'Internal Finishes Flats'!$B$1998:$F$2038,4,FALSE)</f>
        <v>446.08</v>
      </c>
      <c r="I56" s="110">
        <f t="shared" si="36"/>
        <v>1253234.9952</v>
      </c>
      <c r="J56" s="109">
        <f t="shared" si="1"/>
        <v>0</v>
      </c>
      <c r="K56" s="110">
        <f t="shared" si="2"/>
        <v>1253234.9952</v>
      </c>
    </row>
    <row r="57" spans="1:11" ht="20.100000000000001" customHeight="1">
      <c r="A57" s="1033"/>
      <c r="B57" s="105" t="s">
        <v>374</v>
      </c>
      <c r="C57" s="106">
        <f t="shared" si="9"/>
        <v>0</v>
      </c>
      <c r="D57" s="107">
        <v>0</v>
      </c>
      <c r="E57" s="107">
        <f t="shared" si="34"/>
        <v>1</v>
      </c>
      <c r="F57" s="106" t="s">
        <v>327</v>
      </c>
      <c r="G57" s="106">
        <f>VLOOKUP(B57,'Internal Finishes Flats'!$B$1998:$F$2038,3,FALSE)</f>
        <v>0</v>
      </c>
      <c r="H57" s="106">
        <f>VLOOKUP(B57,'Internal Finishes Flats'!$B$1998:$F$2038,4,FALSE)</f>
        <v>0</v>
      </c>
      <c r="I57" s="110">
        <f t="shared" si="36"/>
        <v>0</v>
      </c>
      <c r="J57" s="109">
        <f t="shared" si="1"/>
        <v>0</v>
      </c>
      <c r="K57" s="110">
        <f t="shared" si="2"/>
        <v>0</v>
      </c>
    </row>
    <row r="58" spans="1:11" ht="20.100000000000001" customHeight="1">
      <c r="A58" s="1033"/>
      <c r="B58" s="105" t="s">
        <v>375</v>
      </c>
      <c r="C58" s="106">
        <f t="shared" si="9"/>
        <v>4.430476797313128</v>
      </c>
      <c r="D58" s="107">
        <v>0</v>
      </c>
      <c r="E58" s="107">
        <f t="shared" si="34"/>
        <v>1</v>
      </c>
      <c r="F58" s="106" t="s">
        <v>327</v>
      </c>
      <c r="G58" s="106">
        <f>VLOOKUP(B58,'Internal Finishes Flats'!$B$1998:$F$2038,3,FALSE)</f>
        <v>1728</v>
      </c>
      <c r="H58" s="106">
        <f>VLOOKUP(B58,'Internal Finishes Flats'!$B$1998:$F$2038,4,FALSE)</f>
        <v>1668.4199999999998</v>
      </c>
      <c r="I58" s="110">
        <f t="shared" si="36"/>
        <v>2883029.76</v>
      </c>
      <c r="J58" s="109">
        <f t="shared" si="1"/>
        <v>0</v>
      </c>
      <c r="K58" s="110">
        <f t="shared" si="2"/>
        <v>2883029.76</v>
      </c>
    </row>
    <row r="59" spans="1:11" ht="20.100000000000001" customHeight="1">
      <c r="A59" s="1033"/>
      <c r="B59" s="105" t="s">
        <v>376</v>
      </c>
      <c r="C59" s="106">
        <f t="shared" si="9"/>
        <v>2.9241146862266647</v>
      </c>
      <c r="D59" s="107">
        <v>0</v>
      </c>
      <c r="E59" s="107">
        <f t="shared" si="34"/>
        <v>1</v>
      </c>
      <c r="F59" s="106" t="s">
        <v>327</v>
      </c>
      <c r="G59" s="106">
        <f>VLOOKUP(B59,'Internal Finishes Flats'!$B$1998:$F$2038,3,FALSE)</f>
        <v>1140.48</v>
      </c>
      <c r="H59" s="106">
        <f>VLOOKUP(B59,'Internal Finishes Flats'!$B$1998:$F$2038,4,FALSE)</f>
        <v>1668.4199999999998</v>
      </c>
      <c r="I59" s="110">
        <f t="shared" si="36"/>
        <v>1902799.6415999997</v>
      </c>
      <c r="J59" s="109">
        <f t="shared" si="1"/>
        <v>0</v>
      </c>
      <c r="K59" s="110">
        <f t="shared" si="2"/>
        <v>1902799.6415999997</v>
      </c>
    </row>
    <row r="60" spans="1:11" ht="20.100000000000001" customHeight="1">
      <c r="A60" s="1033"/>
      <c r="B60" s="113" t="s">
        <v>377</v>
      </c>
      <c r="C60" s="106"/>
      <c r="D60" s="107"/>
      <c r="E60" s="107"/>
      <c r="F60" s="106"/>
      <c r="G60" s="106"/>
      <c r="H60" s="106"/>
      <c r="I60" s="110"/>
      <c r="J60" s="109"/>
      <c r="K60" s="110"/>
    </row>
    <row r="61" spans="1:11" ht="20.100000000000001" customHeight="1">
      <c r="A61" s="1033"/>
      <c r="B61" s="105" t="s">
        <v>378</v>
      </c>
      <c r="C61" s="106">
        <f t="shared" si="9"/>
        <v>22.956573585961806</v>
      </c>
      <c r="D61" s="107">
        <v>0</v>
      </c>
      <c r="E61" s="107">
        <f t="shared" ref="E61:E64" si="49">+(1-D61)</f>
        <v>1</v>
      </c>
      <c r="F61" s="106" t="s">
        <v>327</v>
      </c>
      <c r="G61" s="106">
        <f>VLOOKUP(B61,'Internal Finishes Flats'!$B$1998:$F$2038,3,FALSE)</f>
        <v>59524.536000000029</v>
      </c>
      <c r="H61" s="106">
        <f>VLOOKUP(B61,'Internal Finishes Flats'!$B$1998:$F$2038,4,FALSE)</f>
        <v>250.96300596244865</v>
      </c>
      <c r="I61" s="110">
        <f t="shared" si="36"/>
        <v>14938456.483079996</v>
      </c>
      <c r="J61" s="109">
        <f t="shared" si="1"/>
        <v>0</v>
      </c>
      <c r="K61" s="110">
        <f t="shared" si="2"/>
        <v>14938456.483079996</v>
      </c>
    </row>
    <row r="62" spans="1:11" ht="20.100000000000001" customHeight="1">
      <c r="A62" s="1033"/>
      <c r="B62" s="105" t="s">
        <v>379</v>
      </c>
      <c r="C62" s="106">
        <f t="shared" si="9"/>
        <v>9.8813683761816193</v>
      </c>
      <c r="D62" s="107">
        <v>0</v>
      </c>
      <c r="E62" s="107">
        <f t="shared" si="49"/>
        <v>1</v>
      </c>
      <c r="F62" s="106" t="s">
        <v>327</v>
      </c>
      <c r="G62" s="106">
        <f>VLOOKUP(B62,'Internal Finishes Flats'!$B$1998:$F$2038,3,FALSE)</f>
        <v>26951.899999999994</v>
      </c>
      <c r="H62" s="106">
        <f>VLOOKUP(B62,'Internal Finishes Flats'!$B$1998:$F$2038,4,FALSE)</f>
        <v>238.57578548376929</v>
      </c>
      <c r="I62" s="110">
        <f t="shared" si="36"/>
        <v>6430070.7127800006</v>
      </c>
      <c r="J62" s="109">
        <f t="shared" si="1"/>
        <v>0</v>
      </c>
      <c r="K62" s="110">
        <f t="shared" si="2"/>
        <v>6430070.7127800006</v>
      </c>
    </row>
    <row r="63" spans="1:11" ht="20.100000000000001" customHeight="1">
      <c r="A63" s="1033"/>
      <c r="B63" s="105" t="s">
        <v>380</v>
      </c>
      <c r="C63" s="106">
        <f t="shared" si="9"/>
        <v>4.8215939427653973</v>
      </c>
      <c r="D63" s="107">
        <v>0</v>
      </c>
      <c r="E63" s="107">
        <f t="shared" si="49"/>
        <v>1</v>
      </c>
      <c r="F63" s="106" t="s">
        <v>327</v>
      </c>
      <c r="G63" s="106">
        <f>VLOOKUP(B63,'Internal Finishes Flats'!$B$1998:$F$2038,3,FALSE)</f>
        <v>17564.126</v>
      </c>
      <c r="H63" s="106">
        <f>VLOOKUP(B63,'Internal Finishes Flats'!$B$1998:$F$2038,4,FALSE)</f>
        <v>178.63343432448616</v>
      </c>
      <c r="I63" s="110">
        <f t="shared" si="36"/>
        <v>3137540.1482879999</v>
      </c>
      <c r="J63" s="109">
        <f t="shared" si="1"/>
        <v>0</v>
      </c>
      <c r="K63" s="110">
        <f t="shared" si="2"/>
        <v>3137540.1482879999</v>
      </c>
    </row>
    <row r="64" spans="1:11" ht="20.100000000000001" customHeight="1">
      <c r="A64" s="1033"/>
      <c r="B64" s="105" t="s">
        <v>381</v>
      </c>
      <c r="C64" s="106">
        <f t="shared" si="9"/>
        <v>0.93940399963674825</v>
      </c>
      <c r="D64" s="107">
        <v>0</v>
      </c>
      <c r="E64" s="107">
        <f t="shared" si="49"/>
        <v>1</v>
      </c>
      <c r="F64" s="106" t="s">
        <v>327</v>
      </c>
      <c r="G64" s="106">
        <f>VLOOKUP(B64,'Internal Finishes Flats'!$B$1998:$F$2038,3,FALSE)</f>
        <v>3155.04</v>
      </c>
      <c r="H64" s="106">
        <f>VLOOKUP(B64,'Internal Finishes Flats'!$B$1998:$F$2038,4,FALSE)</f>
        <v>193.75199999999998</v>
      </c>
      <c r="I64" s="110">
        <f t="shared" si="36"/>
        <v>611295.31007999997</v>
      </c>
      <c r="J64" s="109">
        <f t="shared" si="1"/>
        <v>0</v>
      </c>
      <c r="K64" s="110">
        <f t="shared" si="2"/>
        <v>611295.31007999997</v>
      </c>
    </row>
    <row r="65" spans="1:11" ht="20.100000000000001" customHeight="1">
      <c r="A65" s="1033"/>
      <c r="B65" s="113" t="s">
        <v>382</v>
      </c>
      <c r="C65" s="106"/>
      <c r="D65" s="107"/>
      <c r="E65" s="107"/>
      <c r="F65" s="106"/>
      <c r="G65" s="106"/>
      <c r="H65" s="106"/>
      <c r="I65" s="110"/>
      <c r="J65" s="109"/>
      <c r="K65" s="110"/>
    </row>
    <row r="66" spans="1:11" ht="20.100000000000001" customHeight="1">
      <c r="A66" s="1033"/>
      <c r="B66" s="105" t="s">
        <v>383</v>
      </c>
      <c r="C66" s="106">
        <f t="shared" si="9"/>
        <v>21.341169753663134</v>
      </c>
      <c r="D66" s="107">
        <v>0</v>
      </c>
      <c r="E66" s="107">
        <f t="shared" ref="E66:E67" si="50">+(1-D66)</f>
        <v>1</v>
      </c>
      <c r="F66" s="106" t="s">
        <v>327</v>
      </c>
      <c r="G66" s="106">
        <f>'Blockwork &amp; Plaster &amp; Painting'!F20</f>
        <v>30860.599999999995</v>
      </c>
      <c r="H66" s="106">
        <f>'Rate List - Flats'!G265</f>
        <v>450</v>
      </c>
      <c r="I66" s="110">
        <f t="shared" si="36"/>
        <v>13887269.999999998</v>
      </c>
      <c r="J66" s="109">
        <f t="shared" ref="J66:J67" si="51">+I66*D66</f>
        <v>0</v>
      </c>
      <c r="K66" s="110">
        <f t="shared" ref="K66:K67" si="52">+E66*I66</f>
        <v>13887269.999999998</v>
      </c>
    </row>
    <row r="67" spans="1:11" ht="20.100000000000001" customHeight="1">
      <c r="A67" s="1033"/>
      <c r="B67" s="105" t="s">
        <v>384</v>
      </c>
      <c r="C67" s="106">
        <f t="shared" si="9"/>
        <v>2.2267012483377839</v>
      </c>
      <c r="D67" s="107">
        <v>0</v>
      </c>
      <c r="E67" s="107">
        <f t="shared" si="50"/>
        <v>1</v>
      </c>
      <c r="F67" s="106" t="s">
        <v>327</v>
      </c>
      <c r="G67" s="106">
        <f>'Blockwork &amp; Plaster &amp; Painting'!F11</f>
        <v>3846.0849999999987</v>
      </c>
      <c r="H67" s="106">
        <f>'Rate List - Flats'!G266</f>
        <v>376.73999999999995</v>
      </c>
      <c r="I67" s="110">
        <f>G67*H67</f>
        <v>1448974.0628999993</v>
      </c>
      <c r="J67" s="109">
        <f t="shared" si="51"/>
        <v>0</v>
      </c>
      <c r="K67" s="110">
        <f t="shared" si="52"/>
        <v>1448974.0628999993</v>
      </c>
    </row>
    <row r="68" spans="1:11" ht="20.100000000000001" customHeight="1">
      <c r="A68" s="1033"/>
      <c r="B68" s="113" t="s">
        <v>385</v>
      </c>
      <c r="C68" s="106"/>
      <c r="D68" s="107"/>
      <c r="E68" s="107"/>
      <c r="F68" s="106"/>
      <c r="G68" s="108"/>
      <c r="H68" s="108"/>
      <c r="I68" s="110"/>
      <c r="J68" s="109"/>
      <c r="K68" s="110"/>
    </row>
    <row r="69" spans="1:11" ht="20.100000000000001" customHeight="1">
      <c r="A69" s="1033"/>
      <c r="B69" s="113" t="s">
        <v>386</v>
      </c>
      <c r="C69" s="106"/>
      <c r="D69" s="107"/>
      <c r="E69" s="107"/>
      <c r="F69" s="106"/>
      <c r="G69" s="108"/>
      <c r="H69" s="109"/>
      <c r="I69" s="110"/>
      <c r="J69" s="109"/>
      <c r="K69" s="110"/>
    </row>
    <row r="70" spans="1:11" ht="20.100000000000001" customHeight="1">
      <c r="A70" s="1033"/>
      <c r="B70" s="105" t="s">
        <v>387</v>
      </c>
      <c r="C70" s="106">
        <f t="shared" si="9"/>
        <v>24.895242190102362</v>
      </c>
      <c r="D70" s="107">
        <v>0</v>
      </c>
      <c r="E70" s="107">
        <f t="shared" ref="E70:E72" si="53">+(1-D70)</f>
        <v>1</v>
      </c>
      <c r="F70" s="114" t="s">
        <v>324</v>
      </c>
      <c r="G70" s="451">
        <f>VLOOKUP(B70,Doors!$D$146:$H$149,3,FALSE)-32</f>
        <v>508</v>
      </c>
      <c r="H70" s="114">
        <f>VLOOKUP(B70,Doors!$D$146:$H$149,4,FALSE)</f>
        <v>30000</v>
      </c>
      <c r="I70" s="452">
        <f>VLOOKUP(B70,Doors!$D$146:$H$149,5,FALSE)</f>
        <v>16200000</v>
      </c>
      <c r="J70" s="109">
        <f t="shared" si="1"/>
        <v>0</v>
      </c>
      <c r="K70" s="110">
        <f t="shared" si="2"/>
        <v>16200000</v>
      </c>
    </row>
    <row r="71" spans="1:11" ht="20.100000000000001" customHeight="1">
      <c r="A71" s="1033"/>
      <c r="B71" s="105" t="s">
        <v>388</v>
      </c>
      <c r="C71" s="106">
        <f t="shared" si="9"/>
        <v>18.450140600886971</v>
      </c>
      <c r="D71" s="107">
        <v>0</v>
      </c>
      <c r="E71" s="107">
        <f t="shared" si="53"/>
        <v>1</v>
      </c>
      <c r="F71" s="114" t="s">
        <v>324</v>
      </c>
      <c r="G71" s="451">
        <f>VLOOKUP(B71,Doors!$D$146:$H$149,3,FALSE)-32</f>
        <v>635</v>
      </c>
      <c r="H71" s="114">
        <f>VLOOKUP(B71,Doors!$D$146:$H$149,4,FALSE)</f>
        <v>18000</v>
      </c>
      <c r="I71" s="452">
        <f>VLOOKUP(B71,Doors!$D$146:$H$149,5,FALSE)</f>
        <v>12006000</v>
      </c>
      <c r="J71" s="109">
        <f t="shared" si="1"/>
        <v>0</v>
      </c>
      <c r="K71" s="110">
        <f t="shared" si="2"/>
        <v>12006000</v>
      </c>
    </row>
    <row r="72" spans="1:11" ht="20.100000000000001" customHeight="1">
      <c r="A72" s="1033"/>
      <c r="B72" s="105" t="s">
        <v>389</v>
      </c>
      <c r="C72" s="106">
        <f t="shared" si="9"/>
        <v>11.214384560634073</v>
      </c>
      <c r="D72" s="107">
        <v>0</v>
      </c>
      <c r="E72" s="107">
        <f t="shared" si="53"/>
        <v>1</v>
      </c>
      <c r="F72" s="114" t="s">
        <v>324</v>
      </c>
      <c r="G72" s="451">
        <f>VLOOKUP(B72,Doors!$D$146:$H$149,3,FALSE)-32</f>
        <v>663</v>
      </c>
      <c r="H72" s="114">
        <f>VLOOKUP(B72,Doors!$D$146:$H$149,4,FALSE)</f>
        <v>10500</v>
      </c>
      <c r="I72" s="452">
        <f>VLOOKUP(B72,Doors!$D$146:$H$149,5,FALSE)</f>
        <v>7297500</v>
      </c>
      <c r="J72" s="109">
        <f t="shared" si="1"/>
        <v>0</v>
      </c>
      <c r="K72" s="110">
        <f t="shared" si="2"/>
        <v>7297500</v>
      </c>
    </row>
    <row r="73" spans="1:11" ht="20.100000000000001" customHeight="1">
      <c r="A73" s="1033"/>
      <c r="B73" s="105" t="s">
        <v>390</v>
      </c>
      <c r="C73" s="106">
        <f t="shared" ref="C73" si="54">I73/$G$3</f>
        <v>10.680366248222926</v>
      </c>
      <c r="D73" s="107">
        <v>0</v>
      </c>
      <c r="E73" s="107">
        <f t="shared" ref="E73" si="55">+(1-D73)</f>
        <v>1</v>
      </c>
      <c r="F73" s="114" t="s">
        <v>324</v>
      </c>
      <c r="G73" s="451">
        <f>VLOOKUP(B73,Doors!$D$146:$H$149,3,FALSE)</f>
        <v>278</v>
      </c>
      <c r="H73" s="114">
        <f>VLOOKUP(B73,Doors!$D$146:$H$149,4,FALSE)</f>
        <v>25000</v>
      </c>
      <c r="I73" s="452">
        <f>VLOOKUP(B73,Doors!$D$146:$H$149,5,FALSE)</f>
        <v>6950000</v>
      </c>
      <c r="J73" s="109">
        <f t="shared" ref="J73" si="56">+I73*D73</f>
        <v>0</v>
      </c>
      <c r="K73" s="110">
        <f t="shared" ref="K73" si="57">+E73*I73</f>
        <v>6950000</v>
      </c>
    </row>
    <row r="74" spans="1:11" ht="20.100000000000001" customHeight="1">
      <c r="A74" s="1033"/>
      <c r="B74" s="113" t="s">
        <v>391</v>
      </c>
      <c r="C74" s="106"/>
      <c r="D74" s="107"/>
      <c r="E74" s="107"/>
      <c r="F74" s="106"/>
      <c r="G74" s="108"/>
      <c r="H74" s="108"/>
      <c r="I74" s="110"/>
      <c r="J74" s="109"/>
      <c r="K74" s="110"/>
    </row>
    <row r="75" spans="1:11" ht="20.100000000000001" customHeight="1">
      <c r="A75" s="1033"/>
      <c r="B75" s="105" t="s">
        <v>392</v>
      </c>
      <c r="C75" s="106">
        <f t="shared" si="9"/>
        <v>4.7688084773230006</v>
      </c>
      <c r="D75" s="107">
        <v>0</v>
      </c>
      <c r="E75" s="107">
        <f t="shared" ref="E75:E85" si="58">+(1-D75)</f>
        <v>1</v>
      </c>
      <c r="F75" s="106" t="s">
        <v>327</v>
      </c>
      <c r="G75" s="106">
        <f>VLOOKUP(B75,Windows!$D$166:$H$177,3,FALSE)</f>
        <v>524.16999999999996</v>
      </c>
      <c r="H75" s="106">
        <f>VLOOKUP(B75,Windows!$D$166:$H$177,4,FALSE)</f>
        <v>5920.2</v>
      </c>
      <c r="I75" s="452">
        <f>VLOOKUP(B75,Windows!$D$166:$H$177,5,FALSE)</f>
        <v>3103191.2339999997</v>
      </c>
      <c r="J75" s="109">
        <f t="shared" si="1"/>
        <v>0</v>
      </c>
      <c r="K75" s="110">
        <f t="shared" si="2"/>
        <v>3103191.2339999997</v>
      </c>
    </row>
    <row r="76" spans="1:11" ht="20.100000000000001" customHeight="1">
      <c r="A76" s="1033"/>
      <c r="B76" s="105" t="s">
        <v>393</v>
      </c>
      <c r="C76" s="106">
        <f t="shared" si="9"/>
        <v>0.53125856539824734</v>
      </c>
      <c r="D76" s="107">
        <v>0</v>
      </c>
      <c r="E76" s="107">
        <f t="shared" si="58"/>
        <v>1</v>
      </c>
      <c r="F76" s="106" t="s">
        <v>327</v>
      </c>
      <c r="G76" s="106">
        <f>VLOOKUP(B76,Windows!$D$166:$H$177,3,FALSE)</f>
        <v>58.393999999999991</v>
      </c>
      <c r="H76" s="106">
        <f>VLOOKUP(B76,Windows!$D$166:$H$177,4,FALSE)</f>
        <v>5920.2000000000007</v>
      </c>
      <c r="I76" s="452">
        <f>VLOOKUP(B76,Windows!$D$166:$H$177,5,FALSE)</f>
        <v>345704.15879999998</v>
      </c>
      <c r="J76" s="109">
        <f t="shared" si="1"/>
        <v>0</v>
      </c>
      <c r="K76" s="110">
        <f t="shared" si="2"/>
        <v>345704.15879999998</v>
      </c>
    </row>
    <row r="77" spans="1:11" ht="20.100000000000001" customHeight="1">
      <c r="A77" s="1033"/>
      <c r="B77" s="105" t="s">
        <v>394</v>
      </c>
      <c r="C77" s="106">
        <f t="shared" si="9"/>
        <v>37.70449229240284</v>
      </c>
      <c r="D77" s="107">
        <v>0</v>
      </c>
      <c r="E77" s="107">
        <f t="shared" si="58"/>
        <v>1</v>
      </c>
      <c r="F77" s="106" t="s">
        <v>327</v>
      </c>
      <c r="G77" s="106">
        <f>VLOOKUP(B77,Windows!$D$166:$H$177,3,FALSE)</f>
        <v>4144.34</v>
      </c>
      <c r="H77" s="106">
        <f>VLOOKUP(B77,Windows!$D$166:$H$177,4,FALSE)</f>
        <v>5920.1999999999971</v>
      </c>
      <c r="I77" s="452">
        <f>VLOOKUP(B77,Windows!$D$166:$H$177,5,FALSE)</f>
        <v>24535321.66799999</v>
      </c>
      <c r="J77" s="109">
        <f t="shared" si="1"/>
        <v>0</v>
      </c>
      <c r="K77" s="110">
        <f t="shared" si="2"/>
        <v>24535321.66799999</v>
      </c>
    </row>
    <row r="78" spans="1:11" ht="20.100000000000001" customHeight="1">
      <c r="A78" s="1033"/>
      <c r="B78" s="105" t="s">
        <v>395</v>
      </c>
      <c r="C78" s="106">
        <f t="shared" si="9"/>
        <v>2.7143369693216273</v>
      </c>
      <c r="D78" s="107">
        <v>0</v>
      </c>
      <c r="E78" s="107">
        <f t="shared" si="58"/>
        <v>1</v>
      </c>
      <c r="F78" s="106" t="s">
        <v>327</v>
      </c>
      <c r="G78" s="106">
        <f>VLOOKUP(B78,Windows!$D$166:$H$177,3,FALSE)</f>
        <v>298.35000000000002</v>
      </c>
      <c r="H78" s="106">
        <f>VLOOKUP(B78,Windows!$D$166:$H$177,4,FALSE)</f>
        <v>5920.2</v>
      </c>
      <c r="I78" s="452">
        <f>VLOOKUP(B78,Windows!$D$166:$H$177,5,FALSE)</f>
        <v>1766291.6700000002</v>
      </c>
      <c r="J78" s="109">
        <f t="shared" si="1"/>
        <v>0</v>
      </c>
      <c r="K78" s="110">
        <f t="shared" ref="K78:K128" si="59">+E78*I78</f>
        <v>1766291.6700000002</v>
      </c>
    </row>
    <row r="79" spans="1:11" ht="20.100000000000001" customHeight="1">
      <c r="A79" s="1033"/>
      <c r="B79" s="105" t="s">
        <v>396</v>
      </c>
      <c r="C79" s="106">
        <f t="shared" si="9"/>
        <v>4.8900825239161207</v>
      </c>
      <c r="D79" s="107">
        <v>0</v>
      </c>
      <c r="E79" s="107">
        <f t="shared" si="58"/>
        <v>1</v>
      </c>
      <c r="F79" s="106" t="s">
        <v>327</v>
      </c>
      <c r="G79" s="106">
        <f>VLOOKUP(B79,Windows!$D$166:$H$177,3,FALSE)</f>
        <v>537.5</v>
      </c>
      <c r="H79" s="106">
        <f>VLOOKUP(B79,Windows!$D$166:$H$177,4,FALSE)</f>
        <v>5920.2</v>
      </c>
      <c r="I79" s="452">
        <f>VLOOKUP(B79,Windows!$D$166:$H$177,5,FALSE)</f>
        <v>3182107.5</v>
      </c>
      <c r="J79" s="109">
        <f t="shared" ref="J79:J128" si="60">+I79*D79</f>
        <v>0</v>
      </c>
      <c r="K79" s="110">
        <f t="shared" si="59"/>
        <v>3182107.5</v>
      </c>
    </row>
    <row r="80" spans="1:11" ht="20.100000000000001" customHeight="1">
      <c r="A80" s="1033"/>
      <c r="B80" s="105" t="s">
        <v>397</v>
      </c>
      <c r="C80" s="106">
        <f t="shared" si="9"/>
        <v>3.6497654445366119</v>
      </c>
      <c r="D80" s="107">
        <v>0</v>
      </c>
      <c r="E80" s="107">
        <f t="shared" si="58"/>
        <v>1</v>
      </c>
      <c r="F80" s="106" t="s">
        <v>358</v>
      </c>
      <c r="G80" s="106">
        <f>VLOOKUP(B80,Windows!$D$166:$H$177,3,FALSE)</f>
        <v>250</v>
      </c>
      <c r="H80" s="106">
        <f>VLOOKUP(B80,Windows!$D$166:$H$177,4,FALSE)</f>
        <v>9500</v>
      </c>
      <c r="I80" s="452">
        <f>VLOOKUP(B80,Windows!$D$166:$H$177,5,FALSE)</f>
        <v>2375000</v>
      </c>
      <c r="J80" s="109">
        <f t="shared" si="60"/>
        <v>0</v>
      </c>
      <c r="K80" s="110">
        <f t="shared" si="59"/>
        <v>2375000</v>
      </c>
    </row>
    <row r="81" spans="1:11" ht="20.100000000000001" customHeight="1">
      <c r="A81" s="1033"/>
      <c r="B81" s="105" t="s">
        <v>398</v>
      </c>
      <c r="C81" s="106">
        <f t="shared" si="9"/>
        <v>12.257956231402883</v>
      </c>
      <c r="D81" s="107">
        <v>0</v>
      </c>
      <c r="E81" s="107">
        <f t="shared" si="58"/>
        <v>1</v>
      </c>
      <c r="F81" s="106" t="s">
        <v>327</v>
      </c>
      <c r="G81" s="106">
        <f>VLOOKUP(B81,Windows!$D$166:$H$177,3,FALSE)</f>
        <v>839.64</v>
      </c>
      <c r="H81" s="106">
        <f>VLOOKUP(B81,Windows!$D$166:$H$177,4,FALSE)</f>
        <v>9500</v>
      </c>
      <c r="I81" s="452">
        <f>VLOOKUP(B81,Windows!$D$166:$H$177,5,FALSE)</f>
        <v>7976580</v>
      </c>
      <c r="J81" s="109">
        <f t="shared" si="60"/>
        <v>0</v>
      </c>
      <c r="K81" s="110">
        <f t="shared" si="59"/>
        <v>7976580</v>
      </c>
    </row>
    <row r="82" spans="1:11" ht="20.100000000000001" customHeight="1">
      <c r="A82" s="1033"/>
      <c r="B82" s="105" t="s">
        <v>399</v>
      </c>
      <c r="C82" s="106">
        <f t="shared" si="9"/>
        <v>7.2764427955871875</v>
      </c>
      <c r="D82" s="107">
        <v>0</v>
      </c>
      <c r="E82" s="107">
        <f t="shared" si="58"/>
        <v>1</v>
      </c>
      <c r="F82" s="106" t="s">
        <v>327</v>
      </c>
      <c r="G82" s="106">
        <f>VLOOKUP(B82,Windows!$D$166:$H$177,3,FALSE)</f>
        <v>799.80000000000007</v>
      </c>
      <c r="H82" s="106">
        <f>VLOOKUP(B82,Windows!$D$166:$H$177,4,FALSE)</f>
        <v>5920.2</v>
      </c>
      <c r="I82" s="452">
        <f>VLOOKUP(B82,Windows!$D$166:$H$177,5,FALSE)</f>
        <v>4734975.96</v>
      </c>
      <c r="J82" s="109">
        <f t="shared" si="60"/>
        <v>0</v>
      </c>
      <c r="K82" s="110">
        <f t="shared" si="59"/>
        <v>4734975.96</v>
      </c>
    </row>
    <row r="83" spans="1:11" ht="20.100000000000001" customHeight="1">
      <c r="A83" s="1033"/>
      <c r="B83" s="105" t="s">
        <v>400</v>
      </c>
      <c r="C83" s="106">
        <f t="shared" si="9"/>
        <v>6.2309431519739213</v>
      </c>
      <c r="D83" s="107">
        <v>0</v>
      </c>
      <c r="E83" s="107">
        <f t="shared" si="58"/>
        <v>1</v>
      </c>
      <c r="F83" s="106" t="s">
        <v>327</v>
      </c>
      <c r="G83" s="106">
        <f>VLOOKUP(B83,Windows!$D$166:$H$177,3,FALSE)</f>
        <v>684.88249999999994</v>
      </c>
      <c r="H83" s="106">
        <f>VLOOKUP(B83,Windows!$D$166:$H$177,4,FALSE)</f>
        <v>5920.2000000000007</v>
      </c>
      <c r="I83" s="452">
        <f>VLOOKUP(B83,Windows!$D$166:$H$177,5,FALSE)</f>
        <v>4054641.3765000002</v>
      </c>
      <c r="J83" s="109">
        <f t="shared" si="60"/>
        <v>0</v>
      </c>
      <c r="K83" s="110">
        <f t="shared" si="59"/>
        <v>4054641.3765000002</v>
      </c>
    </row>
    <row r="84" spans="1:11" ht="20.100000000000001" customHeight="1">
      <c r="A84" s="1033"/>
      <c r="B84" s="105" t="s">
        <v>401</v>
      </c>
      <c r="C84" s="106">
        <f t="shared" si="9"/>
        <v>2.2564796798358544</v>
      </c>
      <c r="D84" s="107">
        <v>0</v>
      </c>
      <c r="E84" s="107">
        <f t="shared" si="58"/>
        <v>1</v>
      </c>
      <c r="F84" s="106" t="s">
        <v>327</v>
      </c>
      <c r="G84" s="106">
        <f>VLOOKUP(B84,Windows!$D$166:$H$177,3,FALSE)</f>
        <v>248.024</v>
      </c>
      <c r="H84" s="106">
        <f>VLOOKUP(B84,Windows!$D$166:$H$177,4,FALSE)</f>
        <v>5920.2</v>
      </c>
      <c r="I84" s="452">
        <f>VLOOKUP(B84,Windows!$D$166:$H$177,5,FALSE)</f>
        <v>1468351.6847999999</v>
      </c>
      <c r="J84" s="109">
        <f t="shared" si="60"/>
        <v>0</v>
      </c>
      <c r="K84" s="110">
        <f t="shared" si="59"/>
        <v>1468351.6847999999</v>
      </c>
    </row>
    <row r="85" spans="1:11" ht="20.100000000000001" customHeight="1">
      <c r="A85" s="1033"/>
      <c r="B85" s="105" t="s">
        <v>402</v>
      </c>
      <c r="C85" s="106">
        <f t="shared" si="9"/>
        <v>3.5318132020731787</v>
      </c>
      <c r="D85" s="107">
        <v>0</v>
      </c>
      <c r="E85" s="107">
        <f t="shared" si="58"/>
        <v>1</v>
      </c>
      <c r="F85" s="106" t="s">
        <v>327</v>
      </c>
      <c r="G85" s="106">
        <f>VLOOKUP(B85,Windows!$D$166:$H$177,3,FALSE)</f>
        <v>388.20399999999995</v>
      </c>
      <c r="H85" s="106">
        <f>VLOOKUP(B85,Windows!$D$166:$H$177,4,FALSE)</f>
        <v>5920.2000000000007</v>
      </c>
      <c r="I85" s="452">
        <f>VLOOKUP(B85,Windows!$D$166:$H$177,5,FALSE)</f>
        <v>2298245.3207999999</v>
      </c>
      <c r="J85" s="109">
        <f t="shared" si="60"/>
        <v>0</v>
      </c>
      <c r="K85" s="110">
        <f t="shared" si="59"/>
        <v>2298245.3207999999</v>
      </c>
    </row>
    <row r="86" spans="1:11" ht="20.100000000000001" customHeight="1">
      <c r="A86" s="1033"/>
      <c r="B86" s="105" t="s">
        <v>403</v>
      </c>
      <c r="C86" s="106">
        <f t="shared" ref="C86" si="61">I86/$G$3</f>
        <v>8.6847865624750291</v>
      </c>
      <c r="D86" s="107">
        <v>0</v>
      </c>
      <c r="E86" s="107">
        <f t="shared" ref="E86" si="62">+(1-D86)</f>
        <v>1</v>
      </c>
      <c r="F86" s="106" t="s">
        <v>327</v>
      </c>
      <c r="G86" s="106">
        <f>VLOOKUP(B86,Windows!$D$166:$H$177,3,FALSE)</f>
        <v>954.59999999999991</v>
      </c>
      <c r="H86" s="106">
        <f>VLOOKUP(B86,Windows!$D$166:$H$177,4,FALSE)</f>
        <v>5920.2</v>
      </c>
      <c r="I86" s="452">
        <f>VLOOKUP(B86,Windows!$D$166:$H$177,5,FALSE)</f>
        <v>5651422.919999999</v>
      </c>
      <c r="J86" s="109">
        <f t="shared" ref="J86" si="63">+I86*D86</f>
        <v>0</v>
      </c>
      <c r="K86" s="110">
        <f t="shared" ref="K86" si="64">+E86*I86</f>
        <v>5651422.919999999</v>
      </c>
    </row>
    <row r="87" spans="1:11" ht="20.100000000000001" customHeight="1">
      <c r="A87" s="1033"/>
      <c r="B87" s="105" t="s">
        <v>404</v>
      </c>
      <c r="C87" s="106">
        <f t="shared" si="9"/>
        <v>4.967975034294315</v>
      </c>
      <c r="D87" s="107">
        <v>0</v>
      </c>
      <c r="E87" s="107">
        <f>+(1-D87)</f>
        <v>1</v>
      </c>
      <c r="F87" s="106" t="s">
        <v>327</v>
      </c>
      <c r="G87" s="106">
        <f>VLOOKUP(B87,'Internal Finishes Flats'!$B$1998:$F$2038,3,FALSE)</f>
        <v>1010.8800000000002</v>
      </c>
      <c r="H87" s="106">
        <f>VLOOKUP(B87,'Internal Finishes Flats'!$B$1998:$F$2038,4,FALSE)</f>
        <v>3197.9999999999995</v>
      </c>
      <c r="I87" s="110">
        <f t="shared" ref="I87" si="65">G87*H87</f>
        <v>3232794.24</v>
      </c>
      <c r="J87" s="109">
        <f t="shared" si="60"/>
        <v>0</v>
      </c>
      <c r="K87" s="110">
        <f t="shared" si="59"/>
        <v>3232794.24</v>
      </c>
    </row>
    <row r="88" spans="1:11" ht="20.100000000000001" customHeight="1">
      <c r="A88" s="1033"/>
      <c r="B88" s="113" t="s">
        <v>405</v>
      </c>
      <c r="C88" s="106"/>
      <c r="D88" s="107"/>
      <c r="E88" s="107"/>
      <c r="F88" s="106"/>
      <c r="G88" s="108"/>
      <c r="H88" s="109"/>
      <c r="I88" s="110">
        <f t="shared" ref="I88:I89" si="66">G88*H88</f>
        <v>0</v>
      </c>
      <c r="J88" s="109">
        <f t="shared" si="60"/>
        <v>0</v>
      </c>
      <c r="K88" s="110">
        <f t="shared" si="59"/>
        <v>0</v>
      </c>
    </row>
    <row r="89" spans="1:11" ht="20.100000000000001" customHeight="1">
      <c r="A89" s="1033"/>
      <c r="B89" s="105" t="s">
        <v>406</v>
      </c>
      <c r="C89" s="106">
        <f t="shared" ref="C89:C127" si="67">I89/$G$3</f>
        <v>2.3216597700456023</v>
      </c>
      <c r="D89" s="107">
        <v>0</v>
      </c>
      <c r="E89" s="107">
        <f t="shared" ref="E89:E128" si="68">+(1-D89)</f>
        <v>1</v>
      </c>
      <c r="F89" s="106" t="s">
        <v>327</v>
      </c>
      <c r="G89" s="106">
        <f>VLOOKUP(B89,'Internal Finishes Flats'!$B$1998:$F$2038,3,FALSE)</f>
        <v>238.68000000000012</v>
      </c>
      <c r="H89" s="106">
        <f>VLOOKUP(B89,'Internal Finishes Flats'!$B$1998:$F$2038,4,FALSE)</f>
        <v>6329.6719999999987</v>
      </c>
      <c r="I89" s="110">
        <f t="shared" si="66"/>
        <v>1510766.1129600005</v>
      </c>
      <c r="J89" s="109">
        <f t="shared" si="60"/>
        <v>0</v>
      </c>
      <c r="K89" s="110">
        <f t="shared" si="59"/>
        <v>1510766.1129600005</v>
      </c>
    </row>
    <row r="90" spans="1:11" ht="20.100000000000001" customHeight="1">
      <c r="A90" s="1033"/>
      <c r="B90" s="105" t="s">
        <v>407</v>
      </c>
      <c r="C90" s="106">
        <f t="shared" si="67"/>
        <v>7.6186033162683229</v>
      </c>
      <c r="D90" s="107">
        <v>0</v>
      </c>
      <c r="E90" s="107">
        <f t="shared" si="68"/>
        <v>1</v>
      </c>
      <c r="F90" s="106" t="s">
        <v>358</v>
      </c>
      <c r="G90" s="106">
        <f>VLOOKUP(B90,'Internal Finishes Flats'!$B$1998:$F$2038,3,FALSE)</f>
        <v>7558.199999999998</v>
      </c>
      <c r="H90" s="106">
        <f>VLOOKUP(B90,'Internal Finishes Flats'!$B$1998:$F$2038,4,FALSE)</f>
        <v>655.9272000000002</v>
      </c>
      <c r="I90" s="110">
        <f t="shared" ref="I90:I98" si="69">G90*H90</f>
        <v>4957628.9630399998</v>
      </c>
      <c r="J90" s="109">
        <f t="shared" si="60"/>
        <v>0</v>
      </c>
      <c r="K90" s="110">
        <f t="shared" si="59"/>
        <v>4957628.9630399998</v>
      </c>
    </row>
    <row r="91" spans="1:11" ht="20.100000000000001" customHeight="1">
      <c r="A91" s="1033"/>
      <c r="B91" s="105" t="s">
        <v>408</v>
      </c>
      <c r="C91" s="106">
        <f t="shared" si="67"/>
        <v>12.711522000555362</v>
      </c>
      <c r="D91" s="107">
        <v>0</v>
      </c>
      <c r="E91" s="107">
        <f t="shared" si="68"/>
        <v>1</v>
      </c>
      <c r="F91" s="106" t="s">
        <v>358</v>
      </c>
      <c r="G91" s="106">
        <f>VLOOKUP(B91,'Internal Finishes Flats'!$B$1998:$F$2038,3,FALSE)</f>
        <v>12610.740000000005</v>
      </c>
      <c r="H91" s="106">
        <f>VLOOKUP(B91,'Internal Finishes Flats'!$B$1998:$F$2038,4,FALSE)</f>
        <v>655.9271999999994</v>
      </c>
      <c r="I91" s="110">
        <f t="shared" si="69"/>
        <v>8271727.3781279959</v>
      </c>
      <c r="J91" s="109">
        <f t="shared" si="60"/>
        <v>0</v>
      </c>
      <c r="K91" s="110">
        <f t="shared" si="59"/>
        <v>8271727.3781279959</v>
      </c>
    </row>
    <row r="92" spans="1:11" ht="20.100000000000001" customHeight="1">
      <c r="A92" s="1033"/>
      <c r="B92" s="105" t="s">
        <v>409</v>
      </c>
      <c r="C92" s="106">
        <f t="shared" si="67"/>
        <v>8.6990610876876602</v>
      </c>
      <c r="D92" s="107">
        <v>0</v>
      </c>
      <c r="E92" s="107">
        <f t="shared" si="68"/>
        <v>1</v>
      </c>
      <c r="F92" s="106" t="s">
        <v>358</v>
      </c>
      <c r="G92" s="106">
        <f>VLOOKUP(B92,'Internal Finishes Flats'!$B$1998:$F$2038,3,FALSE)</f>
        <v>14185.740000000005</v>
      </c>
      <c r="H92" s="106">
        <f>VLOOKUP(B92,'Internal Finishes Flats'!$B$1998:$F$2038,4,FALSE)</f>
        <v>399.0423999999997</v>
      </c>
      <c r="I92" s="110">
        <f t="shared" si="69"/>
        <v>5660711.7353759976</v>
      </c>
      <c r="J92" s="109">
        <f t="shared" si="60"/>
        <v>0</v>
      </c>
      <c r="K92" s="110">
        <f t="shared" si="59"/>
        <v>5660711.7353759976</v>
      </c>
    </row>
    <row r="93" spans="1:11" ht="20.100000000000001" customHeight="1">
      <c r="A93" s="1033"/>
      <c r="B93" s="105" t="s">
        <v>410</v>
      </c>
      <c r="C93" s="106">
        <f t="shared" si="67"/>
        <v>9.8893469620213548</v>
      </c>
      <c r="D93" s="107">
        <v>0</v>
      </c>
      <c r="E93" s="107">
        <f t="shared" si="68"/>
        <v>1</v>
      </c>
      <c r="F93" s="106" t="s">
        <v>327</v>
      </c>
      <c r="G93" s="106">
        <f>VLOOKUP(B93,'Internal Finishes Flats'!$B$1998:$F$2038,3,FALSE)</f>
        <v>880</v>
      </c>
      <c r="H93" s="106">
        <f>VLOOKUP(B93,'Internal Finishes Flats'!$B$1998:$F$2038,4,FALSE)</f>
        <v>7312.7984000000024</v>
      </c>
      <c r="I93" s="110">
        <f t="shared" si="69"/>
        <v>6435262.592000002</v>
      </c>
      <c r="J93" s="109">
        <f t="shared" si="60"/>
        <v>0</v>
      </c>
      <c r="K93" s="110">
        <f t="shared" si="59"/>
        <v>6435262.592000002</v>
      </c>
    </row>
    <row r="94" spans="1:11" ht="20.100000000000001" customHeight="1">
      <c r="A94" s="1033"/>
      <c r="B94" s="105" t="s">
        <v>411</v>
      </c>
      <c r="C94" s="106">
        <f t="shared" si="67"/>
        <v>7.3608207501408929</v>
      </c>
      <c r="D94" s="107">
        <v>0</v>
      </c>
      <c r="E94" s="107">
        <f t="shared" si="68"/>
        <v>1</v>
      </c>
      <c r="F94" s="106" t="s">
        <v>327</v>
      </c>
      <c r="G94" s="106">
        <f>VLOOKUP(B94,'Internal Finishes Flats'!$B$1998:$F$2038,3,FALSE)</f>
        <v>655.00000000000011</v>
      </c>
      <c r="H94" s="106">
        <f>VLOOKUP(B94,'Internal Finishes Flats'!$B$1998:$F$2038,4,FALSE)</f>
        <v>7312.7983999999997</v>
      </c>
      <c r="I94" s="110">
        <f t="shared" si="69"/>
        <v>4789882.9520000005</v>
      </c>
      <c r="J94" s="109">
        <f t="shared" si="60"/>
        <v>0</v>
      </c>
      <c r="K94" s="110">
        <f t="shared" si="59"/>
        <v>4789882.9520000005</v>
      </c>
    </row>
    <row r="95" spans="1:11" ht="20.100000000000001" customHeight="1">
      <c r="A95" s="1033"/>
      <c r="B95" s="105" t="s">
        <v>412</v>
      </c>
      <c r="C95" s="106">
        <f t="shared" si="67"/>
        <v>10.356208311682561</v>
      </c>
      <c r="D95" s="107">
        <v>0</v>
      </c>
      <c r="E95" s="107">
        <f t="shared" si="68"/>
        <v>1</v>
      </c>
      <c r="F95" s="106" t="s">
        <v>358</v>
      </c>
      <c r="G95" s="106">
        <f>VLOOKUP(B95,'Internal Finishes Flats'!$B$1998:$F$2038,3,FALSE)</f>
        <v>1944</v>
      </c>
      <c r="H95" s="106">
        <f>VLOOKUP(B95,'Internal Finishes Flats'!$B$1998:$F$2038,4,FALSE)</f>
        <v>3466.5955555555561</v>
      </c>
      <c r="I95" s="110">
        <f t="shared" si="69"/>
        <v>6739061.7600000007</v>
      </c>
      <c r="J95" s="109">
        <f t="shared" si="60"/>
        <v>0</v>
      </c>
      <c r="K95" s="110">
        <f t="shared" si="59"/>
        <v>6739061.7600000007</v>
      </c>
    </row>
    <row r="96" spans="1:11" ht="20.100000000000001" customHeight="1">
      <c r="A96" s="1033"/>
      <c r="B96" s="105" t="s">
        <v>413</v>
      </c>
      <c r="C96" s="106">
        <f t="shared" si="67"/>
        <v>3.8435841869163627</v>
      </c>
      <c r="D96" s="107">
        <v>0</v>
      </c>
      <c r="E96" s="107">
        <f t="shared" si="68"/>
        <v>1</v>
      </c>
      <c r="F96" s="106" t="s">
        <v>327</v>
      </c>
      <c r="G96" s="106">
        <f>VLOOKUP(B96,'Internal Finishes Flats'!$B$1998:$F$2038,3,FALSE)</f>
        <v>116.18</v>
      </c>
      <c r="H96" s="106">
        <f>VLOOKUP(B96,'Internal Finishes Flats'!$B$1998:$F$2038,4,FALSE)</f>
        <v>21528</v>
      </c>
      <c r="I96" s="110">
        <f t="shared" si="69"/>
        <v>2501123.04</v>
      </c>
      <c r="J96" s="109">
        <f t="shared" si="60"/>
        <v>0</v>
      </c>
      <c r="K96" s="110">
        <f t="shared" si="59"/>
        <v>2501123.04</v>
      </c>
    </row>
    <row r="97" spans="1:94" ht="20.100000000000001" customHeight="1">
      <c r="A97" s="1033"/>
      <c r="B97" s="113" t="s">
        <v>414</v>
      </c>
      <c r="C97" s="106"/>
      <c r="D97" s="107"/>
      <c r="E97" s="107"/>
      <c r="F97" s="106"/>
      <c r="G97" s="108"/>
      <c r="H97" s="108"/>
      <c r="I97" s="110"/>
      <c r="J97" s="109"/>
      <c r="K97" s="110"/>
    </row>
    <row r="98" spans="1:94" ht="20.100000000000001" customHeight="1">
      <c r="A98" s="1033"/>
      <c r="B98" s="105" t="s">
        <v>415</v>
      </c>
      <c r="C98" s="106">
        <f t="shared" ref="C98" si="70">I98/$G$3</f>
        <v>0</v>
      </c>
      <c r="D98" s="107">
        <v>0</v>
      </c>
      <c r="E98" s="107">
        <f t="shared" ref="E98" si="71">+(1-D98)</f>
        <v>1</v>
      </c>
      <c r="F98" s="106" t="s">
        <v>327</v>
      </c>
      <c r="G98" s="106"/>
      <c r="H98" s="106"/>
      <c r="I98" s="110">
        <f t="shared" si="69"/>
        <v>0</v>
      </c>
      <c r="J98" s="109">
        <f t="shared" ref="J98" si="72">+I98*D98</f>
        <v>0</v>
      </c>
      <c r="K98" s="110">
        <f t="shared" ref="K98" si="73">+E98*I98</f>
        <v>0</v>
      </c>
    </row>
    <row r="99" spans="1:94" ht="20.100000000000001" customHeight="1">
      <c r="A99" s="1033"/>
      <c r="B99" s="105" t="s">
        <v>416</v>
      </c>
      <c r="C99" s="106">
        <f t="shared" si="67"/>
        <v>0</v>
      </c>
      <c r="D99" s="107">
        <v>0</v>
      </c>
      <c r="E99" s="107">
        <f t="shared" si="68"/>
        <v>1</v>
      </c>
      <c r="F99" s="106" t="s">
        <v>327</v>
      </c>
      <c r="G99" s="106">
        <f>VLOOKUP(B99,'Internal Finishes Flats'!$B$1998:$F$2038,3,FALSE)</f>
        <v>4508.24</v>
      </c>
      <c r="H99" s="106">
        <f>VLOOKUP(B99,'Internal Finishes Flats'!$B$1998:$F$2038,4,FALSE)</f>
        <v>0</v>
      </c>
      <c r="I99" s="110">
        <f t="shared" ref="I99" si="74">G99*H99</f>
        <v>0</v>
      </c>
      <c r="J99" s="109">
        <f t="shared" si="60"/>
        <v>0</v>
      </c>
      <c r="K99" s="110">
        <f t="shared" si="59"/>
        <v>0</v>
      </c>
      <c r="L99" s="99">
        <f>G99*135*10.764</f>
        <v>6551103.8735999996</v>
      </c>
    </row>
    <row r="100" spans="1:94" s="120" customFormat="1" ht="20.100000000000001" customHeight="1">
      <c r="A100" s="1033" t="s">
        <v>154</v>
      </c>
      <c r="B100" s="105" t="s">
        <v>417</v>
      </c>
      <c r="C100" s="106">
        <f>I100/$G$3</f>
        <v>78.731049751864219</v>
      </c>
      <c r="D100" s="107">
        <v>0</v>
      </c>
      <c r="E100" s="107">
        <f t="shared" si="68"/>
        <v>1</v>
      </c>
      <c r="F100" s="106" t="s">
        <v>418</v>
      </c>
      <c r="G100" s="106">
        <v>1</v>
      </c>
      <c r="H100" s="106">
        <f>I100/'MEP Summary'!$I$1</f>
        <v>123.81166428624941</v>
      </c>
      <c r="I100" s="110">
        <f>'MEP Summary'!E5</f>
        <v>51232400</v>
      </c>
      <c r="J100" s="109">
        <f t="shared" si="60"/>
        <v>0</v>
      </c>
      <c r="K100" s="110">
        <f t="shared" si="59"/>
        <v>51232400</v>
      </c>
      <c r="L100" s="99"/>
      <c r="M100" s="99"/>
      <c r="N100" s="99"/>
      <c r="O100" s="99"/>
      <c r="P100" s="99"/>
      <c r="Q100" s="99"/>
      <c r="R100" s="99"/>
      <c r="S100" s="99"/>
      <c r="T100" s="99"/>
      <c r="U100" s="99"/>
      <c r="V100" s="99"/>
      <c r="W100" s="99"/>
      <c r="X100" s="99"/>
      <c r="Y100" s="99"/>
      <c r="Z100" s="99"/>
      <c r="AA100" s="99"/>
      <c r="AB100" s="99"/>
      <c r="AC100" s="99"/>
      <c r="AD100" s="99"/>
      <c r="AE100" s="99"/>
      <c r="AF100" s="99"/>
      <c r="AG100" s="99"/>
      <c r="AH100" s="99"/>
      <c r="AI100" s="99"/>
      <c r="AJ100" s="99"/>
      <c r="AK100" s="99"/>
      <c r="AL100" s="99"/>
      <c r="AM100" s="99"/>
      <c r="AN100" s="99"/>
      <c r="AO100" s="99"/>
      <c r="AP100" s="99"/>
      <c r="AQ100" s="99"/>
      <c r="AR100" s="99"/>
      <c r="AS100" s="99"/>
      <c r="AT100" s="99"/>
      <c r="AU100" s="99"/>
      <c r="AV100" s="99"/>
      <c r="AW100" s="99"/>
      <c r="AX100" s="99"/>
      <c r="AY100" s="99"/>
      <c r="AZ100" s="99"/>
      <c r="BA100" s="99"/>
      <c r="BB100" s="99"/>
      <c r="BC100" s="99"/>
      <c r="BD100" s="99"/>
      <c r="BE100" s="99"/>
      <c r="BF100" s="99"/>
      <c r="BG100" s="99"/>
      <c r="BH100" s="99"/>
      <c r="BI100" s="99"/>
      <c r="BJ100" s="99"/>
      <c r="BK100" s="99"/>
      <c r="BL100" s="99"/>
      <c r="BM100" s="99"/>
      <c r="BN100" s="99"/>
      <c r="BO100" s="99"/>
      <c r="BP100" s="99"/>
      <c r="BQ100" s="99"/>
      <c r="BR100" s="99"/>
      <c r="BS100" s="99"/>
      <c r="BT100" s="99"/>
      <c r="BU100" s="99"/>
      <c r="BV100" s="99"/>
      <c r="BW100" s="99"/>
      <c r="BX100" s="99"/>
      <c r="BY100" s="99"/>
      <c r="BZ100" s="99"/>
      <c r="CA100" s="99"/>
      <c r="CB100" s="99"/>
      <c r="CC100" s="99"/>
      <c r="CD100" s="99"/>
      <c r="CE100" s="99"/>
      <c r="CF100" s="99"/>
      <c r="CG100" s="99"/>
      <c r="CH100" s="99"/>
      <c r="CI100" s="99"/>
      <c r="CJ100" s="99"/>
      <c r="CK100" s="99"/>
      <c r="CL100" s="99"/>
      <c r="CM100" s="99"/>
      <c r="CN100" s="99"/>
      <c r="CO100" s="99"/>
      <c r="CP100" s="99"/>
    </row>
    <row r="101" spans="1:94" ht="20.100000000000001" customHeight="1">
      <c r="A101" s="1033"/>
      <c r="B101" s="105" t="s">
        <v>419</v>
      </c>
      <c r="C101" s="106">
        <f t="shared" si="67"/>
        <v>50.871491118859389</v>
      </c>
      <c r="D101" s="107">
        <v>0</v>
      </c>
      <c r="E101" s="107">
        <f t="shared" si="68"/>
        <v>1</v>
      </c>
      <c r="F101" s="106" t="s">
        <v>418</v>
      </c>
      <c r="G101" s="106">
        <v>1</v>
      </c>
      <c r="H101" s="106">
        <f>I101/'MEP Summary'!$I$1</f>
        <v>80</v>
      </c>
      <c r="I101" s="110">
        <f>'MEP Summary'!E6</f>
        <v>33103440</v>
      </c>
      <c r="J101" s="109">
        <f t="shared" si="60"/>
        <v>0</v>
      </c>
      <c r="K101" s="110">
        <f t="shared" si="59"/>
        <v>33103440</v>
      </c>
    </row>
    <row r="102" spans="1:94" ht="20.100000000000001" customHeight="1">
      <c r="A102" s="1033"/>
      <c r="B102" s="105" t="s">
        <v>420</v>
      </c>
      <c r="C102" s="106">
        <f t="shared" si="67"/>
        <v>27.661380211224845</v>
      </c>
      <c r="D102" s="107">
        <v>0</v>
      </c>
      <c r="E102" s="107">
        <f t="shared" si="68"/>
        <v>1</v>
      </c>
      <c r="F102" s="106" t="s">
        <v>418</v>
      </c>
      <c r="G102" s="106">
        <v>1</v>
      </c>
      <c r="H102" s="106">
        <f>I102/'MEP Summary'!$I$1</f>
        <v>43.500010875002715</v>
      </c>
      <c r="I102" s="110">
        <f>'MEP Summary'!E7</f>
        <v>18000000</v>
      </c>
      <c r="J102" s="109">
        <f t="shared" si="60"/>
        <v>0</v>
      </c>
      <c r="K102" s="110">
        <f t="shared" si="59"/>
        <v>18000000</v>
      </c>
    </row>
    <row r="103" spans="1:94" ht="20.100000000000001" customHeight="1">
      <c r="A103" s="1033"/>
      <c r="B103" s="105" t="s">
        <v>421</v>
      </c>
      <c r="C103" s="106">
        <f t="shared" si="67"/>
        <v>44.51255472900197</v>
      </c>
      <c r="D103" s="107">
        <v>0</v>
      </c>
      <c r="E103" s="107">
        <f t="shared" si="68"/>
        <v>1</v>
      </c>
      <c r="F103" s="106" t="s">
        <v>418</v>
      </c>
      <c r="G103" s="106">
        <v>1</v>
      </c>
      <c r="H103" s="106">
        <f>I103/'MEP Summary'!$I$1</f>
        <v>70</v>
      </c>
      <c r="I103" s="110">
        <f>'MEP Summary'!E8</f>
        <v>28965510</v>
      </c>
      <c r="J103" s="109">
        <f t="shared" si="60"/>
        <v>0</v>
      </c>
      <c r="K103" s="110">
        <f t="shared" si="59"/>
        <v>28965510</v>
      </c>
    </row>
    <row r="104" spans="1:94" ht="20.100000000000001" customHeight="1">
      <c r="A104" s="1033"/>
      <c r="B104" s="105" t="s">
        <v>422</v>
      </c>
      <c r="C104" s="106">
        <f>I104/$G$3</f>
        <v>11.446085501743363</v>
      </c>
      <c r="D104" s="107">
        <v>0</v>
      </c>
      <c r="E104" s="107">
        <f>+(1-D104)</f>
        <v>1</v>
      </c>
      <c r="F104" s="106" t="s">
        <v>418</v>
      </c>
      <c r="G104" s="106">
        <v>1</v>
      </c>
      <c r="H104" s="106">
        <f>I104/'MEP Summary'!$I$1</f>
        <v>18</v>
      </c>
      <c r="I104" s="110">
        <f>'MEP Summary'!E9</f>
        <v>7448274</v>
      </c>
      <c r="J104" s="109">
        <f t="shared" si="60"/>
        <v>0</v>
      </c>
      <c r="K104" s="110">
        <f>+E104*I104</f>
        <v>7448274</v>
      </c>
    </row>
    <row r="105" spans="1:94" ht="20.100000000000001" customHeight="1">
      <c r="A105" s="1033"/>
      <c r="B105" s="105" t="s">
        <v>423</v>
      </c>
      <c r="C105" s="106">
        <f>I105/$G$3</f>
        <v>5.0000173009639255</v>
      </c>
      <c r="D105" s="107">
        <v>0</v>
      </c>
      <c r="E105" s="107">
        <f>+(1-D105)</f>
        <v>1</v>
      </c>
      <c r="F105" s="106" t="s">
        <v>418</v>
      </c>
      <c r="G105" s="106">
        <v>1</v>
      </c>
      <c r="H105" s="106">
        <f>I105/'MEP Summary'!$I$1</f>
        <v>7.8629773824110121</v>
      </c>
      <c r="I105" s="110">
        <f>'MEP Summary'!E10</f>
        <v>3253645</v>
      </c>
      <c r="J105" s="109">
        <f t="shared" si="60"/>
        <v>0</v>
      </c>
      <c r="K105" s="110">
        <f>+E105*I105</f>
        <v>3253645</v>
      </c>
    </row>
    <row r="106" spans="1:94" ht="20.100000000000001" customHeight="1">
      <c r="A106" s="1033"/>
      <c r="B106" s="105" t="s">
        <v>424</v>
      </c>
      <c r="C106" s="106">
        <f t="shared" si="67"/>
        <v>25.435745559429694</v>
      </c>
      <c r="D106" s="107">
        <v>0</v>
      </c>
      <c r="E106" s="107">
        <f t="shared" si="68"/>
        <v>1</v>
      </c>
      <c r="F106" s="106" t="s">
        <v>418</v>
      </c>
      <c r="G106" s="106">
        <v>1</v>
      </c>
      <c r="H106" s="106">
        <f>I106/'MEP Summary'!$I$1</f>
        <v>40</v>
      </c>
      <c r="I106" s="110">
        <f>'MEP Summary'!E11</f>
        <v>16551720</v>
      </c>
      <c r="J106" s="109">
        <f t="shared" si="60"/>
        <v>0</v>
      </c>
      <c r="K106" s="110">
        <f t="shared" si="59"/>
        <v>16551720</v>
      </c>
    </row>
    <row r="107" spans="1:94" ht="20.100000000000001" customHeight="1">
      <c r="A107" s="1033"/>
      <c r="B107" s="105" t="s">
        <v>425</v>
      </c>
      <c r="C107" s="106">
        <f t="shared" si="67"/>
        <v>3.4423050929524255</v>
      </c>
      <c r="D107" s="107">
        <v>0</v>
      </c>
      <c r="E107" s="107">
        <f t="shared" si="68"/>
        <v>1</v>
      </c>
      <c r="F107" s="106" t="s">
        <v>418</v>
      </c>
      <c r="G107" s="106">
        <v>1</v>
      </c>
      <c r="H107" s="106">
        <f>I107/'MEP Summary'!$I$1</f>
        <v>5.4133346866670049</v>
      </c>
      <c r="I107" s="110">
        <f>'MEP Summary'!E12</f>
        <v>2240000</v>
      </c>
      <c r="J107" s="109">
        <f t="shared" si="60"/>
        <v>0</v>
      </c>
      <c r="K107" s="110">
        <f t="shared" si="59"/>
        <v>2240000</v>
      </c>
    </row>
    <row r="108" spans="1:94" ht="20.100000000000001" customHeight="1">
      <c r="A108" s="1033"/>
      <c r="B108" s="105" t="s">
        <v>426</v>
      </c>
      <c r="C108" s="106">
        <f t="shared" si="67"/>
        <v>111.56756685194021</v>
      </c>
      <c r="D108" s="107">
        <v>0</v>
      </c>
      <c r="E108" s="107">
        <f t="shared" si="68"/>
        <v>1</v>
      </c>
      <c r="F108" s="106" t="s">
        <v>418</v>
      </c>
      <c r="G108" s="106">
        <v>1</v>
      </c>
      <c r="H108" s="106">
        <f>I108/'MEP Summary'!$I$1</f>
        <v>175.45004386251097</v>
      </c>
      <c r="I108" s="110">
        <f>'MEP Summary'!E13</f>
        <v>72600000</v>
      </c>
      <c r="J108" s="109">
        <f t="shared" si="60"/>
        <v>0</v>
      </c>
      <c r="K108" s="110">
        <f t="shared" si="59"/>
        <v>72600000</v>
      </c>
    </row>
    <row r="109" spans="1:94" ht="20.100000000000001" customHeight="1">
      <c r="A109" s="1033"/>
      <c r="B109" s="105" t="s">
        <v>427</v>
      </c>
      <c r="C109" s="106">
        <f t="shared" si="67"/>
        <v>4.0000138407711407</v>
      </c>
      <c r="D109" s="107">
        <v>0</v>
      </c>
      <c r="E109" s="107">
        <f t="shared" si="68"/>
        <v>1</v>
      </c>
      <c r="F109" s="106" t="s">
        <v>418</v>
      </c>
      <c r="G109" s="106">
        <v>1</v>
      </c>
      <c r="H109" s="106">
        <f>I109/'MEP Summary'!$I$1</f>
        <v>6.2903819059288102</v>
      </c>
      <c r="I109" s="110">
        <f>'MEP Summary'!E14</f>
        <v>2602916</v>
      </c>
      <c r="J109" s="109">
        <f t="shared" si="60"/>
        <v>0</v>
      </c>
      <c r="K109" s="110">
        <f t="shared" si="59"/>
        <v>2602916</v>
      </c>
    </row>
    <row r="110" spans="1:94" ht="20.100000000000001" customHeight="1">
      <c r="A110" s="1033"/>
      <c r="B110" s="105" t="s">
        <v>428</v>
      </c>
      <c r="C110" s="106">
        <f t="shared" si="67"/>
        <v>5.5937457760476912</v>
      </c>
      <c r="D110" s="107">
        <v>0</v>
      </c>
      <c r="E110" s="107">
        <f t="shared" si="68"/>
        <v>1</v>
      </c>
      <c r="F110" s="106" t="s">
        <v>418</v>
      </c>
      <c r="G110" s="106">
        <v>1</v>
      </c>
      <c r="H110" s="106">
        <f>I110/'MEP Summary'!$I$1</f>
        <v>8.7966688658338832</v>
      </c>
      <c r="I110" s="110">
        <f>'MEP Summary'!E15</f>
        <v>3640000</v>
      </c>
      <c r="J110" s="109"/>
      <c r="K110" s="110">
        <f t="shared" si="59"/>
        <v>3640000</v>
      </c>
    </row>
    <row r="111" spans="1:94" ht="20.100000000000001" customHeight="1">
      <c r="A111" s="1033" t="s">
        <v>299</v>
      </c>
      <c r="B111" s="105" t="s">
        <v>417</v>
      </c>
      <c r="C111" s="106">
        <f t="shared" si="67"/>
        <v>39.798886499241299</v>
      </c>
      <c r="D111" s="107">
        <v>0</v>
      </c>
      <c r="E111" s="107">
        <f t="shared" si="68"/>
        <v>1</v>
      </c>
      <c r="F111" s="106" t="s">
        <v>418</v>
      </c>
      <c r="G111" s="106">
        <v>1</v>
      </c>
      <c r="H111" s="106">
        <f>I111/'MEP Summary'!$I$2</f>
        <v>109.30462234527468</v>
      </c>
      <c r="I111" s="110">
        <f>'MEP Summary'!E16</f>
        <v>25898200</v>
      </c>
      <c r="J111" s="109"/>
      <c r="K111" s="110">
        <f t="shared" si="59"/>
        <v>25898200</v>
      </c>
    </row>
    <row r="112" spans="1:94" ht="20.100000000000001" customHeight="1">
      <c r="A112" s="1033"/>
      <c r="B112" s="105" t="s">
        <v>420</v>
      </c>
      <c r="C112" s="106">
        <f t="shared" si="67"/>
        <v>0</v>
      </c>
      <c r="D112" s="107">
        <v>0</v>
      </c>
      <c r="E112" s="107">
        <f t="shared" si="68"/>
        <v>1</v>
      </c>
      <c r="F112" s="106" t="s">
        <v>418</v>
      </c>
      <c r="G112" s="106">
        <v>1</v>
      </c>
      <c r="H112" s="106">
        <f>I112/'MEP Summary'!$I$2</f>
        <v>0</v>
      </c>
      <c r="I112" s="110">
        <f>'MEP Summary'!E17</f>
        <v>0</v>
      </c>
      <c r="J112" s="109"/>
      <c r="K112" s="110">
        <f t="shared" si="59"/>
        <v>0</v>
      </c>
    </row>
    <row r="113" spans="1:11" ht="20.100000000000001" customHeight="1">
      <c r="A113" s="1033"/>
      <c r="B113" s="105" t="s">
        <v>419</v>
      </c>
      <c r="C113" s="106">
        <f t="shared" si="67"/>
        <v>10.923294636211283</v>
      </c>
      <c r="D113" s="107">
        <v>0</v>
      </c>
      <c r="E113" s="107">
        <f t="shared" si="68"/>
        <v>1</v>
      </c>
      <c r="F113" s="106" t="s">
        <v>418</v>
      </c>
      <c r="G113" s="106">
        <v>1</v>
      </c>
      <c r="H113" s="106">
        <f>I113/'MEP Summary'!$I$2</f>
        <v>30</v>
      </c>
      <c r="I113" s="110">
        <f>'MEP Summary'!E18</f>
        <v>7108080</v>
      </c>
      <c r="J113" s="109"/>
      <c r="K113" s="110">
        <f t="shared" si="59"/>
        <v>7108080</v>
      </c>
    </row>
    <row r="114" spans="1:11" ht="20.100000000000001" customHeight="1">
      <c r="A114" s="1033"/>
      <c r="B114" s="105" t="s">
        <v>429</v>
      </c>
      <c r="C114" s="106">
        <f t="shared" si="67"/>
        <v>26.501938092237907</v>
      </c>
      <c r="D114" s="107">
        <v>0</v>
      </c>
      <c r="E114" s="107">
        <f t="shared" si="68"/>
        <v>1</v>
      </c>
      <c r="F114" s="106" t="s">
        <v>418</v>
      </c>
      <c r="G114" s="106">
        <v>1</v>
      </c>
      <c r="H114" s="106">
        <f>I114/'MEP Summary'!$I$2</f>
        <v>72.785562345949955</v>
      </c>
      <c r="I114" s="110">
        <f>'MEP Summary'!E19</f>
        <v>17245520</v>
      </c>
      <c r="J114" s="109"/>
      <c r="K114" s="110">
        <f t="shared" si="59"/>
        <v>17245520</v>
      </c>
    </row>
    <row r="115" spans="1:11" ht="20.100000000000001" customHeight="1">
      <c r="A115" s="1033"/>
      <c r="B115" s="105" t="s">
        <v>422</v>
      </c>
      <c r="C115" s="106">
        <f t="shared" si="67"/>
        <v>14.564392848281711</v>
      </c>
      <c r="D115" s="107">
        <v>0</v>
      </c>
      <c r="E115" s="107">
        <f t="shared" si="68"/>
        <v>1</v>
      </c>
      <c r="F115" s="106" t="s">
        <v>418</v>
      </c>
      <c r="G115" s="106">
        <v>1</v>
      </c>
      <c r="H115" s="106">
        <f>I115/'MEP Summary'!$I$2</f>
        <v>40</v>
      </c>
      <c r="I115" s="110">
        <f>'MEP Summary'!E20</f>
        <v>9477440</v>
      </c>
      <c r="J115" s="109"/>
      <c r="K115" s="110">
        <f t="shared" si="59"/>
        <v>9477440</v>
      </c>
    </row>
    <row r="116" spans="1:11" ht="20.100000000000001" customHeight="1">
      <c r="A116" s="1033"/>
      <c r="B116" s="105" t="s">
        <v>430</v>
      </c>
      <c r="C116" s="106">
        <f t="shared" si="67"/>
        <v>6.55397678172677</v>
      </c>
      <c r="D116" s="107">
        <v>0</v>
      </c>
      <c r="E116" s="107">
        <f t="shared" si="68"/>
        <v>1</v>
      </c>
      <c r="F116" s="106" t="s">
        <v>418</v>
      </c>
      <c r="G116" s="106">
        <v>1</v>
      </c>
      <c r="H116" s="106">
        <f>I116/'MEP Summary'!$I$2</f>
        <v>18</v>
      </c>
      <c r="I116" s="110">
        <f>'MEP Summary'!E21</f>
        <v>4264848</v>
      </c>
      <c r="J116" s="109"/>
      <c r="K116" s="110">
        <f t="shared" si="59"/>
        <v>4264848</v>
      </c>
    </row>
    <row r="117" spans="1:11" ht="20.100000000000001" customHeight="1">
      <c r="A117" s="1033"/>
      <c r="B117" s="105" t="s">
        <v>431</v>
      </c>
      <c r="C117" s="106">
        <f t="shared" si="67"/>
        <v>16.320214324622661</v>
      </c>
      <c r="D117" s="107">
        <v>0</v>
      </c>
      <c r="E117" s="107">
        <f t="shared" si="68"/>
        <v>1</v>
      </c>
      <c r="F117" s="106" t="s">
        <v>418</v>
      </c>
      <c r="G117" s="106">
        <v>1</v>
      </c>
      <c r="H117" s="106">
        <f>I117/'MEP Summary'!$I$2</f>
        <v>44.822230475740284</v>
      </c>
      <c r="I117" s="110">
        <f>'MEP Summary'!E22</f>
        <v>10620000</v>
      </c>
      <c r="J117" s="109"/>
      <c r="K117" s="110">
        <f t="shared" si="59"/>
        <v>10620000</v>
      </c>
    </row>
    <row r="118" spans="1:11" ht="20.100000000000001" customHeight="1">
      <c r="A118" s="1033" t="s">
        <v>300</v>
      </c>
      <c r="B118" s="105" t="s">
        <v>432</v>
      </c>
      <c r="C118" s="106">
        <f t="shared" si="67"/>
        <v>7.3763680563266254</v>
      </c>
      <c r="D118" s="107">
        <v>0</v>
      </c>
      <c r="E118" s="107">
        <f t="shared" si="68"/>
        <v>1</v>
      </c>
      <c r="F118" s="106" t="s">
        <v>418</v>
      </c>
      <c r="G118" s="106">
        <v>1</v>
      </c>
      <c r="H118" s="106">
        <f>I118/'MEP Summary'!$I$2</f>
        <v>20.258635243272444</v>
      </c>
      <c r="I118" s="110">
        <f>'MEP Summary'!E24</f>
        <v>4800000</v>
      </c>
      <c r="J118" s="109"/>
      <c r="K118" s="110">
        <f t="shared" si="59"/>
        <v>4800000</v>
      </c>
    </row>
    <row r="119" spans="1:11" ht="20.100000000000001" customHeight="1">
      <c r="A119" s="1033"/>
      <c r="B119" s="105" t="s">
        <v>433</v>
      </c>
      <c r="C119" s="106">
        <f t="shared" si="67"/>
        <v>4.6102300352041414</v>
      </c>
      <c r="D119" s="107">
        <v>0</v>
      </c>
      <c r="E119" s="107">
        <f t="shared" si="68"/>
        <v>1</v>
      </c>
      <c r="F119" s="106" t="s">
        <v>418</v>
      </c>
      <c r="G119" s="106">
        <v>1</v>
      </c>
      <c r="H119" s="106">
        <f>I119/'MEP Summary'!$I$2</f>
        <v>12.661647027045278</v>
      </c>
      <c r="I119" s="110">
        <f>'MEP Summary'!E25</f>
        <v>3000000</v>
      </c>
      <c r="J119" s="109"/>
      <c r="K119" s="110">
        <f t="shared" si="59"/>
        <v>3000000</v>
      </c>
    </row>
    <row r="120" spans="1:11" ht="20.100000000000001" customHeight="1">
      <c r="A120" s="1033"/>
      <c r="B120" s="105" t="s">
        <v>434</v>
      </c>
      <c r="C120" s="106">
        <f t="shared" si="67"/>
        <v>6.146973380272188</v>
      </c>
      <c r="D120" s="107">
        <v>0</v>
      </c>
      <c r="E120" s="107">
        <f t="shared" si="68"/>
        <v>1</v>
      </c>
      <c r="F120" s="106" t="s">
        <v>418</v>
      </c>
      <c r="G120" s="106">
        <v>1</v>
      </c>
      <c r="H120" s="106">
        <f>I120/'MEP Summary'!$I$2</f>
        <v>16.882196036060371</v>
      </c>
      <c r="I120" s="110">
        <f>'MEP Summary'!E26</f>
        <v>4000000</v>
      </c>
      <c r="J120" s="109"/>
      <c r="K120" s="110">
        <f t="shared" si="59"/>
        <v>4000000</v>
      </c>
    </row>
    <row r="121" spans="1:11" ht="20.100000000000001" customHeight="1">
      <c r="A121" s="1033"/>
      <c r="B121" s="105" t="s">
        <v>435</v>
      </c>
      <c r="C121" s="106">
        <f t="shared" si="67"/>
        <v>3.073486690136094</v>
      </c>
      <c r="D121" s="107">
        <v>0</v>
      </c>
      <c r="E121" s="107">
        <f t="shared" si="68"/>
        <v>1</v>
      </c>
      <c r="F121" s="106" t="s">
        <v>418</v>
      </c>
      <c r="G121" s="106">
        <v>1</v>
      </c>
      <c r="H121" s="106">
        <f>I121/'MEP Summary'!$I$2</f>
        <v>8.4410980180301856</v>
      </c>
      <c r="I121" s="110">
        <f>'MEP Summary'!E27</f>
        <v>2000000</v>
      </c>
      <c r="J121" s="109"/>
      <c r="K121" s="110">
        <f t="shared" si="59"/>
        <v>2000000</v>
      </c>
    </row>
    <row r="122" spans="1:11" ht="20.100000000000001" customHeight="1">
      <c r="A122" s="1033"/>
      <c r="B122" s="105" t="s">
        <v>436</v>
      </c>
      <c r="C122" s="106">
        <f t="shared" si="67"/>
        <v>3.6410982120704278</v>
      </c>
      <c r="D122" s="107">
        <v>0</v>
      </c>
      <c r="E122" s="107">
        <f t="shared" si="68"/>
        <v>1</v>
      </c>
      <c r="F122" s="106" t="s">
        <v>418</v>
      </c>
      <c r="G122" s="106">
        <v>1</v>
      </c>
      <c r="H122" s="106">
        <f>I122/'MEP Summary'!$I$2</f>
        <v>10</v>
      </c>
      <c r="I122" s="110">
        <f>'MEP Summary'!E28</f>
        <v>2369360</v>
      </c>
      <c r="J122" s="109"/>
      <c r="K122" s="110">
        <f t="shared" si="59"/>
        <v>2369360</v>
      </c>
    </row>
    <row r="123" spans="1:11" ht="20.100000000000001" customHeight="1">
      <c r="A123" s="1033"/>
      <c r="B123" s="105" t="s">
        <v>437</v>
      </c>
      <c r="C123" s="106">
        <f t="shared" si="67"/>
        <v>1.9209291813350589</v>
      </c>
      <c r="D123" s="107">
        <v>0</v>
      </c>
      <c r="E123" s="107">
        <f t="shared" si="68"/>
        <v>1</v>
      </c>
      <c r="F123" s="106" t="s">
        <v>418</v>
      </c>
      <c r="G123" s="106">
        <v>1</v>
      </c>
      <c r="H123" s="106">
        <f>I123/'MEP Summary'!$I$2</f>
        <v>5.2756862612688655</v>
      </c>
      <c r="I123" s="110">
        <f>'MEP Summary'!E29</f>
        <v>1250000</v>
      </c>
      <c r="J123" s="109"/>
      <c r="K123" s="110">
        <f t="shared" si="59"/>
        <v>1250000</v>
      </c>
    </row>
    <row r="124" spans="1:11" ht="20.100000000000001" customHeight="1">
      <c r="A124" s="1033"/>
      <c r="B124" s="105" t="s">
        <v>438</v>
      </c>
      <c r="C124" s="106">
        <f t="shared" si="67"/>
        <v>2.4587893521088753</v>
      </c>
      <c r="D124" s="107">
        <v>0</v>
      </c>
      <c r="E124" s="107">
        <f t="shared" si="68"/>
        <v>1</v>
      </c>
      <c r="F124" s="106" t="s">
        <v>418</v>
      </c>
      <c r="G124" s="106">
        <v>1</v>
      </c>
      <c r="H124" s="106">
        <f>I124/'MEP Summary'!$I$2</f>
        <v>6.7528784144241483</v>
      </c>
      <c r="I124" s="110">
        <f>'MEP Summary'!E30</f>
        <v>1600000</v>
      </c>
      <c r="J124" s="109"/>
      <c r="K124" s="110">
        <f t="shared" si="59"/>
        <v>1600000</v>
      </c>
    </row>
    <row r="125" spans="1:11" ht="20.100000000000001" customHeight="1">
      <c r="A125" s="1033"/>
      <c r="B125" s="105" t="s">
        <v>439</v>
      </c>
      <c r="C125" s="106">
        <f t="shared" si="67"/>
        <v>2.2974313008767302</v>
      </c>
      <c r="D125" s="107">
        <v>0</v>
      </c>
      <c r="E125" s="107">
        <f t="shared" si="68"/>
        <v>1</v>
      </c>
      <c r="F125" s="106" t="s">
        <v>418</v>
      </c>
      <c r="G125" s="106">
        <v>1</v>
      </c>
      <c r="H125" s="106">
        <f>I125/'MEP Summary'!$I$2</f>
        <v>6.3097207684775638</v>
      </c>
      <c r="I125" s="110">
        <f>'MEP Summary'!E31</f>
        <v>1495000</v>
      </c>
      <c r="J125" s="109"/>
      <c r="K125" s="110">
        <f t="shared" si="59"/>
        <v>1495000</v>
      </c>
    </row>
    <row r="126" spans="1:11" ht="20.100000000000001" customHeight="1">
      <c r="A126" s="119"/>
      <c r="B126" s="105" t="s">
        <v>440</v>
      </c>
      <c r="C126" s="106">
        <f t="shared" ref="C126" si="75">I126/$G$3</f>
        <v>3.6881840281633127</v>
      </c>
      <c r="D126" s="107">
        <v>0</v>
      </c>
      <c r="E126" s="107">
        <f t="shared" si="68"/>
        <v>1</v>
      </c>
      <c r="F126" s="106" t="s">
        <v>418</v>
      </c>
      <c r="G126" s="106">
        <v>1</v>
      </c>
      <c r="H126" s="106">
        <f>I126/'MEP Summary'!$I$2</f>
        <v>10.129317621636222</v>
      </c>
      <c r="I126" s="110">
        <f>'MEP Summary'!E32</f>
        <v>2400000</v>
      </c>
      <c r="J126" s="109"/>
      <c r="K126" s="110">
        <f t="shared" si="59"/>
        <v>2400000</v>
      </c>
    </row>
    <row r="127" spans="1:11" ht="20.100000000000001" customHeight="1">
      <c r="A127" s="119"/>
      <c r="B127" s="105" t="s">
        <v>441</v>
      </c>
      <c r="C127" s="106">
        <f t="shared" si="67"/>
        <v>71.596848839883734</v>
      </c>
      <c r="D127" s="107">
        <v>0</v>
      </c>
      <c r="E127" s="107">
        <f t="shared" si="68"/>
        <v>1</v>
      </c>
      <c r="F127" s="106" t="s">
        <v>418</v>
      </c>
      <c r="G127" s="106">
        <v>1</v>
      </c>
      <c r="H127" s="106">
        <f>I127/'MEP Summary'!$I$2</f>
        <v>196.63531349562749</v>
      </c>
      <c r="I127" s="110">
        <f>Infra!E13</f>
        <v>46589984.638399996</v>
      </c>
      <c r="J127" s="109">
        <f t="shared" si="60"/>
        <v>0</v>
      </c>
      <c r="K127" s="110">
        <f t="shared" si="59"/>
        <v>46589984.638399996</v>
      </c>
    </row>
    <row r="128" spans="1:11" ht="20.100000000000001" customHeight="1">
      <c r="A128" s="974"/>
      <c r="B128" s="105" t="s">
        <v>303</v>
      </c>
      <c r="C128" s="106">
        <v>15</v>
      </c>
      <c r="D128" s="107">
        <v>0</v>
      </c>
      <c r="E128" s="107">
        <f t="shared" si="68"/>
        <v>1</v>
      </c>
      <c r="F128" s="106" t="s">
        <v>418</v>
      </c>
      <c r="G128" s="106">
        <v>1</v>
      </c>
      <c r="H128" s="106">
        <f>I128/'MEP Summary'!$I$2</f>
        <v>41.196361993956188</v>
      </c>
      <c r="I128" s="110">
        <f>G3*C128</f>
        <v>9760901.2254000027</v>
      </c>
      <c r="J128" s="109">
        <f t="shared" si="60"/>
        <v>0</v>
      </c>
      <c r="K128" s="110">
        <f t="shared" si="59"/>
        <v>9760901.2254000027</v>
      </c>
    </row>
    <row r="129" spans="1:11" ht="20.100000000000001" customHeight="1">
      <c r="A129" s="975"/>
      <c r="B129" s="976" t="s">
        <v>442</v>
      </c>
      <c r="C129" s="977">
        <f ca="1">SUM(C5:C128)</f>
        <v>2621.1014111041727</v>
      </c>
      <c r="D129" s="975">
        <f ca="1">SUMPRODUCT(D5:D128,I5:I128)/I129</f>
        <v>0</v>
      </c>
      <c r="E129" s="975">
        <f ca="1">1-D129</f>
        <v>1</v>
      </c>
      <c r="F129" s="975"/>
      <c r="G129" s="978"/>
      <c r="H129" s="979"/>
      <c r="I129" s="980">
        <f ca="1">SUM(I5:I128)</f>
        <v>1705620798.3696258</v>
      </c>
      <c r="J129" s="979"/>
      <c r="K129" s="980">
        <f ca="1">+E129*I129</f>
        <v>1705620798.3696258</v>
      </c>
    </row>
    <row r="131" spans="1:11">
      <c r="J131" s="127" t="b">
        <f ca="1">I129=K129</f>
        <v>1</v>
      </c>
      <c r="K131" s="128">
        <f ca="1">K129+'Cost Sheet office'!K49</f>
        <v>1747723566.2740161</v>
      </c>
    </row>
    <row r="138" spans="1:11">
      <c r="E138" s="99">
        <f>362535.88/10.764</f>
        <v>33680.405053883318</v>
      </c>
      <c r="I138" s="128">
        <f>650726.75/10.764</f>
        <v>60453.990152359722</v>
      </c>
    </row>
    <row r="139" spans="1:11">
      <c r="E139" s="99">
        <v>97532.36</v>
      </c>
      <c r="G139" s="127">
        <v>120000</v>
      </c>
      <c r="H139" s="127">
        <v>55000</v>
      </c>
      <c r="I139" s="128">
        <v>165409.96</v>
      </c>
      <c r="J139" s="127">
        <v>63547</v>
      </c>
      <c r="K139" s="128">
        <f>SUM(I139:J139)</f>
        <v>228956.96</v>
      </c>
    </row>
    <row r="140" spans="1:11">
      <c r="G140" s="127">
        <f>I139-G139</f>
        <v>45409.959999999992</v>
      </c>
      <c r="H140" s="127">
        <f>J139-H139</f>
        <v>8547</v>
      </c>
    </row>
    <row r="141" spans="1:11">
      <c r="G141" s="99"/>
      <c r="I141" s="99"/>
    </row>
    <row r="142" spans="1:11">
      <c r="G142" s="127">
        <v>900</v>
      </c>
      <c r="H142" s="127">
        <v>800</v>
      </c>
    </row>
    <row r="143" spans="1:11">
      <c r="E143" s="99">
        <f>E139/E138</f>
        <v>2.8958190925543699</v>
      </c>
      <c r="G143" s="99">
        <f>G140*G142</f>
        <v>40868963.999999993</v>
      </c>
      <c r="H143" s="99">
        <f>H140*H142</f>
        <v>6837600</v>
      </c>
      <c r="I143" s="99">
        <f>I139/I138</f>
        <v>2.736129734085774</v>
      </c>
    </row>
    <row r="145" spans="9:10">
      <c r="I145" s="128">
        <f>I139*900</f>
        <v>148868964</v>
      </c>
      <c r="J145" s="127">
        <f>J139*800</f>
        <v>50837600</v>
      </c>
    </row>
  </sheetData>
  <mergeCells count="6">
    <mergeCell ref="A118:A125"/>
    <mergeCell ref="A2:K2"/>
    <mergeCell ref="A39:A99"/>
    <mergeCell ref="A100:A110"/>
    <mergeCell ref="A111:A117"/>
    <mergeCell ref="A5:A38"/>
  </mergeCells>
  <pageMargins left="0.7" right="0.7" top="0.75" bottom="0.75" header="0.3" footer="0.3"/>
  <pageSetup orientation="portrait" horizontalDpi="4294967293" verticalDpi="4294967293" r:id="rId1"/>
  <ignoredErrors>
    <ignoredError sqref="I11 I75 I35" formula="1"/>
    <ignoredError sqref="K139"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39314-1682-45F3-8E7B-B40DDD89773D}">
  <dimension ref="A2:N50"/>
  <sheetViews>
    <sheetView zoomScale="80" zoomScaleNormal="80" workbookViewId="0">
      <pane xSplit="2" ySplit="4" topLeftCell="D5" activePane="bottomRight" state="frozen"/>
      <selection activeCell="D12" sqref="D12"/>
      <selection pane="topRight" activeCell="D12" sqref="D12"/>
      <selection pane="bottomLeft" activeCell="D12" sqref="D12"/>
      <selection pane="bottomRight" activeCell="N6" sqref="N6"/>
    </sheetView>
  </sheetViews>
  <sheetFormatPr defaultColWidth="8.88671875" defaultRowHeight="13.8"/>
  <cols>
    <col min="1" max="1" width="12.109375" style="125" customWidth="1"/>
    <col min="2" max="2" width="60.109375" style="126" bestFit="1" customWidth="1"/>
    <col min="3" max="3" width="12.33203125" style="126" customWidth="1"/>
    <col min="4" max="6" width="16.5546875" style="99" customWidth="1"/>
    <col min="7" max="8" width="16.5546875" style="127" customWidth="1"/>
    <col min="9" max="9" width="23.88671875" style="128" bestFit="1" customWidth="1"/>
    <col min="10" max="10" width="16.5546875" style="127" customWidth="1"/>
    <col min="11" max="11" width="23.88671875" style="128" bestFit="1" customWidth="1"/>
    <col min="12" max="12" width="18.6640625" style="99" customWidth="1"/>
    <col min="13" max="13" width="6.5546875" style="99" customWidth="1"/>
    <col min="14" max="14" width="13.44140625" style="99" bestFit="1" customWidth="1"/>
    <col min="15" max="16384" width="8.88671875" style="99"/>
  </cols>
  <sheetData>
    <row r="2" spans="1:14" ht="20.100000000000001" customHeight="1">
      <c r="A2" s="1068" t="s">
        <v>308</v>
      </c>
      <c r="B2" s="1069"/>
      <c r="C2" s="1069"/>
      <c r="D2" s="1069"/>
      <c r="E2" s="1069"/>
      <c r="F2" s="1069"/>
      <c r="G2" s="1069"/>
      <c r="H2" s="1069"/>
      <c r="I2" s="1069"/>
      <c r="J2" s="1069"/>
      <c r="K2" s="1069"/>
    </row>
    <row r="3" spans="1:14" ht="20.100000000000001" customHeight="1">
      <c r="A3" s="100"/>
      <c r="B3" s="101"/>
      <c r="C3" s="102"/>
      <c r="D3" s="102"/>
      <c r="E3" s="102" t="s">
        <v>309</v>
      </c>
      <c r="F3" s="102"/>
      <c r="G3" s="103">
        <f>'Construction Area'!S45</f>
        <v>650726.7483600002</v>
      </c>
      <c r="H3" s="103" t="s">
        <v>310</v>
      </c>
      <c r="I3" s="104"/>
      <c r="J3" s="103"/>
      <c r="K3" s="104"/>
    </row>
    <row r="4" spans="1:14" ht="28.2" thickBot="1">
      <c r="A4" s="941" t="s">
        <v>311</v>
      </c>
      <c r="B4" s="937" t="s">
        <v>2</v>
      </c>
      <c r="C4" s="938" t="s">
        <v>312</v>
      </c>
      <c r="D4" s="937" t="s">
        <v>313</v>
      </c>
      <c r="E4" s="937" t="s">
        <v>314</v>
      </c>
      <c r="F4" s="937" t="s">
        <v>315</v>
      </c>
      <c r="G4" s="939" t="s">
        <v>316</v>
      </c>
      <c r="H4" s="940" t="s">
        <v>5</v>
      </c>
      <c r="I4" s="940" t="s">
        <v>317</v>
      </c>
      <c r="J4" s="940" t="s">
        <v>318</v>
      </c>
      <c r="K4" s="940" t="s">
        <v>319</v>
      </c>
    </row>
    <row r="5" spans="1:14" ht="20.100000000000001" customHeight="1">
      <c r="A5" s="1033"/>
      <c r="B5" s="113" t="s">
        <v>336</v>
      </c>
      <c r="C5" s="106"/>
      <c r="D5" s="107"/>
      <c r="E5" s="107"/>
      <c r="F5" s="106"/>
      <c r="G5" s="123"/>
      <c r="H5" s="109"/>
      <c r="I5" s="124"/>
      <c r="J5" s="109"/>
      <c r="K5" s="110"/>
    </row>
    <row r="6" spans="1:14" ht="20.100000000000001" customHeight="1">
      <c r="A6" s="1033"/>
      <c r="B6" s="105" t="s">
        <v>337</v>
      </c>
      <c r="C6" s="106">
        <f t="shared" ref="C6:C37" si="0">I6/$G$3</f>
        <v>0.32013569327682084</v>
      </c>
      <c r="D6" s="107">
        <v>0</v>
      </c>
      <c r="E6" s="107">
        <f>+(1-D6)</f>
        <v>1</v>
      </c>
      <c r="F6" s="106" t="s">
        <v>327</v>
      </c>
      <c r="G6" s="106">
        <f>VLOOKUP(B6,'Internal Finishes Offices'!$B$78:$I$106,4,FALSE)</f>
        <v>570.49199999999996</v>
      </c>
      <c r="H6" s="106">
        <f>I6/G6</f>
        <v>365.16</v>
      </c>
      <c r="I6" s="110">
        <f>VLOOKUP(B6,'Internal Finishes Offices'!$B$78:$I$106,5,FALSE)</f>
        <v>208320.85871999999</v>
      </c>
      <c r="J6" s="109"/>
      <c r="K6" s="110"/>
      <c r="L6" s="99">
        <f>SUM(I6:I8)+SUM('Cost Sheet Tower'!I17:I19)</f>
        <v>16856694.351094343</v>
      </c>
      <c r="N6" s="99">
        <f>I6/2</f>
        <v>104160.42935999999</v>
      </c>
    </row>
    <row r="7" spans="1:14" ht="20.100000000000001" customHeight="1">
      <c r="A7" s="1033"/>
      <c r="B7" s="105" t="s">
        <v>338</v>
      </c>
      <c r="C7" s="106">
        <f t="shared" si="0"/>
        <v>0</v>
      </c>
      <c r="D7" s="107">
        <v>0</v>
      </c>
      <c r="E7" s="107">
        <f>+(1-D7)</f>
        <v>1</v>
      </c>
      <c r="F7" s="106" t="s">
        <v>327</v>
      </c>
      <c r="G7" s="106">
        <f>VLOOKUP(B7,'Internal Finishes Offices'!$B$78:$I$106,4,FALSE)</f>
        <v>0</v>
      </c>
      <c r="H7" s="106"/>
      <c r="I7" s="110">
        <f>VLOOKUP(B7,'Internal Finishes Offices'!$B$78:$I$106,5,FALSE)</f>
        <v>0</v>
      </c>
      <c r="J7" s="109"/>
      <c r="K7" s="110"/>
      <c r="N7" s="99">
        <f t="shared" ref="N7:N48" si="1">I7/2</f>
        <v>0</v>
      </c>
    </row>
    <row r="8" spans="1:14" ht="20.100000000000001" customHeight="1">
      <c r="A8" s="1033"/>
      <c r="B8" s="105" t="s">
        <v>339</v>
      </c>
      <c r="C8" s="106">
        <f t="shared" si="0"/>
        <v>0.10426484008747805</v>
      </c>
      <c r="D8" s="107">
        <v>0</v>
      </c>
      <c r="E8" s="107">
        <f t="shared" ref="E8" si="2">+(1-D8)</f>
        <v>1</v>
      </c>
      <c r="F8" s="106" t="s">
        <v>327</v>
      </c>
      <c r="G8" s="106">
        <f>VLOOKUP(B8,'Internal Finishes Offices'!$B$78:$I$106,4,FALSE)</f>
        <v>588.95764199999996</v>
      </c>
      <c r="H8" s="106">
        <f t="shared" ref="H8:H29" si="3">I8/G8</f>
        <v>115.19999999999999</v>
      </c>
      <c r="I8" s="110">
        <f>VLOOKUP(B8,'Internal Finishes Offices'!$B$78:$I$106,5,FALSE)</f>
        <v>67847.920358399992</v>
      </c>
      <c r="J8" s="109"/>
      <c r="K8" s="110"/>
      <c r="N8" s="99">
        <f t="shared" si="1"/>
        <v>33923.960179199996</v>
      </c>
    </row>
    <row r="9" spans="1:14" ht="20.100000000000001" customHeight="1">
      <c r="A9" s="1033"/>
      <c r="B9" s="113" t="s">
        <v>349</v>
      </c>
      <c r="C9" s="106"/>
      <c r="D9" s="107"/>
      <c r="E9" s="107"/>
      <c r="F9" s="106"/>
      <c r="G9" s="106"/>
      <c r="H9" s="106"/>
      <c r="I9" s="110"/>
      <c r="J9" s="109"/>
      <c r="K9" s="110"/>
      <c r="N9" s="99">
        <f t="shared" si="1"/>
        <v>0</v>
      </c>
    </row>
    <row r="10" spans="1:14" ht="20.100000000000001" customHeight="1">
      <c r="A10" s="1033"/>
      <c r="B10" s="105" t="s">
        <v>350</v>
      </c>
      <c r="C10" s="106">
        <f t="shared" si="0"/>
        <v>1.1177113702503338</v>
      </c>
      <c r="D10" s="107">
        <v>0</v>
      </c>
      <c r="E10" s="107">
        <f>+(1-D10)</f>
        <v>1</v>
      </c>
      <c r="F10" s="106" t="s">
        <v>327</v>
      </c>
      <c r="G10" s="106">
        <f>VLOOKUP(B10,'Internal Finishes Offices'!$B$78:$I$106,4,FALSE)</f>
        <v>343.76521229629066</v>
      </c>
      <c r="H10" s="106">
        <f t="shared" si="3"/>
        <v>2115.7600000000002</v>
      </c>
      <c r="I10" s="110">
        <f>VLOOKUP(B10,'Internal Finishes Offices'!$B$78:$I$106,5,FALSE)</f>
        <v>727324.68556799996</v>
      </c>
      <c r="J10" s="109"/>
      <c r="K10" s="110"/>
      <c r="L10" s="99">
        <f>SUM(I10:I11)+SUM('Cost Sheet Tower'!I35:I36)</f>
        <v>27471440.541636005</v>
      </c>
      <c r="N10" s="99">
        <f t="shared" si="1"/>
        <v>363662.34278399998</v>
      </c>
    </row>
    <row r="11" spans="1:14" ht="20.100000000000001" customHeight="1">
      <c r="A11" s="1033"/>
      <c r="B11" s="105" t="s">
        <v>351</v>
      </c>
      <c r="C11" s="106">
        <f t="shared" si="0"/>
        <v>0.62158477877142582</v>
      </c>
      <c r="D11" s="107">
        <v>0</v>
      </c>
      <c r="E11" s="107">
        <f>+(1-D11)</f>
        <v>1</v>
      </c>
      <c r="F11" s="106" t="s">
        <v>327</v>
      </c>
      <c r="G11" s="106">
        <f>VLOOKUP(B11,'Internal Finishes Offices'!$B$78:$I$106,4,FALSE)</f>
        <v>336.17174361702126</v>
      </c>
      <c r="H11" s="106">
        <f t="shared" si="3"/>
        <v>1203.2</v>
      </c>
      <c r="I11" s="110">
        <f>VLOOKUP(B11,'Internal Finishes Offices'!$B$78:$I$106,5,FALSE)</f>
        <v>404481.84191999998</v>
      </c>
      <c r="J11" s="109"/>
      <c r="K11" s="110"/>
      <c r="N11" s="99">
        <f t="shared" si="1"/>
        <v>202240.92095999999</v>
      </c>
    </row>
    <row r="12" spans="1:14" ht="20.100000000000001" customHeight="1">
      <c r="A12" s="1033" t="s">
        <v>354</v>
      </c>
      <c r="B12" s="936" t="s">
        <v>355</v>
      </c>
      <c r="C12" s="121"/>
      <c r="D12" s="122"/>
      <c r="E12" s="122"/>
      <c r="F12" s="121"/>
      <c r="G12" s="106"/>
      <c r="H12" s="106"/>
      <c r="I12" s="110"/>
      <c r="J12" s="825">
        <f t="shared" ref="J12:J36" si="4">+I12*D12</f>
        <v>0</v>
      </c>
      <c r="K12" s="124">
        <f t="shared" ref="K12:K34" si="5">+E12*I12</f>
        <v>0</v>
      </c>
      <c r="N12" s="99">
        <f t="shared" si="1"/>
        <v>0</v>
      </c>
    </row>
    <row r="13" spans="1:14" ht="20.100000000000001" customHeight="1">
      <c r="A13" s="1033"/>
      <c r="B13" s="105" t="s">
        <v>443</v>
      </c>
      <c r="C13" s="106">
        <f t="shared" si="0"/>
        <v>2.3361078400284243</v>
      </c>
      <c r="D13" s="107">
        <v>0</v>
      </c>
      <c r="E13" s="107">
        <f t="shared" ref="E13:E24" si="6">+(1-D13)</f>
        <v>1</v>
      </c>
      <c r="F13" s="106" t="s">
        <v>327</v>
      </c>
      <c r="G13" s="106">
        <f>VLOOKUP(B13,'Internal Finishes Offices'!$B$78:$I$106,4,FALSE)</f>
        <v>1336.6698249859314</v>
      </c>
      <c r="H13" s="106">
        <f t="shared" si="3"/>
        <v>1137.28</v>
      </c>
      <c r="I13" s="110">
        <f>VLOOKUP(B13,'Internal Finishes Offices'!$B$78:$I$106,5,FALSE)</f>
        <v>1520167.8585600001</v>
      </c>
      <c r="J13" s="109">
        <f t="shared" si="4"/>
        <v>0</v>
      </c>
      <c r="K13" s="110">
        <f t="shared" si="5"/>
        <v>1520167.8585600001</v>
      </c>
      <c r="L13" s="99">
        <f>SUM(I13:I24,I40:I45)+SUM('Cost Sheet Tower'!I40:I59,'Cost Sheet Tower'!I89:I95)</f>
        <v>139024757.40492997</v>
      </c>
      <c r="N13" s="99">
        <f t="shared" si="1"/>
        <v>760083.92928000004</v>
      </c>
    </row>
    <row r="14" spans="1:14" ht="20.100000000000001" customHeight="1">
      <c r="A14" s="1033"/>
      <c r="B14" s="105" t="s">
        <v>444</v>
      </c>
      <c r="C14" s="106">
        <f t="shared" si="0"/>
        <v>0.23978027212380557</v>
      </c>
      <c r="D14" s="107">
        <v>0</v>
      </c>
      <c r="E14" s="107">
        <f t="shared" si="6"/>
        <v>1</v>
      </c>
      <c r="F14" s="106" t="s">
        <v>358</v>
      </c>
      <c r="G14" s="106">
        <f>VLOOKUP(B14,'Internal Finishes Offices'!$B$78:$I$106,4,FALSE)</f>
        <v>391.95999999999992</v>
      </c>
      <c r="H14" s="106">
        <f t="shared" si="3"/>
        <v>398.08000000000004</v>
      </c>
      <c r="I14" s="110">
        <f>VLOOKUP(B14,'Internal Finishes Offices'!$B$78:$I$106,5,FALSE)</f>
        <v>156031.4368</v>
      </c>
      <c r="J14" s="109">
        <f t="shared" si="4"/>
        <v>0</v>
      </c>
      <c r="K14" s="110">
        <f t="shared" si="5"/>
        <v>156031.4368</v>
      </c>
      <c r="N14" s="99">
        <f t="shared" si="1"/>
        <v>78015.718399999998</v>
      </c>
    </row>
    <row r="15" spans="1:14" ht="20.100000000000001" customHeight="1">
      <c r="A15" s="1033"/>
      <c r="B15" s="105" t="s">
        <v>445</v>
      </c>
      <c r="C15" s="106">
        <f t="shared" si="0"/>
        <v>0.23629209585670016</v>
      </c>
      <c r="D15" s="107">
        <v>0</v>
      </c>
      <c r="E15" s="107">
        <f t="shared" si="6"/>
        <v>1</v>
      </c>
      <c r="F15" s="106" t="s">
        <v>327</v>
      </c>
      <c r="G15" s="106">
        <f>VLOOKUP(B15,'Internal Finishes Offices'!$B$78:$I$106,4,FALSE)</f>
        <v>1334.7359999999999</v>
      </c>
      <c r="H15" s="106">
        <f t="shared" si="3"/>
        <v>115.19999999999999</v>
      </c>
      <c r="I15" s="110">
        <f>VLOOKUP(B15,'Internal Finishes Offices'!$B$78:$I$106,5,FALSE)</f>
        <v>153761.58719999998</v>
      </c>
      <c r="J15" s="109">
        <f t="shared" si="4"/>
        <v>0</v>
      </c>
      <c r="K15" s="110">
        <f t="shared" si="5"/>
        <v>153761.58719999998</v>
      </c>
      <c r="N15" s="99">
        <f t="shared" si="1"/>
        <v>76880.79359999999</v>
      </c>
    </row>
    <row r="16" spans="1:14" ht="20.100000000000001" customHeight="1">
      <c r="A16" s="1033"/>
      <c r="B16" s="105" t="s">
        <v>359</v>
      </c>
      <c r="C16" s="106">
        <f t="shared" si="0"/>
        <v>0.12975950801593075</v>
      </c>
      <c r="D16" s="107">
        <v>0</v>
      </c>
      <c r="E16" s="107">
        <f t="shared" si="6"/>
        <v>1</v>
      </c>
      <c r="F16" s="106" t="s">
        <v>327</v>
      </c>
      <c r="G16" s="106">
        <f>VLOOKUP(B16,'Internal Finishes Offices'!$B$78:$I$106,4,FALSE)</f>
        <v>1280.9159999999999</v>
      </c>
      <c r="H16" s="106">
        <f t="shared" si="3"/>
        <v>65.92</v>
      </c>
      <c r="I16" s="110">
        <f>VLOOKUP(B16,'Internal Finishes Offices'!$B$78:$I$106,5,FALSE)</f>
        <v>84437.98272</v>
      </c>
      <c r="J16" s="109">
        <f t="shared" si="4"/>
        <v>0</v>
      </c>
      <c r="K16" s="110">
        <f t="shared" si="5"/>
        <v>84437.98272</v>
      </c>
      <c r="N16" s="99">
        <f t="shared" si="1"/>
        <v>42218.99136</v>
      </c>
    </row>
    <row r="17" spans="1:14" ht="20.100000000000001" customHeight="1">
      <c r="A17" s="1033"/>
      <c r="B17" s="105" t="s">
        <v>360</v>
      </c>
      <c r="C17" s="106">
        <f t="shared" si="0"/>
        <v>0.79654256071435459</v>
      </c>
      <c r="D17" s="107">
        <v>0</v>
      </c>
      <c r="E17" s="107">
        <f t="shared" si="6"/>
        <v>1</v>
      </c>
      <c r="F17" s="106" t="s">
        <v>327</v>
      </c>
      <c r="G17" s="106">
        <f>VLOOKUP(B17,'Internal Finishes Offices'!$B$78:$I$106,4,FALSE)</f>
        <v>1356.2639999999999</v>
      </c>
      <c r="H17" s="106">
        <f t="shared" si="3"/>
        <v>382.17599999999999</v>
      </c>
      <c r="I17" s="110">
        <f>VLOOKUP(B17,'Internal Finishes Offices'!$B$78:$I$106,5,FALSE)</f>
        <v>518331.55046399997</v>
      </c>
      <c r="J17" s="109">
        <f t="shared" si="4"/>
        <v>0</v>
      </c>
      <c r="K17" s="110">
        <f t="shared" si="5"/>
        <v>518331.55046399997</v>
      </c>
      <c r="N17" s="99">
        <f t="shared" si="1"/>
        <v>259165.77523199999</v>
      </c>
    </row>
    <row r="18" spans="1:14" ht="20.100000000000001" customHeight="1">
      <c r="A18" s="1033"/>
      <c r="B18" s="105" t="s">
        <v>369</v>
      </c>
      <c r="C18" s="106">
        <f t="shared" si="0"/>
        <v>0.27045890602092593</v>
      </c>
      <c r="D18" s="107">
        <v>0</v>
      </c>
      <c r="E18" s="107">
        <f t="shared" si="6"/>
        <v>1</v>
      </c>
      <c r="F18" s="106" t="s">
        <v>327</v>
      </c>
      <c r="G18" s="106">
        <f>VLOOKUP(B18,'Internal Finishes Offices'!$B$78:$I$106,4,FALSE)</f>
        <v>1619.982</v>
      </c>
      <c r="H18" s="106">
        <f t="shared" si="3"/>
        <v>108.64</v>
      </c>
      <c r="I18" s="110">
        <f>VLOOKUP(B18,'Internal Finishes Offices'!$B$78:$I$106,5,FALSE)</f>
        <v>175994.84448</v>
      </c>
      <c r="J18" s="109">
        <f t="shared" si="4"/>
        <v>0</v>
      </c>
      <c r="K18" s="110">
        <f t="shared" si="5"/>
        <v>175994.84448</v>
      </c>
      <c r="N18" s="99">
        <f t="shared" si="1"/>
        <v>87997.42224</v>
      </c>
    </row>
    <row r="19" spans="1:14" ht="20.100000000000001" customHeight="1">
      <c r="A19" s="1033"/>
      <c r="B19" s="105" t="s">
        <v>370</v>
      </c>
      <c r="C19" s="106">
        <f t="shared" si="0"/>
        <v>0</v>
      </c>
      <c r="D19" s="107">
        <v>0</v>
      </c>
      <c r="E19" s="107">
        <f t="shared" si="6"/>
        <v>1</v>
      </c>
      <c r="F19" s="106" t="s">
        <v>327</v>
      </c>
      <c r="G19" s="106">
        <f>VLOOKUP(B19,'Internal Finishes Offices'!$B$78:$I$106,4,FALSE)</f>
        <v>0</v>
      </c>
      <c r="H19" s="106"/>
      <c r="I19" s="110">
        <f>VLOOKUP(B19,'Internal Finishes Offices'!$B$78:$I$106,5,FALSE)</f>
        <v>0</v>
      </c>
      <c r="J19" s="109">
        <f t="shared" si="4"/>
        <v>0</v>
      </c>
      <c r="K19" s="110">
        <f t="shared" si="5"/>
        <v>0</v>
      </c>
      <c r="N19" s="99">
        <f t="shared" si="1"/>
        <v>0</v>
      </c>
    </row>
    <row r="20" spans="1:14" ht="20.100000000000001" customHeight="1">
      <c r="A20" s="1033"/>
      <c r="B20" s="105" t="s">
        <v>372</v>
      </c>
      <c r="C20" s="106">
        <f t="shared" si="0"/>
        <v>0.75772269125660663</v>
      </c>
      <c r="D20" s="107">
        <v>0</v>
      </c>
      <c r="E20" s="107">
        <f t="shared" si="6"/>
        <v>1</v>
      </c>
      <c r="F20" s="106" t="s">
        <v>358</v>
      </c>
      <c r="G20" s="106">
        <f>VLOOKUP(B20,'Internal Finishes Offices'!$B$78:$I$106,4,FALSE)</f>
        <v>1625.3639999999998</v>
      </c>
      <c r="H20" s="106">
        <f t="shared" si="3"/>
        <v>303.36</v>
      </c>
      <c r="I20" s="110">
        <f>VLOOKUP(B20,'Internal Finishes Offices'!$B$78:$I$106,5,FALSE)</f>
        <v>493070.42303999997</v>
      </c>
      <c r="J20" s="109">
        <f t="shared" si="4"/>
        <v>0</v>
      </c>
      <c r="K20" s="110">
        <f t="shared" si="5"/>
        <v>493070.42303999997</v>
      </c>
      <c r="N20" s="99">
        <f t="shared" si="1"/>
        <v>246535.21151999998</v>
      </c>
    </row>
    <row r="21" spans="1:14" ht="20.100000000000001" customHeight="1">
      <c r="A21" s="1033"/>
      <c r="B21" s="105" t="s">
        <v>373</v>
      </c>
      <c r="C21" s="106">
        <f t="shared" si="0"/>
        <v>6.855104713679544E-2</v>
      </c>
      <c r="D21" s="107">
        <v>0</v>
      </c>
      <c r="E21" s="107">
        <f t="shared" si="6"/>
        <v>1</v>
      </c>
      <c r="F21" s="106" t="s">
        <v>327</v>
      </c>
      <c r="G21" s="106">
        <f>VLOOKUP(B21,'Internal Finishes Offices'!$B$78:$I$106,4,FALSE)</f>
        <v>446.08</v>
      </c>
      <c r="H21" s="106">
        <f t="shared" si="3"/>
        <v>100</v>
      </c>
      <c r="I21" s="110">
        <f>VLOOKUP(B21,'Internal Finishes Offices'!$B$78:$I$106,5,FALSE)</f>
        <v>44608</v>
      </c>
      <c r="J21" s="109">
        <f t="shared" si="4"/>
        <v>0</v>
      </c>
      <c r="K21" s="110">
        <f t="shared" si="5"/>
        <v>44608</v>
      </c>
      <c r="N21" s="99">
        <f t="shared" si="1"/>
        <v>22304</v>
      </c>
    </row>
    <row r="22" spans="1:14" ht="20.100000000000001" customHeight="1">
      <c r="A22" s="1033"/>
      <c r="B22" s="105" t="s">
        <v>374</v>
      </c>
      <c r="C22" s="106">
        <f t="shared" si="0"/>
        <v>0</v>
      </c>
      <c r="D22" s="107">
        <v>0</v>
      </c>
      <c r="E22" s="107">
        <f t="shared" si="6"/>
        <v>1</v>
      </c>
      <c r="F22" s="106" t="s">
        <v>327</v>
      </c>
      <c r="G22" s="106">
        <f>VLOOKUP(B22,'Internal Finishes Offices'!$B$78:$I$106,4,FALSE)</f>
        <v>0</v>
      </c>
      <c r="H22" s="106"/>
      <c r="I22" s="110">
        <f>VLOOKUP(B22,'Internal Finishes Offices'!$B$78:$I$106,5,FALSE)</f>
        <v>0</v>
      </c>
      <c r="J22" s="109">
        <f t="shared" si="4"/>
        <v>0</v>
      </c>
      <c r="K22" s="110">
        <f t="shared" si="5"/>
        <v>0</v>
      </c>
      <c r="N22" s="99">
        <f t="shared" si="1"/>
        <v>0</v>
      </c>
    </row>
    <row r="23" spans="1:14" ht="20.100000000000001" customHeight="1">
      <c r="A23" s="1033"/>
      <c r="B23" s="105" t="s">
        <v>375</v>
      </c>
      <c r="C23" s="106">
        <f t="shared" si="0"/>
        <v>0.23025775469906942</v>
      </c>
      <c r="D23" s="107">
        <v>0</v>
      </c>
      <c r="E23" s="107">
        <f t="shared" si="6"/>
        <v>1</v>
      </c>
      <c r="F23" s="106" t="s">
        <v>327</v>
      </c>
      <c r="G23" s="106">
        <f>VLOOKUP(B23,'Internal Finishes Offices'!$B$78:$I$106,4,FALSE)</f>
        <v>1560.78</v>
      </c>
      <c r="H23" s="106">
        <f t="shared" si="3"/>
        <v>96</v>
      </c>
      <c r="I23" s="110">
        <f>VLOOKUP(B23,'Internal Finishes Offices'!$B$78:$I$106,5,FALSE)</f>
        <v>149834.88</v>
      </c>
      <c r="J23" s="109">
        <f t="shared" si="4"/>
        <v>0</v>
      </c>
      <c r="K23" s="110">
        <f t="shared" si="5"/>
        <v>149834.88</v>
      </c>
      <c r="N23" s="99">
        <f t="shared" si="1"/>
        <v>74917.440000000002</v>
      </c>
    </row>
    <row r="24" spans="1:14" ht="20.100000000000001" customHeight="1">
      <c r="A24" s="1033"/>
      <c r="B24" s="105" t="s">
        <v>376</v>
      </c>
      <c r="C24" s="106">
        <f t="shared" si="0"/>
        <v>0.1519701181013858</v>
      </c>
      <c r="D24" s="107">
        <v>0</v>
      </c>
      <c r="E24" s="107">
        <f t="shared" si="6"/>
        <v>1</v>
      </c>
      <c r="F24" s="106" t="s">
        <v>327</v>
      </c>
      <c r="G24" s="106">
        <f>VLOOKUP(B24,'Internal Finishes Offices'!$B$78:$I$106,4,FALSE)</f>
        <v>1560.78</v>
      </c>
      <c r="H24" s="106">
        <f t="shared" si="3"/>
        <v>63.36</v>
      </c>
      <c r="I24" s="110">
        <f>VLOOKUP(B24,'Internal Finishes Offices'!$B$78:$I$106,5,FALSE)</f>
        <v>98891.020799999998</v>
      </c>
      <c r="J24" s="109">
        <f t="shared" si="4"/>
        <v>0</v>
      </c>
      <c r="K24" s="110">
        <f t="shared" si="5"/>
        <v>98891.020799999998</v>
      </c>
      <c r="N24" s="99">
        <f t="shared" si="1"/>
        <v>49445.510399999999</v>
      </c>
    </row>
    <row r="25" spans="1:14" ht="20.100000000000001" customHeight="1">
      <c r="A25" s="1033"/>
      <c r="B25" s="113" t="s">
        <v>377</v>
      </c>
      <c r="C25" s="106"/>
      <c r="D25" s="107"/>
      <c r="E25" s="107"/>
      <c r="F25" s="106"/>
      <c r="G25" s="106"/>
      <c r="H25" s="106"/>
      <c r="I25" s="110"/>
      <c r="J25" s="109"/>
      <c r="K25" s="110"/>
      <c r="N25" s="99">
        <f t="shared" si="1"/>
        <v>0</v>
      </c>
    </row>
    <row r="26" spans="1:14" ht="20.100000000000001" customHeight="1">
      <c r="A26" s="1033"/>
      <c r="B26" s="105" t="s">
        <v>378</v>
      </c>
      <c r="C26" s="106">
        <f t="shared" si="0"/>
        <v>0.71844124763311712</v>
      </c>
      <c r="D26" s="107">
        <v>0</v>
      </c>
      <c r="E26" s="107">
        <f t="shared" ref="E26:E29" si="7">+(1-D26)</f>
        <v>1</v>
      </c>
      <c r="F26" s="106" t="s">
        <v>327</v>
      </c>
      <c r="G26" s="106">
        <f>VLOOKUP(B26,'Internal Finishes Offices'!$B$78:$I$106,4,FALSE)</f>
        <v>220.96501349869547</v>
      </c>
      <c r="H26" s="106">
        <f t="shared" si="3"/>
        <v>2115.7600000000002</v>
      </c>
      <c r="I26" s="110">
        <f>VLOOKUP(B26,'Internal Finishes Offices'!$B$78:$I$106,5,FALSE)</f>
        <v>467508.93695999996</v>
      </c>
      <c r="J26" s="109">
        <f t="shared" si="4"/>
        <v>0</v>
      </c>
      <c r="K26" s="110">
        <f t="shared" si="5"/>
        <v>467508.93695999996</v>
      </c>
      <c r="L26" s="99">
        <f>SUM(I26:I29)+SUM('Cost Sheet Tower'!I61:I64)</f>
        <v>26093412.035027999</v>
      </c>
      <c r="N26" s="99">
        <f t="shared" si="1"/>
        <v>233754.46847999998</v>
      </c>
    </row>
    <row r="27" spans="1:14" ht="20.100000000000001" customHeight="1">
      <c r="A27" s="1033"/>
      <c r="B27" s="105" t="s">
        <v>379</v>
      </c>
      <c r="C27" s="106">
        <f t="shared" si="0"/>
        <v>0.43513528222041242</v>
      </c>
      <c r="D27" s="107">
        <v>0</v>
      </c>
      <c r="E27" s="107">
        <f t="shared" si="7"/>
        <v>1</v>
      </c>
      <c r="F27" s="106" t="s">
        <v>327</v>
      </c>
      <c r="G27" s="106">
        <f>VLOOKUP(B27,'Internal Finishes Offices'!$B$78:$I$106,4,FALSE)</f>
        <v>215.84504763995608</v>
      </c>
      <c r="H27" s="106">
        <f t="shared" si="3"/>
        <v>1311.8400000000001</v>
      </c>
      <c r="I27" s="110">
        <f>VLOOKUP(B27,'Internal Finishes Offices'!$B$78:$I$106,5,FALSE)</f>
        <v>283154.167296</v>
      </c>
      <c r="J27" s="109">
        <f t="shared" si="4"/>
        <v>0</v>
      </c>
      <c r="K27" s="110">
        <f t="shared" si="5"/>
        <v>283154.167296</v>
      </c>
      <c r="N27" s="99">
        <f t="shared" si="1"/>
        <v>141577.083648</v>
      </c>
    </row>
    <row r="28" spans="1:14" ht="20.100000000000001" customHeight="1">
      <c r="A28" s="1033"/>
      <c r="B28" s="105" t="s">
        <v>380</v>
      </c>
      <c r="C28" s="106">
        <f t="shared" si="0"/>
        <v>0.31086940663469842</v>
      </c>
      <c r="D28" s="107">
        <v>0</v>
      </c>
      <c r="E28" s="107">
        <f t="shared" si="7"/>
        <v>1</v>
      </c>
      <c r="F28" s="106" t="s">
        <v>327</v>
      </c>
      <c r="G28" s="106">
        <f>VLOOKUP(B28,'Internal Finishes Offices'!$B$78:$I$106,4,FALSE)</f>
        <v>179.18733935670403</v>
      </c>
      <c r="H28" s="106">
        <f t="shared" si="3"/>
        <v>1128.9359999999999</v>
      </c>
      <c r="I28" s="110">
        <f>VLOOKUP(B28,'Internal Finishes Offices'!$B$78:$I$106,5,FALSE)</f>
        <v>202291.03814399999</v>
      </c>
      <c r="J28" s="109">
        <f t="shared" si="4"/>
        <v>0</v>
      </c>
      <c r="K28" s="110">
        <f t="shared" si="5"/>
        <v>202291.03814399999</v>
      </c>
      <c r="N28" s="99">
        <f t="shared" si="1"/>
        <v>101145.519072</v>
      </c>
    </row>
    <row r="29" spans="1:14" ht="20.100000000000001" customHeight="1">
      <c r="A29" s="1033"/>
      <c r="B29" s="105" t="s">
        <v>381</v>
      </c>
      <c r="C29" s="106">
        <f t="shared" si="0"/>
        <v>3.5491453913960011E-2</v>
      </c>
      <c r="D29" s="107">
        <v>0</v>
      </c>
      <c r="E29" s="107">
        <f t="shared" si="7"/>
        <v>1</v>
      </c>
      <c r="F29" s="106" t="s">
        <v>327</v>
      </c>
      <c r="G29" s="106">
        <f>VLOOKUP(B29,'Internal Finishes Offices'!$B$78:$I$106,4,FALSE)</f>
        <v>193.75199999999998</v>
      </c>
      <c r="H29" s="106">
        <f t="shared" si="3"/>
        <v>119.2</v>
      </c>
      <c r="I29" s="110">
        <f>VLOOKUP(B29,'Internal Finishes Offices'!$B$78:$I$106,5,FALSE)</f>
        <v>23095.238399999998</v>
      </c>
      <c r="J29" s="109">
        <f t="shared" si="4"/>
        <v>0</v>
      </c>
      <c r="K29" s="110">
        <f t="shared" si="5"/>
        <v>23095.238399999998</v>
      </c>
      <c r="N29" s="99">
        <f t="shared" si="1"/>
        <v>11547.619199999999</v>
      </c>
    </row>
    <row r="30" spans="1:14" ht="20.100000000000001" customHeight="1">
      <c r="A30" s="1033"/>
      <c r="B30" s="113" t="s">
        <v>385</v>
      </c>
      <c r="C30" s="106"/>
      <c r="D30" s="107"/>
      <c r="E30" s="107"/>
      <c r="F30" s="106"/>
      <c r="G30" s="106"/>
      <c r="H30" s="106"/>
      <c r="I30" s="110"/>
      <c r="J30" s="109"/>
      <c r="K30" s="110"/>
      <c r="N30" s="99">
        <f t="shared" si="1"/>
        <v>0</v>
      </c>
    </row>
    <row r="31" spans="1:14" ht="20.100000000000001" customHeight="1">
      <c r="A31" s="1033"/>
      <c r="B31" s="113" t="s">
        <v>386</v>
      </c>
      <c r="C31" s="106"/>
      <c r="D31" s="107"/>
      <c r="E31" s="107"/>
      <c r="F31" s="106"/>
      <c r="G31" s="106"/>
      <c r="H31" s="106"/>
      <c r="I31" s="110"/>
      <c r="J31" s="109"/>
      <c r="K31" s="110"/>
      <c r="N31" s="99">
        <f t="shared" si="1"/>
        <v>0</v>
      </c>
    </row>
    <row r="32" spans="1:14" ht="20.100000000000001" customHeight="1">
      <c r="A32" s="1033"/>
      <c r="B32" s="105" t="s">
        <v>387</v>
      </c>
      <c r="C32" s="106">
        <f t="shared" si="0"/>
        <v>1.4752736112653251</v>
      </c>
      <c r="D32" s="107">
        <v>0</v>
      </c>
      <c r="E32" s="107">
        <f t="shared" ref="E32:E34" si="8">+(1-D32)</f>
        <v>1</v>
      </c>
      <c r="F32" s="114" t="s">
        <v>324</v>
      </c>
      <c r="G32" s="451">
        <v>32</v>
      </c>
      <c r="H32" s="114">
        <f>VLOOKUP(B32,Doors!$D$146:$H$149,4,FALSE)</f>
        <v>30000</v>
      </c>
      <c r="I32" s="110">
        <f>G32*H32</f>
        <v>960000</v>
      </c>
      <c r="J32" s="109">
        <f t="shared" si="4"/>
        <v>0</v>
      </c>
      <c r="K32" s="110">
        <f t="shared" si="5"/>
        <v>960000</v>
      </c>
      <c r="L32" s="99">
        <f>SUM(I32:I34)+SUM('Cost Sheet Tower'!I70:I73)</f>
        <v>44325500</v>
      </c>
      <c r="N32" s="99">
        <f t="shared" si="1"/>
        <v>480000</v>
      </c>
    </row>
    <row r="33" spans="1:14" ht="20.100000000000001" customHeight="1">
      <c r="A33" s="1033"/>
      <c r="B33" s="105" t="s">
        <v>388</v>
      </c>
      <c r="C33" s="106">
        <f t="shared" si="0"/>
        <v>0.88516416675919507</v>
      </c>
      <c r="D33" s="107">
        <v>0</v>
      </c>
      <c r="E33" s="107">
        <f t="shared" si="8"/>
        <v>1</v>
      </c>
      <c r="F33" s="114" t="s">
        <v>324</v>
      </c>
      <c r="G33" s="451">
        <v>32</v>
      </c>
      <c r="H33" s="114">
        <f>VLOOKUP(B33,Doors!$D$146:$H$149,4,FALSE)</f>
        <v>18000</v>
      </c>
      <c r="I33" s="110">
        <f t="shared" ref="I33:I34" si="9">G33*H33</f>
        <v>576000</v>
      </c>
      <c r="J33" s="109">
        <f t="shared" si="4"/>
        <v>0</v>
      </c>
      <c r="K33" s="110">
        <f t="shared" si="5"/>
        <v>576000</v>
      </c>
      <c r="N33" s="99">
        <f t="shared" si="1"/>
        <v>288000</v>
      </c>
    </row>
    <row r="34" spans="1:14" ht="20.100000000000001" customHeight="1">
      <c r="A34" s="1033"/>
      <c r="B34" s="105" t="s">
        <v>389</v>
      </c>
      <c r="C34" s="106">
        <f t="shared" si="0"/>
        <v>0.5163457639428638</v>
      </c>
      <c r="D34" s="107">
        <v>0</v>
      </c>
      <c r="E34" s="107">
        <f t="shared" si="8"/>
        <v>1</v>
      </c>
      <c r="F34" s="114" t="s">
        <v>324</v>
      </c>
      <c r="G34" s="451">
        <v>32</v>
      </c>
      <c r="H34" s="114">
        <f>VLOOKUP(B34,Doors!$D$146:$H$149,4,FALSE)</f>
        <v>10500</v>
      </c>
      <c r="I34" s="110">
        <f t="shared" si="9"/>
        <v>336000</v>
      </c>
      <c r="J34" s="109">
        <f t="shared" si="4"/>
        <v>0</v>
      </c>
      <c r="K34" s="110">
        <f t="shared" si="5"/>
        <v>336000</v>
      </c>
      <c r="N34" s="99">
        <f t="shared" si="1"/>
        <v>168000</v>
      </c>
    </row>
    <row r="35" spans="1:14" ht="20.100000000000001" customHeight="1">
      <c r="A35" s="1033"/>
      <c r="B35" s="113" t="s">
        <v>391</v>
      </c>
      <c r="C35" s="106"/>
      <c r="D35" s="107"/>
      <c r="E35" s="107"/>
      <c r="F35" s="106"/>
      <c r="G35" s="108"/>
      <c r="H35" s="108"/>
      <c r="I35" s="110"/>
      <c r="J35" s="109"/>
      <c r="K35" s="110"/>
      <c r="N35" s="99">
        <f t="shared" si="1"/>
        <v>0</v>
      </c>
    </row>
    <row r="36" spans="1:14" ht="20.100000000000001" customHeight="1">
      <c r="A36" s="1033"/>
      <c r="B36" s="105" t="s">
        <v>395</v>
      </c>
      <c r="C36" s="106">
        <f t="shared" si="0"/>
        <v>0.26201744500238933</v>
      </c>
      <c r="D36" s="107">
        <v>0</v>
      </c>
      <c r="E36" s="107">
        <f t="shared" ref="E36" si="10">+(1-D36)</f>
        <v>1</v>
      </c>
      <c r="F36" s="106" t="s">
        <v>327</v>
      </c>
      <c r="G36" s="106">
        <f>'D&amp;W Schedule'!E19*32*2</f>
        <v>28.799999999999997</v>
      </c>
      <c r="H36" s="106">
        <f>'D&amp;W Schedule'!F19</f>
        <v>5920.2</v>
      </c>
      <c r="I36" s="110">
        <f>G36*H36</f>
        <v>170501.75999999998</v>
      </c>
      <c r="J36" s="109">
        <f t="shared" si="4"/>
        <v>0</v>
      </c>
      <c r="K36" s="110">
        <f t="shared" ref="K36:K48" si="11">+E36*I36</f>
        <v>170501.75999999998</v>
      </c>
      <c r="L36" s="99">
        <f>SUM(I36:I38)+SUM('Cost Sheet Tower'!I75:I86)</f>
        <v>94814945.320099995</v>
      </c>
      <c r="N36" s="99">
        <f t="shared" si="1"/>
        <v>85250.87999999999</v>
      </c>
    </row>
    <row r="37" spans="1:14" ht="20.100000000000001" customHeight="1">
      <c r="A37" s="1033"/>
      <c r="B37" s="105" t="s">
        <v>404</v>
      </c>
      <c r="C37" s="106">
        <f t="shared" si="0"/>
        <v>0.16984530031775436</v>
      </c>
      <c r="D37" s="107">
        <v>0</v>
      </c>
      <c r="E37" s="107">
        <f>+(1-D37)</f>
        <v>1</v>
      </c>
      <c r="F37" s="106" t="s">
        <v>327</v>
      </c>
      <c r="G37" s="106">
        <f>VLOOKUP(B37,'Internal Finishes Offices'!$B$78:$I$106,4,FALSE)</f>
        <v>1967.9999999999998</v>
      </c>
      <c r="H37" s="106">
        <f>I37/G37</f>
        <v>56.160000000000011</v>
      </c>
      <c r="I37" s="110">
        <f>VLOOKUP(B37,'Internal Finishes Offices'!$B$78:$I$106,5,FALSE)</f>
        <v>110522.88</v>
      </c>
      <c r="J37" s="109">
        <f t="shared" ref="J37:J48" si="12">+I37*D37</f>
        <v>0</v>
      </c>
      <c r="K37" s="110">
        <f t="shared" si="11"/>
        <v>110522.88</v>
      </c>
      <c r="N37" s="99">
        <f t="shared" si="1"/>
        <v>55261.440000000002</v>
      </c>
    </row>
    <row r="38" spans="1:14" ht="20.100000000000001" customHeight="1">
      <c r="A38" s="1033"/>
      <c r="B38" s="105" t="s">
        <v>446</v>
      </c>
      <c r="C38" s="106">
        <f t="shared" ref="C38" si="13">I38/$G$3</f>
        <v>50.777207592087798</v>
      </c>
      <c r="D38" s="107">
        <v>0</v>
      </c>
      <c r="E38" s="107">
        <f>+(1-D38)</f>
        <v>1</v>
      </c>
      <c r="F38" s="106" t="s">
        <v>327</v>
      </c>
      <c r="G38" s="106">
        <f>'D&amp;W Schedule'!E33</f>
        <v>4722.5920000000015</v>
      </c>
      <c r="H38" s="106">
        <f>I38/G38</f>
        <v>6996.5999999999995</v>
      </c>
      <c r="I38" s="110">
        <f>'D&amp;W Schedule'!G33</f>
        <v>33042087.187200006</v>
      </c>
      <c r="J38" s="109">
        <f t="shared" ref="J38" si="14">+I38*D38</f>
        <v>0</v>
      </c>
      <c r="K38" s="110">
        <f t="shared" ref="K38" si="15">+E38*I38</f>
        <v>33042087.187200006</v>
      </c>
      <c r="N38" s="99">
        <f t="shared" si="1"/>
        <v>16521043.593600003</v>
      </c>
    </row>
    <row r="39" spans="1:14" ht="20.100000000000001" customHeight="1">
      <c r="A39" s="1033"/>
      <c r="B39" s="113" t="s">
        <v>405</v>
      </c>
      <c r="C39" s="106"/>
      <c r="D39" s="107"/>
      <c r="E39" s="107"/>
      <c r="F39" s="106"/>
      <c r="G39" s="108"/>
      <c r="H39" s="109"/>
      <c r="I39" s="110"/>
      <c r="J39" s="109">
        <f t="shared" si="12"/>
        <v>0</v>
      </c>
      <c r="K39" s="110">
        <f t="shared" si="11"/>
        <v>0</v>
      </c>
      <c r="N39" s="99">
        <f t="shared" si="1"/>
        <v>0</v>
      </c>
    </row>
    <row r="40" spans="1:14" ht="20.100000000000001" customHeight="1">
      <c r="A40" s="1033"/>
      <c r="B40" s="105" t="s">
        <v>408</v>
      </c>
      <c r="C40" s="106">
        <f t="shared" ref="C40:C48" si="16">I40/$G$3</f>
        <v>0.17418097603280758</v>
      </c>
      <c r="D40" s="107">
        <v>0</v>
      </c>
      <c r="E40" s="107">
        <f t="shared" ref="E40:E48" si="17">+(1-D40)</f>
        <v>1</v>
      </c>
      <c r="F40" s="106" t="s">
        <v>327</v>
      </c>
      <c r="G40" s="106">
        <f>VLOOKUP(B40,'Internal Finishes Offices'!$B$78:$I$106,4,FALSE)</f>
        <v>655.92719999999997</v>
      </c>
      <c r="H40" s="106">
        <f>I40/G40</f>
        <v>172.8</v>
      </c>
      <c r="I40" s="110">
        <f>VLOOKUP(B40,'Internal Finishes Offices'!$B$78:$I$106,5,FALSE)</f>
        <v>113344.22016</v>
      </c>
      <c r="J40" s="109">
        <f t="shared" si="12"/>
        <v>0</v>
      </c>
      <c r="K40" s="110">
        <f t="shared" si="11"/>
        <v>113344.22016</v>
      </c>
      <c r="N40" s="99">
        <f t="shared" si="1"/>
        <v>56672.110079999999</v>
      </c>
    </row>
    <row r="41" spans="1:14" ht="20.100000000000001" customHeight="1">
      <c r="A41" s="1033"/>
      <c r="B41" s="105" t="s">
        <v>409</v>
      </c>
      <c r="C41" s="106">
        <f t="shared" si="16"/>
        <v>0.10596541004927684</v>
      </c>
      <c r="D41" s="107">
        <v>0</v>
      </c>
      <c r="E41" s="107">
        <f t="shared" si="17"/>
        <v>1</v>
      </c>
      <c r="F41" s="106" t="s">
        <v>358</v>
      </c>
      <c r="G41" s="106">
        <f>VLOOKUP(B41,'Internal Finishes Offices'!$B$78:$I$106,4,FALSE)</f>
        <v>399.04240000000004</v>
      </c>
      <c r="H41" s="106">
        <f t="shared" ref="H41:H48" si="18">I41/G41</f>
        <v>172.8</v>
      </c>
      <c r="I41" s="110">
        <f>VLOOKUP(B41,'Internal Finishes Offices'!$B$78:$I$106,5,FALSE)</f>
        <v>68954.526720000009</v>
      </c>
      <c r="J41" s="109">
        <f t="shared" si="12"/>
        <v>0</v>
      </c>
      <c r="K41" s="110">
        <f t="shared" si="11"/>
        <v>68954.526720000009</v>
      </c>
      <c r="N41" s="99">
        <f t="shared" si="1"/>
        <v>34477.263360000004</v>
      </c>
    </row>
    <row r="42" spans="1:14" ht="20.100000000000001" customHeight="1">
      <c r="A42" s="1033"/>
      <c r="B42" s="105" t="s">
        <v>411</v>
      </c>
      <c r="C42" s="106">
        <f t="shared" si="16"/>
        <v>0.53941892520116463</v>
      </c>
      <c r="D42" s="107">
        <v>0</v>
      </c>
      <c r="E42" s="107">
        <f t="shared" si="17"/>
        <v>1</v>
      </c>
      <c r="F42" s="106" t="s">
        <v>358</v>
      </c>
      <c r="G42" s="106">
        <f>VLOOKUP(B42,'Internal Finishes Offices'!$B$78:$I$106,4,FALSE)</f>
        <v>7312.7984000000006</v>
      </c>
      <c r="H42" s="106">
        <f t="shared" si="18"/>
        <v>48</v>
      </c>
      <c r="I42" s="110">
        <f>VLOOKUP(B42,'Internal Finishes Offices'!$B$78:$I$106,5,FALSE)</f>
        <v>351014.32320000004</v>
      </c>
      <c r="J42" s="109">
        <f t="shared" si="12"/>
        <v>0</v>
      </c>
      <c r="K42" s="110">
        <f t="shared" si="11"/>
        <v>351014.32320000004</v>
      </c>
      <c r="N42" s="99">
        <f t="shared" si="1"/>
        <v>175507.16160000002</v>
      </c>
    </row>
    <row r="43" spans="1:14" ht="20.100000000000001" customHeight="1">
      <c r="A43" s="1033"/>
      <c r="B43" s="105" t="s">
        <v>407</v>
      </c>
      <c r="C43" s="106">
        <f t="shared" si="16"/>
        <v>0.36771539384703816</v>
      </c>
      <c r="D43" s="107">
        <v>0</v>
      </c>
      <c r="E43" s="107">
        <f t="shared" si="17"/>
        <v>1</v>
      </c>
      <c r="F43" s="106" t="s">
        <v>358</v>
      </c>
      <c r="G43" s="106">
        <f>VLOOKUP(B43,'Internal Finishes Offices'!$B$78:$I$106,4,FALSE)</f>
        <v>655.92719999999997</v>
      </c>
      <c r="H43" s="106">
        <f t="shared" si="18"/>
        <v>364.8</v>
      </c>
      <c r="I43" s="110">
        <f>VLOOKUP(B43,'Internal Finishes Offices'!$B$78:$I$106,5,FALSE)</f>
        <v>239282.24255999998</v>
      </c>
      <c r="J43" s="109">
        <f t="shared" si="12"/>
        <v>0</v>
      </c>
      <c r="K43" s="110">
        <f t="shared" si="11"/>
        <v>239282.24255999998</v>
      </c>
      <c r="N43" s="99">
        <f t="shared" si="1"/>
        <v>119641.12127999999</v>
      </c>
    </row>
    <row r="44" spans="1:14" ht="20.100000000000001" customHeight="1">
      <c r="A44" s="1033"/>
      <c r="B44" s="105" t="s">
        <v>406</v>
      </c>
      <c r="C44" s="106">
        <f t="shared" si="16"/>
        <v>6.3031486969563844E-2</v>
      </c>
      <c r="D44" s="107">
        <v>0</v>
      </c>
      <c r="E44" s="107">
        <f t="shared" si="17"/>
        <v>1</v>
      </c>
      <c r="F44" s="106" t="s">
        <v>327</v>
      </c>
      <c r="G44" s="106">
        <f>VLOOKUP(B44,'Internal Finishes Offices'!$B$78:$I$106,4,FALSE)</f>
        <v>6329.6720000000005</v>
      </c>
      <c r="H44" s="106">
        <f t="shared" si="18"/>
        <v>6.48</v>
      </c>
      <c r="I44" s="110">
        <f>VLOOKUP(B44,'Internal Finishes Offices'!$B$78:$I$106,5,FALSE)</f>
        <v>41016.274560000005</v>
      </c>
      <c r="J44" s="109">
        <f t="shared" si="12"/>
        <v>0</v>
      </c>
      <c r="K44" s="110">
        <f t="shared" si="11"/>
        <v>41016.274560000005</v>
      </c>
      <c r="N44" s="99">
        <f t="shared" si="1"/>
        <v>20508.137280000003</v>
      </c>
    </row>
    <row r="45" spans="1:14" ht="20.100000000000001" customHeight="1">
      <c r="A45" s="1033"/>
      <c r="B45" s="105" t="s">
        <v>412</v>
      </c>
      <c r="C45" s="106">
        <f t="shared" si="16"/>
        <v>0.21704068006416929</v>
      </c>
      <c r="D45" s="107">
        <v>0</v>
      </c>
      <c r="E45" s="107">
        <f t="shared" si="17"/>
        <v>1</v>
      </c>
      <c r="F45" s="106" t="s">
        <v>327</v>
      </c>
      <c r="G45" s="106">
        <f>VLOOKUP(B45,'Internal Finishes Offices'!$B$78:$I$106,4,FALSE)</f>
        <v>3043.84</v>
      </c>
      <c r="H45" s="106">
        <f t="shared" si="18"/>
        <v>46.4</v>
      </c>
      <c r="I45" s="110">
        <f>VLOOKUP(B45,'Internal Finishes Offices'!$B$78:$I$106,5,FALSE)</f>
        <v>141234.17600000001</v>
      </c>
      <c r="J45" s="109">
        <f t="shared" si="12"/>
        <v>0</v>
      </c>
      <c r="K45" s="110">
        <f t="shared" si="11"/>
        <v>141234.17600000001</v>
      </c>
      <c r="N45" s="99">
        <f t="shared" si="1"/>
        <v>70617.088000000003</v>
      </c>
    </row>
    <row r="46" spans="1:14" ht="20.100000000000001" customHeight="1">
      <c r="A46" s="1033"/>
      <c r="B46" s="113" t="s">
        <v>414</v>
      </c>
      <c r="C46" s="106"/>
      <c r="D46" s="107"/>
      <c r="E46" s="107"/>
      <c r="F46" s="106"/>
      <c r="G46" s="108"/>
      <c r="H46" s="106"/>
      <c r="I46" s="110"/>
      <c r="J46" s="109">
        <f t="shared" si="12"/>
        <v>0</v>
      </c>
      <c r="K46" s="110">
        <f t="shared" si="11"/>
        <v>0</v>
      </c>
      <c r="N46" s="99">
        <f t="shared" si="1"/>
        <v>0</v>
      </c>
    </row>
    <row r="47" spans="1:14" ht="20.100000000000001" customHeight="1">
      <c r="A47" s="1033"/>
      <c r="B47" s="105" t="s">
        <v>415</v>
      </c>
      <c r="C47" s="106">
        <f t="shared" ref="C47" si="19">I47/$G$3</f>
        <v>0</v>
      </c>
      <c r="D47" s="107">
        <v>0</v>
      </c>
      <c r="E47" s="107">
        <f t="shared" ref="E47" si="20">+(1-D47)</f>
        <v>1</v>
      </c>
      <c r="F47" s="106" t="s">
        <v>327</v>
      </c>
      <c r="G47" s="106"/>
      <c r="H47" s="106"/>
      <c r="I47" s="110"/>
      <c r="J47" s="109">
        <f t="shared" si="12"/>
        <v>0</v>
      </c>
      <c r="K47" s="110">
        <f t="shared" si="11"/>
        <v>0</v>
      </c>
      <c r="N47" s="99">
        <f t="shared" si="1"/>
        <v>0</v>
      </c>
    </row>
    <row r="48" spans="1:14" ht="20.100000000000001" customHeight="1">
      <c r="A48" s="1033"/>
      <c r="B48" s="115" t="s">
        <v>416</v>
      </c>
      <c r="C48" s="116">
        <f t="shared" si="16"/>
        <v>0.26686476773493356</v>
      </c>
      <c r="D48" s="117">
        <v>0</v>
      </c>
      <c r="E48" s="117">
        <f t="shared" si="17"/>
        <v>1</v>
      </c>
      <c r="F48" s="116" t="s">
        <v>327</v>
      </c>
      <c r="G48" s="106">
        <f>VLOOKUP(B48,'Internal Finishes Offices'!$B$78:$I$106,4,FALSE)</f>
        <v>1598.454</v>
      </c>
      <c r="H48" s="106">
        <f t="shared" si="18"/>
        <v>108.64</v>
      </c>
      <c r="I48" s="110">
        <f>VLOOKUP(B48,'Internal Finishes Offices'!$B$78:$I$106,5,FALSE)</f>
        <v>173656.04256</v>
      </c>
      <c r="J48" s="824">
        <f t="shared" si="12"/>
        <v>0</v>
      </c>
      <c r="K48" s="118">
        <f t="shared" si="11"/>
        <v>173656.04256</v>
      </c>
      <c r="N48" s="99">
        <f t="shared" si="1"/>
        <v>86828.021280000001</v>
      </c>
    </row>
    <row r="49" spans="1:11" ht="20.100000000000001" customHeight="1">
      <c r="A49" s="930"/>
      <c r="B49" s="931" t="s">
        <v>442</v>
      </c>
      <c r="C49" s="932">
        <f>SUM(C5:C48)</f>
        <v>64.701148386016527</v>
      </c>
      <c r="D49" s="930">
        <f>SUMPRODUCT(D5:D48,I5:I48)/I49</f>
        <v>0</v>
      </c>
      <c r="E49" s="930">
        <f>1-D49</f>
        <v>1</v>
      </c>
      <c r="F49" s="930"/>
      <c r="G49" s="933"/>
      <c r="H49" s="934"/>
      <c r="I49" s="935">
        <f>SUM(I5:I48)</f>
        <v>42102767.90439041</v>
      </c>
      <c r="J49" s="934">
        <f>I49-K49</f>
        <v>0</v>
      </c>
      <c r="K49" s="935">
        <f>+E49*I49</f>
        <v>42102767.90439041</v>
      </c>
    </row>
    <row r="50" spans="1:11">
      <c r="I50" s="128">
        <f>I49/10^7</f>
        <v>4.2102767904390408</v>
      </c>
    </row>
  </sheetData>
  <mergeCells count="3">
    <mergeCell ref="A2:K2"/>
    <mergeCell ref="A5:A11"/>
    <mergeCell ref="A12:A48"/>
  </mergeCells>
  <pageMargins left="0.7" right="0.7" top="0.75" bottom="0.75" header="0.3" footer="0.3"/>
  <pageSetup orientation="portrait" horizontalDpi="4294967293" vertic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12960-0842-4D01-B3E9-852BB0A4C448}">
  <dimension ref="A1:AD48"/>
  <sheetViews>
    <sheetView zoomScale="90" zoomScaleNormal="90" workbookViewId="0">
      <pane xSplit="3" ySplit="2" topLeftCell="E6" activePane="bottomRight" state="frozen"/>
      <selection pane="topRight" activeCell="O67" sqref="O67"/>
      <selection pane="bottomLeft" activeCell="O67" sqref="O67"/>
      <selection pane="bottomRight" activeCell="L11" sqref="L11:L13"/>
    </sheetView>
  </sheetViews>
  <sheetFormatPr defaultColWidth="8.88671875" defaultRowHeight="13.2"/>
  <cols>
    <col min="1" max="1" width="8.88671875" style="210"/>
    <col min="2" max="2" width="17.5546875" style="210" bestFit="1" customWidth="1"/>
    <col min="3" max="3" width="8" style="215" bestFit="1" customWidth="1"/>
    <col min="4" max="16384" width="8.88671875" style="210"/>
  </cols>
  <sheetData>
    <row r="1" spans="1:29" ht="12.75" customHeight="1">
      <c r="A1" s="218" t="s">
        <v>447</v>
      </c>
      <c r="B1" s="218"/>
      <c r="C1" s="218"/>
      <c r="D1" s="218"/>
      <c r="E1" s="218"/>
      <c r="F1" s="218"/>
      <c r="G1" s="218"/>
      <c r="H1" s="218"/>
      <c r="I1" s="218"/>
      <c r="J1" s="218"/>
      <c r="K1" s="218"/>
      <c r="L1" s="218"/>
      <c r="M1" s="218"/>
      <c r="N1" s="218"/>
      <c r="O1" s="218"/>
      <c r="P1" s="218"/>
      <c r="Q1" s="218"/>
      <c r="R1" s="218"/>
      <c r="S1" s="218"/>
      <c r="T1" s="218"/>
      <c r="U1" s="218"/>
      <c r="V1" s="218"/>
      <c r="W1" s="218"/>
      <c r="X1" s="218"/>
      <c r="Y1" s="218"/>
      <c r="Z1" s="218"/>
      <c r="AA1" s="218"/>
      <c r="AB1" s="218"/>
      <c r="AC1" s="218"/>
    </row>
    <row r="2" spans="1:29" s="206" customFormat="1" ht="26.4">
      <c r="A2" s="204" t="s">
        <v>448</v>
      </c>
      <c r="B2" s="204" t="s">
        <v>449</v>
      </c>
      <c r="C2" s="205" t="s">
        <v>450</v>
      </c>
      <c r="D2" s="225" t="s">
        <v>451</v>
      </c>
      <c r="E2" s="225" t="s">
        <v>452</v>
      </c>
      <c r="F2" s="225" t="s">
        <v>453</v>
      </c>
      <c r="G2" s="225" t="s">
        <v>454</v>
      </c>
      <c r="H2" s="225" t="s">
        <v>455</v>
      </c>
      <c r="I2" s="225" t="s">
        <v>456</v>
      </c>
      <c r="J2" s="225" t="s">
        <v>457</v>
      </c>
      <c r="K2" s="225" t="s">
        <v>458</v>
      </c>
      <c r="L2" s="222" t="s">
        <v>459</v>
      </c>
      <c r="M2" s="222" t="s">
        <v>460</v>
      </c>
      <c r="N2" s="222" t="s">
        <v>461</v>
      </c>
      <c r="O2" s="222" t="s">
        <v>462</v>
      </c>
      <c r="P2" s="222" t="s">
        <v>463</v>
      </c>
      <c r="Q2" s="222" t="s">
        <v>464</v>
      </c>
      <c r="R2" s="222" t="s">
        <v>465</v>
      </c>
      <c r="S2" s="222" t="s">
        <v>466</v>
      </c>
      <c r="T2" s="222" t="s">
        <v>467</v>
      </c>
      <c r="U2" s="222" t="s">
        <v>468</v>
      </c>
      <c r="V2" s="222" t="s">
        <v>469</v>
      </c>
      <c r="W2" s="222" t="s">
        <v>470</v>
      </c>
      <c r="X2" s="222" t="s">
        <v>471</v>
      </c>
      <c r="Y2" s="222" t="s">
        <v>472</v>
      </c>
      <c r="Z2" s="222" t="s">
        <v>473</v>
      </c>
      <c r="AA2" s="219" t="s">
        <v>474</v>
      </c>
      <c r="AB2" s="219" t="s">
        <v>475</v>
      </c>
      <c r="AC2" s="219" t="s">
        <v>476</v>
      </c>
    </row>
    <row r="3" spans="1:29">
      <c r="A3" s="207">
        <v>1</v>
      </c>
      <c r="B3" s="211" t="s">
        <v>248</v>
      </c>
      <c r="C3" s="208">
        <v>4.4000000000000004</v>
      </c>
      <c r="D3" s="226"/>
      <c r="E3" s="226"/>
      <c r="F3" s="226"/>
      <c r="G3" s="226"/>
      <c r="H3" s="226"/>
      <c r="I3" s="226"/>
      <c r="J3" s="226"/>
      <c r="K3" s="226"/>
      <c r="L3" s="223"/>
      <c r="M3" s="223"/>
      <c r="N3" s="223"/>
      <c r="O3" s="223"/>
      <c r="P3" s="223"/>
      <c r="Q3" s="223"/>
      <c r="R3" s="223"/>
      <c r="S3" s="223"/>
      <c r="T3" s="223"/>
      <c r="U3" s="223"/>
      <c r="V3" s="223"/>
      <c r="W3" s="223"/>
      <c r="X3" s="223"/>
      <c r="Y3" s="223"/>
      <c r="Z3" s="223"/>
      <c r="AA3" s="220">
        <v>1</v>
      </c>
      <c r="AB3" s="220">
        <v>1</v>
      </c>
      <c r="AC3" s="220">
        <v>4</v>
      </c>
    </row>
    <row r="4" spans="1:29">
      <c r="A4" s="207">
        <f>A3+1</f>
        <v>2</v>
      </c>
      <c r="B4" s="211" t="s">
        <v>249</v>
      </c>
      <c r="C4" s="208">
        <v>4.2</v>
      </c>
      <c r="D4" s="226">
        <v>1</v>
      </c>
      <c r="E4" s="226">
        <v>1</v>
      </c>
      <c r="F4" s="226">
        <v>1</v>
      </c>
      <c r="G4" s="226">
        <v>1</v>
      </c>
      <c r="H4" s="226">
        <v>1</v>
      </c>
      <c r="I4" s="226">
        <v>1</v>
      </c>
      <c r="J4" s="226">
        <v>1</v>
      </c>
      <c r="K4" s="226">
        <v>1</v>
      </c>
      <c r="L4" s="223"/>
      <c r="M4" s="223"/>
      <c r="N4" s="223"/>
      <c r="O4" s="223"/>
      <c r="P4" s="223"/>
      <c r="Q4" s="223"/>
      <c r="R4" s="223"/>
      <c r="S4" s="223"/>
      <c r="T4" s="223"/>
      <c r="U4" s="223"/>
      <c r="V4" s="223"/>
      <c r="W4" s="223"/>
      <c r="X4" s="223"/>
      <c r="Y4" s="223"/>
      <c r="Z4" s="223"/>
      <c r="AA4" s="220">
        <v>1</v>
      </c>
      <c r="AB4" s="220">
        <v>1</v>
      </c>
      <c r="AC4" s="220">
        <v>8</v>
      </c>
    </row>
    <row r="5" spans="1:29">
      <c r="A5" s="207">
        <f t="shared" ref="A5:A39" si="0">A4+1</f>
        <v>3</v>
      </c>
      <c r="B5" s="211" t="s">
        <v>250</v>
      </c>
      <c r="C5" s="208">
        <v>4.2</v>
      </c>
      <c r="D5" s="226">
        <v>1</v>
      </c>
      <c r="E5" s="226">
        <v>1</v>
      </c>
      <c r="F5" s="226">
        <v>1</v>
      </c>
      <c r="G5" s="226">
        <v>1</v>
      </c>
      <c r="H5" s="226">
        <v>1</v>
      </c>
      <c r="I5" s="226">
        <v>1</v>
      </c>
      <c r="J5" s="226">
        <v>1</v>
      </c>
      <c r="K5" s="226">
        <v>1</v>
      </c>
      <c r="L5" s="223"/>
      <c r="M5" s="223"/>
      <c r="N5" s="223"/>
      <c r="O5" s="223"/>
      <c r="P5" s="223"/>
      <c r="Q5" s="223"/>
      <c r="R5" s="223"/>
      <c r="S5" s="223"/>
      <c r="T5" s="223"/>
      <c r="U5" s="223"/>
      <c r="V5" s="223"/>
      <c r="W5" s="223"/>
      <c r="X5" s="223"/>
      <c r="Y5" s="223"/>
      <c r="Z5" s="223"/>
      <c r="AA5" s="220">
        <v>1</v>
      </c>
      <c r="AB5" s="220">
        <v>1</v>
      </c>
      <c r="AC5" s="220">
        <v>8</v>
      </c>
    </row>
    <row r="6" spans="1:29">
      <c r="A6" s="207">
        <f t="shared" si="0"/>
        <v>4</v>
      </c>
      <c r="B6" s="211" t="s">
        <v>251</v>
      </c>
      <c r="C6" s="208">
        <v>2.9</v>
      </c>
      <c r="D6" s="226">
        <v>1</v>
      </c>
      <c r="E6" s="226">
        <v>1</v>
      </c>
      <c r="F6" s="226">
        <v>1</v>
      </c>
      <c r="G6" s="226">
        <v>1</v>
      </c>
      <c r="H6" s="226">
        <v>1</v>
      </c>
      <c r="I6" s="226">
        <v>1</v>
      </c>
      <c r="J6" s="226">
        <v>1</v>
      </c>
      <c r="K6" s="226">
        <v>1</v>
      </c>
      <c r="L6" s="223"/>
      <c r="M6" s="223"/>
      <c r="N6" s="223"/>
      <c r="O6" s="223"/>
      <c r="P6" s="223"/>
      <c r="Q6" s="223"/>
      <c r="R6" s="223"/>
      <c r="S6" s="223"/>
      <c r="T6" s="223"/>
      <c r="U6" s="223"/>
      <c r="V6" s="223"/>
      <c r="W6" s="223"/>
      <c r="X6" s="223"/>
      <c r="Y6" s="223"/>
      <c r="Z6" s="223"/>
      <c r="AA6" s="220">
        <v>1</v>
      </c>
      <c r="AB6" s="220">
        <v>1</v>
      </c>
      <c r="AC6" s="220">
        <v>8</v>
      </c>
    </row>
    <row r="7" spans="1:29" ht="12.6" customHeight="1">
      <c r="A7" s="207">
        <f t="shared" si="0"/>
        <v>5</v>
      </c>
      <c r="B7" s="211" t="s">
        <v>252</v>
      </c>
      <c r="C7" s="208">
        <v>2.9</v>
      </c>
      <c r="D7" s="226">
        <v>1</v>
      </c>
      <c r="E7" s="226">
        <v>1</v>
      </c>
      <c r="F7" s="226">
        <v>1</v>
      </c>
      <c r="G7" s="226">
        <v>1</v>
      </c>
      <c r="H7" s="226">
        <v>1</v>
      </c>
      <c r="I7" s="226">
        <v>1</v>
      </c>
      <c r="J7" s="226">
        <v>1</v>
      </c>
      <c r="K7" s="226">
        <v>1</v>
      </c>
      <c r="L7" s="223"/>
      <c r="M7" s="223"/>
      <c r="N7" s="223"/>
      <c r="O7" s="223"/>
      <c r="P7" s="223"/>
      <c r="Q7" s="223"/>
      <c r="R7" s="223"/>
      <c r="S7" s="223"/>
      <c r="T7" s="223"/>
      <c r="U7" s="223"/>
      <c r="V7" s="223"/>
      <c r="W7" s="223"/>
      <c r="X7" s="223"/>
      <c r="Y7" s="223"/>
      <c r="Z7" s="223"/>
      <c r="AA7" s="220">
        <v>1</v>
      </c>
      <c r="AB7" s="220">
        <v>1</v>
      </c>
      <c r="AC7" s="220">
        <v>8</v>
      </c>
    </row>
    <row r="8" spans="1:29">
      <c r="A8" s="207">
        <f t="shared" si="0"/>
        <v>6</v>
      </c>
      <c r="B8" s="211" t="s">
        <v>253</v>
      </c>
      <c r="C8" s="208">
        <v>2.9</v>
      </c>
      <c r="D8" s="226"/>
      <c r="E8" s="226"/>
      <c r="F8" s="226"/>
      <c r="G8" s="226"/>
      <c r="H8" s="226"/>
      <c r="I8" s="226"/>
      <c r="J8" s="226"/>
      <c r="K8" s="226"/>
      <c r="L8" s="223"/>
      <c r="M8" s="223"/>
      <c r="N8" s="223"/>
      <c r="O8" s="223"/>
      <c r="P8" s="223"/>
      <c r="Q8" s="223"/>
      <c r="R8" s="223"/>
      <c r="S8" s="223"/>
      <c r="T8" s="223"/>
      <c r="U8" s="223"/>
      <c r="V8" s="223"/>
      <c r="W8" s="223"/>
      <c r="X8" s="223"/>
      <c r="Y8" s="223"/>
      <c r="Z8" s="223"/>
      <c r="AA8" s="220">
        <v>1</v>
      </c>
      <c r="AB8" s="220">
        <v>1</v>
      </c>
      <c r="AC8" s="220">
        <v>4</v>
      </c>
    </row>
    <row r="9" spans="1:29">
      <c r="A9" s="207">
        <f t="shared" si="0"/>
        <v>7</v>
      </c>
      <c r="B9" s="211" t="s">
        <v>254</v>
      </c>
      <c r="C9" s="208">
        <v>3.5</v>
      </c>
      <c r="D9" s="226"/>
      <c r="E9" s="226"/>
      <c r="F9" s="226"/>
      <c r="G9" s="226"/>
      <c r="H9" s="226"/>
      <c r="I9" s="226"/>
      <c r="J9" s="226"/>
      <c r="K9" s="226"/>
      <c r="L9" s="223"/>
      <c r="M9" s="223"/>
      <c r="N9" s="223"/>
      <c r="O9" s="223"/>
      <c r="P9" s="223">
        <v>1</v>
      </c>
      <c r="Q9" s="223"/>
      <c r="R9" s="223">
        <v>1</v>
      </c>
      <c r="S9" s="223"/>
      <c r="T9" s="223"/>
      <c r="U9" s="223"/>
      <c r="V9" s="223"/>
      <c r="W9" s="223">
        <v>1</v>
      </c>
      <c r="X9" s="223">
        <v>1</v>
      </c>
      <c r="Y9" s="223"/>
      <c r="Z9" s="223"/>
      <c r="AA9" s="220">
        <v>1</v>
      </c>
      <c r="AB9" s="220">
        <v>1</v>
      </c>
      <c r="AC9" s="220">
        <v>4</v>
      </c>
    </row>
    <row r="10" spans="1:29">
      <c r="A10" s="207">
        <f t="shared" si="0"/>
        <v>8</v>
      </c>
      <c r="B10" s="211" t="s">
        <v>255</v>
      </c>
      <c r="C10" s="208">
        <v>3.1</v>
      </c>
      <c r="D10" s="226"/>
      <c r="E10" s="226"/>
      <c r="F10" s="226"/>
      <c r="G10" s="226"/>
      <c r="H10" s="226"/>
      <c r="I10" s="226"/>
      <c r="J10" s="226"/>
      <c r="K10" s="226"/>
      <c r="L10" s="223"/>
      <c r="M10" s="223"/>
      <c r="N10" s="223"/>
      <c r="O10" s="223"/>
      <c r="P10" s="223">
        <v>1</v>
      </c>
      <c r="Q10" s="223"/>
      <c r="R10" s="223">
        <v>1</v>
      </c>
      <c r="S10" s="223"/>
      <c r="T10" s="223"/>
      <c r="U10" s="223"/>
      <c r="V10" s="223"/>
      <c r="W10" s="223">
        <v>1</v>
      </c>
      <c r="X10" s="223">
        <v>1</v>
      </c>
      <c r="Y10" s="223"/>
      <c r="Z10" s="223"/>
      <c r="AA10" s="220">
        <v>1</v>
      </c>
      <c r="AB10" s="220">
        <v>1</v>
      </c>
      <c r="AC10" s="220">
        <v>4</v>
      </c>
    </row>
    <row r="11" spans="1:29">
      <c r="A11" s="207">
        <f t="shared" si="0"/>
        <v>9</v>
      </c>
      <c r="B11" s="212" t="s">
        <v>256</v>
      </c>
      <c r="C11" s="208">
        <v>3.1</v>
      </c>
      <c r="D11" s="226"/>
      <c r="E11" s="226"/>
      <c r="F11" s="226"/>
      <c r="G11" s="226"/>
      <c r="H11" s="226"/>
      <c r="I11" s="226"/>
      <c r="J11" s="226"/>
      <c r="K11" s="226"/>
      <c r="L11" s="223">
        <v>1</v>
      </c>
      <c r="M11" s="223"/>
      <c r="N11" s="223">
        <v>1</v>
      </c>
      <c r="O11" s="223"/>
      <c r="P11" s="223">
        <v>1</v>
      </c>
      <c r="Q11" s="223"/>
      <c r="R11" s="223"/>
      <c r="S11" s="223"/>
      <c r="T11" s="223"/>
      <c r="U11" s="223"/>
      <c r="V11" s="223">
        <v>1</v>
      </c>
      <c r="W11" s="223"/>
      <c r="X11" s="223">
        <v>1</v>
      </c>
      <c r="Y11" s="223">
        <v>1</v>
      </c>
      <c r="Z11" s="223">
        <v>1</v>
      </c>
      <c r="AA11" s="220">
        <v>1</v>
      </c>
      <c r="AB11" s="220">
        <v>1</v>
      </c>
      <c r="AC11" s="220">
        <v>4</v>
      </c>
    </row>
    <row r="12" spans="1:29">
      <c r="A12" s="207">
        <f t="shared" si="0"/>
        <v>10</v>
      </c>
      <c r="B12" s="213" t="s">
        <v>257</v>
      </c>
      <c r="C12" s="208">
        <v>3.1</v>
      </c>
      <c r="D12" s="226"/>
      <c r="E12" s="226"/>
      <c r="F12" s="226"/>
      <c r="G12" s="226"/>
      <c r="H12" s="226"/>
      <c r="I12" s="226"/>
      <c r="J12" s="226"/>
      <c r="K12" s="226"/>
      <c r="L12" s="223">
        <v>1</v>
      </c>
      <c r="M12" s="223"/>
      <c r="N12" s="223">
        <v>1</v>
      </c>
      <c r="O12" s="223"/>
      <c r="P12" s="223"/>
      <c r="Q12" s="223">
        <v>1</v>
      </c>
      <c r="R12" s="223"/>
      <c r="S12" s="223">
        <v>1</v>
      </c>
      <c r="T12" s="223">
        <v>1</v>
      </c>
      <c r="U12" s="223"/>
      <c r="V12" s="223">
        <v>1</v>
      </c>
      <c r="W12" s="223">
        <v>1</v>
      </c>
      <c r="X12" s="223">
        <v>1</v>
      </c>
      <c r="Y12" s="223">
        <v>1</v>
      </c>
      <c r="Z12" s="223">
        <v>1</v>
      </c>
      <c r="AA12" s="220">
        <v>1</v>
      </c>
      <c r="AB12" s="220">
        <v>1</v>
      </c>
      <c r="AC12" s="220">
        <v>4</v>
      </c>
    </row>
    <row r="13" spans="1:29">
      <c r="A13" s="207">
        <f t="shared" si="0"/>
        <v>11</v>
      </c>
      <c r="B13" s="213" t="s">
        <v>258</v>
      </c>
      <c r="C13" s="208">
        <v>3.1</v>
      </c>
      <c r="D13" s="226"/>
      <c r="E13" s="226"/>
      <c r="F13" s="226"/>
      <c r="G13" s="226"/>
      <c r="H13" s="226"/>
      <c r="I13" s="226"/>
      <c r="J13" s="226"/>
      <c r="K13" s="226"/>
      <c r="L13" s="223">
        <v>1</v>
      </c>
      <c r="M13" s="223"/>
      <c r="N13" s="223">
        <v>1</v>
      </c>
      <c r="O13" s="223"/>
      <c r="P13" s="223"/>
      <c r="Q13" s="223">
        <v>1</v>
      </c>
      <c r="R13" s="223"/>
      <c r="S13" s="223">
        <v>1</v>
      </c>
      <c r="T13" s="223">
        <v>1</v>
      </c>
      <c r="U13" s="223"/>
      <c r="V13" s="223">
        <v>1</v>
      </c>
      <c r="W13" s="223">
        <v>1</v>
      </c>
      <c r="X13" s="223">
        <v>1</v>
      </c>
      <c r="Y13" s="223">
        <v>1</v>
      </c>
      <c r="Z13" s="223">
        <v>1</v>
      </c>
      <c r="AA13" s="220">
        <v>1</v>
      </c>
      <c r="AB13" s="220">
        <v>1</v>
      </c>
      <c r="AC13" s="220">
        <v>4</v>
      </c>
    </row>
    <row r="14" spans="1:29">
      <c r="A14" s="207">
        <f t="shared" si="0"/>
        <v>12</v>
      </c>
      <c r="B14" s="213" t="s">
        <v>259</v>
      </c>
      <c r="C14" s="208">
        <v>3.1</v>
      </c>
      <c r="D14" s="226"/>
      <c r="E14" s="226"/>
      <c r="F14" s="226"/>
      <c r="G14" s="226"/>
      <c r="H14" s="226"/>
      <c r="I14" s="226"/>
      <c r="J14" s="226"/>
      <c r="K14" s="226"/>
      <c r="L14" s="223">
        <v>1</v>
      </c>
      <c r="M14" s="223"/>
      <c r="N14" s="223">
        <v>1</v>
      </c>
      <c r="O14" s="223"/>
      <c r="P14" s="223"/>
      <c r="Q14" s="223">
        <v>1</v>
      </c>
      <c r="R14" s="223"/>
      <c r="S14" s="223">
        <v>1</v>
      </c>
      <c r="T14" s="223">
        <v>1</v>
      </c>
      <c r="U14" s="223"/>
      <c r="V14" s="223">
        <v>1</v>
      </c>
      <c r="W14" s="223">
        <v>1</v>
      </c>
      <c r="X14" s="223">
        <v>1</v>
      </c>
      <c r="Y14" s="223">
        <v>1</v>
      </c>
      <c r="Z14" s="223">
        <v>1</v>
      </c>
      <c r="AA14" s="220">
        <v>1</v>
      </c>
      <c r="AB14" s="220">
        <v>1</v>
      </c>
      <c r="AC14" s="220">
        <v>4</v>
      </c>
    </row>
    <row r="15" spans="1:29">
      <c r="A15" s="207">
        <f t="shared" si="0"/>
        <v>13</v>
      </c>
      <c r="B15" s="213" t="s">
        <v>260</v>
      </c>
      <c r="C15" s="208">
        <v>3.1</v>
      </c>
      <c r="D15" s="226"/>
      <c r="E15" s="226"/>
      <c r="F15" s="226"/>
      <c r="G15" s="226"/>
      <c r="H15" s="226"/>
      <c r="I15" s="226"/>
      <c r="J15" s="226"/>
      <c r="K15" s="226"/>
      <c r="L15" s="223">
        <v>1</v>
      </c>
      <c r="M15" s="223"/>
      <c r="N15" s="223">
        <v>1</v>
      </c>
      <c r="O15" s="223"/>
      <c r="P15" s="223"/>
      <c r="Q15" s="223">
        <v>1</v>
      </c>
      <c r="R15" s="223"/>
      <c r="S15" s="223">
        <v>1</v>
      </c>
      <c r="T15" s="223">
        <v>1</v>
      </c>
      <c r="U15" s="223"/>
      <c r="V15" s="223">
        <v>1</v>
      </c>
      <c r="W15" s="223">
        <v>1</v>
      </c>
      <c r="X15" s="223">
        <v>1</v>
      </c>
      <c r="Y15" s="223">
        <v>1</v>
      </c>
      <c r="Z15" s="223">
        <v>1</v>
      </c>
      <c r="AA15" s="220">
        <v>1</v>
      </c>
      <c r="AB15" s="220">
        <v>1</v>
      </c>
      <c r="AC15" s="220">
        <v>4</v>
      </c>
    </row>
    <row r="16" spans="1:29">
      <c r="A16" s="207">
        <f t="shared" si="0"/>
        <v>14</v>
      </c>
      <c r="B16" s="213" t="s">
        <v>261</v>
      </c>
      <c r="C16" s="208">
        <v>3.1</v>
      </c>
      <c r="D16" s="226"/>
      <c r="E16" s="226"/>
      <c r="F16" s="226"/>
      <c r="G16" s="226"/>
      <c r="H16" s="226"/>
      <c r="I16" s="226"/>
      <c r="J16" s="226"/>
      <c r="K16" s="226"/>
      <c r="L16" s="223">
        <v>1</v>
      </c>
      <c r="M16" s="223"/>
      <c r="N16" s="223">
        <v>1</v>
      </c>
      <c r="O16" s="223"/>
      <c r="P16" s="223"/>
      <c r="Q16" s="223">
        <v>1</v>
      </c>
      <c r="R16" s="223"/>
      <c r="S16" s="223">
        <v>1</v>
      </c>
      <c r="T16" s="223">
        <v>1</v>
      </c>
      <c r="U16" s="223"/>
      <c r="V16" s="223">
        <v>1</v>
      </c>
      <c r="W16" s="223">
        <v>1</v>
      </c>
      <c r="X16" s="223">
        <v>1</v>
      </c>
      <c r="Y16" s="223">
        <v>1</v>
      </c>
      <c r="Z16" s="223">
        <v>1</v>
      </c>
      <c r="AA16" s="220">
        <v>1</v>
      </c>
      <c r="AB16" s="220">
        <v>1</v>
      </c>
      <c r="AC16" s="220">
        <v>4</v>
      </c>
    </row>
    <row r="17" spans="1:29">
      <c r="A17" s="207">
        <f t="shared" si="0"/>
        <v>15</v>
      </c>
      <c r="B17" s="213" t="s">
        <v>262</v>
      </c>
      <c r="C17" s="208">
        <v>3.1</v>
      </c>
      <c r="D17" s="226"/>
      <c r="E17" s="226"/>
      <c r="F17" s="226"/>
      <c r="G17" s="226"/>
      <c r="H17" s="226"/>
      <c r="I17" s="226"/>
      <c r="J17" s="226"/>
      <c r="K17" s="226"/>
      <c r="L17" s="223">
        <v>1</v>
      </c>
      <c r="M17" s="223"/>
      <c r="N17" s="223">
        <v>1</v>
      </c>
      <c r="O17" s="223"/>
      <c r="P17" s="223"/>
      <c r="Q17" s="223">
        <v>1</v>
      </c>
      <c r="R17" s="223"/>
      <c r="S17" s="223">
        <v>1</v>
      </c>
      <c r="T17" s="223">
        <v>1</v>
      </c>
      <c r="U17" s="223"/>
      <c r="V17" s="223">
        <v>1</v>
      </c>
      <c r="W17" s="223">
        <v>1</v>
      </c>
      <c r="X17" s="223">
        <v>1</v>
      </c>
      <c r="Y17" s="223">
        <v>1</v>
      </c>
      <c r="Z17" s="223">
        <v>1</v>
      </c>
      <c r="AA17" s="220">
        <v>1</v>
      </c>
      <c r="AB17" s="220">
        <v>1</v>
      </c>
      <c r="AC17" s="220">
        <v>4</v>
      </c>
    </row>
    <row r="18" spans="1:29">
      <c r="A18" s="207">
        <f t="shared" si="0"/>
        <v>16</v>
      </c>
      <c r="B18" s="213" t="s">
        <v>263</v>
      </c>
      <c r="C18" s="208">
        <v>3.1</v>
      </c>
      <c r="D18" s="226"/>
      <c r="E18" s="226"/>
      <c r="F18" s="226"/>
      <c r="G18" s="226"/>
      <c r="H18" s="226"/>
      <c r="I18" s="226"/>
      <c r="J18" s="226"/>
      <c r="K18" s="226"/>
      <c r="L18" s="223">
        <v>1</v>
      </c>
      <c r="M18" s="223"/>
      <c r="N18" s="223">
        <v>1</v>
      </c>
      <c r="O18" s="223"/>
      <c r="P18" s="223"/>
      <c r="Q18" s="223">
        <v>1</v>
      </c>
      <c r="R18" s="223"/>
      <c r="S18" s="223"/>
      <c r="T18" s="223"/>
      <c r="U18" s="223"/>
      <c r="V18" s="223">
        <v>1</v>
      </c>
      <c r="W18" s="223"/>
      <c r="X18" s="223">
        <v>1</v>
      </c>
      <c r="Y18" s="223">
        <v>1</v>
      </c>
      <c r="Z18" s="223">
        <v>1</v>
      </c>
      <c r="AA18" s="220">
        <v>1</v>
      </c>
      <c r="AB18" s="220">
        <v>1</v>
      </c>
      <c r="AC18" s="220">
        <v>4</v>
      </c>
    </row>
    <row r="19" spans="1:29">
      <c r="A19" s="207">
        <f t="shared" si="0"/>
        <v>17</v>
      </c>
      <c r="B19" s="213" t="s">
        <v>264</v>
      </c>
      <c r="C19" s="208">
        <v>3.1</v>
      </c>
      <c r="D19" s="226"/>
      <c r="E19" s="226"/>
      <c r="F19" s="226"/>
      <c r="G19" s="226"/>
      <c r="H19" s="226"/>
      <c r="I19" s="226"/>
      <c r="J19" s="226"/>
      <c r="K19" s="226"/>
      <c r="L19" s="223">
        <v>1</v>
      </c>
      <c r="M19" s="223"/>
      <c r="N19" s="223">
        <v>1</v>
      </c>
      <c r="O19" s="223"/>
      <c r="P19" s="223"/>
      <c r="Q19" s="223">
        <v>1</v>
      </c>
      <c r="R19" s="223"/>
      <c r="S19" s="223">
        <v>1</v>
      </c>
      <c r="T19" s="223">
        <v>1</v>
      </c>
      <c r="U19" s="223"/>
      <c r="V19" s="223">
        <v>1</v>
      </c>
      <c r="W19" s="223">
        <v>1</v>
      </c>
      <c r="X19" s="223">
        <v>1</v>
      </c>
      <c r="Y19" s="223">
        <v>1</v>
      </c>
      <c r="Z19" s="223">
        <v>1</v>
      </c>
      <c r="AA19" s="220">
        <v>1</v>
      </c>
      <c r="AB19" s="220">
        <v>1</v>
      </c>
      <c r="AC19" s="220">
        <v>4</v>
      </c>
    </row>
    <row r="20" spans="1:29">
      <c r="A20" s="207">
        <f t="shared" si="0"/>
        <v>18</v>
      </c>
      <c r="B20" s="213" t="s">
        <v>265</v>
      </c>
      <c r="C20" s="208">
        <v>3.1</v>
      </c>
      <c r="D20" s="226"/>
      <c r="E20" s="226"/>
      <c r="F20" s="226"/>
      <c r="G20" s="226"/>
      <c r="H20" s="226"/>
      <c r="I20" s="226"/>
      <c r="J20" s="226"/>
      <c r="K20" s="226"/>
      <c r="L20" s="223">
        <v>1</v>
      </c>
      <c r="M20" s="223"/>
      <c r="N20" s="223">
        <v>1</v>
      </c>
      <c r="O20" s="223"/>
      <c r="P20" s="223"/>
      <c r="Q20" s="223">
        <v>1</v>
      </c>
      <c r="R20" s="223"/>
      <c r="S20" s="223">
        <v>1</v>
      </c>
      <c r="T20" s="223">
        <v>1</v>
      </c>
      <c r="U20" s="223"/>
      <c r="V20" s="223">
        <v>1</v>
      </c>
      <c r="W20" s="223">
        <v>1</v>
      </c>
      <c r="X20" s="223">
        <v>1</v>
      </c>
      <c r="Y20" s="223">
        <v>1</v>
      </c>
      <c r="Z20" s="223">
        <v>1</v>
      </c>
      <c r="AA20" s="220">
        <v>1</v>
      </c>
      <c r="AB20" s="220">
        <v>1</v>
      </c>
      <c r="AC20" s="220">
        <v>4</v>
      </c>
    </row>
    <row r="21" spans="1:29">
      <c r="A21" s="207">
        <f t="shared" si="0"/>
        <v>19</v>
      </c>
      <c r="B21" s="213" t="s">
        <v>266</v>
      </c>
      <c r="C21" s="208">
        <v>3.1</v>
      </c>
      <c r="D21" s="226"/>
      <c r="E21" s="226"/>
      <c r="F21" s="226"/>
      <c r="G21" s="226"/>
      <c r="H21" s="226"/>
      <c r="I21" s="226"/>
      <c r="J21" s="226"/>
      <c r="K21" s="226"/>
      <c r="L21" s="223"/>
      <c r="M21" s="223">
        <v>1</v>
      </c>
      <c r="N21" s="223"/>
      <c r="O21" s="223">
        <v>1</v>
      </c>
      <c r="P21" s="223"/>
      <c r="Q21" s="223">
        <v>1</v>
      </c>
      <c r="R21" s="223"/>
      <c r="S21" s="223">
        <v>1</v>
      </c>
      <c r="T21" s="223"/>
      <c r="U21" s="223">
        <v>1</v>
      </c>
      <c r="V21" s="223">
        <v>1</v>
      </c>
      <c r="W21" s="223">
        <v>1</v>
      </c>
      <c r="X21" s="223">
        <v>1</v>
      </c>
      <c r="Y21" s="223">
        <v>1</v>
      </c>
      <c r="Z21" s="223">
        <v>1</v>
      </c>
      <c r="AA21" s="220">
        <v>1</v>
      </c>
      <c r="AB21" s="220">
        <v>1</v>
      </c>
      <c r="AC21" s="220">
        <v>4</v>
      </c>
    </row>
    <row r="22" spans="1:29">
      <c r="A22" s="207">
        <f t="shared" si="0"/>
        <v>20</v>
      </c>
      <c r="B22" s="213" t="s">
        <v>267</v>
      </c>
      <c r="C22" s="208">
        <v>3.1</v>
      </c>
      <c r="D22" s="226"/>
      <c r="E22" s="226"/>
      <c r="F22" s="226"/>
      <c r="G22" s="226"/>
      <c r="H22" s="226"/>
      <c r="I22" s="226"/>
      <c r="J22" s="226"/>
      <c r="K22" s="226"/>
      <c r="L22" s="223"/>
      <c r="M22" s="223">
        <v>1</v>
      </c>
      <c r="N22" s="223"/>
      <c r="O22" s="223">
        <v>1</v>
      </c>
      <c r="P22" s="223"/>
      <c r="Q22" s="223">
        <v>1</v>
      </c>
      <c r="R22" s="223"/>
      <c r="S22" s="223">
        <v>1</v>
      </c>
      <c r="T22" s="223"/>
      <c r="U22" s="223">
        <v>1</v>
      </c>
      <c r="V22" s="223">
        <v>1</v>
      </c>
      <c r="W22" s="223">
        <v>1</v>
      </c>
      <c r="X22" s="223">
        <v>1</v>
      </c>
      <c r="Y22" s="223">
        <v>1</v>
      </c>
      <c r="Z22" s="223">
        <v>1</v>
      </c>
      <c r="AA22" s="220">
        <v>1</v>
      </c>
      <c r="AB22" s="220">
        <v>1</v>
      </c>
      <c r="AC22" s="220">
        <v>4</v>
      </c>
    </row>
    <row r="23" spans="1:29">
      <c r="A23" s="207">
        <f t="shared" si="0"/>
        <v>21</v>
      </c>
      <c r="B23" s="213" t="s">
        <v>268</v>
      </c>
      <c r="C23" s="208">
        <v>3.1</v>
      </c>
      <c r="D23" s="226"/>
      <c r="E23" s="226"/>
      <c r="F23" s="226"/>
      <c r="G23" s="226"/>
      <c r="H23" s="226"/>
      <c r="I23" s="226"/>
      <c r="J23" s="226"/>
      <c r="K23" s="226"/>
      <c r="L23" s="223"/>
      <c r="M23" s="223">
        <v>1</v>
      </c>
      <c r="N23" s="223"/>
      <c r="O23" s="223">
        <v>1</v>
      </c>
      <c r="P23" s="223"/>
      <c r="Q23" s="223">
        <v>1</v>
      </c>
      <c r="R23" s="223"/>
      <c r="S23" s="223">
        <v>1</v>
      </c>
      <c r="T23" s="223"/>
      <c r="U23" s="223">
        <v>1</v>
      </c>
      <c r="V23" s="223">
        <v>1</v>
      </c>
      <c r="W23" s="223">
        <v>1</v>
      </c>
      <c r="X23" s="223">
        <v>1</v>
      </c>
      <c r="Y23" s="223">
        <v>1</v>
      </c>
      <c r="Z23" s="223">
        <v>1</v>
      </c>
      <c r="AA23" s="220">
        <v>1</v>
      </c>
      <c r="AB23" s="220">
        <v>1</v>
      </c>
      <c r="AC23" s="220">
        <v>4</v>
      </c>
    </row>
    <row r="24" spans="1:29">
      <c r="A24" s="207">
        <f t="shared" si="0"/>
        <v>22</v>
      </c>
      <c r="B24" s="213" t="s">
        <v>269</v>
      </c>
      <c r="C24" s="208">
        <v>3.1</v>
      </c>
      <c r="D24" s="226"/>
      <c r="E24" s="226"/>
      <c r="F24" s="226"/>
      <c r="G24" s="226"/>
      <c r="H24" s="226"/>
      <c r="I24" s="226"/>
      <c r="J24" s="226"/>
      <c r="K24" s="226"/>
      <c r="L24" s="223"/>
      <c r="M24" s="223">
        <v>1</v>
      </c>
      <c r="N24" s="223"/>
      <c r="O24" s="223">
        <v>1</v>
      </c>
      <c r="P24" s="223"/>
      <c r="Q24" s="223">
        <v>1</v>
      </c>
      <c r="R24" s="223"/>
      <c r="S24" s="223">
        <v>1</v>
      </c>
      <c r="T24" s="223"/>
      <c r="U24" s="223">
        <v>1</v>
      </c>
      <c r="V24" s="223">
        <v>1</v>
      </c>
      <c r="W24" s="223">
        <v>1</v>
      </c>
      <c r="X24" s="223">
        <v>1</v>
      </c>
      <c r="Y24" s="223">
        <v>1</v>
      </c>
      <c r="Z24" s="223">
        <v>1</v>
      </c>
      <c r="AA24" s="220">
        <v>1</v>
      </c>
      <c r="AB24" s="220">
        <v>1</v>
      </c>
      <c r="AC24" s="220">
        <v>4</v>
      </c>
    </row>
    <row r="25" spans="1:29">
      <c r="A25" s="207">
        <f t="shared" si="0"/>
        <v>23</v>
      </c>
      <c r="B25" s="212" t="s">
        <v>270</v>
      </c>
      <c r="C25" s="208">
        <v>3.1</v>
      </c>
      <c r="D25" s="226"/>
      <c r="E25" s="226"/>
      <c r="F25" s="226"/>
      <c r="G25" s="226"/>
      <c r="H25" s="226"/>
      <c r="I25" s="226"/>
      <c r="J25" s="226"/>
      <c r="K25" s="226"/>
      <c r="L25" s="223"/>
      <c r="M25" s="223">
        <v>1</v>
      </c>
      <c r="N25" s="223"/>
      <c r="O25" s="223">
        <v>1</v>
      </c>
      <c r="P25" s="223"/>
      <c r="Q25" s="223">
        <v>1</v>
      </c>
      <c r="R25" s="223"/>
      <c r="S25" s="223"/>
      <c r="T25" s="223"/>
      <c r="U25" s="223">
        <v>1</v>
      </c>
      <c r="V25" s="223">
        <v>1</v>
      </c>
      <c r="W25" s="223"/>
      <c r="X25" s="223">
        <v>1</v>
      </c>
      <c r="Y25" s="223">
        <v>1</v>
      </c>
      <c r="Z25" s="223">
        <v>1</v>
      </c>
      <c r="AA25" s="220">
        <v>1</v>
      </c>
      <c r="AB25" s="220">
        <v>1</v>
      </c>
      <c r="AC25" s="220">
        <v>4</v>
      </c>
    </row>
    <row r="26" spans="1:29">
      <c r="A26" s="207">
        <f t="shared" si="0"/>
        <v>24</v>
      </c>
      <c r="B26" s="213" t="s">
        <v>271</v>
      </c>
      <c r="C26" s="208">
        <v>3.1</v>
      </c>
      <c r="D26" s="226"/>
      <c r="E26" s="226"/>
      <c r="F26" s="226"/>
      <c r="G26" s="226"/>
      <c r="H26" s="226"/>
      <c r="I26" s="226"/>
      <c r="J26" s="226"/>
      <c r="K26" s="226"/>
      <c r="L26" s="223"/>
      <c r="M26" s="223">
        <v>1</v>
      </c>
      <c r="N26" s="223"/>
      <c r="O26" s="223">
        <v>1</v>
      </c>
      <c r="P26" s="223"/>
      <c r="Q26" s="223">
        <v>1</v>
      </c>
      <c r="R26" s="223"/>
      <c r="S26" s="223">
        <v>1</v>
      </c>
      <c r="T26" s="223"/>
      <c r="U26" s="223">
        <v>1</v>
      </c>
      <c r="V26" s="223">
        <v>1</v>
      </c>
      <c r="W26" s="223">
        <v>1</v>
      </c>
      <c r="X26" s="223">
        <v>1</v>
      </c>
      <c r="Y26" s="223">
        <v>1</v>
      </c>
      <c r="Z26" s="223">
        <v>1</v>
      </c>
      <c r="AA26" s="220">
        <v>1</v>
      </c>
      <c r="AB26" s="220">
        <v>1</v>
      </c>
      <c r="AC26" s="220">
        <v>4</v>
      </c>
    </row>
    <row r="27" spans="1:29">
      <c r="A27" s="207">
        <f t="shared" si="0"/>
        <v>25</v>
      </c>
      <c r="B27" s="213" t="s">
        <v>272</v>
      </c>
      <c r="C27" s="208">
        <v>3.1</v>
      </c>
      <c r="D27" s="226"/>
      <c r="E27" s="226"/>
      <c r="F27" s="226"/>
      <c r="G27" s="226"/>
      <c r="H27" s="226"/>
      <c r="I27" s="226"/>
      <c r="J27" s="226"/>
      <c r="K27" s="226"/>
      <c r="L27" s="223"/>
      <c r="M27" s="223">
        <v>1</v>
      </c>
      <c r="N27" s="223"/>
      <c r="O27" s="223">
        <v>1</v>
      </c>
      <c r="P27" s="223"/>
      <c r="Q27" s="223">
        <v>1</v>
      </c>
      <c r="R27" s="223"/>
      <c r="S27" s="223">
        <v>1</v>
      </c>
      <c r="T27" s="223"/>
      <c r="U27" s="223">
        <v>1</v>
      </c>
      <c r="V27" s="223">
        <v>1</v>
      </c>
      <c r="W27" s="223">
        <v>1</v>
      </c>
      <c r="X27" s="223">
        <v>1</v>
      </c>
      <c r="Y27" s="223">
        <v>1</v>
      </c>
      <c r="Z27" s="223">
        <v>1</v>
      </c>
      <c r="AA27" s="220">
        <v>1</v>
      </c>
      <c r="AB27" s="220">
        <v>1</v>
      </c>
      <c r="AC27" s="220">
        <v>4</v>
      </c>
    </row>
    <row r="28" spans="1:29">
      <c r="A28" s="207">
        <f t="shared" si="0"/>
        <v>26</v>
      </c>
      <c r="B28" s="213" t="s">
        <v>273</v>
      </c>
      <c r="C28" s="208">
        <v>3.1</v>
      </c>
      <c r="D28" s="226"/>
      <c r="E28" s="226"/>
      <c r="F28" s="226"/>
      <c r="G28" s="226"/>
      <c r="H28" s="226"/>
      <c r="I28" s="226"/>
      <c r="J28" s="226"/>
      <c r="K28" s="226"/>
      <c r="L28" s="223"/>
      <c r="M28" s="223">
        <v>1</v>
      </c>
      <c r="N28" s="223"/>
      <c r="O28" s="223">
        <v>1</v>
      </c>
      <c r="P28" s="223"/>
      <c r="Q28" s="223">
        <v>1</v>
      </c>
      <c r="R28" s="223"/>
      <c r="S28" s="223">
        <v>1</v>
      </c>
      <c r="T28" s="223"/>
      <c r="U28" s="223">
        <v>1</v>
      </c>
      <c r="V28" s="223">
        <v>1</v>
      </c>
      <c r="W28" s="223">
        <v>1</v>
      </c>
      <c r="X28" s="223">
        <v>1</v>
      </c>
      <c r="Y28" s="223">
        <v>1</v>
      </c>
      <c r="Z28" s="223">
        <v>1</v>
      </c>
      <c r="AA28" s="220">
        <v>1</v>
      </c>
      <c r="AB28" s="220">
        <v>1</v>
      </c>
      <c r="AC28" s="220">
        <v>4</v>
      </c>
    </row>
    <row r="29" spans="1:29">
      <c r="A29" s="207">
        <f t="shared" si="0"/>
        <v>27</v>
      </c>
      <c r="B29" s="213" t="s">
        <v>274</v>
      </c>
      <c r="C29" s="208">
        <v>3.1</v>
      </c>
      <c r="D29" s="226"/>
      <c r="E29" s="226"/>
      <c r="F29" s="226"/>
      <c r="G29" s="226"/>
      <c r="H29" s="226"/>
      <c r="I29" s="226"/>
      <c r="J29" s="226"/>
      <c r="K29" s="226"/>
      <c r="L29" s="223"/>
      <c r="M29" s="223">
        <v>1</v>
      </c>
      <c r="N29" s="223"/>
      <c r="O29" s="223">
        <v>1</v>
      </c>
      <c r="P29" s="223"/>
      <c r="Q29" s="223">
        <v>1</v>
      </c>
      <c r="R29" s="223"/>
      <c r="S29" s="223">
        <v>1</v>
      </c>
      <c r="T29" s="223"/>
      <c r="U29" s="223">
        <v>1</v>
      </c>
      <c r="V29" s="223">
        <v>1</v>
      </c>
      <c r="W29" s="223">
        <v>1</v>
      </c>
      <c r="X29" s="223">
        <v>1</v>
      </c>
      <c r="Y29" s="223">
        <v>1</v>
      </c>
      <c r="Z29" s="223">
        <v>1</v>
      </c>
      <c r="AA29" s="220">
        <v>1</v>
      </c>
      <c r="AB29" s="220">
        <v>1</v>
      </c>
      <c r="AC29" s="220">
        <v>4</v>
      </c>
    </row>
    <row r="30" spans="1:29">
      <c r="A30" s="207">
        <f t="shared" si="0"/>
        <v>28</v>
      </c>
      <c r="B30" s="213" t="s">
        <v>275</v>
      </c>
      <c r="C30" s="208">
        <v>3.1</v>
      </c>
      <c r="D30" s="226"/>
      <c r="E30" s="226"/>
      <c r="F30" s="226"/>
      <c r="G30" s="226"/>
      <c r="H30" s="226"/>
      <c r="I30" s="226"/>
      <c r="J30" s="226"/>
      <c r="K30" s="226"/>
      <c r="L30" s="223"/>
      <c r="M30" s="223">
        <v>1</v>
      </c>
      <c r="N30" s="223"/>
      <c r="O30" s="223">
        <v>1</v>
      </c>
      <c r="P30" s="223"/>
      <c r="Q30" s="223">
        <v>1</v>
      </c>
      <c r="R30" s="223"/>
      <c r="S30" s="223">
        <v>1</v>
      </c>
      <c r="T30" s="223"/>
      <c r="U30" s="223">
        <v>1</v>
      </c>
      <c r="V30" s="223">
        <v>1</v>
      </c>
      <c r="W30" s="223">
        <v>1</v>
      </c>
      <c r="X30" s="223">
        <v>1</v>
      </c>
      <c r="Y30" s="223">
        <v>1</v>
      </c>
      <c r="Z30" s="223">
        <v>1</v>
      </c>
      <c r="AA30" s="220">
        <v>1</v>
      </c>
      <c r="AB30" s="220">
        <v>1</v>
      </c>
      <c r="AC30" s="220">
        <v>4</v>
      </c>
    </row>
    <row r="31" spans="1:29">
      <c r="A31" s="207">
        <f t="shared" si="0"/>
        <v>29</v>
      </c>
      <c r="B31" s="213" t="s">
        <v>276</v>
      </c>
      <c r="C31" s="208">
        <v>3.1</v>
      </c>
      <c r="D31" s="226"/>
      <c r="E31" s="226"/>
      <c r="F31" s="226"/>
      <c r="G31" s="226"/>
      <c r="H31" s="226"/>
      <c r="I31" s="226"/>
      <c r="J31" s="226"/>
      <c r="K31" s="226"/>
      <c r="L31" s="223"/>
      <c r="M31" s="223">
        <v>1</v>
      </c>
      <c r="N31" s="223"/>
      <c r="O31" s="223">
        <v>1</v>
      </c>
      <c r="P31" s="223"/>
      <c r="Q31" s="223">
        <v>1</v>
      </c>
      <c r="R31" s="223"/>
      <c r="S31" s="223">
        <v>1</v>
      </c>
      <c r="T31" s="223"/>
      <c r="U31" s="223">
        <v>1</v>
      </c>
      <c r="V31" s="223">
        <v>1</v>
      </c>
      <c r="W31" s="223">
        <v>1</v>
      </c>
      <c r="X31" s="223">
        <v>1</v>
      </c>
      <c r="Y31" s="223">
        <v>1</v>
      </c>
      <c r="Z31" s="223">
        <v>1</v>
      </c>
      <c r="AA31" s="220">
        <v>1</v>
      </c>
      <c r="AB31" s="220">
        <v>1</v>
      </c>
      <c r="AC31" s="220">
        <v>4</v>
      </c>
    </row>
    <row r="32" spans="1:29">
      <c r="A32" s="207">
        <f t="shared" si="0"/>
        <v>30</v>
      </c>
      <c r="B32" s="213" t="s">
        <v>277</v>
      </c>
      <c r="C32" s="208">
        <v>3.1</v>
      </c>
      <c r="D32" s="226"/>
      <c r="E32" s="226"/>
      <c r="F32" s="226"/>
      <c r="G32" s="226"/>
      <c r="H32" s="226"/>
      <c r="I32" s="226"/>
      <c r="J32" s="226"/>
      <c r="K32" s="226"/>
      <c r="L32" s="223"/>
      <c r="M32" s="223">
        <v>1</v>
      </c>
      <c r="N32" s="223"/>
      <c r="O32" s="223">
        <v>1</v>
      </c>
      <c r="P32" s="223"/>
      <c r="Q32" s="223">
        <v>1</v>
      </c>
      <c r="R32" s="223"/>
      <c r="S32" s="223"/>
      <c r="T32" s="223"/>
      <c r="U32" s="223">
        <v>1</v>
      </c>
      <c r="V32" s="223">
        <v>1</v>
      </c>
      <c r="W32" s="223"/>
      <c r="X32" s="223">
        <v>1</v>
      </c>
      <c r="Y32" s="223">
        <v>1</v>
      </c>
      <c r="Z32" s="223">
        <v>1</v>
      </c>
      <c r="AA32" s="220">
        <v>1</v>
      </c>
      <c r="AB32" s="220">
        <v>1</v>
      </c>
      <c r="AC32" s="220">
        <v>4</v>
      </c>
    </row>
    <row r="33" spans="1:30">
      <c r="A33" s="207">
        <f t="shared" si="0"/>
        <v>31</v>
      </c>
      <c r="B33" s="213" t="s">
        <v>278</v>
      </c>
      <c r="C33" s="208">
        <v>3.1</v>
      </c>
      <c r="D33" s="226"/>
      <c r="E33" s="226"/>
      <c r="F33" s="226"/>
      <c r="G33" s="226"/>
      <c r="H33" s="226"/>
      <c r="I33" s="226"/>
      <c r="J33" s="226"/>
      <c r="K33" s="226"/>
      <c r="L33" s="223"/>
      <c r="M33" s="223">
        <v>1</v>
      </c>
      <c r="N33" s="223"/>
      <c r="O33" s="223">
        <v>1</v>
      </c>
      <c r="P33" s="223"/>
      <c r="Q33" s="223">
        <v>1</v>
      </c>
      <c r="R33" s="223"/>
      <c r="S33" s="223">
        <v>1</v>
      </c>
      <c r="T33" s="223"/>
      <c r="U33" s="223">
        <v>1</v>
      </c>
      <c r="V33" s="223">
        <v>1</v>
      </c>
      <c r="W33" s="223">
        <v>1</v>
      </c>
      <c r="X33" s="223">
        <v>1</v>
      </c>
      <c r="Y33" s="223">
        <v>1</v>
      </c>
      <c r="Z33" s="223">
        <v>1</v>
      </c>
      <c r="AA33" s="220">
        <v>1</v>
      </c>
      <c r="AB33" s="220">
        <v>1</v>
      </c>
      <c r="AC33" s="220">
        <v>4</v>
      </c>
    </row>
    <row r="34" spans="1:30">
      <c r="A34" s="207">
        <f t="shared" si="0"/>
        <v>32</v>
      </c>
      <c r="B34" s="213" t="s">
        <v>279</v>
      </c>
      <c r="C34" s="208">
        <v>3.1</v>
      </c>
      <c r="D34" s="226"/>
      <c r="E34" s="226"/>
      <c r="F34" s="226"/>
      <c r="G34" s="226"/>
      <c r="H34" s="226"/>
      <c r="I34" s="226"/>
      <c r="J34" s="226"/>
      <c r="K34" s="226"/>
      <c r="L34" s="223"/>
      <c r="M34" s="223">
        <v>1</v>
      </c>
      <c r="N34" s="223"/>
      <c r="O34" s="223">
        <v>1</v>
      </c>
      <c r="P34" s="223"/>
      <c r="Q34" s="223">
        <v>1</v>
      </c>
      <c r="R34" s="223"/>
      <c r="S34" s="223">
        <v>1</v>
      </c>
      <c r="T34" s="223"/>
      <c r="U34" s="223">
        <v>1</v>
      </c>
      <c r="V34" s="223">
        <v>1</v>
      </c>
      <c r="W34" s="223">
        <v>1</v>
      </c>
      <c r="X34" s="223">
        <v>1</v>
      </c>
      <c r="Y34" s="223">
        <v>1</v>
      </c>
      <c r="Z34" s="223">
        <v>1</v>
      </c>
      <c r="AA34" s="220">
        <v>1</v>
      </c>
      <c r="AB34" s="220">
        <v>1</v>
      </c>
      <c r="AC34" s="220">
        <v>4</v>
      </c>
    </row>
    <row r="35" spans="1:30">
      <c r="A35" s="207">
        <f t="shared" si="0"/>
        <v>33</v>
      </c>
      <c r="B35" s="213" t="s">
        <v>280</v>
      </c>
      <c r="C35" s="208">
        <v>3.1</v>
      </c>
      <c r="D35" s="226"/>
      <c r="E35" s="226"/>
      <c r="F35" s="226"/>
      <c r="G35" s="226"/>
      <c r="H35" s="226"/>
      <c r="I35" s="226"/>
      <c r="J35" s="226"/>
      <c r="K35" s="226"/>
      <c r="L35" s="223"/>
      <c r="M35" s="223">
        <v>1</v>
      </c>
      <c r="N35" s="223"/>
      <c r="O35" s="223">
        <v>1</v>
      </c>
      <c r="P35" s="223"/>
      <c r="Q35" s="223">
        <v>1</v>
      </c>
      <c r="R35" s="223"/>
      <c r="S35" s="223">
        <v>1</v>
      </c>
      <c r="T35" s="223"/>
      <c r="U35" s="223">
        <v>1</v>
      </c>
      <c r="V35" s="223">
        <v>1</v>
      </c>
      <c r="W35" s="223">
        <v>1</v>
      </c>
      <c r="X35" s="223">
        <v>1</v>
      </c>
      <c r="Y35" s="223">
        <v>1</v>
      </c>
      <c r="Z35" s="223">
        <v>1</v>
      </c>
      <c r="AA35" s="220">
        <v>1</v>
      </c>
      <c r="AB35" s="220">
        <v>1</v>
      </c>
      <c r="AC35" s="220">
        <v>4</v>
      </c>
    </row>
    <row r="36" spans="1:30">
      <c r="A36" s="207">
        <f t="shared" si="0"/>
        <v>34</v>
      </c>
      <c r="B36" s="213" t="s">
        <v>281</v>
      </c>
      <c r="C36" s="208">
        <v>3.1</v>
      </c>
      <c r="D36" s="226"/>
      <c r="E36" s="226"/>
      <c r="F36" s="226"/>
      <c r="G36" s="226"/>
      <c r="H36" s="226"/>
      <c r="I36" s="226"/>
      <c r="J36" s="226"/>
      <c r="K36" s="226"/>
      <c r="L36" s="223"/>
      <c r="M36" s="223">
        <v>1</v>
      </c>
      <c r="N36" s="223"/>
      <c r="O36" s="223">
        <v>1</v>
      </c>
      <c r="P36" s="223"/>
      <c r="Q36" s="223">
        <v>1</v>
      </c>
      <c r="R36" s="223"/>
      <c r="S36" s="223">
        <v>1</v>
      </c>
      <c r="T36" s="223"/>
      <c r="U36" s="223">
        <v>1</v>
      </c>
      <c r="V36" s="223">
        <v>1</v>
      </c>
      <c r="W36" s="223">
        <v>1</v>
      </c>
      <c r="X36" s="223">
        <v>1</v>
      </c>
      <c r="Y36" s="223">
        <v>1</v>
      </c>
      <c r="Z36" s="223">
        <v>1</v>
      </c>
      <c r="AA36" s="220">
        <v>1</v>
      </c>
      <c r="AB36" s="220">
        <v>1</v>
      </c>
      <c r="AC36" s="220">
        <v>4</v>
      </c>
    </row>
    <row r="37" spans="1:30">
      <c r="A37" s="207">
        <f t="shared" si="0"/>
        <v>35</v>
      </c>
      <c r="B37" s="213" t="s">
        <v>282</v>
      </c>
      <c r="C37" s="208">
        <v>3.1</v>
      </c>
      <c r="D37" s="226"/>
      <c r="E37" s="226"/>
      <c r="F37" s="226"/>
      <c r="G37" s="226"/>
      <c r="H37" s="226"/>
      <c r="I37" s="226"/>
      <c r="J37" s="226"/>
      <c r="K37" s="226"/>
      <c r="L37" s="223"/>
      <c r="M37" s="223">
        <v>1</v>
      </c>
      <c r="N37" s="223"/>
      <c r="O37" s="223">
        <v>1</v>
      </c>
      <c r="P37" s="223"/>
      <c r="Q37" s="223">
        <v>1</v>
      </c>
      <c r="R37" s="223"/>
      <c r="S37" s="223">
        <v>1</v>
      </c>
      <c r="T37" s="223"/>
      <c r="U37" s="223">
        <v>1</v>
      </c>
      <c r="V37" s="223">
        <v>1</v>
      </c>
      <c r="W37" s="223">
        <v>1</v>
      </c>
      <c r="X37" s="223">
        <v>1</v>
      </c>
      <c r="Y37" s="223">
        <v>1</v>
      </c>
      <c r="Z37" s="223">
        <v>1</v>
      </c>
      <c r="AA37" s="220">
        <v>1</v>
      </c>
      <c r="AB37" s="220">
        <v>1</v>
      </c>
      <c r="AC37" s="220">
        <v>4</v>
      </c>
    </row>
    <row r="38" spans="1:30">
      <c r="A38" s="207">
        <f t="shared" si="0"/>
        <v>36</v>
      </c>
      <c r="B38" s="213" t="s">
        <v>283</v>
      </c>
      <c r="C38" s="208">
        <v>3.1</v>
      </c>
      <c r="D38" s="226"/>
      <c r="E38" s="226"/>
      <c r="F38" s="226"/>
      <c r="G38" s="226"/>
      <c r="H38" s="226"/>
      <c r="I38" s="226"/>
      <c r="J38" s="226"/>
      <c r="K38" s="226"/>
      <c r="L38" s="223"/>
      <c r="M38" s="223">
        <v>1</v>
      </c>
      <c r="N38" s="223"/>
      <c r="O38" s="223">
        <v>1</v>
      </c>
      <c r="P38" s="223"/>
      <c r="Q38" s="223">
        <v>1</v>
      </c>
      <c r="R38" s="223"/>
      <c r="S38" s="223">
        <v>1</v>
      </c>
      <c r="T38" s="223"/>
      <c r="U38" s="223">
        <v>1</v>
      </c>
      <c r="V38" s="223">
        <v>1</v>
      </c>
      <c r="W38" s="223">
        <v>1</v>
      </c>
      <c r="X38" s="223">
        <v>1</v>
      </c>
      <c r="Y38" s="223">
        <v>1</v>
      </c>
      <c r="Z38" s="223">
        <v>1</v>
      </c>
      <c r="AA38" s="220">
        <v>1</v>
      </c>
      <c r="AB38" s="220">
        <v>1</v>
      </c>
      <c r="AC38" s="220">
        <v>4</v>
      </c>
    </row>
    <row r="39" spans="1:30">
      <c r="A39" s="207">
        <f t="shared" si="0"/>
        <v>37</v>
      </c>
      <c r="B39" s="213" t="s">
        <v>284</v>
      </c>
      <c r="C39" s="208">
        <v>6.5</v>
      </c>
      <c r="D39" s="226"/>
      <c r="E39" s="226"/>
      <c r="F39" s="226"/>
      <c r="G39" s="226"/>
      <c r="H39" s="226"/>
      <c r="I39" s="226"/>
      <c r="J39" s="226"/>
      <c r="K39" s="226"/>
      <c r="L39" s="223"/>
      <c r="M39" s="223"/>
      <c r="N39" s="223"/>
      <c r="O39" s="223"/>
      <c r="P39" s="223"/>
      <c r="Q39" s="223"/>
      <c r="R39" s="223"/>
      <c r="S39" s="223"/>
      <c r="T39" s="223"/>
      <c r="U39" s="223"/>
      <c r="V39" s="223"/>
      <c r="W39" s="223"/>
      <c r="X39" s="223"/>
      <c r="Y39" s="223"/>
      <c r="Z39" s="223"/>
      <c r="AA39" s="220">
        <v>1</v>
      </c>
      <c r="AB39" s="220">
        <v>1</v>
      </c>
      <c r="AC39" s="220">
        <v>4</v>
      </c>
    </row>
    <row r="40" spans="1:30">
      <c r="A40" s="214"/>
      <c r="B40" s="214" t="s">
        <v>477</v>
      </c>
      <c r="C40" s="209">
        <f>SUM(C3:C39)</f>
        <v>121.39999999999992</v>
      </c>
      <c r="D40" s="227">
        <f t="shared" ref="D40:Z40" si="1">SUM(D3:D39)</f>
        <v>4</v>
      </c>
      <c r="E40" s="227">
        <f t="shared" si="1"/>
        <v>4</v>
      </c>
      <c r="F40" s="227">
        <f t="shared" si="1"/>
        <v>4</v>
      </c>
      <c r="G40" s="227">
        <f t="shared" si="1"/>
        <v>4</v>
      </c>
      <c r="H40" s="227">
        <f t="shared" si="1"/>
        <v>4</v>
      </c>
      <c r="I40" s="227">
        <f t="shared" si="1"/>
        <v>4</v>
      </c>
      <c r="J40" s="227">
        <f t="shared" si="1"/>
        <v>4</v>
      </c>
      <c r="K40" s="227">
        <f t="shared" si="1"/>
        <v>4</v>
      </c>
      <c r="L40" s="224">
        <f t="shared" si="1"/>
        <v>10</v>
      </c>
      <c r="M40" s="224">
        <f t="shared" si="1"/>
        <v>18</v>
      </c>
      <c r="N40" s="224">
        <f t="shared" si="1"/>
        <v>10</v>
      </c>
      <c r="O40" s="224">
        <f t="shared" si="1"/>
        <v>18</v>
      </c>
      <c r="P40" s="224">
        <f t="shared" si="1"/>
        <v>3</v>
      </c>
      <c r="Q40" s="224">
        <f t="shared" si="1"/>
        <v>27</v>
      </c>
      <c r="R40" s="224">
        <f t="shared" si="1"/>
        <v>2</v>
      </c>
      <c r="S40" s="224">
        <f t="shared" si="1"/>
        <v>24</v>
      </c>
      <c r="T40" s="224">
        <f t="shared" si="1"/>
        <v>8</v>
      </c>
      <c r="U40" s="224">
        <f t="shared" si="1"/>
        <v>18</v>
      </c>
      <c r="V40" s="224">
        <f t="shared" si="1"/>
        <v>28</v>
      </c>
      <c r="W40" s="224">
        <f t="shared" si="1"/>
        <v>26</v>
      </c>
      <c r="X40" s="224">
        <f t="shared" si="1"/>
        <v>30</v>
      </c>
      <c r="Y40" s="224">
        <f t="shared" si="1"/>
        <v>28</v>
      </c>
      <c r="Z40" s="224">
        <f t="shared" si="1"/>
        <v>28</v>
      </c>
      <c r="AA40" s="221">
        <f>SUM(AA3:AA39)</f>
        <v>37</v>
      </c>
      <c r="AB40" s="221">
        <f>SUM(AB3:AB39)</f>
        <v>37</v>
      </c>
      <c r="AC40" s="221">
        <f>SUM(AC3:AC39)</f>
        <v>164</v>
      </c>
    </row>
    <row r="41" spans="1:30">
      <c r="A41" s="214"/>
      <c r="B41" s="214" t="s">
        <v>478</v>
      </c>
      <c r="C41" s="209"/>
      <c r="D41" s="1070">
        <f>SUM(D40:K40)</f>
        <v>32</v>
      </c>
      <c r="E41" s="1071"/>
      <c r="F41" s="1071"/>
      <c r="G41" s="1071"/>
      <c r="H41" s="1071"/>
      <c r="I41" s="1071"/>
      <c r="J41" s="1071"/>
      <c r="K41" s="1072"/>
      <c r="L41" s="1073">
        <f>SUM(L40:Z40)</f>
        <v>278</v>
      </c>
      <c r="M41" s="1074"/>
      <c r="N41" s="1074"/>
      <c r="O41" s="1074"/>
      <c r="P41" s="1074"/>
      <c r="Q41" s="1074"/>
      <c r="R41" s="1074"/>
      <c r="S41" s="1074"/>
      <c r="T41" s="1074"/>
      <c r="U41" s="1074"/>
      <c r="V41" s="1074"/>
      <c r="W41" s="1074"/>
      <c r="X41" s="1074"/>
      <c r="Y41" s="1074"/>
      <c r="Z41" s="1075"/>
      <c r="AA41" s="1076"/>
      <c r="AB41" s="1077"/>
      <c r="AC41" s="1078"/>
    </row>
    <row r="42" spans="1:30">
      <c r="M42" s="210">
        <f>'Flat Sizes'!D20</f>
        <v>70.36</v>
      </c>
      <c r="O42" s="210">
        <f>'Flat Sizes'!D37</f>
        <v>70.139999999999986</v>
      </c>
      <c r="Q42" s="210">
        <f>'Flat Sizes'!D59</f>
        <v>95.699999999999974</v>
      </c>
      <c r="S42" s="210">
        <f>'Flat Sizes'!D81</f>
        <v>95.719999999999985</v>
      </c>
      <c r="U42" s="210">
        <f>'Flat Sizes'!D98</f>
        <v>70.430000000000007</v>
      </c>
      <c r="V42" s="210">
        <f>'Flat Sizes'!D108</f>
        <v>70.440000000000012</v>
      </c>
      <c r="W42" s="210">
        <f>'Flat Sizes'!D120</f>
        <v>95.999999999999972</v>
      </c>
      <c r="X42" s="210">
        <f>'Flat Sizes'!D132</f>
        <v>95.079999999999984</v>
      </c>
      <c r="Y42" s="210">
        <f>'Flat Sizes'!D142</f>
        <v>70.13</v>
      </c>
      <c r="Z42" s="210">
        <f>'Flat Sizes'!D152</f>
        <v>70.36999999999999</v>
      </c>
      <c r="AA42" s="210">
        <f>'Flat Sizes'!D154+'Flat Sizes'!D155+'Flat Sizes'!D156+'Flat Sizes'!D157</f>
        <v>138.86999999999998</v>
      </c>
      <c r="AC42" s="210">
        <f>'Flat Sizes'!D161</f>
        <v>29.18</v>
      </c>
      <c r="AD42" s="210">
        <f>SUM(M42:AC42)</f>
        <v>972.41999999999985</v>
      </c>
    </row>
    <row r="43" spans="1:30">
      <c r="K43" s="210" t="s">
        <v>479</v>
      </c>
      <c r="L43" s="210">
        <f>L40+N40+T40</f>
        <v>28</v>
      </c>
    </row>
    <row r="44" spans="1:30">
      <c r="K44" s="210">
        <v>2</v>
      </c>
      <c r="L44" s="210">
        <f>M40+O40+R40+U40+V40+Y40+Z40+P40</f>
        <v>143</v>
      </c>
      <c r="AD44" s="210">
        <f>AD42*1.12</f>
        <v>1089.1104</v>
      </c>
    </row>
    <row r="45" spans="1:30">
      <c r="K45" s="210">
        <v>3</v>
      </c>
      <c r="L45" s="210">
        <f>Q40+S40+W40+X40</f>
        <v>107</v>
      </c>
      <c r="AD45" s="210">
        <f>AD44*1.08</f>
        <v>1176.2392320000001</v>
      </c>
    </row>
    <row r="46" spans="1:30">
      <c r="A46" s="210" t="s">
        <v>459</v>
      </c>
      <c r="B46" s="210" t="s">
        <v>480</v>
      </c>
    </row>
    <row r="47" spans="1:30">
      <c r="A47" s="210" t="s">
        <v>461</v>
      </c>
      <c r="B47" s="210" t="s">
        <v>480</v>
      </c>
    </row>
    <row r="48" spans="1:30">
      <c r="A48" s="210" t="s">
        <v>467</v>
      </c>
      <c r="B48" s="210" t="s">
        <v>480</v>
      </c>
      <c r="AC48" s="216"/>
      <c r="AD48" s="217"/>
    </row>
  </sheetData>
  <mergeCells count="3">
    <mergeCell ref="D41:K41"/>
    <mergeCell ref="L41:Z41"/>
    <mergeCell ref="AA41:AC41"/>
  </mergeCells>
  <phoneticPr fontId="5"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3D33F-87F7-4C6D-81F8-921068F296CB}">
  <dimension ref="A1:V1098"/>
  <sheetViews>
    <sheetView tabSelected="1" zoomScaleNormal="100" workbookViewId="0">
      <pane xSplit="2" ySplit="2" topLeftCell="C132" activePane="bottomRight" state="frozen"/>
      <selection pane="topRight" activeCell="H18" sqref="H18"/>
      <selection pane="bottomLeft" activeCell="H18" sqref="H18"/>
      <selection pane="bottomRight" activeCell="A152" sqref="A152:XFD152"/>
    </sheetView>
  </sheetViews>
  <sheetFormatPr defaultColWidth="14.44140625" defaultRowHeight="15" customHeight="1"/>
  <cols>
    <col min="1" max="1" width="9.109375" style="228" customWidth="1"/>
    <col min="2" max="2" width="37.109375" style="228" customWidth="1"/>
    <col min="3" max="3" width="10.88671875" style="228" customWidth="1"/>
    <col min="4" max="4" width="11" style="228" customWidth="1"/>
    <col min="5" max="5" width="12.109375" style="228" customWidth="1"/>
    <col min="6" max="6" width="11.6640625" style="228" customWidth="1"/>
    <col min="7" max="7" width="14" style="228" customWidth="1"/>
    <col min="8" max="8" width="10.6640625" style="228" customWidth="1"/>
    <col min="9" max="9" width="12.44140625" style="228" bestFit="1" customWidth="1"/>
    <col min="10" max="10" width="9.109375" style="228" customWidth="1"/>
    <col min="11" max="11" width="10.33203125" style="228" bestFit="1" customWidth="1"/>
    <col min="12" max="22" width="9.109375" style="228" customWidth="1"/>
    <col min="23" max="16384" width="14.44140625" style="228"/>
  </cols>
  <sheetData>
    <row r="1" spans="1:22" ht="15" customHeight="1">
      <c r="A1" s="1079" t="s">
        <v>481</v>
      </c>
      <c r="B1" s="1080"/>
      <c r="C1" s="1080"/>
      <c r="D1" s="1080"/>
      <c r="E1" s="1080"/>
      <c r="F1" s="1080"/>
      <c r="G1" s="1080"/>
      <c r="H1" s="1080"/>
      <c r="I1" s="1081"/>
    </row>
    <row r="2" spans="1:22" ht="39.6">
      <c r="A2" s="237" t="s">
        <v>288</v>
      </c>
      <c r="B2" s="237" t="s">
        <v>482</v>
      </c>
      <c r="C2" s="237" t="s">
        <v>483</v>
      </c>
      <c r="D2" s="238" t="s">
        <v>484</v>
      </c>
      <c r="E2" s="238" t="s">
        <v>485</v>
      </c>
      <c r="F2" s="238" t="s">
        <v>486</v>
      </c>
      <c r="G2" s="238" t="s">
        <v>487</v>
      </c>
      <c r="H2" s="239" t="s">
        <v>91</v>
      </c>
      <c r="I2" s="239" t="s">
        <v>488</v>
      </c>
      <c r="J2" s="229"/>
      <c r="K2" s="229"/>
      <c r="L2" s="229"/>
      <c r="M2" s="229"/>
      <c r="N2" s="229"/>
      <c r="O2" s="229"/>
      <c r="P2" s="229"/>
      <c r="Q2" s="229"/>
      <c r="R2" s="229"/>
      <c r="S2" s="229"/>
      <c r="T2" s="229"/>
      <c r="U2" s="229"/>
      <c r="V2" s="229"/>
    </row>
    <row r="3" spans="1:22" ht="13.5" customHeight="1">
      <c r="A3" s="240"/>
      <c r="B3" s="241"/>
      <c r="C3" s="242"/>
      <c r="D3" s="243"/>
      <c r="E3" s="243"/>
      <c r="F3" s="243"/>
      <c r="G3" s="243"/>
      <c r="H3" s="243"/>
      <c r="I3" s="243"/>
      <c r="J3" s="229"/>
      <c r="K3" s="229"/>
      <c r="L3" s="229"/>
      <c r="M3" s="229"/>
      <c r="N3" s="229"/>
      <c r="O3" s="229"/>
      <c r="P3" s="229"/>
      <c r="Q3" s="229"/>
      <c r="R3" s="229"/>
      <c r="S3" s="229"/>
      <c r="T3" s="229"/>
      <c r="U3" s="229"/>
      <c r="V3" s="229"/>
    </row>
    <row r="4" spans="1:22" ht="13.5" customHeight="1">
      <c r="A4" s="504">
        <v>1</v>
      </c>
      <c r="B4" s="270" t="str">
        <f>'Room Conf'!L2</f>
        <v>Flat 1A</v>
      </c>
      <c r="C4" s="242"/>
      <c r="D4" s="243"/>
      <c r="E4" s="243"/>
      <c r="F4" s="243"/>
      <c r="G4" s="243"/>
      <c r="H4" s="243">
        <f>'Room Conf'!L40</f>
        <v>10</v>
      </c>
      <c r="I4" s="243">
        <f>+H4*F10</f>
        <v>5032.17</v>
      </c>
    </row>
    <row r="5" spans="1:22" ht="13.5" customHeight="1">
      <c r="A5" s="240">
        <v>1</v>
      </c>
      <c r="B5" s="244" t="s">
        <v>489</v>
      </c>
      <c r="C5" s="242">
        <v>1</v>
      </c>
      <c r="D5" s="243">
        <v>22.05</v>
      </c>
      <c r="E5" s="243">
        <f>D5*10.764</f>
        <v>237.34619999999998</v>
      </c>
      <c r="F5" s="243">
        <f>E5*C5</f>
        <v>237.34619999999998</v>
      </c>
      <c r="G5" s="243">
        <v>19.39</v>
      </c>
      <c r="H5" s="243"/>
      <c r="I5" s="243"/>
    </row>
    <row r="6" spans="1:22" ht="13.5" customHeight="1">
      <c r="A6" s="240">
        <v>2</v>
      </c>
      <c r="B6" s="244" t="s">
        <v>490</v>
      </c>
      <c r="C6" s="242">
        <v>1</v>
      </c>
      <c r="D6" s="243">
        <v>5.47</v>
      </c>
      <c r="E6" s="243">
        <f>D6*10.764</f>
        <v>58.879079999999995</v>
      </c>
      <c r="F6" s="243">
        <f>E6*C6</f>
        <v>58.879079999999995</v>
      </c>
      <c r="G6" s="243">
        <v>9.77</v>
      </c>
      <c r="H6" s="243"/>
      <c r="I6" s="243"/>
    </row>
    <row r="7" spans="1:22" ht="13.5" customHeight="1">
      <c r="A7" s="240">
        <v>3</v>
      </c>
      <c r="B7" s="244" t="s">
        <v>491</v>
      </c>
      <c r="C7" s="242">
        <v>1</v>
      </c>
      <c r="D7" s="243">
        <v>12.42</v>
      </c>
      <c r="E7" s="243">
        <f>D7*10.764</f>
        <v>133.68887999999998</v>
      </c>
      <c r="F7" s="243">
        <f>E7*C7</f>
        <v>133.68887999999998</v>
      </c>
      <c r="G7" s="243">
        <v>14.75</v>
      </c>
      <c r="H7" s="243"/>
      <c r="I7" s="243"/>
    </row>
    <row r="8" spans="1:22" ht="13.5" customHeight="1">
      <c r="A8" s="240">
        <v>4</v>
      </c>
      <c r="B8" s="244" t="s">
        <v>492</v>
      </c>
      <c r="C8" s="242">
        <v>1</v>
      </c>
      <c r="D8" s="243">
        <v>3.46</v>
      </c>
      <c r="E8" s="243">
        <f>D8*10.764</f>
        <v>37.24344</v>
      </c>
      <c r="F8" s="243">
        <f>E8*C8</f>
        <v>37.24344</v>
      </c>
      <c r="G8" s="243">
        <v>7.91</v>
      </c>
      <c r="H8" s="243"/>
      <c r="I8" s="243"/>
    </row>
    <row r="9" spans="1:22" ht="13.5" customHeight="1">
      <c r="A9" s="240">
        <v>5</v>
      </c>
      <c r="B9" s="244" t="s">
        <v>493</v>
      </c>
      <c r="C9" s="242">
        <v>1</v>
      </c>
      <c r="D9" s="243">
        <v>3.35</v>
      </c>
      <c r="E9" s="243">
        <f>D9*10.764</f>
        <v>36.059399999999997</v>
      </c>
      <c r="F9" s="243">
        <f>E9*C9</f>
        <v>36.059399999999997</v>
      </c>
      <c r="G9" s="243">
        <v>7.76</v>
      </c>
      <c r="H9" s="243"/>
      <c r="I9" s="243"/>
    </row>
    <row r="10" spans="1:22" ht="13.5" customHeight="1">
      <c r="A10" s="245"/>
      <c r="B10" s="246" t="s">
        <v>494</v>
      </c>
      <c r="C10" s="247"/>
      <c r="D10" s="248">
        <f>SUM(D5:D9)</f>
        <v>46.75</v>
      </c>
      <c r="E10" s="248">
        <f>SUM(E5:E9)</f>
        <v>503.21699999999998</v>
      </c>
      <c r="F10" s="248">
        <f>SUM(F5:F9)</f>
        <v>503.21699999999998</v>
      </c>
      <c r="G10" s="248"/>
      <c r="H10" s="248"/>
      <c r="I10" s="248"/>
    </row>
    <row r="11" spans="1:22" ht="13.5" customHeight="1">
      <c r="A11" s="504">
        <v>2</v>
      </c>
      <c r="B11" s="270" t="str">
        <f>'Room Conf'!M2</f>
        <v>Flat 1B,
2BHK</v>
      </c>
      <c r="C11" s="242"/>
      <c r="D11" s="243"/>
      <c r="E11" s="243"/>
      <c r="F11" s="243"/>
      <c r="G11" s="243"/>
      <c r="H11" s="243">
        <f>'Room Conf'!M40</f>
        <v>18</v>
      </c>
      <c r="I11" s="243">
        <f>+H11*F20</f>
        <v>13632.390719999999</v>
      </c>
    </row>
    <row r="12" spans="1:22" ht="13.5" customHeight="1">
      <c r="A12" s="240">
        <v>1</v>
      </c>
      <c r="B12" s="244" t="s">
        <v>495</v>
      </c>
      <c r="C12" s="242">
        <v>1</v>
      </c>
      <c r="D12" s="243">
        <v>25.47</v>
      </c>
      <c r="E12" s="243">
        <f t="shared" ref="E12:E19" si="0">D12*10.764</f>
        <v>274.15907999999996</v>
      </c>
      <c r="F12" s="243">
        <f>E12*C12</f>
        <v>274.15907999999996</v>
      </c>
      <c r="G12" s="243">
        <v>22.71</v>
      </c>
      <c r="H12" s="243"/>
      <c r="I12" s="243"/>
    </row>
    <row r="13" spans="1:22" ht="13.5" customHeight="1">
      <c r="A13" s="240">
        <v>2</v>
      </c>
      <c r="B13" s="244" t="s">
        <v>491</v>
      </c>
      <c r="C13" s="242">
        <v>1</v>
      </c>
      <c r="D13" s="243">
        <v>15.79</v>
      </c>
      <c r="E13" s="243">
        <f t="shared" si="0"/>
        <v>169.96355999999997</v>
      </c>
      <c r="F13" s="243">
        <f t="shared" ref="F13:F19" si="1">E13*C13</f>
        <v>169.96355999999997</v>
      </c>
      <c r="G13" s="243">
        <v>19.489999999999998</v>
      </c>
      <c r="H13" s="243"/>
      <c r="I13" s="243"/>
    </row>
    <row r="14" spans="1:22" ht="13.5" customHeight="1">
      <c r="A14" s="240">
        <v>3</v>
      </c>
      <c r="B14" s="244" t="s">
        <v>492</v>
      </c>
      <c r="C14" s="242">
        <v>1</v>
      </c>
      <c r="D14" s="243">
        <v>3.46</v>
      </c>
      <c r="E14" s="243">
        <f t="shared" si="0"/>
        <v>37.24344</v>
      </c>
      <c r="F14" s="243">
        <f t="shared" si="1"/>
        <v>37.24344</v>
      </c>
      <c r="G14" s="243">
        <v>7.92</v>
      </c>
      <c r="H14" s="243"/>
      <c r="I14" s="243"/>
    </row>
    <row r="15" spans="1:22" ht="13.5" customHeight="1">
      <c r="A15" s="240">
        <v>4</v>
      </c>
      <c r="B15" s="244" t="s">
        <v>496</v>
      </c>
      <c r="C15" s="242">
        <v>1</v>
      </c>
      <c r="D15" s="243">
        <v>10.67</v>
      </c>
      <c r="E15" s="243">
        <f t="shared" si="0"/>
        <v>114.85187999999999</v>
      </c>
      <c r="F15" s="243">
        <f t="shared" si="1"/>
        <v>114.85187999999999</v>
      </c>
      <c r="G15" s="243">
        <v>13.55</v>
      </c>
      <c r="H15" s="243"/>
      <c r="I15" s="243"/>
    </row>
    <row r="16" spans="1:22" ht="13.5" customHeight="1">
      <c r="A16" s="240">
        <v>5</v>
      </c>
      <c r="B16" s="244" t="s">
        <v>493</v>
      </c>
      <c r="C16" s="242">
        <v>1</v>
      </c>
      <c r="D16" s="243">
        <v>3.35</v>
      </c>
      <c r="E16" s="243">
        <f t="shared" si="0"/>
        <v>36.059399999999997</v>
      </c>
      <c r="F16" s="243">
        <f t="shared" si="1"/>
        <v>36.059399999999997</v>
      </c>
      <c r="G16" s="243">
        <v>7.76</v>
      </c>
      <c r="H16" s="243"/>
      <c r="I16" s="243"/>
    </row>
    <row r="17" spans="1:9" ht="13.5" customHeight="1">
      <c r="A17" s="240">
        <v>6</v>
      </c>
      <c r="B17" s="244" t="s">
        <v>497</v>
      </c>
      <c r="C17" s="242">
        <v>1</v>
      </c>
      <c r="D17" s="243">
        <v>6.41</v>
      </c>
      <c r="E17" s="243">
        <f t="shared" si="0"/>
        <v>68.997239999999991</v>
      </c>
      <c r="F17" s="243">
        <f t="shared" si="1"/>
        <v>68.997239999999991</v>
      </c>
      <c r="G17" s="243">
        <v>10.99</v>
      </c>
      <c r="H17" s="243"/>
      <c r="I17" s="243"/>
    </row>
    <row r="18" spans="1:9" ht="13.5" customHeight="1">
      <c r="A18" s="240">
        <v>7</v>
      </c>
      <c r="B18" s="244" t="s">
        <v>498</v>
      </c>
      <c r="C18" s="242">
        <v>1</v>
      </c>
      <c r="D18" s="243">
        <v>2.61</v>
      </c>
      <c r="E18" s="243">
        <f t="shared" si="0"/>
        <v>28.094039999999996</v>
      </c>
      <c r="F18" s="243">
        <f t="shared" si="1"/>
        <v>28.094039999999996</v>
      </c>
      <c r="G18" s="243">
        <v>6.71</v>
      </c>
      <c r="H18" s="243"/>
      <c r="I18" s="243"/>
    </row>
    <row r="19" spans="1:9" ht="13.5" customHeight="1">
      <c r="A19" s="240">
        <v>8</v>
      </c>
      <c r="B19" s="244" t="s">
        <v>499</v>
      </c>
      <c r="C19" s="242">
        <v>1</v>
      </c>
      <c r="D19" s="243">
        <v>2.6</v>
      </c>
      <c r="E19" s="243">
        <f t="shared" si="0"/>
        <v>27.9864</v>
      </c>
      <c r="F19" s="243">
        <f t="shared" si="1"/>
        <v>27.9864</v>
      </c>
      <c r="G19" s="243">
        <v>6.7</v>
      </c>
      <c r="H19" s="243"/>
      <c r="I19" s="243"/>
    </row>
    <row r="20" spans="1:9" ht="13.5" customHeight="1">
      <c r="A20" s="245"/>
      <c r="B20" s="246" t="s">
        <v>494</v>
      </c>
      <c r="C20" s="247"/>
      <c r="D20" s="248">
        <f>SUM(D12:D19)</f>
        <v>70.36</v>
      </c>
      <c r="E20" s="248">
        <f>SUM(E12:E19)</f>
        <v>757.35503999999992</v>
      </c>
      <c r="F20" s="248">
        <f>SUM(F12:F19)</f>
        <v>757.35503999999992</v>
      </c>
      <c r="G20" s="248"/>
      <c r="H20" s="248"/>
      <c r="I20" s="248"/>
    </row>
    <row r="21" spans="1:9" ht="13.5" customHeight="1">
      <c r="A21" s="504">
        <v>3</v>
      </c>
      <c r="B21" s="270" t="str">
        <f>'Room Conf'!N2</f>
        <v>Flat 2A</v>
      </c>
      <c r="C21" s="242"/>
      <c r="D21" s="243"/>
      <c r="E21" s="243"/>
      <c r="F21" s="243"/>
      <c r="G21" s="243"/>
      <c r="H21" s="243">
        <f>'Room Conf'!N40</f>
        <v>10</v>
      </c>
      <c r="I21" s="243">
        <f>+H21*F27</f>
        <v>4708.1736000000001</v>
      </c>
    </row>
    <row r="22" spans="1:9" ht="13.5" customHeight="1">
      <c r="A22" s="240">
        <v>1</v>
      </c>
      <c r="B22" s="244" t="s">
        <v>489</v>
      </c>
      <c r="C22" s="242">
        <v>1</v>
      </c>
      <c r="D22" s="243">
        <v>21.86</v>
      </c>
      <c r="E22" s="243">
        <f t="shared" ref="E22:E26" si="2">D22*10.764</f>
        <v>235.30103999999997</v>
      </c>
      <c r="F22" s="243">
        <f t="shared" ref="F22:F26" si="3">E22*C22</f>
        <v>235.30103999999997</v>
      </c>
      <c r="G22" s="243">
        <v>19.09</v>
      </c>
      <c r="H22" s="243"/>
      <c r="I22" s="243"/>
    </row>
    <row r="23" spans="1:9" ht="13.5" customHeight="1">
      <c r="A23" s="240">
        <v>2</v>
      </c>
      <c r="B23" s="244" t="s">
        <v>490</v>
      </c>
      <c r="C23" s="242">
        <v>1</v>
      </c>
      <c r="D23" s="243">
        <v>6.96</v>
      </c>
      <c r="E23" s="243">
        <f t="shared" si="2"/>
        <v>74.917439999999999</v>
      </c>
      <c r="F23" s="243">
        <f t="shared" si="3"/>
        <v>74.917439999999999</v>
      </c>
      <c r="G23" s="243">
        <v>11.08</v>
      </c>
      <c r="H23" s="243"/>
      <c r="I23" s="243"/>
    </row>
    <row r="24" spans="1:9" ht="13.5" customHeight="1">
      <c r="A24" s="240">
        <v>3</v>
      </c>
      <c r="B24" s="244" t="s">
        <v>491</v>
      </c>
      <c r="C24" s="242">
        <v>1</v>
      </c>
      <c r="D24" s="243">
        <v>9.48</v>
      </c>
      <c r="E24" s="243">
        <f t="shared" si="2"/>
        <v>102.04272</v>
      </c>
      <c r="F24" s="243">
        <f t="shared" si="3"/>
        <v>102.04272</v>
      </c>
      <c r="G24" s="243">
        <v>14.59</v>
      </c>
      <c r="H24" s="243"/>
      <c r="I24" s="243"/>
    </row>
    <row r="25" spans="1:9" ht="13.5" customHeight="1">
      <c r="A25" s="240">
        <v>4</v>
      </c>
      <c r="B25" s="244" t="s">
        <v>492</v>
      </c>
      <c r="C25" s="242">
        <v>1</v>
      </c>
      <c r="D25" s="243">
        <v>2.57</v>
      </c>
      <c r="E25" s="243">
        <f t="shared" si="2"/>
        <v>27.663479999999996</v>
      </c>
      <c r="F25" s="243">
        <f t="shared" si="3"/>
        <v>27.663479999999996</v>
      </c>
      <c r="G25" s="243">
        <v>6.75</v>
      </c>
      <c r="H25" s="243"/>
      <c r="I25" s="243"/>
    </row>
    <row r="26" spans="1:9" ht="13.5" customHeight="1">
      <c r="A26" s="240">
        <v>5</v>
      </c>
      <c r="B26" s="244" t="s">
        <v>493</v>
      </c>
      <c r="C26" s="242">
        <v>1</v>
      </c>
      <c r="D26" s="243">
        <v>2.87</v>
      </c>
      <c r="E26" s="243">
        <f t="shared" si="2"/>
        <v>30.892679999999999</v>
      </c>
      <c r="F26" s="243">
        <f t="shared" si="3"/>
        <v>30.892679999999999</v>
      </c>
      <c r="G26" s="243">
        <v>7.05</v>
      </c>
      <c r="H26" s="243"/>
      <c r="I26" s="243"/>
    </row>
    <row r="27" spans="1:9" ht="13.5" customHeight="1">
      <c r="A27" s="245"/>
      <c r="B27" s="246" t="s">
        <v>494</v>
      </c>
      <c r="C27" s="247"/>
      <c r="D27" s="248">
        <f>SUM(D22:D26)</f>
        <v>43.739999999999995</v>
      </c>
      <c r="E27" s="248">
        <f>SUM(E22:E26)</f>
        <v>470.81736000000001</v>
      </c>
      <c r="F27" s="248">
        <f>SUM(F22:F26)</f>
        <v>470.81736000000001</v>
      </c>
      <c r="G27" s="248"/>
      <c r="H27" s="248"/>
      <c r="I27" s="248"/>
    </row>
    <row r="28" spans="1:9" ht="13.5" customHeight="1">
      <c r="A28" s="531">
        <v>4</v>
      </c>
      <c r="B28" s="270" t="str">
        <f>'Room Conf'!O2</f>
        <v>Flat 2B,
2BHK</v>
      </c>
      <c r="C28" s="242"/>
      <c r="D28" s="243"/>
      <c r="E28" s="243"/>
      <c r="F28" s="243"/>
      <c r="G28" s="243"/>
      <c r="H28" s="243">
        <f>'Room Conf'!O40</f>
        <v>18</v>
      </c>
      <c r="I28" s="243">
        <f>+H28*F37</f>
        <v>13589.76528</v>
      </c>
    </row>
    <row r="29" spans="1:9" ht="13.5" customHeight="1">
      <c r="A29" s="240">
        <v>1</v>
      </c>
      <c r="B29" s="244" t="s">
        <v>495</v>
      </c>
      <c r="C29" s="242">
        <v>1</v>
      </c>
      <c r="D29" s="243">
        <v>25.4</v>
      </c>
      <c r="E29" s="243">
        <f t="shared" ref="E29:E36" si="4">D29*10.764</f>
        <v>273.40559999999999</v>
      </c>
      <c r="F29" s="243">
        <f t="shared" ref="F29:F36" si="5">E29*C29</f>
        <v>273.40559999999999</v>
      </c>
      <c r="G29" s="243">
        <v>22.55</v>
      </c>
      <c r="H29" s="243"/>
      <c r="I29" s="243"/>
    </row>
    <row r="30" spans="1:9" ht="13.5" customHeight="1">
      <c r="A30" s="240">
        <v>2</v>
      </c>
      <c r="B30" s="244" t="s">
        <v>491</v>
      </c>
      <c r="C30" s="242">
        <v>1</v>
      </c>
      <c r="D30" s="243">
        <v>15.45</v>
      </c>
      <c r="E30" s="243">
        <f t="shared" si="4"/>
        <v>166.3038</v>
      </c>
      <c r="F30" s="243">
        <f t="shared" si="5"/>
        <v>166.3038</v>
      </c>
      <c r="G30" s="243">
        <v>19.329999999999998</v>
      </c>
      <c r="H30" s="243"/>
      <c r="I30" s="243"/>
    </row>
    <row r="31" spans="1:9" ht="13.5" customHeight="1">
      <c r="A31" s="240">
        <v>3</v>
      </c>
      <c r="B31" s="244" t="s">
        <v>492</v>
      </c>
      <c r="C31" s="242">
        <v>1</v>
      </c>
      <c r="D31" s="243">
        <v>3.39</v>
      </c>
      <c r="E31" s="243">
        <f t="shared" si="4"/>
        <v>36.489959999999996</v>
      </c>
      <c r="F31" s="243">
        <f t="shared" si="5"/>
        <v>36.489959999999996</v>
      </c>
      <c r="G31" s="243">
        <v>7.94</v>
      </c>
      <c r="H31" s="243"/>
      <c r="I31" s="243"/>
    </row>
    <row r="32" spans="1:9" ht="13.5" customHeight="1">
      <c r="A32" s="240">
        <v>4</v>
      </c>
      <c r="B32" s="244" t="s">
        <v>496</v>
      </c>
      <c r="C32" s="242">
        <v>1</v>
      </c>
      <c r="D32" s="243">
        <v>10.63</v>
      </c>
      <c r="E32" s="243">
        <f t="shared" si="4"/>
        <v>114.42131999999999</v>
      </c>
      <c r="F32" s="243">
        <f t="shared" si="5"/>
        <v>114.42131999999999</v>
      </c>
      <c r="G32" s="243">
        <v>13.55</v>
      </c>
      <c r="H32" s="243"/>
      <c r="I32" s="243"/>
    </row>
    <row r="33" spans="1:9" ht="13.5" customHeight="1">
      <c r="A33" s="240">
        <v>5</v>
      </c>
      <c r="B33" s="244" t="s">
        <v>493</v>
      </c>
      <c r="C33" s="242">
        <v>1</v>
      </c>
      <c r="D33" s="243">
        <v>3.47</v>
      </c>
      <c r="E33" s="243">
        <f t="shared" si="4"/>
        <v>37.351080000000003</v>
      </c>
      <c r="F33" s="243">
        <f t="shared" si="5"/>
        <v>37.351080000000003</v>
      </c>
      <c r="G33" s="243">
        <v>7.94</v>
      </c>
      <c r="H33" s="243"/>
      <c r="I33" s="243"/>
    </row>
    <row r="34" spans="1:9" ht="13.5" customHeight="1">
      <c r="A34" s="240">
        <v>6</v>
      </c>
      <c r="B34" s="244" t="s">
        <v>497</v>
      </c>
      <c r="C34" s="242">
        <v>1</v>
      </c>
      <c r="D34" s="243">
        <v>6.93</v>
      </c>
      <c r="E34" s="243">
        <f t="shared" si="4"/>
        <v>74.594519999999989</v>
      </c>
      <c r="F34" s="243">
        <f t="shared" si="5"/>
        <v>74.594519999999989</v>
      </c>
      <c r="G34" s="243">
        <v>11.08</v>
      </c>
      <c r="H34" s="243"/>
      <c r="I34" s="243"/>
    </row>
    <row r="35" spans="1:9" ht="13.5" customHeight="1">
      <c r="A35" s="240">
        <v>7</v>
      </c>
      <c r="B35" s="244" t="s">
        <v>498</v>
      </c>
      <c r="C35" s="242">
        <v>1</v>
      </c>
      <c r="D35" s="243">
        <v>2.27</v>
      </c>
      <c r="E35" s="243">
        <f t="shared" si="4"/>
        <v>24.434279999999998</v>
      </c>
      <c r="F35" s="243">
        <f t="shared" si="5"/>
        <v>24.434279999999998</v>
      </c>
      <c r="G35" s="243">
        <v>6.1</v>
      </c>
      <c r="H35" s="243"/>
      <c r="I35" s="243"/>
    </row>
    <row r="36" spans="1:9" ht="13.5" customHeight="1">
      <c r="A36" s="240">
        <v>8</v>
      </c>
      <c r="B36" s="244" t="s">
        <v>499</v>
      </c>
      <c r="C36" s="242">
        <v>1</v>
      </c>
      <c r="D36" s="243">
        <v>2.6</v>
      </c>
      <c r="E36" s="243">
        <f t="shared" si="4"/>
        <v>27.9864</v>
      </c>
      <c r="F36" s="243">
        <f t="shared" si="5"/>
        <v>27.9864</v>
      </c>
      <c r="G36" s="243">
        <v>6.7</v>
      </c>
      <c r="H36" s="243"/>
      <c r="I36" s="243"/>
    </row>
    <row r="37" spans="1:9" ht="13.5" customHeight="1">
      <c r="A37" s="245"/>
      <c r="B37" s="246" t="s">
        <v>494</v>
      </c>
      <c r="C37" s="247"/>
      <c r="D37" s="248">
        <f>SUM(D29:D36)</f>
        <v>70.139999999999986</v>
      </c>
      <c r="E37" s="248">
        <f>SUM(E29:E36)</f>
        <v>754.98695999999995</v>
      </c>
      <c r="F37" s="248">
        <f>SUM(F29:F36)</f>
        <v>754.98695999999995</v>
      </c>
      <c r="G37" s="248"/>
      <c r="H37" s="248"/>
      <c r="I37" s="248"/>
    </row>
    <row r="38" spans="1:9" ht="13.5" customHeight="1">
      <c r="A38" s="531">
        <v>5</v>
      </c>
      <c r="B38" s="270" t="str">
        <f>'Room Conf'!P2</f>
        <v>Flat 3A,
2BHK</v>
      </c>
      <c r="C38" s="242"/>
      <c r="D38" s="243"/>
      <c r="E38" s="243"/>
      <c r="F38" s="243"/>
      <c r="G38" s="243"/>
      <c r="H38" s="243">
        <f>'Room Conf'!P40</f>
        <v>3</v>
      </c>
      <c r="I38" s="243">
        <f>+H38*F47</f>
        <v>2269.4817599999997</v>
      </c>
    </row>
    <row r="39" spans="1:9" ht="13.5" customHeight="1">
      <c r="A39" s="240">
        <v>1</v>
      </c>
      <c r="B39" s="244" t="s">
        <v>495</v>
      </c>
      <c r="C39" s="242">
        <v>1</v>
      </c>
      <c r="D39" s="243">
        <v>28.59</v>
      </c>
      <c r="E39" s="243">
        <f t="shared" ref="E39:E46" si="6">D39*10.764</f>
        <v>307.74275999999998</v>
      </c>
      <c r="F39" s="243">
        <f t="shared" ref="F39:F46" si="7">E39*C39</f>
        <v>307.74275999999998</v>
      </c>
      <c r="G39" s="243">
        <v>29.11</v>
      </c>
      <c r="H39" s="243"/>
      <c r="I39" s="243"/>
    </row>
    <row r="40" spans="1:9" ht="13.5" customHeight="1">
      <c r="A40" s="240">
        <v>2</v>
      </c>
      <c r="B40" s="244" t="s">
        <v>491</v>
      </c>
      <c r="C40" s="242">
        <v>1</v>
      </c>
      <c r="D40" s="243">
        <v>11.26</v>
      </c>
      <c r="E40" s="243">
        <f t="shared" si="6"/>
        <v>121.20263999999999</v>
      </c>
      <c r="F40" s="243">
        <f t="shared" si="7"/>
        <v>121.20263999999999</v>
      </c>
      <c r="G40" s="243">
        <v>13.29</v>
      </c>
      <c r="H40" s="243"/>
      <c r="I40" s="243"/>
    </row>
    <row r="41" spans="1:9" ht="13.5" customHeight="1">
      <c r="A41" s="240">
        <v>3</v>
      </c>
      <c r="B41" s="244" t="s">
        <v>492</v>
      </c>
      <c r="C41" s="242">
        <v>1</v>
      </c>
      <c r="D41" s="243">
        <v>3.9</v>
      </c>
      <c r="E41" s="243">
        <f t="shared" si="6"/>
        <v>41.979599999999998</v>
      </c>
      <c r="F41" s="243">
        <f t="shared" si="7"/>
        <v>41.979599999999998</v>
      </c>
      <c r="G41" s="243">
        <v>8.27</v>
      </c>
      <c r="H41" s="243"/>
      <c r="I41" s="243"/>
    </row>
    <row r="42" spans="1:9" ht="13.5" customHeight="1">
      <c r="A42" s="240">
        <v>4</v>
      </c>
      <c r="B42" s="244" t="s">
        <v>491</v>
      </c>
      <c r="C42" s="242">
        <v>1</v>
      </c>
      <c r="D42" s="243">
        <v>11.02</v>
      </c>
      <c r="E42" s="243">
        <f t="shared" si="6"/>
        <v>118.61927999999999</v>
      </c>
      <c r="F42" s="243">
        <f t="shared" si="7"/>
        <v>118.61927999999999</v>
      </c>
      <c r="G42" s="243">
        <v>13.7</v>
      </c>
      <c r="H42" s="243"/>
      <c r="I42" s="243"/>
    </row>
    <row r="43" spans="1:9" ht="13.5" customHeight="1">
      <c r="A43" s="240">
        <v>5</v>
      </c>
      <c r="B43" s="244" t="s">
        <v>492</v>
      </c>
      <c r="C43" s="242">
        <v>1</v>
      </c>
      <c r="D43" s="243">
        <v>3.83</v>
      </c>
      <c r="E43" s="243">
        <f t="shared" si="6"/>
        <v>41.226120000000002</v>
      </c>
      <c r="F43" s="243">
        <f t="shared" si="7"/>
        <v>41.226120000000002</v>
      </c>
      <c r="G43" s="243">
        <v>8.2200000000000006</v>
      </c>
      <c r="H43" s="243"/>
      <c r="I43" s="243"/>
    </row>
    <row r="44" spans="1:9" ht="13.5" customHeight="1">
      <c r="A44" s="240">
        <v>6</v>
      </c>
      <c r="B44" s="244" t="s">
        <v>497</v>
      </c>
      <c r="C44" s="242">
        <v>1</v>
      </c>
      <c r="D44" s="243">
        <v>6.13</v>
      </c>
      <c r="E44" s="243">
        <f t="shared" si="6"/>
        <v>65.983319999999992</v>
      </c>
      <c r="F44" s="243">
        <f t="shared" si="7"/>
        <v>65.983319999999992</v>
      </c>
      <c r="G44" s="243">
        <v>10.39</v>
      </c>
      <c r="H44" s="243"/>
      <c r="I44" s="243"/>
    </row>
    <row r="45" spans="1:9" ht="13.5" customHeight="1">
      <c r="A45" s="240">
        <v>7</v>
      </c>
      <c r="B45" s="244" t="s">
        <v>498</v>
      </c>
      <c r="C45" s="242">
        <v>1</v>
      </c>
      <c r="D45" s="243">
        <v>2.75</v>
      </c>
      <c r="E45" s="243">
        <f t="shared" si="6"/>
        <v>29.600999999999999</v>
      </c>
      <c r="F45" s="243">
        <f t="shared" si="7"/>
        <v>29.600999999999999</v>
      </c>
      <c r="G45" s="243">
        <v>7.05</v>
      </c>
      <c r="H45" s="243"/>
      <c r="I45" s="243"/>
    </row>
    <row r="46" spans="1:9" ht="13.5" customHeight="1">
      <c r="A46" s="240">
        <v>8</v>
      </c>
      <c r="B46" s="244" t="s">
        <v>499</v>
      </c>
      <c r="C46" s="242">
        <v>1</v>
      </c>
      <c r="D46" s="243">
        <v>2.8</v>
      </c>
      <c r="E46" s="243">
        <f t="shared" si="6"/>
        <v>30.139199999999995</v>
      </c>
      <c r="F46" s="243">
        <f t="shared" si="7"/>
        <v>30.139199999999995</v>
      </c>
      <c r="G46" s="243">
        <v>7.01</v>
      </c>
      <c r="H46" s="243"/>
      <c r="I46" s="243"/>
    </row>
    <row r="47" spans="1:9" ht="13.5" customHeight="1">
      <c r="A47" s="245"/>
      <c r="B47" s="246" t="s">
        <v>494</v>
      </c>
      <c r="C47" s="247"/>
      <c r="D47" s="248">
        <f>SUM(D39:D46)</f>
        <v>70.279999999999987</v>
      </c>
      <c r="E47" s="248">
        <f>SUM(E39:E46)</f>
        <v>756.49391999999989</v>
      </c>
      <c r="F47" s="248">
        <f>SUM(F39:F46)</f>
        <v>756.49391999999989</v>
      </c>
      <c r="G47" s="248"/>
      <c r="H47" s="248"/>
      <c r="I47" s="248"/>
    </row>
    <row r="48" spans="1:9" ht="13.5" customHeight="1">
      <c r="A48" s="531">
        <v>6</v>
      </c>
      <c r="B48" s="270" t="str">
        <f>'Room Conf'!Q2</f>
        <v>Flat 3B,
3BHK</v>
      </c>
      <c r="C48" s="242"/>
      <c r="D48" s="243"/>
      <c r="E48" s="243"/>
      <c r="F48" s="243"/>
      <c r="G48" s="243"/>
      <c r="H48" s="243">
        <f>'Room Conf'!Q40</f>
        <v>27</v>
      </c>
      <c r="I48" s="243">
        <f>+H48*F59</f>
        <v>27188.611199999996</v>
      </c>
    </row>
    <row r="49" spans="1:9" ht="13.5" customHeight="1">
      <c r="A49" s="240">
        <v>1</v>
      </c>
      <c r="B49" s="244" t="s">
        <v>495</v>
      </c>
      <c r="C49" s="242">
        <v>1</v>
      </c>
      <c r="D49" s="243">
        <v>30.36</v>
      </c>
      <c r="E49" s="243">
        <f t="shared" ref="E49:E58" si="8">D49*10.764</f>
        <v>326.79503999999997</v>
      </c>
      <c r="F49" s="243">
        <f t="shared" ref="F49:F58" si="9">E49*C49</f>
        <v>326.79503999999997</v>
      </c>
      <c r="G49" s="243">
        <v>31.47</v>
      </c>
      <c r="H49" s="243"/>
      <c r="I49" s="243"/>
    </row>
    <row r="50" spans="1:9" ht="13.5" customHeight="1">
      <c r="A50" s="240">
        <v>2</v>
      </c>
      <c r="B50" s="244" t="s">
        <v>491</v>
      </c>
      <c r="C50" s="242">
        <v>1</v>
      </c>
      <c r="D50" s="243">
        <v>15.29</v>
      </c>
      <c r="E50" s="243">
        <f t="shared" si="8"/>
        <v>164.58155999999997</v>
      </c>
      <c r="F50" s="243">
        <f t="shared" si="9"/>
        <v>164.58155999999997</v>
      </c>
      <c r="G50" s="243">
        <v>18.32</v>
      </c>
      <c r="H50" s="243"/>
      <c r="I50" s="243"/>
    </row>
    <row r="51" spans="1:9" ht="13.5" customHeight="1">
      <c r="A51" s="240">
        <v>3</v>
      </c>
      <c r="B51" s="244" t="s">
        <v>492</v>
      </c>
      <c r="C51" s="242">
        <v>1</v>
      </c>
      <c r="D51" s="243">
        <v>3.9</v>
      </c>
      <c r="E51" s="243">
        <f t="shared" si="8"/>
        <v>41.979599999999998</v>
      </c>
      <c r="F51" s="243">
        <f t="shared" si="9"/>
        <v>41.979599999999998</v>
      </c>
      <c r="G51" s="243">
        <v>8.27</v>
      </c>
      <c r="H51" s="243"/>
      <c r="I51" s="243"/>
    </row>
    <row r="52" spans="1:9" ht="13.5" customHeight="1">
      <c r="A52" s="240">
        <v>4</v>
      </c>
      <c r="B52" s="244" t="s">
        <v>491</v>
      </c>
      <c r="C52" s="242">
        <v>1</v>
      </c>
      <c r="D52" s="243">
        <v>14.58</v>
      </c>
      <c r="E52" s="243">
        <f t="shared" si="8"/>
        <v>156.93912</v>
      </c>
      <c r="F52" s="243">
        <f t="shared" si="9"/>
        <v>156.93912</v>
      </c>
      <c r="G52" s="243">
        <v>17.350000000000001</v>
      </c>
      <c r="H52" s="243"/>
      <c r="I52" s="243"/>
    </row>
    <row r="53" spans="1:9" ht="13.5" customHeight="1">
      <c r="A53" s="240">
        <v>5</v>
      </c>
      <c r="B53" s="244" t="s">
        <v>492</v>
      </c>
      <c r="C53" s="242">
        <v>1</v>
      </c>
      <c r="D53" s="243">
        <v>3.82</v>
      </c>
      <c r="E53" s="243">
        <f t="shared" si="8"/>
        <v>41.118479999999998</v>
      </c>
      <c r="F53" s="243">
        <f t="shared" si="9"/>
        <v>41.118479999999998</v>
      </c>
      <c r="G53" s="243">
        <v>8.2100000000000009</v>
      </c>
      <c r="H53" s="243"/>
      <c r="I53" s="243"/>
    </row>
    <row r="54" spans="1:9" ht="13.5" customHeight="1">
      <c r="A54" s="240">
        <v>6</v>
      </c>
      <c r="B54" s="244" t="s">
        <v>500</v>
      </c>
      <c r="C54" s="242">
        <v>1</v>
      </c>
      <c r="D54" s="243">
        <v>10.47</v>
      </c>
      <c r="E54" s="243">
        <f t="shared" si="8"/>
        <v>112.69908</v>
      </c>
      <c r="F54" s="243">
        <f t="shared" si="9"/>
        <v>112.69908</v>
      </c>
      <c r="G54" s="243">
        <v>13.43</v>
      </c>
      <c r="H54" s="243"/>
      <c r="I54" s="243"/>
    </row>
    <row r="55" spans="1:9" ht="13.5" customHeight="1">
      <c r="A55" s="240">
        <v>7</v>
      </c>
      <c r="B55" s="228" t="s">
        <v>493</v>
      </c>
      <c r="C55" s="242">
        <v>1</v>
      </c>
      <c r="D55" s="243">
        <v>3.83</v>
      </c>
      <c r="E55" s="243">
        <f t="shared" si="8"/>
        <v>41.226120000000002</v>
      </c>
      <c r="F55" s="243">
        <f t="shared" si="9"/>
        <v>41.226120000000002</v>
      </c>
      <c r="G55" s="243">
        <v>8.2200000000000006</v>
      </c>
      <c r="H55" s="243"/>
      <c r="I55" s="243"/>
    </row>
    <row r="56" spans="1:9" ht="13.5" customHeight="1">
      <c r="A56" s="240">
        <v>8</v>
      </c>
      <c r="B56" s="244" t="s">
        <v>497</v>
      </c>
      <c r="C56" s="242">
        <v>1</v>
      </c>
      <c r="D56" s="243">
        <v>7.83</v>
      </c>
      <c r="E56" s="243">
        <f t="shared" si="8"/>
        <v>84.282119999999992</v>
      </c>
      <c r="F56" s="243">
        <f t="shared" si="9"/>
        <v>84.282119999999992</v>
      </c>
      <c r="G56" s="243">
        <v>11.93</v>
      </c>
      <c r="H56" s="243"/>
      <c r="I56" s="243"/>
    </row>
    <row r="57" spans="1:9" ht="13.5" customHeight="1">
      <c r="A57" s="240">
        <v>9</v>
      </c>
      <c r="B57" s="244" t="s">
        <v>499</v>
      </c>
      <c r="C57" s="242">
        <v>1</v>
      </c>
      <c r="D57" s="243">
        <v>2.8</v>
      </c>
      <c r="E57" s="243">
        <v>7.01</v>
      </c>
      <c r="F57" s="243">
        <f t="shared" si="9"/>
        <v>7.01</v>
      </c>
      <c r="G57" s="243">
        <v>7.01</v>
      </c>
      <c r="H57" s="243"/>
      <c r="I57" s="243"/>
    </row>
    <row r="58" spans="1:9" ht="13.5" customHeight="1">
      <c r="A58" s="240">
        <v>10</v>
      </c>
      <c r="B58" s="244" t="s">
        <v>498</v>
      </c>
      <c r="C58" s="242">
        <v>1</v>
      </c>
      <c r="D58" s="243">
        <v>2.82</v>
      </c>
      <c r="E58" s="243">
        <f t="shared" si="8"/>
        <v>30.354479999999995</v>
      </c>
      <c r="F58" s="243">
        <f t="shared" si="9"/>
        <v>30.354479999999995</v>
      </c>
      <c r="G58" s="243">
        <v>7.05</v>
      </c>
      <c r="H58" s="243"/>
      <c r="I58" s="243"/>
    </row>
    <row r="59" spans="1:9" ht="13.5" customHeight="1">
      <c r="A59" s="245"/>
      <c r="B59" s="246" t="s">
        <v>494</v>
      </c>
      <c r="C59" s="247"/>
      <c r="D59" s="248">
        <f>SUM(D49:D58)</f>
        <v>95.699999999999974</v>
      </c>
      <c r="E59" s="248">
        <f>SUM(E49:E58)</f>
        <v>1006.9855999999999</v>
      </c>
      <c r="F59" s="248">
        <f>SUM(F49:F58)</f>
        <v>1006.9855999999999</v>
      </c>
      <c r="G59" s="248"/>
      <c r="H59" s="248"/>
      <c r="I59" s="248"/>
    </row>
    <row r="60" spans="1:9" ht="13.5" customHeight="1">
      <c r="A60" s="531">
        <v>7</v>
      </c>
      <c r="B60" s="270" t="str">
        <f>'Room Conf'!R2</f>
        <v>Flat 4A,
2BHK</v>
      </c>
      <c r="C60" s="242"/>
      <c r="D60" s="243"/>
      <c r="E60" s="243"/>
      <c r="F60" s="243"/>
      <c r="G60" s="243"/>
      <c r="H60" s="243">
        <f>'Room Conf'!R40</f>
        <v>2</v>
      </c>
      <c r="I60" s="243">
        <f>+H60*SUM(F61:F68)</f>
        <v>1512.9878399999998</v>
      </c>
    </row>
    <row r="61" spans="1:9" ht="13.5" customHeight="1">
      <c r="A61" s="240">
        <v>1</v>
      </c>
      <c r="B61" s="244" t="s">
        <v>495</v>
      </c>
      <c r="C61" s="242">
        <v>1</v>
      </c>
      <c r="D61" s="243">
        <v>28.59</v>
      </c>
      <c r="E61" s="243">
        <f t="shared" ref="E61:E66" si="10">D61*10.764</f>
        <v>307.74275999999998</v>
      </c>
      <c r="F61" s="243">
        <f>E61*C61</f>
        <v>307.74275999999998</v>
      </c>
      <c r="G61" s="243">
        <v>29.12</v>
      </c>
      <c r="H61" s="243"/>
      <c r="I61" s="243"/>
    </row>
    <row r="62" spans="1:9" ht="13.5" customHeight="1">
      <c r="A62" s="240">
        <v>2</v>
      </c>
      <c r="B62" s="244" t="s">
        <v>491</v>
      </c>
      <c r="C62" s="242">
        <v>1</v>
      </c>
      <c r="D62" s="243">
        <v>11.01</v>
      </c>
      <c r="E62" s="243">
        <f t="shared" si="10"/>
        <v>118.51163999999999</v>
      </c>
      <c r="F62" s="243">
        <f t="shared" ref="F62:F68" si="11">E62*C62</f>
        <v>118.51163999999999</v>
      </c>
      <c r="G62" s="243">
        <v>13.69</v>
      </c>
      <c r="H62" s="243"/>
      <c r="I62" s="243"/>
    </row>
    <row r="63" spans="1:9" ht="13.5" customHeight="1">
      <c r="A63" s="240">
        <v>3</v>
      </c>
      <c r="B63" s="244" t="s">
        <v>492</v>
      </c>
      <c r="C63" s="242">
        <v>1</v>
      </c>
      <c r="D63" s="243">
        <v>3.83</v>
      </c>
      <c r="E63" s="243">
        <f t="shared" si="10"/>
        <v>41.226120000000002</v>
      </c>
      <c r="F63" s="243">
        <f t="shared" si="11"/>
        <v>41.226120000000002</v>
      </c>
      <c r="G63" s="243">
        <v>8.2100000000000009</v>
      </c>
      <c r="H63" s="243"/>
      <c r="I63" s="243"/>
    </row>
    <row r="64" spans="1:9" ht="13.5" customHeight="1">
      <c r="A64" s="240">
        <v>4</v>
      </c>
      <c r="B64" s="244" t="s">
        <v>491</v>
      </c>
      <c r="C64" s="242">
        <v>1</v>
      </c>
      <c r="D64" s="243">
        <v>11.26</v>
      </c>
      <c r="E64" s="243">
        <f>D64*10.764</f>
        <v>121.20263999999999</v>
      </c>
      <c r="F64" s="243">
        <f t="shared" si="11"/>
        <v>121.20263999999999</v>
      </c>
      <c r="G64" s="243">
        <v>13.7</v>
      </c>
      <c r="H64" s="243"/>
      <c r="I64" s="243"/>
    </row>
    <row r="65" spans="1:12" ht="13.5" customHeight="1">
      <c r="A65" s="240">
        <v>5</v>
      </c>
      <c r="B65" s="244" t="s">
        <v>492</v>
      </c>
      <c r="C65" s="242">
        <v>1</v>
      </c>
      <c r="D65" s="243">
        <v>3.9</v>
      </c>
      <c r="E65" s="243">
        <f t="shared" si="10"/>
        <v>41.979599999999998</v>
      </c>
      <c r="F65" s="243">
        <f t="shared" si="11"/>
        <v>41.979599999999998</v>
      </c>
      <c r="G65" s="243">
        <v>8.27</v>
      </c>
      <c r="H65" s="243"/>
      <c r="I65" s="243"/>
    </row>
    <row r="66" spans="1:12" ht="13.5" customHeight="1">
      <c r="A66" s="240">
        <v>6</v>
      </c>
      <c r="B66" s="244" t="s">
        <v>497</v>
      </c>
      <c r="C66" s="242">
        <v>1</v>
      </c>
      <c r="D66" s="243">
        <v>6.14</v>
      </c>
      <c r="E66" s="243">
        <f t="shared" si="10"/>
        <v>66.090959999999995</v>
      </c>
      <c r="F66" s="243">
        <f t="shared" si="11"/>
        <v>66.090959999999995</v>
      </c>
      <c r="G66" s="243">
        <v>10.4</v>
      </c>
      <c r="H66" s="243"/>
      <c r="I66" s="243"/>
    </row>
    <row r="67" spans="1:12" ht="13.5" customHeight="1">
      <c r="A67" s="240">
        <v>7</v>
      </c>
      <c r="B67" s="244" t="s">
        <v>498</v>
      </c>
      <c r="C67" s="242">
        <v>1</v>
      </c>
      <c r="D67" s="243">
        <v>2.75</v>
      </c>
      <c r="E67" s="243">
        <f>D67*10.764</f>
        <v>29.600999999999999</v>
      </c>
      <c r="F67" s="243">
        <f t="shared" si="11"/>
        <v>29.600999999999999</v>
      </c>
      <c r="G67" s="243">
        <v>7.05</v>
      </c>
      <c r="H67" s="243"/>
      <c r="I67" s="243"/>
    </row>
    <row r="68" spans="1:12" ht="13.5" customHeight="1">
      <c r="A68" s="240">
        <v>8</v>
      </c>
      <c r="B68" s="244" t="s">
        <v>499</v>
      </c>
      <c r="C68" s="242">
        <v>1</v>
      </c>
      <c r="D68" s="243">
        <v>2.8</v>
      </c>
      <c r="E68" s="243">
        <f>D68*10.764</f>
        <v>30.139199999999995</v>
      </c>
      <c r="F68" s="243">
        <f t="shared" si="11"/>
        <v>30.139199999999995</v>
      </c>
      <c r="G68" s="243">
        <v>7.01</v>
      </c>
      <c r="H68" s="243"/>
      <c r="I68" s="243"/>
    </row>
    <row r="69" spans="1:12" ht="13.5" customHeight="1">
      <c r="A69" s="245"/>
      <c r="B69" s="246" t="s">
        <v>494</v>
      </c>
      <c r="C69" s="247"/>
      <c r="D69" s="248">
        <f>SUM(D61:D68)</f>
        <v>70.279999999999987</v>
      </c>
      <c r="E69" s="248">
        <f>SUM(E61:E68)</f>
        <v>756.49391999999989</v>
      </c>
      <c r="F69" s="248">
        <f>SUM(F60:F68)</f>
        <v>756.49391999999989</v>
      </c>
      <c r="G69" s="248"/>
      <c r="H69" s="248"/>
      <c r="I69" s="248"/>
    </row>
    <row r="70" spans="1:12" ht="13.5" customHeight="1">
      <c r="A70" s="531">
        <v>8</v>
      </c>
      <c r="B70" s="270" t="str">
        <f>'Room Conf'!S2</f>
        <v>Flat 4B,
3BHK</v>
      </c>
      <c r="C70" s="242"/>
      <c r="D70" s="243"/>
      <c r="E70" s="243"/>
      <c r="F70" s="243"/>
      <c r="G70" s="243"/>
      <c r="H70" s="243">
        <f>'Room Conf'!S40</f>
        <v>24</v>
      </c>
      <c r="I70" s="243">
        <f>+H70*SUM(F71:F80)</f>
        <v>24727.921920000001</v>
      </c>
    </row>
    <row r="71" spans="1:12" ht="13.5" customHeight="1">
      <c r="A71" s="240">
        <v>1</v>
      </c>
      <c r="B71" s="244" t="s">
        <v>495</v>
      </c>
      <c r="C71" s="242">
        <v>1</v>
      </c>
      <c r="D71" s="243">
        <v>30.55</v>
      </c>
      <c r="E71" s="243">
        <f>D71*10.764</f>
        <v>328.84019999999998</v>
      </c>
      <c r="F71" s="243">
        <f>E71*C71</f>
        <v>328.84019999999998</v>
      </c>
      <c r="G71" s="243">
        <v>31.89</v>
      </c>
      <c r="H71" s="243"/>
      <c r="I71" s="248"/>
      <c r="L71" s="228">
        <f>95*10.764</f>
        <v>1022.5799999999999</v>
      </c>
    </row>
    <row r="72" spans="1:12" ht="13.5" customHeight="1">
      <c r="A72" s="240">
        <v>2</v>
      </c>
      <c r="B72" s="244" t="s">
        <v>491</v>
      </c>
      <c r="C72" s="242">
        <v>1</v>
      </c>
      <c r="D72" s="243">
        <v>14.53</v>
      </c>
      <c r="E72" s="243">
        <f>D72*10.764</f>
        <v>156.40091999999999</v>
      </c>
      <c r="F72" s="243">
        <f t="shared" ref="F72:F80" si="12">E72*C72</f>
        <v>156.40091999999999</v>
      </c>
      <c r="G72" s="243">
        <v>17.23</v>
      </c>
      <c r="H72" s="243"/>
      <c r="I72" s="248"/>
    </row>
    <row r="73" spans="1:12" ht="13.5" customHeight="1">
      <c r="A73" s="240">
        <v>3</v>
      </c>
      <c r="B73" s="244" t="s">
        <v>492</v>
      </c>
      <c r="C73" s="242">
        <v>1</v>
      </c>
      <c r="D73" s="243">
        <v>3.83</v>
      </c>
      <c r="E73" s="243">
        <f t="shared" ref="E73" si="13">D73*10.764</f>
        <v>41.226120000000002</v>
      </c>
      <c r="F73" s="243">
        <f t="shared" si="12"/>
        <v>41.226120000000002</v>
      </c>
      <c r="G73" s="243">
        <v>8.2200000000000006</v>
      </c>
      <c r="H73" s="243"/>
      <c r="I73" s="248"/>
    </row>
    <row r="74" spans="1:12" ht="13.5" customHeight="1">
      <c r="A74" s="240">
        <v>4</v>
      </c>
      <c r="B74" s="244" t="s">
        <v>491</v>
      </c>
      <c r="C74" s="242">
        <v>1</v>
      </c>
      <c r="D74" s="243">
        <v>15.16</v>
      </c>
      <c r="E74" s="243">
        <f>D74*10.764</f>
        <v>163.18223999999998</v>
      </c>
      <c r="F74" s="243">
        <f t="shared" si="12"/>
        <v>163.18223999999998</v>
      </c>
      <c r="G74" s="243">
        <v>18.02</v>
      </c>
      <c r="H74" s="243"/>
      <c r="I74" s="248"/>
    </row>
    <row r="75" spans="1:12" ht="13.5" customHeight="1">
      <c r="A75" s="240">
        <v>5</v>
      </c>
      <c r="B75" s="244" t="s">
        <v>492</v>
      </c>
      <c r="C75" s="242">
        <v>1</v>
      </c>
      <c r="D75" s="243">
        <v>3.9</v>
      </c>
      <c r="E75" s="243">
        <f t="shared" ref="E75:E80" si="14">D75*10.764</f>
        <v>41.979599999999998</v>
      </c>
      <c r="F75" s="243">
        <f t="shared" si="12"/>
        <v>41.979599999999998</v>
      </c>
      <c r="G75" s="243">
        <v>8.27</v>
      </c>
      <c r="H75" s="243"/>
      <c r="I75" s="248"/>
    </row>
    <row r="76" spans="1:12" ht="13.5" customHeight="1">
      <c r="A76" s="240">
        <v>6</v>
      </c>
      <c r="B76" s="244" t="s">
        <v>500</v>
      </c>
      <c r="C76" s="242">
        <v>1</v>
      </c>
      <c r="D76" s="243">
        <v>10.47</v>
      </c>
      <c r="E76" s="243">
        <f t="shared" si="14"/>
        <v>112.69908</v>
      </c>
      <c r="F76" s="243">
        <f t="shared" si="12"/>
        <v>112.69908</v>
      </c>
      <c r="G76" s="243">
        <v>13.43</v>
      </c>
      <c r="H76" s="243"/>
      <c r="I76" s="248"/>
    </row>
    <row r="77" spans="1:12" ht="13.5" customHeight="1">
      <c r="A77" s="240">
        <v>7</v>
      </c>
      <c r="B77" s="228" t="s">
        <v>493</v>
      </c>
      <c r="C77" s="242">
        <v>1</v>
      </c>
      <c r="D77" s="243">
        <v>3.83</v>
      </c>
      <c r="E77" s="243">
        <f t="shared" si="14"/>
        <v>41.226120000000002</v>
      </c>
      <c r="F77" s="243">
        <f t="shared" si="12"/>
        <v>41.226120000000002</v>
      </c>
      <c r="G77" s="243">
        <v>8.2200000000000006</v>
      </c>
      <c r="H77" s="243"/>
      <c r="I77" s="248"/>
    </row>
    <row r="78" spans="1:12" ht="13.5" customHeight="1">
      <c r="A78" s="240">
        <v>8</v>
      </c>
      <c r="B78" s="244" t="s">
        <v>497</v>
      </c>
      <c r="C78" s="242">
        <v>1</v>
      </c>
      <c r="D78" s="243">
        <v>7.83</v>
      </c>
      <c r="E78" s="243">
        <f t="shared" si="14"/>
        <v>84.282119999999992</v>
      </c>
      <c r="F78" s="243">
        <f t="shared" si="12"/>
        <v>84.282119999999992</v>
      </c>
      <c r="G78" s="243">
        <v>11.93</v>
      </c>
      <c r="H78" s="243"/>
      <c r="I78" s="248"/>
    </row>
    <row r="79" spans="1:12" ht="13.5" customHeight="1">
      <c r="A79" s="240">
        <v>9</v>
      </c>
      <c r="B79" s="244" t="s">
        <v>498</v>
      </c>
      <c r="C79" s="247">
        <v>1</v>
      </c>
      <c r="D79" s="243">
        <v>2.82</v>
      </c>
      <c r="E79" s="243">
        <f t="shared" si="14"/>
        <v>30.354479999999995</v>
      </c>
      <c r="F79" s="243">
        <f t="shared" si="12"/>
        <v>30.354479999999995</v>
      </c>
      <c r="G79" s="243">
        <v>7.05</v>
      </c>
      <c r="H79" s="243"/>
      <c r="I79" s="248"/>
    </row>
    <row r="80" spans="1:12" ht="13.5" customHeight="1">
      <c r="A80" s="240">
        <v>10</v>
      </c>
      <c r="B80" s="244" t="s">
        <v>499</v>
      </c>
      <c r="C80" s="247">
        <v>1</v>
      </c>
      <c r="D80" s="243">
        <v>2.8</v>
      </c>
      <c r="E80" s="243">
        <f t="shared" si="14"/>
        <v>30.139199999999995</v>
      </c>
      <c r="F80" s="243">
        <f t="shared" si="12"/>
        <v>30.139199999999995</v>
      </c>
      <c r="G80" s="243">
        <v>7.01</v>
      </c>
      <c r="H80" s="243"/>
      <c r="I80" s="248"/>
    </row>
    <row r="81" spans="1:11" ht="13.5" customHeight="1">
      <c r="A81" s="245"/>
      <c r="B81" s="246" t="s">
        <v>494</v>
      </c>
      <c r="C81" s="247"/>
      <c r="D81" s="248">
        <f>SUM(D71:D80)</f>
        <v>95.719999999999985</v>
      </c>
      <c r="E81" s="248">
        <f>SUM(E71:E80)</f>
        <v>1030.33008</v>
      </c>
      <c r="F81" s="248">
        <f>SUM(F71:F80)</f>
        <v>1030.33008</v>
      </c>
      <c r="G81" s="248"/>
      <c r="H81" s="243"/>
      <c r="I81" s="248"/>
    </row>
    <row r="82" spans="1:11" ht="13.5" customHeight="1">
      <c r="A82" s="531">
        <v>9</v>
      </c>
      <c r="B82" s="270" t="str">
        <f>'Room Conf'!T2</f>
        <v>Flat 5A</v>
      </c>
      <c r="C82" s="242"/>
      <c r="D82" s="243"/>
      <c r="E82" s="243"/>
      <c r="F82" s="243"/>
      <c r="G82" s="243"/>
      <c r="H82" s="243">
        <f>'Room Conf'!T40</f>
        <v>8</v>
      </c>
      <c r="I82" s="243">
        <f>+H82*SUM(F83:F87)</f>
        <v>3999.9023999999999</v>
      </c>
    </row>
    <row r="83" spans="1:11" ht="13.5" customHeight="1">
      <c r="A83" s="240">
        <v>1</v>
      </c>
      <c r="B83" s="244" t="s">
        <v>489</v>
      </c>
      <c r="C83" s="242">
        <v>1</v>
      </c>
      <c r="D83" s="243">
        <v>25.44</v>
      </c>
      <c r="E83" s="243">
        <f t="shared" ref="E83:E87" si="15">D83*10.764</f>
        <v>273.83616000000001</v>
      </c>
      <c r="F83" s="243">
        <f t="shared" ref="F83:F87" si="16">E83*C83</f>
        <v>273.83616000000001</v>
      </c>
      <c r="G83" s="243">
        <v>23.86</v>
      </c>
      <c r="H83" s="243"/>
      <c r="I83" s="248"/>
    </row>
    <row r="84" spans="1:11" ht="13.5" customHeight="1">
      <c r="A84" s="240">
        <v>2</v>
      </c>
      <c r="B84" s="244" t="s">
        <v>490</v>
      </c>
      <c r="C84" s="242">
        <v>1</v>
      </c>
      <c r="D84" s="243">
        <v>6.91</v>
      </c>
      <c r="E84" s="243">
        <f t="shared" si="15"/>
        <v>74.379239999999996</v>
      </c>
      <c r="F84" s="243">
        <f t="shared" si="16"/>
        <v>74.379239999999996</v>
      </c>
      <c r="G84" s="243">
        <v>11.06</v>
      </c>
      <c r="H84" s="243"/>
      <c r="I84" s="248"/>
    </row>
    <row r="85" spans="1:11" ht="13.5" customHeight="1">
      <c r="A85" s="240">
        <v>3</v>
      </c>
      <c r="B85" s="244" t="s">
        <v>491</v>
      </c>
      <c r="C85" s="242">
        <v>1</v>
      </c>
      <c r="D85" s="243">
        <v>8.6</v>
      </c>
      <c r="E85" s="243">
        <f t="shared" si="15"/>
        <v>92.570399999999992</v>
      </c>
      <c r="F85" s="243">
        <f t="shared" si="16"/>
        <v>92.570399999999992</v>
      </c>
      <c r="G85" s="243">
        <v>12.5</v>
      </c>
      <c r="H85" s="243"/>
      <c r="I85" s="248"/>
    </row>
    <row r="86" spans="1:11" ht="13.5" customHeight="1">
      <c r="A86" s="240">
        <v>4</v>
      </c>
      <c r="B86" s="244" t="s">
        <v>492</v>
      </c>
      <c r="C86" s="242">
        <v>1</v>
      </c>
      <c r="D86" s="243">
        <v>2.4300000000000002</v>
      </c>
      <c r="E86" s="243">
        <f t="shared" si="15"/>
        <v>26.15652</v>
      </c>
      <c r="F86" s="243">
        <f t="shared" si="16"/>
        <v>26.15652</v>
      </c>
      <c r="G86" s="243">
        <v>6.54</v>
      </c>
      <c r="H86" s="243"/>
      <c r="I86" s="248"/>
    </row>
    <row r="87" spans="1:11" ht="13.5" customHeight="1">
      <c r="A87" s="240">
        <v>5</v>
      </c>
      <c r="B87" s="244" t="s">
        <v>493</v>
      </c>
      <c r="C87" s="242">
        <v>1</v>
      </c>
      <c r="D87" s="243">
        <v>3.07</v>
      </c>
      <c r="E87" s="243">
        <f t="shared" si="15"/>
        <v>33.045479999999998</v>
      </c>
      <c r="F87" s="243">
        <f t="shared" si="16"/>
        <v>33.045479999999998</v>
      </c>
      <c r="G87" s="243">
        <v>7.35</v>
      </c>
      <c r="H87" s="243"/>
      <c r="I87" s="248"/>
    </row>
    <row r="88" spans="1:11" ht="13.5" customHeight="1">
      <c r="A88" s="245"/>
      <c r="B88" s="246" t="s">
        <v>494</v>
      </c>
      <c r="C88" s="247"/>
      <c r="D88" s="248">
        <f>SUM(D83:D87)</f>
        <v>46.45</v>
      </c>
      <c r="E88" s="248">
        <f>SUM(E83:E87)</f>
        <v>499.98779999999999</v>
      </c>
      <c r="F88" s="248">
        <f>SUM(F83:F87)</f>
        <v>499.98779999999999</v>
      </c>
      <c r="G88" s="248"/>
      <c r="H88" s="243"/>
      <c r="I88" s="248"/>
      <c r="K88" s="231"/>
    </row>
    <row r="89" spans="1:11" ht="13.5" customHeight="1">
      <c r="A89" s="531">
        <v>10</v>
      </c>
      <c r="B89" s="270" t="str">
        <f>'Room Conf'!U2</f>
        <v>Flat 5B,
2BHK</v>
      </c>
      <c r="C89" s="242"/>
      <c r="D89" s="243"/>
      <c r="E89" s="243"/>
      <c r="F89" s="243"/>
      <c r="G89" s="243"/>
      <c r="H89" s="243">
        <f>'Room Conf'!U40</f>
        <v>18</v>
      </c>
      <c r="I89" s="243">
        <f>+H89*SUM(F90:F97)</f>
        <v>13645.95336</v>
      </c>
    </row>
    <row r="90" spans="1:11" ht="13.5" customHeight="1">
      <c r="A90" s="240">
        <v>1</v>
      </c>
      <c r="B90" s="244" t="s">
        <v>495</v>
      </c>
      <c r="C90" s="242">
        <v>1</v>
      </c>
      <c r="D90" s="243">
        <v>28.62</v>
      </c>
      <c r="E90" s="243">
        <f t="shared" ref="E90:E97" si="17">D90*10.764</f>
        <v>308.06567999999999</v>
      </c>
      <c r="F90" s="243">
        <f t="shared" ref="F90:F92" si="18">E90*C90</f>
        <v>308.06567999999999</v>
      </c>
      <c r="G90" s="243">
        <v>29.32</v>
      </c>
      <c r="H90" s="243"/>
      <c r="I90" s="248"/>
    </row>
    <row r="91" spans="1:11" ht="13.5" customHeight="1">
      <c r="A91" s="240">
        <v>2</v>
      </c>
      <c r="B91" s="244" t="s">
        <v>491</v>
      </c>
      <c r="C91" s="242">
        <v>1</v>
      </c>
      <c r="D91" s="243">
        <v>13.68</v>
      </c>
      <c r="E91" s="243">
        <f t="shared" si="17"/>
        <v>147.25152</v>
      </c>
      <c r="F91" s="243">
        <f t="shared" si="18"/>
        <v>147.25152</v>
      </c>
      <c r="G91" s="243">
        <v>14.11</v>
      </c>
      <c r="H91" s="243"/>
      <c r="I91" s="248"/>
    </row>
    <row r="92" spans="1:11" ht="13.5" customHeight="1">
      <c r="A92" s="240">
        <v>3</v>
      </c>
      <c r="B92" s="244" t="s">
        <v>492</v>
      </c>
      <c r="C92" s="242">
        <v>1</v>
      </c>
      <c r="D92" s="243">
        <v>3.27</v>
      </c>
      <c r="E92" s="243">
        <f t="shared" si="17"/>
        <v>35.198279999999997</v>
      </c>
      <c r="F92" s="243">
        <f t="shared" si="18"/>
        <v>35.198279999999997</v>
      </c>
      <c r="G92" s="243">
        <v>7.64</v>
      </c>
      <c r="H92" s="243"/>
      <c r="I92" s="248"/>
    </row>
    <row r="93" spans="1:11" ht="13.5" customHeight="1">
      <c r="A93" s="240">
        <v>4</v>
      </c>
      <c r="B93" s="244" t="s">
        <v>500</v>
      </c>
      <c r="C93" s="242">
        <v>1</v>
      </c>
      <c r="D93" s="243">
        <v>10.62</v>
      </c>
      <c r="E93" s="243">
        <f t="shared" si="17"/>
        <v>114.31367999999999</v>
      </c>
      <c r="F93" s="243">
        <f t="shared" ref="F93:F97" si="19">E93*C93</f>
        <v>114.31367999999999</v>
      </c>
      <c r="G93" s="243">
        <v>13.56</v>
      </c>
      <c r="H93" s="243"/>
      <c r="I93" s="248"/>
    </row>
    <row r="94" spans="1:11" ht="13.5" customHeight="1">
      <c r="A94" s="240">
        <v>5</v>
      </c>
      <c r="B94" s="228" t="s">
        <v>493</v>
      </c>
      <c r="C94" s="242">
        <v>1</v>
      </c>
      <c r="D94" s="243">
        <v>3.25</v>
      </c>
      <c r="E94" s="243">
        <f t="shared" si="17"/>
        <v>34.982999999999997</v>
      </c>
      <c r="F94" s="243">
        <f t="shared" si="19"/>
        <v>34.982999999999997</v>
      </c>
      <c r="G94" s="243">
        <v>7.61</v>
      </c>
      <c r="H94" s="243"/>
      <c r="I94" s="248"/>
    </row>
    <row r="95" spans="1:11" ht="13.5" customHeight="1">
      <c r="A95" s="240">
        <v>6</v>
      </c>
      <c r="B95" s="244" t="s">
        <v>497</v>
      </c>
      <c r="C95" s="242">
        <v>1</v>
      </c>
      <c r="D95" s="243">
        <v>6.92</v>
      </c>
      <c r="E95" s="243">
        <f t="shared" si="17"/>
        <v>74.486879999999999</v>
      </c>
      <c r="F95" s="243">
        <f t="shared" si="19"/>
        <v>74.486879999999999</v>
      </c>
      <c r="G95" s="243">
        <v>11.06</v>
      </c>
      <c r="H95" s="243"/>
      <c r="I95" s="248"/>
    </row>
    <row r="96" spans="1:11" ht="13.5" customHeight="1">
      <c r="A96" s="240">
        <v>7</v>
      </c>
      <c r="B96" s="244" t="s">
        <v>498</v>
      </c>
      <c r="C96" s="242">
        <v>1</v>
      </c>
      <c r="D96" s="243">
        <v>1.84</v>
      </c>
      <c r="E96" s="243">
        <f t="shared" si="17"/>
        <v>19.805759999999999</v>
      </c>
      <c r="F96" s="243">
        <f t="shared" si="19"/>
        <v>19.805759999999999</v>
      </c>
      <c r="G96" s="243">
        <v>5.61</v>
      </c>
      <c r="H96" s="243"/>
      <c r="I96" s="248"/>
    </row>
    <row r="97" spans="1:11" ht="13.5" customHeight="1">
      <c r="A97" s="240">
        <v>8</v>
      </c>
      <c r="B97" s="244" t="s">
        <v>499</v>
      </c>
      <c r="C97" s="242">
        <v>1</v>
      </c>
      <c r="D97" s="243">
        <v>2.23</v>
      </c>
      <c r="E97" s="243">
        <f t="shared" si="17"/>
        <v>24.003719999999998</v>
      </c>
      <c r="F97" s="243">
        <f t="shared" si="19"/>
        <v>24.003719999999998</v>
      </c>
      <c r="G97" s="243">
        <v>6.1</v>
      </c>
      <c r="H97" s="243"/>
      <c r="I97" s="248"/>
    </row>
    <row r="98" spans="1:11" ht="13.5" customHeight="1">
      <c r="A98" s="245"/>
      <c r="B98" s="246" t="s">
        <v>494</v>
      </c>
      <c r="C98" s="247"/>
      <c r="D98" s="248">
        <f>SUM(D90:D97)</f>
        <v>70.430000000000007</v>
      </c>
      <c r="E98" s="248">
        <f t="shared" ref="E98:F98" si="20">SUM(E90:E97)</f>
        <v>758.10852</v>
      </c>
      <c r="F98" s="248">
        <f t="shared" si="20"/>
        <v>758.10852</v>
      </c>
      <c r="G98" s="243"/>
      <c r="H98" s="243"/>
      <c r="I98" s="248"/>
      <c r="K98" s="231"/>
    </row>
    <row r="99" spans="1:11" ht="13.5" customHeight="1">
      <c r="A99" s="531">
        <v>11</v>
      </c>
      <c r="B99" s="270" t="str">
        <f>'Room Conf'!V2</f>
        <v>Flat 6,
2BHK</v>
      </c>
      <c r="C99" s="242"/>
      <c r="D99" s="243"/>
      <c r="E99" s="243"/>
      <c r="F99" s="243"/>
      <c r="G99" s="243"/>
      <c r="H99" s="243">
        <f>'Room Conf'!V40</f>
        <v>28</v>
      </c>
      <c r="I99" s="243">
        <f>+H99*SUM(F100:F107)</f>
        <v>21230.052479999998</v>
      </c>
    </row>
    <row r="100" spans="1:11" ht="13.5" customHeight="1">
      <c r="A100" s="240">
        <v>1</v>
      </c>
      <c r="B100" s="244" t="s">
        <v>495</v>
      </c>
      <c r="C100" s="242">
        <v>1</v>
      </c>
      <c r="D100" s="243">
        <v>28.62</v>
      </c>
      <c r="E100" s="243">
        <f t="shared" ref="E100:E107" si="21">D100*10.764</f>
        <v>308.06567999999999</v>
      </c>
      <c r="F100" s="243">
        <f t="shared" ref="F100:F107" si="22">E100*C100</f>
        <v>308.06567999999999</v>
      </c>
      <c r="G100" s="243">
        <v>29.32</v>
      </c>
      <c r="H100" s="243"/>
      <c r="I100" s="248"/>
    </row>
    <row r="101" spans="1:11" ht="13.5" customHeight="1">
      <c r="A101" s="240">
        <v>2</v>
      </c>
      <c r="B101" s="244" t="s">
        <v>491</v>
      </c>
      <c r="C101" s="242">
        <v>1</v>
      </c>
      <c r="D101" s="243">
        <v>13.69</v>
      </c>
      <c r="E101" s="243">
        <f t="shared" si="21"/>
        <v>147.35915999999997</v>
      </c>
      <c r="F101" s="243">
        <f t="shared" si="22"/>
        <v>147.35915999999997</v>
      </c>
      <c r="G101" s="243">
        <v>15.11</v>
      </c>
      <c r="H101" s="243"/>
      <c r="I101" s="248"/>
    </row>
    <row r="102" spans="1:11" ht="13.5" customHeight="1">
      <c r="A102" s="240">
        <v>3</v>
      </c>
      <c r="B102" s="244" t="s">
        <v>492</v>
      </c>
      <c r="C102" s="242">
        <v>1</v>
      </c>
      <c r="D102" s="243">
        <v>3.27</v>
      </c>
      <c r="E102" s="243">
        <f t="shared" si="21"/>
        <v>35.198279999999997</v>
      </c>
      <c r="F102" s="243">
        <f t="shared" si="22"/>
        <v>35.198279999999997</v>
      </c>
      <c r="G102" s="243">
        <v>7.64</v>
      </c>
      <c r="H102" s="243"/>
      <c r="I102" s="248"/>
      <c r="K102" s="231"/>
    </row>
    <row r="103" spans="1:11" ht="13.5" customHeight="1">
      <c r="A103" s="240">
        <v>4</v>
      </c>
      <c r="B103" s="244" t="s">
        <v>500</v>
      </c>
      <c r="C103" s="242">
        <v>1</v>
      </c>
      <c r="D103" s="243">
        <v>10.62</v>
      </c>
      <c r="E103" s="243">
        <f t="shared" si="21"/>
        <v>114.31367999999999</v>
      </c>
      <c r="F103" s="243">
        <f t="shared" si="22"/>
        <v>114.31367999999999</v>
      </c>
      <c r="G103" s="243">
        <v>13.56</v>
      </c>
      <c r="H103" s="243"/>
      <c r="I103" s="248"/>
    </row>
    <row r="104" spans="1:11" ht="13.5" customHeight="1">
      <c r="A104" s="240">
        <v>5</v>
      </c>
      <c r="B104" s="228" t="s">
        <v>493</v>
      </c>
      <c r="C104" s="242">
        <v>1</v>
      </c>
      <c r="D104" s="243">
        <v>3.25</v>
      </c>
      <c r="E104" s="243">
        <f t="shared" si="21"/>
        <v>34.982999999999997</v>
      </c>
      <c r="F104" s="243">
        <f t="shared" si="22"/>
        <v>34.982999999999997</v>
      </c>
      <c r="G104" s="243">
        <v>7.61</v>
      </c>
      <c r="H104" s="243"/>
      <c r="I104" s="248"/>
    </row>
    <row r="105" spans="1:11" ht="13.5" customHeight="1">
      <c r="A105" s="240">
        <v>6</v>
      </c>
      <c r="B105" s="244" t="s">
        <v>497</v>
      </c>
      <c r="C105" s="242">
        <v>1</v>
      </c>
      <c r="D105" s="243">
        <v>6.92</v>
      </c>
      <c r="E105" s="243">
        <f t="shared" si="21"/>
        <v>74.486879999999999</v>
      </c>
      <c r="F105" s="243">
        <f t="shared" si="22"/>
        <v>74.486879999999999</v>
      </c>
      <c r="G105" s="243">
        <v>11.06</v>
      </c>
      <c r="H105" s="243"/>
      <c r="I105" s="248"/>
    </row>
    <row r="106" spans="1:11" ht="13.5" customHeight="1">
      <c r="A106" s="240">
        <v>7</v>
      </c>
      <c r="B106" s="244" t="s">
        <v>498</v>
      </c>
      <c r="C106" s="242">
        <v>1</v>
      </c>
      <c r="D106" s="243">
        <v>1.84</v>
      </c>
      <c r="E106" s="243">
        <f t="shared" si="21"/>
        <v>19.805759999999999</v>
      </c>
      <c r="F106" s="243">
        <f t="shared" si="22"/>
        <v>19.805759999999999</v>
      </c>
      <c r="G106" s="243">
        <v>5.6</v>
      </c>
      <c r="H106" s="243"/>
      <c r="I106" s="248"/>
    </row>
    <row r="107" spans="1:11" ht="13.5" customHeight="1">
      <c r="A107" s="240">
        <v>8</v>
      </c>
      <c r="B107" s="244" t="s">
        <v>499</v>
      </c>
      <c r="C107" s="242">
        <v>1</v>
      </c>
      <c r="D107" s="243">
        <v>2.23</v>
      </c>
      <c r="E107" s="243">
        <f t="shared" si="21"/>
        <v>24.003719999999998</v>
      </c>
      <c r="F107" s="243">
        <f t="shared" si="22"/>
        <v>24.003719999999998</v>
      </c>
      <c r="G107" s="243">
        <v>6.1</v>
      </c>
      <c r="H107" s="243"/>
      <c r="I107" s="248"/>
    </row>
    <row r="108" spans="1:11" ht="13.5" customHeight="1">
      <c r="A108" s="245"/>
      <c r="B108" s="246" t="s">
        <v>494</v>
      </c>
      <c r="C108" s="247"/>
      <c r="D108" s="248">
        <f>SUM(D100:D107)</f>
        <v>70.440000000000012</v>
      </c>
      <c r="E108" s="248">
        <f t="shared" ref="E108:F108" si="23">SUM(E100:E107)</f>
        <v>758.21615999999995</v>
      </c>
      <c r="F108" s="248">
        <f t="shared" si="23"/>
        <v>758.21615999999995</v>
      </c>
      <c r="G108" s="243"/>
      <c r="H108" s="243"/>
      <c r="I108" s="248"/>
      <c r="K108" s="231"/>
    </row>
    <row r="109" spans="1:11" ht="13.5" customHeight="1">
      <c r="A109" s="531">
        <v>12</v>
      </c>
      <c r="B109" s="270" t="str">
        <f>'Room Conf'!W2</f>
        <v>Flat 7,
3BHK</v>
      </c>
      <c r="C109" s="242"/>
      <c r="D109" s="243"/>
      <c r="E109" s="243"/>
      <c r="F109" s="243"/>
      <c r="G109" s="243"/>
      <c r="H109" s="243">
        <f>'Room Conf'!W40</f>
        <v>26</v>
      </c>
      <c r="I109" s="243">
        <f>+H109*SUM(F110:F119)</f>
        <v>26866.944000000003</v>
      </c>
    </row>
    <row r="110" spans="1:11" ht="13.5" customHeight="1">
      <c r="A110" s="240">
        <v>1</v>
      </c>
      <c r="B110" s="244" t="s">
        <v>495</v>
      </c>
      <c r="C110" s="242">
        <v>1</v>
      </c>
      <c r="D110" s="243">
        <v>30.42</v>
      </c>
      <c r="E110" s="243">
        <f t="shared" ref="E110:E119" si="24">D110*10.764</f>
        <v>327.44087999999999</v>
      </c>
      <c r="F110" s="243">
        <f t="shared" ref="F110:F119" si="25">E110*C110</f>
        <v>327.44087999999999</v>
      </c>
      <c r="G110" s="243">
        <v>31.59</v>
      </c>
      <c r="H110" s="243"/>
      <c r="I110" s="248"/>
    </row>
    <row r="111" spans="1:11" ht="13.5" customHeight="1">
      <c r="A111" s="240">
        <v>2</v>
      </c>
      <c r="B111" s="244" t="s">
        <v>491</v>
      </c>
      <c r="C111" s="242">
        <v>1</v>
      </c>
      <c r="D111" s="243">
        <v>15.3</v>
      </c>
      <c r="E111" s="243">
        <f t="shared" si="24"/>
        <v>164.6892</v>
      </c>
      <c r="F111" s="243">
        <f t="shared" si="25"/>
        <v>164.6892</v>
      </c>
      <c r="G111" s="243">
        <v>18.32</v>
      </c>
      <c r="H111" s="243"/>
      <c r="I111" s="248"/>
    </row>
    <row r="112" spans="1:11" ht="13.5" customHeight="1">
      <c r="A112" s="240">
        <v>3</v>
      </c>
      <c r="B112" s="244" t="s">
        <v>492</v>
      </c>
      <c r="C112" s="242">
        <v>1</v>
      </c>
      <c r="D112" s="243">
        <v>3.9</v>
      </c>
      <c r="E112" s="243">
        <f t="shared" si="24"/>
        <v>41.979599999999998</v>
      </c>
      <c r="F112" s="243">
        <f t="shared" si="25"/>
        <v>41.979599999999998</v>
      </c>
      <c r="G112" s="243">
        <v>8.27</v>
      </c>
      <c r="H112" s="243"/>
      <c r="I112" s="248"/>
      <c r="K112" s="231"/>
    </row>
    <row r="113" spans="1:11" ht="13.5" customHeight="1">
      <c r="A113" s="240">
        <v>4</v>
      </c>
      <c r="B113" s="244" t="s">
        <v>491</v>
      </c>
      <c r="C113" s="242">
        <v>1</v>
      </c>
      <c r="D113" s="243">
        <v>14.53</v>
      </c>
      <c r="E113" s="243">
        <f t="shared" si="24"/>
        <v>156.40091999999999</v>
      </c>
      <c r="F113" s="243">
        <f t="shared" ref="F113:F114" si="26">E113*C113</f>
        <v>156.40091999999999</v>
      </c>
      <c r="G113" s="243">
        <v>17.23</v>
      </c>
      <c r="H113" s="243"/>
      <c r="I113" s="248"/>
      <c r="K113" s="231"/>
    </row>
    <row r="114" spans="1:11" ht="13.5" customHeight="1">
      <c r="A114" s="240">
        <v>5</v>
      </c>
      <c r="B114" s="244" t="s">
        <v>492</v>
      </c>
      <c r="C114" s="242">
        <v>1</v>
      </c>
      <c r="D114" s="243">
        <v>3.83</v>
      </c>
      <c r="E114" s="243">
        <f t="shared" si="24"/>
        <v>41.226120000000002</v>
      </c>
      <c r="F114" s="243">
        <f t="shared" si="26"/>
        <v>41.226120000000002</v>
      </c>
      <c r="G114" s="243">
        <v>8.32</v>
      </c>
      <c r="H114" s="243"/>
      <c r="I114" s="248"/>
      <c r="K114" s="231"/>
    </row>
    <row r="115" spans="1:11" ht="13.5" customHeight="1">
      <c r="A115" s="240">
        <v>6</v>
      </c>
      <c r="B115" s="244" t="s">
        <v>500</v>
      </c>
      <c r="C115" s="242">
        <v>1</v>
      </c>
      <c r="D115" s="243">
        <v>10.74</v>
      </c>
      <c r="E115" s="243">
        <f t="shared" si="24"/>
        <v>115.60535999999999</v>
      </c>
      <c r="F115" s="243">
        <f t="shared" si="25"/>
        <v>115.60535999999999</v>
      </c>
      <c r="G115" s="243">
        <v>13.43</v>
      </c>
      <c r="H115" s="243"/>
      <c r="I115" s="248"/>
    </row>
    <row r="116" spans="1:11" ht="13.5" customHeight="1">
      <c r="A116" s="240">
        <v>7</v>
      </c>
      <c r="B116" s="228" t="s">
        <v>493</v>
      </c>
      <c r="C116" s="242">
        <v>1</v>
      </c>
      <c r="D116" s="243">
        <v>3.83</v>
      </c>
      <c r="E116" s="243">
        <f t="shared" si="24"/>
        <v>41.226120000000002</v>
      </c>
      <c r="F116" s="243">
        <f t="shared" si="25"/>
        <v>41.226120000000002</v>
      </c>
      <c r="G116" s="243">
        <v>8.32</v>
      </c>
      <c r="H116" s="243"/>
      <c r="I116" s="248"/>
    </row>
    <row r="117" spans="1:11" ht="13.5" customHeight="1">
      <c r="A117" s="240">
        <v>8</v>
      </c>
      <c r="B117" s="244" t="s">
        <v>497</v>
      </c>
      <c r="C117" s="242">
        <v>1</v>
      </c>
      <c r="D117" s="243">
        <v>7.83</v>
      </c>
      <c r="E117" s="243">
        <f t="shared" si="24"/>
        <v>84.282119999999992</v>
      </c>
      <c r="F117" s="243">
        <f t="shared" si="25"/>
        <v>84.282119999999992</v>
      </c>
      <c r="G117" s="243">
        <v>11.93</v>
      </c>
      <c r="H117" s="243"/>
      <c r="I117" s="248"/>
    </row>
    <row r="118" spans="1:11" ht="13.5" customHeight="1">
      <c r="A118" s="240">
        <v>9</v>
      </c>
      <c r="B118" s="244" t="s">
        <v>498</v>
      </c>
      <c r="C118" s="242">
        <v>1</v>
      </c>
      <c r="D118" s="243">
        <v>2.82</v>
      </c>
      <c r="E118" s="243">
        <f t="shared" si="24"/>
        <v>30.354479999999995</v>
      </c>
      <c r="F118" s="243">
        <f t="shared" si="25"/>
        <v>30.354479999999995</v>
      </c>
      <c r="G118" s="243">
        <v>7.05</v>
      </c>
      <c r="H118" s="243"/>
      <c r="I118" s="248"/>
    </row>
    <row r="119" spans="1:11" ht="13.5" customHeight="1">
      <c r="A119" s="240">
        <v>10</v>
      </c>
      <c r="B119" s="244" t="s">
        <v>499</v>
      </c>
      <c r="C119" s="242">
        <v>1</v>
      </c>
      <c r="D119" s="243">
        <v>2.8</v>
      </c>
      <c r="E119" s="243">
        <f t="shared" si="24"/>
        <v>30.139199999999995</v>
      </c>
      <c r="F119" s="243">
        <f t="shared" si="25"/>
        <v>30.139199999999995</v>
      </c>
      <c r="G119" s="243">
        <v>7.01</v>
      </c>
      <c r="H119" s="243"/>
      <c r="I119" s="248"/>
    </row>
    <row r="120" spans="1:11" ht="13.5" customHeight="1">
      <c r="A120" s="240"/>
      <c r="B120" s="246" t="s">
        <v>494</v>
      </c>
      <c r="C120" s="247"/>
      <c r="D120" s="248">
        <f>SUM(D110:D119)</f>
        <v>95.999999999999972</v>
      </c>
      <c r="E120" s="248">
        <f t="shared" ref="E120:F120" si="27">SUM(E110:E119)</f>
        <v>1033.3440000000001</v>
      </c>
      <c r="F120" s="248">
        <f t="shared" si="27"/>
        <v>1033.3440000000001</v>
      </c>
      <c r="G120" s="243"/>
      <c r="H120" s="243"/>
      <c r="I120" s="248"/>
    </row>
    <row r="121" spans="1:11" ht="13.5" customHeight="1">
      <c r="A121" s="241">
        <v>13</v>
      </c>
      <c r="B121" s="270" t="str">
        <f>'Room Conf'!X2</f>
        <v>Flat 8,
3BHK</v>
      </c>
      <c r="C121" s="242"/>
      <c r="D121" s="243"/>
      <c r="E121" s="243"/>
      <c r="F121" s="243"/>
      <c r="G121" s="243"/>
      <c r="H121" s="243">
        <f>'Room Conf'!X40</f>
        <v>30</v>
      </c>
      <c r="I121" s="243">
        <f>+H121*SUM(F122:F131)</f>
        <v>30703.2336</v>
      </c>
    </row>
    <row r="122" spans="1:11" ht="13.5" customHeight="1">
      <c r="A122" s="240">
        <v>1</v>
      </c>
      <c r="B122" s="244" t="s">
        <v>495</v>
      </c>
      <c r="C122" s="242">
        <v>1</v>
      </c>
      <c r="D122" s="243">
        <v>30.36</v>
      </c>
      <c r="E122" s="243">
        <f t="shared" ref="E122:E131" si="28">D122*10.764</f>
        <v>326.79503999999997</v>
      </c>
      <c r="F122" s="243">
        <f t="shared" ref="F122:F131" si="29">E122*C122</f>
        <v>326.79503999999997</v>
      </c>
      <c r="G122" s="243">
        <v>31.42</v>
      </c>
      <c r="H122" s="243"/>
      <c r="I122" s="248"/>
    </row>
    <row r="123" spans="1:11" ht="13.5" customHeight="1">
      <c r="A123" s="240">
        <v>2</v>
      </c>
      <c r="B123" s="244" t="s">
        <v>491</v>
      </c>
      <c r="C123" s="242">
        <v>1</v>
      </c>
      <c r="D123" s="243">
        <v>14.58</v>
      </c>
      <c r="E123" s="243">
        <f t="shared" si="28"/>
        <v>156.93912</v>
      </c>
      <c r="F123" s="243">
        <f t="shared" si="29"/>
        <v>156.93912</v>
      </c>
      <c r="G123" s="243">
        <v>17.350000000000001</v>
      </c>
      <c r="H123" s="243"/>
      <c r="I123" s="248"/>
    </row>
    <row r="124" spans="1:11" ht="13.5" customHeight="1">
      <c r="A124" s="240">
        <v>3</v>
      </c>
      <c r="B124" s="244" t="s">
        <v>492</v>
      </c>
      <c r="C124" s="242">
        <v>1</v>
      </c>
      <c r="D124" s="243">
        <v>3.28</v>
      </c>
      <c r="E124" s="243">
        <f t="shared" si="28"/>
        <v>35.305919999999993</v>
      </c>
      <c r="F124" s="243">
        <f t="shared" si="29"/>
        <v>35.305919999999993</v>
      </c>
      <c r="G124" s="243">
        <v>8.2100000000000009</v>
      </c>
      <c r="H124" s="243"/>
      <c r="I124" s="248"/>
    </row>
    <row r="125" spans="1:11" ht="13.5" customHeight="1">
      <c r="A125" s="240">
        <v>4</v>
      </c>
      <c r="B125" s="244" t="s">
        <v>491</v>
      </c>
      <c r="C125" s="242">
        <v>1</v>
      </c>
      <c r="D125" s="243">
        <v>15.21</v>
      </c>
      <c r="E125" s="243">
        <f t="shared" si="28"/>
        <v>163.72044</v>
      </c>
      <c r="F125" s="243">
        <f t="shared" si="29"/>
        <v>163.72044</v>
      </c>
      <c r="G125" s="243">
        <v>18.329999999999998</v>
      </c>
      <c r="H125" s="243"/>
      <c r="I125" s="248"/>
    </row>
    <row r="126" spans="1:11" ht="13.5" customHeight="1">
      <c r="A126" s="240">
        <v>5</v>
      </c>
      <c r="B126" s="244" t="s">
        <v>492</v>
      </c>
      <c r="C126" s="242">
        <v>1</v>
      </c>
      <c r="D126" s="243">
        <v>3.9</v>
      </c>
      <c r="E126" s="243">
        <f t="shared" si="28"/>
        <v>41.979599999999998</v>
      </c>
      <c r="F126" s="243">
        <f t="shared" si="29"/>
        <v>41.979599999999998</v>
      </c>
      <c r="G126" s="243">
        <v>8.27</v>
      </c>
      <c r="H126" s="243"/>
      <c r="I126" s="248"/>
    </row>
    <row r="127" spans="1:11" ht="13.5" customHeight="1">
      <c r="A127" s="240">
        <v>6</v>
      </c>
      <c r="B127" s="244" t="s">
        <v>500</v>
      </c>
      <c r="C127" s="242">
        <v>1</v>
      </c>
      <c r="D127" s="243">
        <v>10.47</v>
      </c>
      <c r="E127" s="243">
        <f t="shared" si="28"/>
        <v>112.69908</v>
      </c>
      <c r="F127" s="243">
        <f t="shared" si="29"/>
        <v>112.69908</v>
      </c>
      <c r="G127" s="243">
        <v>13.43</v>
      </c>
      <c r="H127" s="243"/>
      <c r="I127" s="248"/>
    </row>
    <row r="128" spans="1:11" ht="13.5" customHeight="1">
      <c r="A128" s="240">
        <v>7</v>
      </c>
      <c r="B128" s="228" t="s">
        <v>493</v>
      </c>
      <c r="C128" s="242">
        <v>1</v>
      </c>
      <c r="D128" s="243">
        <v>3.83</v>
      </c>
      <c r="E128" s="243">
        <f t="shared" si="28"/>
        <v>41.226120000000002</v>
      </c>
      <c r="F128" s="243">
        <f t="shared" si="29"/>
        <v>41.226120000000002</v>
      </c>
      <c r="G128" s="243">
        <v>8.2200000000000006</v>
      </c>
      <c r="H128" s="243"/>
      <c r="I128" s="248"/>
    </row>
    <row r="129" spans="1:9" ht="13.5" customHeight="1">
      <c r="A129" s="240">
        <v>8</v>
      </c>
      <c r="B129" s="244" t="s">
        <v>497</v>
      </c>
      <c r="C129" s="242">
        <v>1</v>
      </c>
      <c r="D129" s="243">
        <v>7.83</v>
      </c>
      <c r="E129" s="243">
        <f t="shared" si="28"/>
        <v>84.282119999999992</v>
      </c>
      <c r="F129" s="243">
        <f t="shared" si="29"/>
        <v>84.282119999999992</v>
      </c>
      <c r="G129" s="243">
        <v>11.99</v>
      </c>
      <c r="H129" s="243"/>
      <c r="I129" s="248"/>
    </row>
    <row r="130" spans="1:9" ht="13.5" customHeight="1">
      <c r="A130" s="240">
        <v>9</v>
      </c>
      <c r="B130" s="244" t="s">
        <v>498</v>
      </c>
      <c r="C130" s="242">
        <v>1</v>
      </c>
      <c r="D130" s="243">
        <v>2.82</v>
      </c>
      <c r="E130" s="243">
        <f t="shared" si="28"/>
        <v>30.354479999999995</v>
      </c>
      <c r="F130" s="243">
        <f t="shared" si="29"/>
        <v>30.354479999999995</v>
      </c>
      <c r="G130" s="243">
        <v>7.05</v>
      </c>
      <c r="H130" s="243"/>
      <c r="I130" s="248"/>
    </row>
    <row r="131" spans="1:9" ht="13.5" customHeight="1">
      <c r="A131" s="240">
        <v>10</v>
      </c>
      <c r="B131" s="244" t="s">
        <v>499</v>
      </c>
      <c r="C131" s="242">
        <v>1</v>
      </c>
      <c r="D131" s="243">
        <v>2.8</v>
      </c>
      <c r="E131" s="243">
        <f t="shared" si="28"/>
        <v>30.139199999999995</v>
      </c>
      <c r="F131" s="243">
        <f t="shared" si="29"/>
        <v>30.139199999999995</v>
      </c>
      <c r="G131" s="243">
        <v>7.01</v>
      </c>
      <c r="H131" s="243"/>
      <c r="I131" s="248"/>
    </row>
    <row r="132" spans="1:9" ht="13.5" customHeight="1">
      <c r="A132" s="240"/>
      <c r="B132" s="246" t="s">
        <v>494</v>
      </c>
      <c r="C132" s="247"/>
      <c r="D132" s="248">
        <f>SUM(D122:D131)</f>
        <v>95.079999999999984</v>
      </c>
      <c r="E132" s="248">
        <f t="shared" ref="E132" si="30">SUM(E122:E131)</f>
        <v>1023.44112</v>
      </c>
      <c r="F132" s="248">
        <f t="shared" ref="F132" si="31">SUM(F122:F131)</f>
        <v>1023.44112</v>
      </c>
      <c r="G132" s="243"/>
      <c r="H132" s="243"/>
      <c r="I132" s="248"/>
    </row>
    <row r="133" spans="1:9" ht="13.5" customHeight="1">
      <c r="A133" s="241">
        <v>14</v>
      </c>
      <c r="B133" s="270" t="str">
        <f>'Room Conf'!Y2</f>
        <v>Flat 9,
2BHK</v>
      </c>
      <c r="C133" s="242"/>
      <c r="D133" s="243"/>
      <c r="E133" s="243"/>
      <c r="F133" s="243"/>
      <c r="G133" s="243"/>
      <c r="H133" s="243">
        <f>'Room Conf'!Y40</f>
        <v>28</v>
      </c>
      <c r="I133" s="243">
        <f>+H133*SUM(F134:F141)</f>
        <v>21136.62096</v>
      </c>
    </row>
    <row r="134" spans="1:9" ht="13.5" customHeight="1">
      <c r="A134" s="240">
        <v>1</v>
      </c>
      <c r="B134" s="244" t="s">
        <v>495</v>
      </c>
      <c r="C134" s="242">
        <v>1</v>
      </c>
      <c r="D134" s="243">
        <v>25.39</v>
      </c>
      <c r="E134" s="243">
        <f t="shared" ref="E134:E141" si="32">D134*10.764</f>
        <v>273.29795999999999</v>
      </c>
      <c r="F134" s="243">
        <f t="shared" ref="F134:F141" si="33">E134*C134</f>
        <v>273.29795999999999</v>
      </c>
      <c r="G134" s="243">
        <v>22.55</v>
      </c>
      <c r="H134" s="243"/>
      <c r="I134" s="248"/>
    </row>
    <row r="135" spans="1:9" ht="13.5" customHeight="1">
      <c r="A135" s="240">
        <v>2</v>
      </c>
      <c r="B135" s="244" t="s">
        <v>491</v>
      </c>
      <c r="C135" s="242">
        <v>1</v>
      </c>
      <c r="D135" s="243">
        <v>15.45</v>
      </c>
      <c r="E135" s="243">
        <f t="shared" si="32"/>
        <v>166.3038</v>
      </c>
      <c r="F135" s="243">
        <f t="shared" si="33"/>
        <v>166.3038</v>
      </c>
      <c r="G135" s="243">
        <v>19.329999999999998</v>
      </c>
      <c r="H135" s="243"/>
      <c r="I135" s="248"/>
    </row>
    <row r="136" spans="1:9" ht="13.5" customHeight="1">
      <c r="A136" s="240">
        <v>3</v>
      </c>
      <c r="B136" s="244" t="s">
        <v>492</v>
      </c>
      <c r="C136" s="242">
        <v>1</v>
      </c>
      <c r="D136" s="243">
        <v>3.39</v>
      </c>
      <c r="E136" s="243">
        <f t="shared" si="32"/>
        <v>36.489959999999996</v>
      </c>
      <c r="F136" s="243">
        <f t="shared" si="33"/>
        <v>36.489959999999996</v>
      </c>
      <c r="G136" s="243">
        <v>7.94</v>
      </c>
      <c r="H136" s="243"/>
      <c r="I136" s="248"/>
    </row>
    <row r="137" spans="1:9" ht="13.5" customHeight="1">
      <c r="A137" s="240">
        <v>4</v>
      </c>
      <c r="B137" s="244" t="s">
        <v>500</v>
      </c>
      <c r="C137" s="242">
        <v>1</v>
      </c>
      <c r="D137" s="243">
        <v>10.63</v>
      </c>
      <c r="E137" s="243">
        <f t="shared" si="32"/>
        <v>114.42131999999999</v>
      </c>
      <c r="F137" s="243">
        <f t="shared" si="33"/>
        <v>114.42131999999999</v>
      </c>
      <c r="G137" s="243">
        <v>13.55</v>
      </c>
      <c r="H137" s="243"/>
      <c r="I137" s="248"/>
    </row>
    <row r="138" spans="1:9" ht="13.5" customHeight="1">
      <c r="A138" s="240">
        <v>5</v>
      </c>
      <c r="B138" s="228" t="s">
        <v>493</v>
      </c>
      <c r="C138" s="242">
        <v>1</v>
      </c>
      <c r="D138" s="243">
        <v>3.47</v>
      </c>
      <c r="E138" s="243">
        <f t="shared" si="32"/>
        <v>37.351080000000003</v>
      </c>
      <c r="F138" s="243">
        <f t="shared" si="33"/>
        <v>37.351080000000003</v>
      </c>
      <c r="G138" s="243">
        <v>7.94</v>
      </c>
      <c r="H138" s="243"/>
      <c r="I138" s="248"/>
    </row>
    <row r="139" spans="1:9" ht="13.5" customHeight="1">
      <c r="A139" s="240">
        <v>6</v>
      </c>
      <c r="B139" s="244" t="s">
        <v>497</v>
      </c>
      <c r="C139" s="242">
        <v>1</v>
      </c>
      <c r="D139" s="243">
        <v>6.93</v>
      </c>
      <c r="E139" s="243">
        <f t="shared" si="32"/>
        <v>74.594519999999989</v>
      </c>
      <c r="F139" s="243">
        <f t="shared" si="33"/>
        <v>74.594519999999989</v>
      </c>
      <c r="G139" s="243">
        <v>11.08</v>
      </c>
      <c r="H139" s="243"/>
      <c r="I139" s="248"/>
    </row>
    <row r="140" spans="1:9" ht="13.5" customHeight="1">
      <c r="A140" s="240">
        <v>7</v>
      </c>
      <c r="B140" s="244" t="s">
        <v>498</v>
      </c>
      <c r="C140" s="242">
        <v>1</v>
      </c>
      <c r="D140" s="243">
        <v>2.27</v>
      </c>
      <c r="E140" s="243">
        <f t="shared" si="32"/>
        <v>24.434279999999998</v>
      </c>
      <c r="F140" s="243">
        <f t="shared" si="33"/>
        <v>24.434279999999998</v>
      </c>
      <c r="G140" s="243">
        <v>6.1</v>
      </c>
      <c r="H140" s="243"/>
      <c r="I140" s="248"/>
    </row>
    <row r="141" spans="1:9" ht="13.5" customHeight="1">
      <c r="A141" s="240">
        <v>8</v>
      </c>
      <c r="B141" s="244" t="s">
        <v>499</v>
      </c>
      <c r="C141" s="242">
        <v>1</v>
      </c>
      <c r="D141" s="243">
        <v>2.6</v>
      </c>
      <c r="E141" s="243">
        <f t="shared" si="32"/>
        <v>27.9864</v>
      </c>
      <c r="F141" s="243">
        <f t="shared" si="33"/>
        <v>27.9864</v>
      </c>
      <c r="G141" s="243">
        <v>6.7</v>
      </c>
      <c r="H141" s="243"/>
      <c r="I141" s="248"/>
    </row>
    <row r="142" spans="1:9" ht="13.5" customHeight="1">
      <c r="A142" s="240"/>
      <c r="B142" s="246" t="s">
        <v>494</v>
      </c>
      <c r="C142" s="247"/>
      <c r="D142" s="248">
        <f>SUM(D134:D141)</f>
        <v>70.13</v>
      </c>
      <c r="E142" s="248">
        <f>SUM(E134:E141)</f>
        <v>754.87932000000001</v>
      </c>
      <c r="F142" s="248">
        <f>SUM(F134:F141)</f>
        <v>754.87932000000001</v>
      </c>
      <c r="G142" s="243"/>
      <c r="H142" s="243"/>
      <c r="I142" s="248"/>
    </row>
    <row r="143" spans="1:9" ht="13.5" customHeight="1">
      <c r="A143" s="241">
        <v>15</v>
      </c>
      <c r="B143" s="270" t="str">
        <f>'Room Conf'!Z2</f>
        <v>Flat 10,
2BHK</v>
      </c>
      <c r="C143" s="242"/>
      <c r="D143" s="243"/>
      <c r="E143" s="243"/>
      <c r="F143" s="243"/>
      <c r="G143" s="243"/>
      <c r="H143" s="243">
        <f>'Room Conf'!Z40</f>
        <v>28</v>
      </c>
      <c r="I143" s="243">
        <f>+H143*SUM(F144:F151)</f>
        <v>21208.955039999997</v>
      </c>
    </row>
    <row r="144" spans="1:9" ht="13.5" customHeight="1">
      <c r="A144" s="240">
        <v>1</v>
      </c>
      <c r="B144" s="244" t="s">
        <v>495</v>
      </c>
      <c r="C144" s="242">
        <v>1</v>
      </c>
      <c r="D144" s="243">
        <v>25.48</v>
      </c>
      <c r="E144" s="243">
        <f t="shared" ref="E144:E151" si="34">D144*10.764</f>
        <v>274.26671999999996</v>
      </c>
      <c r="F144" s="243">
        <f t="shared" ref="F144:F151" si="35">E144*C144</f>
        <v>274.26671999999996</v>
      </c>
      <c r="G144" s="243">
        <v>22.71</v>
      </c>
      <c r="H144" s="243"/>
      <c r="I144" s="248"/>
    </row>
    <row r="145" spans="1:9" ht="13.5" customHeight="1">
      <c r="A145" s="240">
        <v>2</v>
      </c>
      <c r="B145" s="244" t="s">
        <v>491</v>
      </c>
      <c r="C145" s="242">
        <v>1</v>
      </c>
      <c r="D145" s="243">
        <v>15.79</v>
      </c>
      <c r="E145" s="243">
        <f t="shared" si="34"/>
        <v>169.96355999999997</v>
      </c>
      <c r="F145" s="243">
        <f t="shared" si="35"/>
        <v>169.96355999999997</v>
      </c>
      <c r="G145" s="243">
        <v>19.489999999999998</v>
      </c>
      <c r="H145" s="243"/>
      <c r="I145" s="248"/>
    </row>
    <row r="146" spans="1:9" ht="13.5" customHeight="1">
      <c r="A146" s="240">
        <v>3</v>
      </c>
      <c r="B146" s="244" t="s">
        <v>492</v>
      </c>
      <c r="C146" s="242">
        <v>1</v>
      </c>
      <c r="D146" s="243">
        <v>3.46</v>
      </c>
      <c r="E146" s="243">
        <f t="shared" si="34"/>
        <v>37.24344</v>
      </c>
      <c r="F146" s="243">
        <f t="shared" si="35"/>
        <v>37.24344</v>
      </c>
      <c r="G146" s="243">
        <v>7.92</v>
      </c>
      <c r="H146" s="243"/>
      <c r="I146" s="248"/>
    </row>
    <row r="147" spans="1:9" ht="13.5" customHeight="1">
      <c r="A147" s="240">
        <v>4</v>
      </c>
      <c r="B147" s="244" t="s">
        <v>500</v>
      </c>
      <c r="C147" s="242">
        <v>1</v>
      </c>
      <c r="D147" s="243">
        <v>10.67</v>
      </c>
      <c r="E147" s="243">
        <f t="shared" si="34"/>
        <v>114.85187999999999</v>
      </c>
      <c r="F147" s="243">
        <f t="shared" si="35"/>
        <v>114.85187999999999</v>
      </c>
      <c r="G147" s="243">
        <v>13.55</v>
      </c>
      <c r="H147" s="243"/>
      <c r="I147" s="248"/>
    </row>
    <row r="148" spans="1:9" ht="13.5" customHeight="1">
      <c r="A148" s="240">
        <v>5</v>
      </c>
      <c r="B148" s="228" t="s">
        <v>493</v>
      </c>
      <c r="C148" s="242">
        <v>1</v>
      </c>
      <c r="D148" s="243">
        <v>3.35</v>
      </c>
      <c r="E148" s="243">
        <f t="shared" si="34"/>
        <v>36.059399999999997</v>
      </c>
      <c r="F148" s="243">
        <f t="shared" si="35"/>
        <v>36.059399999999997</v>
      </c>
      <c r="G148" s="243">
        <v>7.75</v>
      </c>
      <c r="H148" s="243"/>
      <c r="I148" s="248"/>
    </row>
    <row r="149" spans="1:9" ht="13.5" customHeight="1">
      <c r="A149" s="240">
        <v>6</v>
      </c>
      <c r="B149" s="244" t="s">
        <v>497</v>
      </c>
      <c r="C149" s="242">
        <v>1</v>
      </c>
      <c r="D149" s="243">
        <v>6.41</v>
      </c>
      <c r="E149" s="243">
        <f t="shared" si="34"/>
        <v>68.997239999999991</v>
      </c>
      <c r="F149" s="243">
        <f t="shared" si="35"/>
        <v>68.997239999999991</v>
      </c>
      <c r="G149" s="243">
        <v>10.98</v>
      </c>
      <c r="H149" s="243"/>
      <c r="I149" s="248"/>
    </row>
    <row r="150" spans="1:9" ht="13.5" customHeight="1">
      <c r="A150" s="240">
        <v>7</v>
      </c>
      <c r="B150" s="244" t="s">
        <v>498</v>
      </c>
      <c r="C150" s="242">
        <v>1</v>
      </c>
      <c r="D150" s="243">
        <v>2.61</v>
      </c>
      <c r="E150" s="243">
        <f t="shared" si="34"/>
        <v>28.094039999999996</v>
      </c>
      <c r="F150" s="243">
        <f t="shared" si="35"/>
        <v>28.094039999999996</v>
      </c>
      <c r="G150" s="243">
        <v>6.71</v>
      </c>
      <c r="H150" s="243"/>
      <c r="I150" s="248"/>
    </row>
    <row r="151" spans="1:9" ht="13.5" customHeight="1">
      <c r="A151" s="240">
        <v>8</v>
      </c>
      <c r="B151" s="244" t="s">
        <v>499</v>
      </c>
      <c r="C151" s="242">
        <v>1</v>
      </c>
      <c r="D151" s="243">
        <v>2.6</v>
      </c>
      <c r="E151" s="243">
        <f t="shared" si="34"/>
        <v>27.9864</v>
      </c>
      <c r="F151" s="243">
        <f t="shared" si="35"/>
        <v>27.9864</v>
      </c>
      <c r="G151" s="243">
        <v>6.7</v>
      </c>
      <c r="H151" s="243"/>
      <c r="I151" s="248"/>
    </row>
    <row r="152" spans="1:9" ht="13.5" customHeight="1">
      <c r="A152" s="240"/>
      <c r="B152" s="246" t="s">
        <v>494</v>
      </c>
      <c r="C152" s="247"/>
      <c r="D152" s="248">
        <f>SUM(D144:D151)</f>
        <v>70.36999999999999</v>
      </c>
      <c r="E152" s="248">
        <f>SUM(E144:E151)</f>
        <v>757.46267999999986</v>
      </c>
      <c r="F152" s="248">
        <f>SUM(F144:F151)</f>
        <v>757.46267999999986</v>
      </c>
      <c r="G152" s="243"/>
      <c r="H152" s="243"/>
      <c r="I152" s="248"/>
    </row>
    <row r="153" spans="1:9" ht="13.5" customHeight="1">
      <c r="A153" s="241">
        <v>16</v>
      </c>
      <c r="B153" s="270" t="s">
        <v>501</v>
      </c>
      <c r="C153" s="247"/>
      <c r="D153" s="248"/>
      <c r="E153" s="248"/>
      <c r="F153" s="248"/>
      <c r="G153" s="248"/>
      <c r="H153" s="243"/>
      <c r="I153" s="243"/>
    </row>
    <row r="154" spans="1:9" ht="13.5" customHeight="1">
      <c r="A154" s="240">
        <v>1</v>
      </c>
      <c r="B154" s="244" t="str">
        <f>'Room Conf'!AA2</f>
        <v>Common Lobby 1</v>
      </c>
      <c r="C154" s="242">
        <v>1</v>
      </c>
      <c r="D154" s="243">
        <v>64.92</v>
      </c>
      <c r="E154" s="243">
        <f t="shared" ref="E154:E161" si="36">D154*10.764</f>
        <v>698.79887999999994</v>
      </c>
      <c r="F154" s="243">
        <f t="shared" ref="F154:F155" si="37">E154*C154</f>
        <v>698.79887999999994</v>
      </c>
      <c r="G154" s="243">
        <v>58.96</v>
      </c>
      <c r="H154" s="243">
        <f>'Room Conf'!AA40</f>
        <v>37</v>
      </c>
      <c r="I154" s="248">
        <f t="shared" ref="I154:I161" si="38">C154*F154*H154</f>
        <v>25855.558559999998</v>
      </c>
    </row>
    <row r="155" spans="1:9" ht="13.5" customHeight="1">
      <c r="A155" s="240">
        <v>2</v>
      </c>
      <c r="B155" s="244" t="str">
        <f>'Room Conf'!AB2</f>
        <v>Common Lobby 2</v>
      </c>
      <c r="C155" s="242">
        <v>1</v>
      </c>
      <c r="D155" s="243">
        <v>65.05</v>
      </c>
      <c r="E155" s="243">
        <f t="shared" si="36"/>
        <v>700.19819999999993</v>
      </c>
      <c r="F155" s="243">
        <f t="shared" si="37"/>
        <v>700.19819999999993</v>
      </c>
      <c r="G155" s="243">
        <v>59.08</v>
      </c>
      <c r="H155" s="243">
        <f>'Room Conf'!AA40</f>
        <v>37</v>
      </c>
      <c r="I155" s="248">
        <f t="shared" si="38"/>
        <v>25907.333399999996</v>
      </c>
    </row>
    <row r="156" spans="1:9" ht="13.5" customHeight="1">
      <c r="A156" s="240">
        <v>3</v>
      </c>
      <c r="B156" s="244" t="s">
        <v>502</v>
      </c>
      <c r="C156" s="242">
        <v>1</v>
      </c>
      <c r="D156" s="243">
        <v>4.45</v>
      </c>
      <c r="E156" s="243">
        <f t="shared" si="36"/>
        <v>47.899799999999999</v>
      </c>
      <c r="F156" s="243">
        <f t="shared" ref="F156:F161" si="39">E156*C156</f>
        <v>47.899799999999999</v>
      </c>
      <c r="G156" s="243">
        <v>8.58</v>
      </c>
      <c r="H156" s="243">
        <v>36</v>
      </c>
      <c r="I156" s="248">
        <f t="shared" si="38"/>
        <v>1724.3928000000001</v>
      </c>
    </row>
    <row r="157" spans="1:9" ht="13.5" customHeight="1">
      <c r="A157" s="240">
        <v>4</v>
      </c>
      <c r="B157" s="244" t="s">
        <v>503</v>
      </c>
      <c r="C157" s="242">
        <v>1</v>
      </c>
      <c r="D157" s="243">
        <v>4.45</v>
      </c>
      <c r="E157" s="243">
        <f t="shared" ref="E157" si="40">D157*10.764</f>
        <v>47.899799999999999</v>
      </c>
      <c r="F157" s="243">
        <f t="shared" ref="F157" si="41">E157*C157</f>
        <v>47.899799999999999</v>
      </c>
      <c r="G157" s="243">
        <v>8.58</v>
      </c>
      <c r="H157" s="243">
        <v>36</v>
      </c>
      <c r="I157" s="248">
        <f t="shared" si="38"/>
        <v>1724.3928000000001</v>
      </c>
    </row>
    <row r="158" spans="1:9" ht="13.5" customHeight="1">
      <c r="A158" s="240">
        <v>5</v>
      </c>
      <c r="B158" s="244" t="s">
        <v>504</v>
      </c>
      <c r="C158" s="242">
        <v>1</v>
      </c>
      <c r="D158" s="243">
        <v>59.78</v>
      </c>
      <c r="E158" s="243">
        <f t="shared" si="36"/>
        <v>643.47191999999995</v>
      </c>
      <c r="F158" s="243">
        <f t="shared" si="39"/>
        <v>643.47191999999995</v>
      </c>
      <c r="G158" s="243">
        <f>(7.96+10.08+11.05+10.82+8.06)*2</f>
        <v>95.94</v>
      </c>
      <c r="H158" s="243">
        <v>1</v>
      </c>
      <c r="I158" s="248">
        <f t="shared" si="38"/>
        <v>643.47191999999995</v>
      </c>
    </row>
    <row r="159" spans="1:9" ht="13.5" customHeight="1">
      <c r="A159" s="240">
        <v>6</v>
      </c>
      <c r="B159" s="244" t="s">
        <v>505</v>
      </c>
      <c r="C159" s="242">
        <v>1</v>
      </c>
      <c r="D159" s="243">
        <v>1.57</v>
      </c>
      <c r="E159" s="243">
        <f t="shared" si="36"/>
        <v>16.899480000000001</v>
      </c>
      <c r="F159" s="243">
        <f t="shared" si="39"/>
        <v>16.899480000000001</v>
      </c>
      <c r="G159" s="243">
        <v>6.04</v>
      </c>
      <c r="H159" s="243">
        <v>2</v>
      </c>
      <c r="I159" s="248">
        <f t="shared" si="38"/>
        <v>33.798960000000001</v>
      </c>
    </row>
    <row r="160" spans="1:9" ht="13.5" customHeight="1">
      <c r="A160" s="240">
        <v>7</v>
      </c>
      <c r="B160" s="244" t="s">
        <v>506</v>
      </c>
      <c r="C160" s="242">
        <v>1</v>
      </c>
      <c r="D160" s="243">
        <v>0.92</v>
      </c>
      <c r="E160" s="243">
        <f t="shared" si="36"/>
        <v>9.9028799999999997</v>
      </c>
      <c r="F160" s="243">
        <f t="shared" si="39"/>
        <v>9.9028799999999997</v>
      </c>
      <c r="G160" s="243">
        <v>4.09</v>
      </c>
      <c r="H160" s="243">
        <v>2</v>
      </c>
      <c r="I160" s="248">
        <f t="shared" si="38"/>
        <v>19.805759999999999</v>
      </c>
    </row>
    <row r="161" spans="1:9" ht="13.5" customHeight="1">
      <c r="A161" s="240">
        <v>8</v>
      </c>
      <c r="B161" s="244" t="s">
        <v>507</v>
      </c>
      <c r="C161" s="242">
        <v>1</v>
      </c>
      <c r="D161" s="243">
        <v>29.18</v>
      </c>
      <c r="E161" s="243">
        <f t="shared" si="36"/>
        <v>314.09351999999996</v>
      </c>
      <c r="F161" s="243">
        <f t="shared" si="39"/>
        <v>314.09351999999996</v>
      </c>
      <c r="G161" s="243">
        <v>21.91</v>
      </c>
      <c r="H161" s="243">
        <v>4</v>
      </c>
      <c r="I161" s="248">
        <f t="shared" si="38"/>
        <v>1256.3740799999998</v>
      </c>
    </row>
    <row r="162" spans="1:9" ht="13.5" customHeight="1">
      <c r="A162" s="240"/>
      <c r="B162" s="244"/>
      <c r="C162" s="242"/>
      <c r="D162" s="243"/>
      <c r="E162" s="243"/>
      <c r="F162" s="243"/>
      <c r="G162" s="243"/>
      <c r="H162" s="243"/>
      <c r="I162" s="248"/>
    </row>
    <row r="163" spans="1:9" ht="13.5" customHeight="1">
      <c r="A163" s="249"/>
      <c r="B163" s="250" t="s">
        <v>232</v>
      </c>
      <c r="C163" s="242"/>
      <c r="D163" s="243"/>
      <c r="E163" s="251"/>
      <c r="F163" s="248"/>
      <c r="G163" s="248"/>
      <c r="H163" s="243"/>
      <c r="I163" s="252">
        <f>SUM(I4:I162)</f>
        <v>288618.29243999993</v>
      </c>
    </row>
    <row r="164" spans="1:9" ht="13.5" customHeight="1">
      <c r="B164" s="233"/>
      <c r="C164" s="235"/>
      <c r="D164" s="232"/>
      <c r="E164" s="230"/>
      <c r="F164" s="230"/>
      <c r="G164" s="230"/>
      <c r="I164" s="236"/>
    </row>
    <row r="165" spans="1:9" ht="13.5" customHeight="1">
      <c r="B165" s="233"/>
      <c r="C165" s="235"/>
      <c r="D165" s="232"/>
      <c r="E165" s="230"/>
      <c r="F165" s="230"/>
      <c r="G165" s="230"/>
      <c r="I165" s="231"/>
    </row>
    <row r="166" spans="1:9" ht="13.5" customHeight="1">
      <c r="B166" s="233"/>
      <c r="C166" s="235"/>
      <c r="D166" s="232"/>
      <c r="E166" s="230"/>
      <c r="F166" s="230"/>
      <c r="G166" s="230"/>
    </row>
    <row r="167" spans="1:9" ht="13.5" customHeight="1">
      <c r="D167" s="234"/>
      <c r="E167" s="234"/>
      <c r="F167" s="234"/>
      <c r="G167" s="234"/>
    </row>
    <row r="168" spans="1:9" ht="13.5" customHeight="1">
      <c r="D168" s="234"/>
      <c r="E168" s="234"/>
      <c r="F168" s="234"/>
      <c r="G168" s="234"/>
    </row>
    <row r="169" spans="1:9" ht="13.5" customHeight="1">
      <c r="D169" s="234"/>
      <c r="E169" s="234"/>
      <c r="F169" s="234"/>
      <c r="G169" s="234"/>
    </row>
    <row r="170" spans="1:9" ht="13.5" customHeight="1">
      <c r="D170" s="234"/>
      <c r="E170" s="234"/>
      <c r="F170" s="234"/>
      <c r="G170" s="234"/>
    </row>
    <row r="171" spans="1:9" ht="13.5" customHeight="1">
      <c r="D171" s="234"/>
      <c r="E171" s="234"/>
      <c r="F171" s="234"/>
      <c r="G171" s="234"/>
    </row>
    <row r="172" spans="1:9" ht="13.5" customHeight="1">
      <c r="D172" s="234"/>
      <c r="E172" s="234"/>
      <c r="F172" s="234"/>
      <c r="G172" s="234"/>
    </row>
    <row r="173" spans="1:9" ht="13.5" customHeight="1">
      <c r="D173" s="234"/>
      <c r="E173" s="234"/>
      <c r="F173" s="234"/>
      <c r="G173" s="234"/>
    </row>
    <row r="174" spans="1:9" ht="13.5" customHeight="1">
      <c r="D174" s="234"/>
      <c r="E174" s="234"/>
      <c r="F174" s="234"/>
      <c r="G174" s="234"/>
    </row>
    <row r="175" spans="1:9" ht="13.5" customHeight="1">
      <c r="D175" s="234"/>
      <c r="E175" s="234"/>
      <c r="F175" s="234"/>
      <c r="G175" s="234"/>
    </row>
    <row r="176" spans="1:9" ht="13.5" customHeight="1">
      <c r="D176" s="234"/>
      <c r="E176" s="234"/>
      <c r="F176" s="234"/>
      <c r="G176" s="234"/>
    </row>
    <row r="177" spans="4:7" ht="13.5" customHeight="1">
      <c r="D177" s="234"/>
      <c r="E177" s="234"/>
      <c r="F177" s="234"/>
      <c r="G177" s="234"/>
    </row>
    <row r="178" spans="4:7" ht="13.5" customHeight="1">
      <c r="D178" s="234"/>
      <c r="E178" s="234"/>
      <c r="F178" s="234"/>
      <c r="G178" s="234"/>
    </row>
    <row r="179" spans="4:7" ht="13.5" customHeight="1">
      <c r="D179" s="234"/>
      <c r="E179" s="234"/>
      <c r="F179" s="234"/>
      <c r="G179" s="234"/>
    </row>
    <row r="180" spans="4:7" ht="13.5" customHeight="1">
      <c r="D180" s="234"/>
      <c r="E180" s="234"/>
      <c r="F180" s="234"/>
      <c r="G180" s="234"/>
    </row>
    <row r="181" spans="4:7" ht="13.5" customHeight="1">
      <c r="D181" s="234"/>
      <c r="E181" s="234"/>
      <c r="F181" s="234"/>
      <c r="G181" s="234"/>
    </row>
    <row r="182" spans="4:7" ht="13.5" customHeight="1">
      <c r="D182" s="234"/>
      <c r="E182" s="234"/>
      <c r="F182" s="234"/>
      <c r="G182" s="234"/>
    </row>
    <row r="183" spans="4:7" ht="13.5" customHeight="1">
      <c r="D183" s="234"/>
      <c r="E183" s="234"/>
      <c r="F183" s="234"/>
      <c r="G183" s="234"/>
    </row>
    <row r="184" spans="4:7" ht="13.5" customHeight="1">
      <c r="D184" s="234"/>
      <c r="E184" s="234"/>
      <c r="F184" s="234"/>
      <c r="G184" s="234"/>
    </row>
    <row r="185" spans="4:7" ht="13.5" customHeight="1">
      <c r="D185" s="234"/>
      <c r="E185" s="234"/>
      <c r="F185" s="234"/>
      <c r="G185" s="234"/>
    </row>
    <row r="186" spans="4:7" ht="13.5" customHeight="1">
      <c r="D186" s="234"/>
      <c r="E186" s="234"/>
      <c r="F186" s="234"/>
      <c r="G186" s="234"/>
    </row>
    <row r="187" spans="4:7" ht="13.5" customHeight="1">
      <c r="D187" s="234"/>
      <c r="E187" s="234"/>
      <c r="F187" s="234"/>
      <c r="G187" s="234"/>
    </row>
    <row r="188" spans="4:7" ht="13.5" customHeight="1">
      <c r="D188" s="234"/>
      <c r="E188" s="234"/>
      <c r="F188" s="234"/>
      <c r="G188" s="234"/>
    </row>
    <row r="189" spans="4:7" ht="13.5" customHeight="1">
      <c r="D189" s="234"/>
      <c r="E189" s="234"/>
      <c r="F189" s="234"/>
      <c r="G189" s="234"/>
    </row>
    <row r="190" spans="4:7" ht="13.5" customHeight="1">
      <c r="D190" s="234"/>
      <c r="E190" s="234"/>
      <c r="F190" s="234"/>
      <c r="G190" s="234"/>
    </row>
    <row r="191" spans="4:7" ht="13.5" customHeight="1">
      <c r="D191" s="234"/>
      <c r="E191" s="234"/>
      <c r="F191" s="234"/>
      <c r="G191" s="234"/>
    </row>
    <row r="192" spans="4:7" ht="13.5" customHeight="1">
      <c r="D192" s="234"/>
      <c r="E192" s="234"/>
      <c r="F192" s="234"/>
      <c r="G192" s="234"/>
    </row>
    <row r="193" spans="4:7" ht="13.5" customHeight="1">
      <c r="D193" s="234"/>
      <c r="E193" s="234"/>
      <c r="F193" s="234"/>
      <c r="G193" s="234"/>
    </row>
    <row r="194" spans="4:7" ht="13.5" customHeight="1">
      <c r="D194" s="234"/>
      <c r="E194" s="234"/>
      <c r="F194" s="234"/>
      <c r="G194" s="234"/>
    </row>
    <row r="195" spans="4:7" ht="13.5" customHeight="1">
      <c r="D195" s="234"/>
      <c r="E195" s="234"/>
      <c r="F195" s="234"/>
      <c r="G195" s="234"/>
    </row>
    <row r="196" spans="4:7" ht="13.5" customHeight="1">
      <c r="D196" s="234"/>
      <c r="E196" s="234"/>
      <c r="F196" s="234"/>
      <c r="G196" s="234"/>
    </row>
    <row r="197" spans="4:7" ht="13.5" customHeight="1">
      <c r="D197" s="234"/>
      <c r="E197" s="234"/>
      <c r="F197" s="234"/>
      <c r="G197" s="234"/>
    </row>
    <row r="198" spans="4:7" ht="13.5" customHeight="1">
      <c r="D198" s="234"/>
      <c r="E198" s="234"/>
      <c r="F198" s="234"/>
      <c r="G198" s="234"/>
    </row>
    <row r="199" spans="4:7" ht="13.5" customHeight="1">
      <c r="D199" s="234"/>
      <c r="E199" s="234"/>
      <c r="F199" s="234"/>
      <c r="G199" s="234"/>
    </row>
    <row r="200" spans="4:7" ht="13.5" customHeight="1">
      <c r="D200" s="234"/>
      <c r="E200" s="234"/>
      <c r="F200" s="234"/>
      <c r="G200" s="234"/>
    </row>
    <row r="201" spans="4:7" ht="13.5" customHeight="1">
      <c r="D201" s="234"/>
      <c r="E201" s="234"/>
      <c r="F201" s="234"/>
      <c r="G201" s="234"/>
    </row>
    <row r="202" spans="4:7" ht="13.5" customHeight="1">
      <c r="D202" s="234"/>
      <c r="E202" s="234"/>
      <c r="F202" s="234"/>
      <c r="G202" s="234"/>
    </row>
    <row r="203" spans="4:7" ht="13.5" customHeight="1">
      <c r="D203" s="234"/>
      <c r="E203" s="234"/>
      <c r="F203" s="234"/>
      <c r="G203" s="234"/>
    </row>
    <row r="204" spans="4:7" ht="13.5" customHeight="1">
      <c r="D204" s="234"/>
      <c r="E204" s="234"/>
      <c r="F204" s="234"/>
      <c r="G204" s="234"/>
    </row>
    <row r="205" spans="4:7" ht="13.5" customHeight="1">
      <c r="D205" s="234"/>
      <c r="E205" s="234"/>
      <c r="F205" s="234"/>
      <c r="G205" s="234"/>
    </row>
    <row r="206" spans="4:7" ht="13.5" customHeight="1">
      <c r="D206" s="234"/>
      <c r="E206" s="234"/>
      <c r="F206" s="234"/>
      <c r="G206" s="234"/>
    </row>
    <row r="207" spans="4:7" ht="13.5" customHeight="1">
      <c r="D207" s="234"/>
      <c r="E207" s="234"/>
      <c r="F207" s="234"/>
      <c r="G207" s="234"/>
    </row>
    <row r="208" spans="4:7" ht="13.5" customHeight="1">
      <c r="D208" s="234"/>
      <c r="E208" s="234"/>
      <c r="F208" s="234"/>
      <c r="G208" s="234"/>
    </row>
    <row r="209" spans="4:7" ht="13.5" customHeight="1">
      <c r="D209" s="234"/>
      <c r="E209" s="234"/>
      <c r="F209" s="234"/>
      <c r="G209" s="234"/>
    </row>
    <row r="210" spans="4:7" ht="13.5" customHeight="1">
      <c r="D210" s="234"/>
      <c r="E210" s="234"/>
      <c r="F210" s="234"/>
      <c r="G210" s="234"/>
    </row>
    <row r="211" spans="4:7" ht="13.5" customHeight="1">
      <c r="D211" s="234"/>
      <c r="E211" s="234"/>
      <c r="F211" s="234"/>
      <c r="G211" s="234"/>
    </row>
    <row r="212" spans="4:7" ht="13.5" customHeight="1">
      <c r="D212" s="234"/>
      <c r="E212" s="234"/>
      <c r="F212" s="234"/>
      <c r="G212" s="234"/>
    </row>
    <row r="213" spans="4:7" ht="13.5" customHeight="1">
      <c r="D213" s="234"/>
      <c r="E213" s="234"/>
      <c r="F213" s="234"/>
      <c r="G213" s="234"/>
    </row>
    <row r="214" spans="4:7" ht="13.5" customHeight="1">
      <c r="D214" s="234"/>
      <c r="E214" s="234"/>
      <c r="F214" s="234"/>
      <c r="G214" s="234"/>
    </row>
    <row r="215" spans="4:7" ht="13.5" customHeight="1">
      <c r="D215" s="234"/>
      <c r="E215" s="234"/>
      <c r="F215" s="234"/>
      <c r="G215" s="234"/>
    </row>
    <row r="216" spans="4:7" ht="13.5" customHeight="1">
      <c r="D216" s="234"/>
      <c r="E216" s="234"/>
      <c r="F216" s="234"/>
      <c r="G216" s="234"/>
    </row>
    <row r="217" spans="4:7" ht="13.5" customHeight="1">
      <c r="D217" s="234"/>
      <c r="E217" s="234"/>
      <c r="F217" s="234"/>
      <c r="G217" s="234"/>
    </row>
    <row r="218" spans="4:7" ht="13.5" customHeight="1">
      <c r="D218" s="234"/>
      <c r="E218" s="234"/>
      <c r="F218" s="234"/>
      <c r="G218" s="234"/>
    </row>
    <row r="219" spans="4:7" ht="13.5" customHeight="1">
      <c r="D219" s="234"/>
      <c r="E219" s="234"/>
      <c r="F219" s="234"/>
      <c r="G219" s="234"/>
    </row>
    <row r="220" spans="4:7" ht="13.5" customHeight="1">
      <c r="D220" s="234"/>
      <c r="E220" s="234"/>
      <c r="F220" s="234"/>
      <c r="G220" s="234"/>
    </row>
    <row r="221" spans="4:7" ht="13.5" customHeight="1">
      <c r="D221" s="234"/>
      <c r="E221" s="234"/>
      <c r="F221" s="234"/>
      <c r="G221" s="234"/>
    </row>
    <row r="222" spans="4:7" ht="13.5" customHeight="1">
      <c r="D222" s="234"/>
      <c r="E222" s="234"/>
      <c r="F222" s="234"/>
      <c r="G222" s="234"/>
    </row>
    <row r="223" spans="4:7" ht="13.5" customHeight="1">
      <c r="D223" s="234"/>
      <c r="E223" s="234"/>
      <c r="F223" s="234"/>
      <c r="G223" s="234"/>
    </row>
    <row r="224" spans="4:7" ht="13.5" customHeight="1">
      <c r="D224" s="234"/>
      <c r="E224" s="234"/>
      <c r="F224" s="234"/>
      <c r="G224" s="234"/>
    </row>
    <row r="225" spans="4:7" ht="13.5" customHeight="1">
      <c r="D225" s="234"/>
      <c r="E225" s="234"/>
      <c r="F225" s="234"/>
      <c r="G225" s="234"/>
    </row>
    <row r="226" spans="4:7" ht="13.5" customHeight="1">
      <c r="D226" s="234"/>
      <c r="E226" s="234"/>
      <c r="F226" s="234"/>
      <c r="G226" s="234"/>
    </row>
    <row r="227" spans="4:7" ht="13.5" customHeight="1">
      <c r="D227" s="234"/>
      <c r="E227" s="234"/>
      <c r="F227" s="234"/>
      <c r="G227" s="234"/>
    </row>
    <row r="228" spans="4:7" ht="13.5" customHeight="1">
      <c r="D228" s="234"/>
      <c r="E228" s="234"/>
      <c r="F228" s="234"/>
      <c r="G228" s="234"/>
    </row>
    <row r="229" spans="4:7" ht="13.5" customHeight="1">
      <c r="D229" s="234"/>
      <c r="E229" s="234"/>
      <c r="F229" s="234"/>
      <c r="G229" s="234"/>
    </row>
    <row r="230" spans="4:7" ht="13.5" customHeight="1">
      <c r="D230" s="234"/>
      <c r="E230" s="234"/>
      <c r="F230" s="234"/>
      <c r="G230" s="234"/>
    </row>
    <row r="231" spans="4:7" ht="13.5" customHeight="1">
      <c r="D231" s="234"/>
      <c r="E231" s="234"/>
      <c r="F231" s="234"/>
      <c r="G231" s="234"/>
    </row>
    <row r="232" spans="4:7" ht="13.5" customHeight="1">
      <c r="D232" s="234"/>
      <c r="E232" s="234"/>
      <c r="F232" s="234"/>
      <c r="G232" s="234"/>
    </row>
    <row r="233" spans="4:7" ht="13.5" customHeight="1">
      <c r="D233" s="234"/>
      <c r="E233" s="234"/>
      <c r="F233" s="234"/>
      <c r="G233" s="234"/>
    </row>
    <row r="234" spans="4:7" ht="13.5" customHeight="1">
      <c r="D234" s="234"/>
      <c r="E234" s="234"/>
      <c r="F234" s="234"/>
      <c r="G234" s="234"/>
    </row>
    <row r="235" spans="4:7" ht="13.5" customHeight="1">
      <c r="D235" s="234"/>
      <c r="E235" s="234"/>
      <c r="F235" s="234"/>
      <c r="G235" s="234"/>
    </row>
    <row r="236" spans="4:7" ht="13.5" customHeight="1">
      <c r="D236" s="234"/>
      <c r="E236" s="234"/>
      <c r="F236" s="234"/>
      <c r="G236" s="234"/>
    </row>
    <row r="237" spans="4:7" ht="13.5" customHeight="1">
      <c r="D237" s="234"/>
      <c r="E237" s="234"/>
      <c r="F237" s="234"/>
      <c r="G237" s="234"/>
    </row>
    <row r="238" spans="4:7" ht="13.5" customHeight="1">
      <c r="D238" s="234"/>
      <c r="E238" s="234"/>
      <c r="F238" s="234"/>
      <c r="G238" s="234"/>
    </row>
    <row r="239" spans="4:7" ht="13.5" customHeight="1">
      <c r="D239" s="234"/>
      <c r="E239" s="234"/>
      <c r="F239" s="234"/>
      <c r="G239" s="234"/>
    </row>
    <row r="240" spans="4:7" ht="13.5" customHeight="1">
      <c r="D240" s="234"/>
      <c r="E240" s="234"/>
      <c r="F240" s="234"/>
      <c r="G240" s="234"/>
    </row>
    <row r="241" spans="4:7" ht="13.5" customHeight="1">
      <c r="D241" s="234"/>
      <c r="E241" s="234"/>
      <c r="F241" s="234"/>
      <c r="G241" s="234"/>
    </row>
    <row r="242" spans="4:7" ht="13.5" customHeight="1">
      <c r="D242" s="234"/>
      <c r="E242" s="234"/>
      <c r="F242" s="234"/>
      <c r="G242" s="234"/>
    </row>
    <row r="243" spans="4:7" ht="13.5" customHeight="1">
      <c r="D243" s="234"/>
      <c r="E243" s="234"/>
      <c r="F243" s="234"/>
      <c r="G243" s="234"/>
    </row>
    <row r="244" spans="4:7" ht="13.5" customHeight="1">
      <c r="D244" s="234"/>
      <c r="E244" s="234"/>
      <c r="F244" s="234"/>
      <c r="G244" s="234"/>
    </row>
    <row r="245" spans="4:7" ht="13.5" customHeight="1">
      <c r="D245" s="234"/>
      <c r="E245" s="234"/>
      <c r="F245" s="234"/>
      <c r="G245" s="234"/>
    </row>
    <row r="246" spans="4:7" ht="13.5" customHeight="1">
      <c r="D246" s="234"/>
      <c r="E246" s="234"/>
      <c r="F246" s="234"/>
      <c r="G246" s="234"/>
    </row>
    <row r="247" spans="4:7" ht="13.5" customHeight="1">
      <c r="D247" s="234"/>
      <c r="E247" s="234"/>
      <c r="F247" s="234"/>
      <c r="G247" s="234"/>
    </row>
    <row r="248" spans="4:7" ht="13.5" customHeight="1">
      <c r="D248" s="234"/>
      <c r="E248" s="234"/>
      <c r="F248" s="234"/>
      <c r="G248" s="234"/>
    </row>
    <row r="249" spans="4:7" ht="13.5" customHeight="1">
      <c r="D249" s="234"/>
      <c r="E249" s="234"/>
      <c r="F249" s="234"/>
      <c r="G249" s="234"/>
    </row>
    <row r="250" spans="4:7" ht="13.5" customHeight="1">
      <c r="D250" s="234"/>
      <c r="E250" s="234"/>
      <c r="F250" s="234"/>
      <c r="G250" s="234"/>
    </row>
    <row r="251" spans="4:7" ht="13.5" customHeight="1">
      <c r="D251" s="234"/>
      <c r="E251" s="234"/>
      <c r="F251" s="234"/>
      <c r="G251" s="234"/>
    </row>
    <row r="252" spans="4:7" ht="13.5" customHeight="1">
      <c r="D252" s="234"/>
      <c r="E252" s="234"/>
      <c r="F252" s="234"/>
      <c r="G252" s="234"/>
    </row>
    <row r="253" spans="4:7" ht="13.5" customHeight="1">
      <c r="D253" s="234"/>
      <c r="E253" s="234"/>
      <c r="F253" s="234"/>
      <c r="G253" s="234"/>
    </row>
    <row r="254" spans="4:7" ht="13.5" customHeight="1">
      <c r="D254" s="234"/>
      <c r="E254" s="234"/>
      <c r="F254" s="234"/>
      <c r="G254" s="234"/>
    </row>
    <row r="255" spans="4:7" ht="13.5" customHeight="1">
      <c r="D255" s="234"/>
      <c r="E255" s="234"/>
      <c r="F255" s="234"/>
      <c r="G255" s="234"/>
    </row>
    <row r="256" spans="4:7" ht="13.5" customHeight="1">
      <c r="D256" s="234"/>
      <c r="E256" s="234"/>
      <c r="F256" s="234"/>
      <c r="G256" s="234"/>
    </row>
    <row r="257" spans="4:7" ht="13.5" customHeight="1">
      <c r="D257" s="234"/>
      <c r="E257" s="234"/>
      <c r="F257" s="234"/>
      <c r="G257" s="234"/>
    </row>
    <row r="258" spans="4:7" ht="13.5" customHeight="1">
      <c r="D258" s="234"/>
      <c r="E258" s="234"/>
      <c r="F258" s="234"/>
      <c r="G258" s="234"/>
    </row>
    <row r="259" spans="4:7" ht="13.5" customHeight="1">
      <c r="D259" s="234"/>
      <c r="E259" s="234"/>
      <c r="F259" s="234"/>
      <c r="G259" s="234"/>
    </row>
    <row r="260" spans="4:7" ht="13.5" customHeight="1">
      <c r="D260" s="234"/>
      <c r="E260" s="234"/>
      <c r="F260" s="234"/>
      <c r="G260" s="234"/>
    </row>
    <row r="261" spans="4:7" ht="13.5" customHeight="1">
      <c r="D261" s="234"/>
      <c r="E261" s="234"/>
      <c r="F261" s="234"/>
      <c r="G261" s="234"/>
    </row>
    <row r="262" spans="4:7" ht="13.5" customHeight="1">
      <c r="D262" s="234"/>
      <c r="E262" s="234"/>
      <c r="F262" s="234"/>
      <c r="G262" s="234"/>
    </row>
    <row r="263" spans="4:7" ht="13.5" customHeight="1">
      <c r="D263" s="234"/>
      <c r="E263" s="234"/>
      <c r="F263" s="234"/>
      <c r="G263" s="234"/>
    </row>
    <row r="264" spans="4:7" ht="13.5" customHeight="1">
      <c r="D264" s="234"/>
      <c r="E264" s="234"/>
      <c r="F264" s="234"/>
      <c r="G264" s="234"/>
    </row>
    <row r="265" spans="4:7" ht="13.5" customHeight="1">
      <c r="D265" s="234"/>
      <c r="E265" s="234"/>
      <c r="F265" s="234"/>
      <c r="G265" s="234"/>
    </row>
    <row r="266" spans="4:7" ht="13.5" customHeight="1">
      <c r="D266" s="234"/>
      <c r="E266" s="234"/>
      <c r="F266" s="234"/>
      <c r="G266" s="234"/>
    </row>
    <row r="267" spans="4:7" ht="13.5" customHeight="1">
      <c r="D267" s="234"/>
      <c r="E267" s="234"/>
      <c r="F267" s="234"/>
      <c r="G267" s="234"/>
    </row>
    <row r="268" spans="4:7" ht="13.5" customHeight="1">
      <c r="D268" s="234"/>
      <c r="E268" s="234"/>
      <c r="F268" s="234"/>
      <c r="G268" s="234"/>
    </row>
    <row r="269" spans="4:7" ht="13.5" customHeight="1">
      <c r="D269" s="234"/>
      <c r="E269" s="234"/>
      <c r="F269" s="234"/>
      <c r="G269" s="234"/>
    </row>
    <row r="270" spans="4:7" ht="13.5" customHeight="1">
      <c r="D270" s="234"/>
      <c r="E270" s="234"/>
      <c r="F270" s="234"/>
      <c r="G270" s="234"/>
    </row>
    <row r="271" spans="4:7" ht="13.5" customHeight="1">
      <c r="D271" s="234"/>
      <c r="E271" s="234"/>
      <c r="F271" s="234"/>
      <c r="G271" s="234"/>
    </row>
    <row r="272" spans="4:7" ht="13.5" customHeight="1">
      <c r="D272" s="234"/>
      <c r="E272" s="234"/>
      <c r="F272" s="234"/>
      <c r="G272" s="234"/>
    </row>
    <row r="273" spans="4:7" ht="13.5" customHeight="1">
      <c r="D273" s="234"/>
      <c r="E273" s="234"/>
      <c r="F273" s="234"/>
      <c r="G273" s="234"/>
    </row>
    <row r="274" spans="4:7" ht="13.5" customHeight="1">
      <c r="D274" s="234"/>
      <c r="E274" s="234"/>
      <c r="F274" s="234"/>
      <c r="G274" s="234"/>
    </row>
    <row r="275" spans="4:7" ht="13.5" customHeight="1">
      <c r="D275" s="234"/>
      <c r="E275" s="234"/>
      <c r="F275" s="234"/>
      <c r="G275" s="234"/>
    </row>
    <row r="276" spans="4:7" ht="13.5" customHeight="1">
      <c r="D276" s="234"/>
      <c r="E276" s="234"/>
      <c r="F276" s="234"/>
      <c r="G276" s="234"/>
    </row>
    <row r="277" spans="4:7" ht="13.5" customHeight="1">
      <c r="D277" s="234"/>
      <c r="E277" s="234"/>
      <c r="F277" s="234"/>
      <c r="G277" s="234"/>
    </row>
    <row r="278" spans="4:7" ht="13.5" customHeight="1">
      <c r="D278" s="234"/>
      <c r="E278" s="234"/>
      <c r="F278" s="234"/>
      <c r="G278" s="234"/>
    </row>
    <row r="279" spans="4:7" ht="13.5" customHeight="1">
      <c r="D279" s="234"/>
      <c r="E279" s="234"/>
      <c r="F279" s="234"/>
      <c r="G279" s="234"/>
    </row>
    <row r="280" spans="4:7" ht="13.5" customHeight="1">
      <c r="D280" s="234"/>
      <c r="E280" s="234"/>
      <c r="F280" s="234"/>
      <c r="G280" s="234"/>
    </row>
    <row r="281" spans="4:7" ht="13.5" customHeight="1">
      <c r="D281" s="234"/>
      <c r="E281" s="234"/>
      <c r="F281" s="234"/>
      <c r="G281" s="234"/>
    </row>
    <row r="282" spans="4:7" ht="13.5" customHeight="1">
      <c r="D282" s="234"/>
      <c r="E282" s="234"/>
      <c r="F282" s="234"/>
      <c r="G282" s="234"/>
    </row>
    <row r="283" spans="4:7" ht="13.5" customHeight="1">
      <c r="D283" s="234"/>
      <c r="E283" s="234"/>
      <c r="F283" s="234"/>
      <c r="G283" s="234"/>
    </row>
    <row r="284" spans="4:7" ht="13.5" customHeight="1">
      <c r="D284" s="234"/>
      <c r="E284" s="234"/>
      <c r="F284" s="234"/>
      <c r="G284" s="234"/>
    </row>
    <row r="285" spans="4:7" ht="13.5" customHeight="1">
      <c r="D285" s="234"/>
      <c r="E285" s="234"/>
      <c r="F285" s="234"/>
      <c r="G285" s="234"/>
    </row>
    <row r="286" spans="4:7" ht="13.5" customHeight="1">
      <c r="D286" s="234"/>
      <c r="E286" s="234"/>
      <c r="F286" s="234"/>
      <c r="G286" s="234"/>
    </row>
    <row r="287" spans="4:7" ht="13.5" customHeight="1">
      <c r="D287" s="234"/>
      <c r="E287" s="234"/>
      <c r="F287" s="234"/>
      <c r="G287" s="234"/>
    </row>
    <row r="288" spans="4:7" ht="13.5" customHeight="1">
      <c r="D288" s="234"/>
      <c r="E288" s="234"/>
      <c r="F288" s="234"/>
      <c r="G288" s="234"/>
    </row>
    <row r="289" spans="4:7" ht="13.5" customHeight="1">
      <c r="D289" s="234"/>
      <c r="E289" s="234"/>
      <c r="F289" s="234"/>
      <c r="G289" s="234"/>
    </row>
    <row r="290" spans="4:7" ht="13.5" customHeight="1">
      <c r="D290" s="234"/>
      <c r="E290" s="234"/>
      <c r="F290" s="234"/>
      <c r="G290" s="234"/>
    </row>
    <row r="291" spans="4:7" ht="13.5" customHeight="1">
      <c r="D291" s="234"/>
      <c r="E291" s="234"/>
      <c r="F291" s="234"/>
      <c r="G291" s="234"/>
    </row>
    <row r="292" spans="4:7" ht="13.5" customHeight="1">
      <c r="D292" s="234"/>
      <c r="E292" s="234"/>
      <c r="F292" s="234"/>
      <c r="G292" s="234"/>
    </row>
    <row r="293" spans="4:7" ht="13.5" customHeight="1">
      <c r="D293" s="234"/>
      <c r="E293" s="234"/>
      <c r="F293" s="234"/>
      <c r="G293" s="234"/>
    </row>
    <row r="294" spans="4:7" ht="13.5" customHeight="1">
      <c r="D294" s="234"/>
      <c r="E294" s="234"/>
      <c r="F294" s="234"/>
      <c r="G294" s="234"/>
    </row>
    <row r="295" spans="4:7" ht="13.5" customHeight="1">
      <c r="D295" s="234"/>
      <c r="E295" s="234"/>
      <c r="F295" s="234"/>
      <c r="G295" s="234"/>
    </row>
    <row r="296" spans="4:7" ht="13.5" customHeight="1">
      <c r="D296" s="234"/>
      <c r="E296" s="234"/>
      <c r="F296" s="234"/>
      <c r="G296" s="234"/>
    </row>
    <row r="297" spans="4:7" ht="13.5" customHeight="1">
      <c r="D297" s="234"/>
      <c r="E297" s="234"/>
      <c r="F297" s="234"/>
      <c r="G297" s="234"/>
    </row>
    <row r="298" spans="4:7" ht="13.5" customHeight="1">
      <c r="D298" s="234"/>
      <c r="E298" s="234"/>
      <c r="F298" s="234"/>
      <c r="G298" s="234"/>
    </row>
    <row r="299" spans="4:7" ht="13.5" customHeight="1">
      <c r="D299" s="234"/>
      <c r="E299" s="234"/>
      <c r="F299" s="234"/>
      <c r="G299" s="234"/>
    </row>
    <row r="300" spans="4:7" ht="13.5" customHeight="1">
      <c r="D300" s="234"/>
      <c r="E300" s="234"/>
      <c r="F300" s="234"/>
      <c r="G300" s="234"/>
    </row>
    <row r="301" spans="4:7" ht="13.5" customHeight="1">
      <c r="D301" s="234"/>
      <c r="E301" s="234"/>
      <c r="F301" s="234"/>
      <c r="G301" s="234"/>
    </row>
    <row r="302" spans="4:7" ht="13.5" customHeight="1">
      <c r="D302" s="234"/>
      <c r="E302" s="234"/>
      <c r="F302" s="234"/>
      <c r="G302" s="234"/>
    </row>
    <row r="303" spans="4:7" ht="13.5" customHeight="1">
      <c r="D303" s="234"/>
      <c r="E303" s="234"/>
      <c r="F303" s="234"/>
      <c r="G303" s="234"/>
    </row>
    <row r="304" spans="4:7" ht="13.5" customHeight="1">
      <c r="D304" s="234"/>
      <c r="E304" s="234"/>
      <c r="F304" s="234"/>
      <c r="G304" s="234"/>
    </row>
    <row r="305" spans="4:7" ht="13.5" customHeight="1">
      <c r="D305" s="234"/>
      <c r="E305" s="234"/>
      <c r="F305" s="234"/>
      <c r="G305" s="234"/>
    </row>
    <row r="306" spans="4:7" ht="13.5" customHeight="1">
      <c r="D306" s="234"/>
      <c r="E306" s="234"/>
      <c r="F306" s="234"/>
      <c r="G306" s="234"/>
    </row>
    <row r="307" spans="4:7" ht="13.5" customHeight="1">
      <c r="D307" s="234"/>
      <c r="E307" s="234"/>
      <c r="F307" s="234"/>
      <c r="G307" s="234"/>
    </row>
    <row r="308" spans="4:7" ht="13.5" customHeight="1">
      <c r="D308" s="234"/>
      <c r="E308" s="234"/>
      <c r="F308" s="234"/>
      <c r="G308" s="234"/>
    </row>
    <row r="309" spans="4:7" ht="13.5" customHeight="1">
      <c r="D309" s="234"/>
      <c r="E309" s="234"/>
      <c r="F309" s="234"/>
      <c r="G309" s="234"/>
    </row>
    <row r="310" spans="4:7" ht="13.5" customHeight="1">
      <c r="D310" s="234"/>
      <c r="E310" s="234"/>
      <c r="F310" s="234"/>
      <c r="G310" s="234"/>
    </row>
    <row r="311" spans="4:7" ht="13.5" customHeight="1">
      <c r="D311" s="234"/>
      <c r="E311" s="234"/>
      <c r="F311" s="234"/>
      <c r="G311" s="234"/>
    </row>
    <row r="312" spans="4:7" ht="13.5" customHeight="1">
      <c r="D312" s="234"/>
      <c r="E312" s="234"/>
      <c r="F312" s="234"/>
      <c r="G312" s="234"/>
    </row>
    <row r="313" spans="4:7" ht="13.5" customHeight="1">
      <c r="D313" s="234"/>
      <c r="E313" s="234"/>
      <c r="F313" s="234"/>
      <c r="G313" s="234"/>
    </row>
    <row r="314" spans="4:7" ht="13.5" customHeight="1">
      <c r="D314" s="234"/>
      <c r="E314" s="234"/>
      <c r="F314" s="234"/>
      <c r="G314" s="234"/>
    </row>
    <row r="315" spans="4:7" ht="13.5" customHeight="1">
      <c r="D315" s="234"/>
      <c r="E315" s="234"/>
      <c r="F315" s="234"/>
      <c r="G315" s="234"/>
    </row>
    <row r="316" spans="4:7" ht="13.5" customHeight="1">
      <c r="D316" s="234"/>
      <c r="E316" s="234"/>
      <c r="F316" s="234"/>
      <c r="G316" s="234"/>
    </row>
    <row r="317" spans="4:7" ht="13.5" customHeight="1">
      <c r="D317" s="234"/>
      <c r="E317" s="234"/>
      <c r="F317" s="234"/>
      <c r="G317" s="234"/>
    </row>
    <row r="318" spans="4:7" ht="13.5" customHeight="1">
      <c r="D318" s="234"/>
      <c r="E318" s="234"/>
      <c r="F318" s="234"/>
      <c r="G318" s="234"/>
    </row>
    <row r="319" spans="4:7" ht="13.5" customHeight="1">
      <c r="D319" s="234"/>
      <c r="E319" s="234"/>
      <c r="F319" s="234"/>
      <c r="G319" s="234"/>
    </row>
    <row r="320" spans="4:7" ht="13.5" customHeight="1">
      <c r="D320" s="234"/>
      <c r="E320" s="234"/>
      <c r="F320" s="234"/>
      <c r="G320" s="234"/>
    </row>
    <row r="321" spans="4:7" ht="13.5" customHeight="1">
      <c r="D321" s="234"/>
      <c r="E321" s="234"/>
      <c r="F321" s="234"/>
      <c r="G321" s="234"/>
    </row>
    <row r="322" spans="4:7" ht="13.5" customHeight="1">
      <c r="D322" s="234"/>
      <c r="E322" s="234"/>
      <c r="F322" s="234"/>
      <c r="G322" s="234"/>
    </row>
    <row r="323" spans="4:7" ht="13.5" customHeight="1">
      <c r="D323" s="234"/>
      <c r="E323" s="234"/>
      <c r="F323" s="234"/>
      <c r="G323" s="234"/>
    </row>
    <row r="324" spans="4:7" ht="13.5" customHeight="1">
      <c r="D324" s="234"/>
      <c r="E324" s="234"/>
      <c r="F324" s="234"/>
      <c r="G324" s="234"/>
    </row>
    <row r="325" spans="4:7" ht="13.5" customHeight="1">
      <c r="D325" s="234"/>
      <c r="E325" s="234"/>
      <c r="F325" s="234"/>
      <c r="G325" s="234"/>
    </row>
    <row r="326" spans="4:7" ht="13.5" customHeight="1">
      <c r="D326" s="234"/>
      <c r="E326" s="234"/>
      <c r="F326" s="234"/>
      <c r="G326" s="234"/>
    </row>
    <row r="327" spans="4:7" ht="13.5" customHeight="1">
      <c r="D327" s="234"/>
      <c r="E327" s="234"/>
      <c r="F327" s="234"/>
      <c r="G327" s="234"/>
    </row>
    <row r="328" spans="4:7" ht="13.5" customHeight="1">
      <c r="D328" s="234"/>
      <c r="E328" s="234"/>
      <c r="F328" s="234"/>
      <c r="G328" s="234"/>
    </row>
    <row r="329" spans="4:7" ht="13.5" customHeight="1">
      <c r="D329" s="234"/>
      <c r="E329" s="234"/>
      <c r="F329" s="234"/>
      <c r="G329" s="234"/>
    </row>
    <row r="330" spans="4:7" ht="13.5" customHeight="1">
      <c r="D330" s="234"/>
      <c r="E330" s="234"/>
      <c r="F330" s="234"/>
      <c r="G330" s="234"/>
    </row>
    <row r="331" spans="4:7" ht="13.5" customHeight="1">
      <c r="D331" s="234"/>
      <c r="E331" s="234"/>
      <c r="F331" s="234"/>
      <c r="G331" s="234"/>
    </row>
    <row r="332" spans="4:7" ht="13.5" customHeight="1">
      <c r="D332" s="234"/>
      <c r="E332" s="234"/>
      <c r="F332" s="234"/>
      <c r="G332" s="234"/>
    </row>
    <row r="333" spans="4:7" ht="13.5" customHeight="1">
      <c r="D333" s="234"/>
      <c r="E333" s="234"/>
      <c r="F333" s="234"/>
      <c r="G333" s="234"/>
    </row>
    <row r="334" spans="4:7" ht="13.5" customHeight="1">
      <c r="D334" s="234"/>
      <c r="E334" s="234"/>
      <c r="F334" s="234"/>
      <c r="G334" s="234"/>
    </row>
    <row r="335" spans="4:7" ht="13.5" customHeight="1">
      <c r="D335" s="234"/>
      <c r="E335" s="234"/>
      <c r="F335" s="234"/>
      <c r="G335" s="234"/>
    </row>
    <row r="336" spans="4:7" ht="13.5" customHeight="1">
      <c r="D336" s="234"/>
      <c r="E336" s="234"/>
      <c r="F336" s="234"/>
      <c r="G336" s="234"/>
    </row>
    <row r="337" spans="4:7" ht="13.5" customHeight="1">
      <c r="D337" s="234"/>
      <c r="E337" s="234"/>
      <c r="F337" s="234"/>
      <c r="G337" s="234"/>
    </row>
    <row r="338" spans="4:7" ht="13.5" customHeight="1">
      <c r="D338" s="234"/>
      <c r="E338" s="234"/>
      <c r="F338" s="234"/>
      <c r="G338" s="234"/>
    </row>
    <row r="339" spans="4:7" ht="13.5" customHeight="1">
      <c r="D339" s="234"/>
      <c r="E339" s="234"/>
      <c r="F339" s="234"/>
      <c r="G339" s="234"/>
    </row>
    <row r="340" spans="4:7" ht="13.5" customHeight="1">
      <c r="D340" s="234"/>
      <c r="E340" s="234"/>
      <c r="F340" s="234"/>
      <c r="G340" s="234"/>
    </row>
    <row r="341" spans="4:7" ht="13.5" customHeight="1">
      <c r="D341" s="234"/>
      <c r="E341" s="234"/>
      <c r="F341" s="234"/>
      <c r="G341" s="234"/>
    </row>
    <row r="342" spans="4:7" ht="13.5" customHeight="1">
      <c r="D342" s="234"/>
      <c r="E342" s="234"/>
      <c r="F342" s="234"/>
      <c r="G342" s="234"/>
    </row>
    <row r="343" spans="4:7" ht="13.5" customHeight="1">
      <c r="D343" s="234"/>
      <c r="E343" s="234"/>
      <c r="F343" s="234"/>
      <c r="G343" s="234"/>
    </row>
    <row r="344" spans="4:7" ht="13.5" customHeight="1">
      <c r="D344" s="234"/>
      <c r="E344" s="234"/>
      <c r="F344" s="234"/>
      <c r="G344" s="234"/>
    </row>
    <row r="345" spans="4:7" ht="13.5" customHeight="1">
      <c r="D345" s="234"/>
      <c r="E345" s="234"/>
      <c r="F345" s="234"/>
      <c r="G345" s="234"/>
    </row>
    <row r="346" spans="4:7" ht="13.5" customHeight="1">
      <c r="D346" s="234"/>
      <c r="E346" s="234"/>
      <c r="F346" s="234"/>
      <c r="G346" s="234"/>
    </row>
    <row r="347" spans="4:7" ht="13.5" customHeight="1">
      <c r="D347" s="234"/>
      <c r="E347" s="234"/>
      <c r="F347" s="234"/>
      <c r="G347" s="234"/>
    </row>
    <row r="348" spans="4:7" ht="13.5" customHeight="1">
      <c r="D348" s="234"/>
      <c r="E348" s="234"/>
      <c r="F348" s="234"/>
      <c r="G348" s="234"/>
    </row>
    <row r="349" spans="4:7" ht="13.5" customHeight="1">
      <c r="D349" s="234"/>
      <c r="E349" s="234"/>
      <c r="F349" s="234"/>
      <c r="G349" s="234"/>
    </row>
    <row r="350" spans="4:7" ht="13.5" customHeight="1">
      <c r="D350" s="234"/>
      <c r="E350" s="234"/>
      <c r="F350" s="234"/>
      <c r="G350" s="234"/>
    </row>
    <row r="351" spans="4:7" ht="13.5" customHeight="1">
      <c r="D351" s="234"/>
      <c r="E351" s="234"/>
      <c r="F351" s="234"/>
      <c r="G351" s="234"/>
    </row>
    <row r="352" spans="4:7" ht="13.5" customHeight="1">
      <c r="D352" s="234"/>
      <c r="E352" s="234"/>
      <c r="F352" s="234"/>
      <c r="G352" s="234"/>
    </row>
    <row r="353" spans="4:7" ht="13.5" customHeight="1">
      <c r="D353" s="234"/>
      <c r="E353" s="234"/>
      <c r="F353" s="234"/>
      <c r="G353" s="234"/>
    </row>
    <row r="354" spans="4:7" ht="13.5" customHeight="1">
      <c r="D354" s="234"/>
      <c r="E354" s="234"/>
      <c r="F354" s="234"/>
      <c r="G354" s="234"/>
    </row>
    <row r="355" spans="4:7" ht="13.5" customHeight="1">
      <c r="D355" s="234"/>
      <c r="E355" s="234"/>
      <c r="F355" s="234"/>
      <c r="G355" s="234"/>
    </row>
    <row r="356" spans="4:7" ht="13.5" customHeight="1">
      <c r="D356" s="234"/>
      <c r="E356" s="234"/>
      <c r="F356" s="234"/>
      <c r="G356" s="234"/>
    </row>
    <row r="357" spans="4:7" ht="13.5" customHeight="1">
      <c r="D357" s="234"/>
      <c r="E357" s="234"/>
      <c r="F357" s="234"/>
      <c r="G357" s="234"/>
    </row>
    <row r="358" spans="4:7" ht="13.5" customHeight="1">
      <c r="D358" s="234"/>
      <c r="E358" s="234"/>
      <c r="F358" s="234"/>
      <c r="G358" s="234"/>
    </row>
    <row r="359" spans="4:7" ht="13.5" customHeight="1">
      <c r="D359" s="234"/>
      <c r="E359" s="234"/>
      <c r="F359" s="234"/>
      <c r="G359" s="234"/>
    </row>
    <row r="360" spans="4:7" ht="13.5" customHeight="1">
      <c r="D360" s="234"/>
      <c r="E360" s="234"/>
      <c r="F360" s="234"/>
      <c r="G360" s="234"/>
    </row>
    <row r="361" spans="4:7" ht="13.5" customHeight="1">
      <c r="D361" s="234"/>
      <c r="E361" s="234"/>
      <c r="F361" s="234"/>
      <c r="G361" s="234"/>
    </row>
    <row r="362" spans="4:7" ht="13.5" customHeight="1">
      <c r="D362" s="234"/>
      <c r="E362" s="234"/>
      <c r="F362" s="234"/>
      <c r="G362" s="234"/>
    </row>
    <row r="363" spans="4:7" ht="13.5" customHeight="1">
      <c r="D363" s="234"/>
      <c r="E363" s="234"/>
      <c r="F363" s="234"/>
      <c r="G363" s="234"/>
    </row>
    <row r="364" spans="4:7" ht="13.5" customHeight="1">
      <c r="D364" s="234"/>
      <c r="E364" s="234"/>
      <c r="F364" s="234"/>
      <c r="G364" s="234"/>
    </row>
    <row r="365" spans="4:7" ht="13.5" customHeight="1">
      <c r="D365" s="234"/>
      <c r="E365" s="234"/>
      <c r="F365" s="234"/>
      <c r="G365" s="234"/>
    </row>
    <row r="366" spans="4:7" ht="13.5" customHeight="1">
      <c r="D366" s="234"/>
      <c r="E366" s="234"/>
      <c r="F366" s="234"/>
      <c r="G366" s="234"/>
    </row>
    <row r="367" spans="4:7" ht="13.5" customHeight="1">
      <c r="D367" s="234"/>
      <c r="E367" s="234"/>
      <c r="F367" s="234"/>
      <c r="G367" s="234"/>
    </row>
    <row r="368" spans="4:7" ht="13.5" customHeight="1">
      <c r="D368" s="234"/>
      <c r="E368" s="234"/>
      <c r="F368" s="234"/>
      <c r="G368" s="234"/>
    </row>
    <row r="369" spans="4:7" ht="13.5" customHeight="1">
      <c r="D369" s="234"/>
      <c r="E369" s="234"/>
      <c r="F369" s="234"/>
      <c r="G369" s="234"/>
    </row>
    <row r="370" spans="4:7" ht="13.5" customHeight="1">
      <c r="D370" s="234"/>
      <c r="E370" s="234"/>
      <c r="F370" s="234"/>
      <c r="G370" s="234"/>
    </row>
    <row r="371" spans="4:7" ht="13.5" customHeight="1">
      <c r="D371" s="234"/>
      <c r="E371" s="234"/>
      <c r="F371" s="234"/>
      <c r="G371" s="234"/>
    </row>
    <row r="372" spans="4:7" ht="13.5" customHeight="1">
      <c r="D372" s="234"/>
      <c r="E372" s="234"/>
      <c r="F372" s="234"/>
      <c r="G372" s="234"/>
    </row>
    <row r="373" spans="4:7" ht="13.5" customHeight="1">
      <c r="D373" s="234"/>
      <c r="E373" s="234"/>
      <c r="F373" s="234"/>
      <c r="G373" s="234"/>
    </row>
    <row r="374" spans="4:7" ht="13.5" customHeight="1">
      <c r="D374" s="234"/>
      <c r="E374" s="234"/>
      <c r="F374" s="234"/>
      <c r="G374" s="234"/>
    </row>
    <row r="375" spans="4:7" ht="13.5" customHeight="1">
      <c r="D375" s="234"/>
      <c r="E375" s="234"/>
      <c r="F375" s="234"/>
      <c r="G375" s="234"/>
    </row>
    <row r="376" spans="4:7" ht="13.5" customHeight="1">
      <c r="D376" s="234"/>
      <c r="E376" s="234"/>
      <c r="F376" s="234"/>
      <c r="G376" s="234"/>
    </row>
    <row r="377" spans="4:7" ht="13.5" customHeight="1">
      <c r="D377" s="234"/>
      <c r="E377" s="234"/>
      <c r="F377" s="234"/>
      <c r="G377" s="234"/>
    </row>
    <row r="378" spans="4:7" ht="13.5" customHeight="1">
      <c r="D378" s="234"/>
      <c r="E378" s="234"/>
      <c r="F378" s="234"/>
      <c r="G378" s="234"/>
    </row>
    <row r="379" spans="4:7" ht="13.5" customHeight="1">
      <c r="D379" s="234"/>
      <c r="E379" s="234"/>
      <c r="F379" s="234"/>
      <c r="G379" s="234"/>
    </row>
    <row r="380" spans="4:7" ht="13.5" customHeight="1">
      <c r="D380" s="234"/>
      <c r="E380" s="234"/>
      <c r="F380" s="234"/>
      <c r="G380" s="234"/>
    </row>
    <row r="381" spans="4:7" ht="13.5" customHeight="1">
      <c r="D381" s="234"/>
      <c r="E381" s="234"/>
      <c r="F381" s="234"/>
      <c r="G381" s="234"/>
    </row>
    <row r="382" spans="4:7" ht="13.5" customHeight="1">
      <c r="D382" s="234"/>
      <c r="E382" s="234"/>
      <c r="F382" s="234"/>
      <c r="G382" s="234"/>
    </row>
    <row r="383" spans="4:7" ht="13.5" customHeight="1">
      <c r="D383" s="234"/>
      <c r="E383" s="234"/>
      <c r="F383" s="234"/>
      <c r="G383" s="234"/>
    </row>
    <row r="384" spans="4:7" ht="13.5" customHeight="1">
      <c r="D384" s="234"/>
      <c r="E384" s="234"/>
      <c r="F384" s="234"/>
      <c r="G384" s="234"/>
    </row>
    <row r="385" spans="4:7" ht="13.5" customHeight="1">
      <c r="D385" s="234"/>
      <c r="E385" s="234"/>
      <c r="F385" s="234"/>
      <c r="G385" s="234"/>
    </row>
    <row r="386" spans="4:7" ht="13.5" customHeight="1">
      <c r="D386" s="234"/>
      <c r="E386" s="234"/>
      <c r="F386" s="234"/>
      <c r="G386" s="234"/>
    </row>
    <row r="387" spans="4:7" ht="13.5" customHeight="1">
      <c r="D387" s="234"/>
      <c r="E387" s="234"/>
      <c r="F387" s="234"/>
      <c r="G387" s="234"/>
    </row>
    <row r="388" spans="4:7" ht="13.5" customHeight="1">
      <c r="D388" s="234"/>
      <c r="E388" s="234"/>
      <c r="F388" s="234"/>
      <c r="G388" s="234"/>
    </row>
    <row r="389" spans="4:7" ht="13.5" customHeight="1">
      <c r="D389" s="234"/>
      <c r="E389" s="234"/>
      <c r="F389" s="234"/>
      <c r="G389" s="234"/>
    </row>
    <row r="390" spans="4:7" ht="13.5" customHeight="1">
      <c r="D390" s="234"/>
      <c r="E390" s="234"/>
      <c r="F390" s="234"/>
      <c r="G390" s="234"/>
    </row>
    <row r="391" spans="4:7" ht="13.5" customHeight="1">
      <c r="D391" s="234"/>
      <c r="E391" s="234"/>
      <c r="F391" s="234"/>
      <c r="G391" s="234"/>
    </row>
    <row r="392" spans="4:7" ht="13.5" customHeight="1">
      <c r="D392" s="234"/>
      <c r="E392" s="234"/>
      <c r="F392" s="234"/>
      <c r="G392" s="234"/>
    </row>
    <row r="393" spans="4:7" ht="13.5" customHeight="1">
      <c r="D393" s="234"/>
      <c r="E393" s="234"/>
      <c r="F393" s="234"/>
      <c r="G393" s="234"/>
    </row>
    <row r="394" spans="4:7" ht="13.5" customHeight="1">
      <c r="D394" s="234"/>
      <c r="E394" s="234"/>
      <c r="F394" s="234"/>
      <c r="G394" s="234"/>
    </row>
    <row r="395" spans="4:7" ht="13.5" customHeight="1">
      <c r="D395" s="234"/>
      <c r="E395" s="234"/>
      <c r="F395" s="234"/>
      <c r="G395" s="234"/>
    </row>
    <row r="396" spans="4:7" ht="13.5" customHeight="1">
      <c r="D396" s="234"/>
      <c r="E396" s="234"/>
      <c r="F396" s="234"/>
      <c r="G396" s="234"/>
    </row>
    <row r="397" spans="4:7" ht="13.5" customHeight="1">
      <c r="D397" s="234"/>
      <c r="E397" s="234"/>
      <c r="F397" s="234"/>
      <c r="G397" s="234"/>
    </row>
    <row r="398" spans="4:7" ht="13.5" customHeight="1">
      <c r="D398" s="234"/>
      <c r="E398" s="234"/>
      <c r="F398" s="234"/>
      <c r="G398" s="234"/>
    </row>
    <row r="399" spans="4:7" ht="13.5" customHeight="1">
      <c r="D399" s="234"/>
      <c r="E399" s="234"/>
      <c r="F399" s="234"/>
      <c r="G399" s="234"/>
    </row>
    <row r="400" spans="4:7" ht="13.5" customHeight="1">
      <c r="D400" s="234"/>
      <c r="E400" s="234"/>
      <c r="F400" s="234"/>
      <c r="G400" s="234"/>
    </row>
    <row r="401" spans="4:7" ht="13.5" customHeight="1">
      <c r="D401" s="234"/>
      <c r="E401" s="234"/>
      <c r="F401" s="234"/>
      <c r="G401" s="234"/>
    </row>
    <row r="402" spans="4:7" ht="13.5" customHeight="1">
      <c r="D402" s="234"/>
      <c r="E402" s="234"/>
      <c r="F402" s="234"/>
      <c r="G402" s="234"/>
    </row>
    <row r="403" spans="4:7" ht="13.5" customHeight="1">
      <c r="D403" s="234"/>
      <c r="E403" s="234"/>
      <c r="F403" s="234"/>
      <c r="G403" s="234"/>
    </row>
    <row r="404" spans="4:7" ht="13.5" customHeight="1">
      <c r="D404" s="234"/>
      <c r="E404" s="234"/>
      <c r="F404" s="234"/>
      <c r="G404" s="234"/>
    </row>
    <row r="405" spans="4:7" ht="13.5" customHeight="1">
      <c r="D405" s="234"/>
      <c r="E405" s="234"/>
      <c r="F405" s="234"/>
      <c r="G405" s="234"/>
    </row>
    <row r="406" spans="4:7" ht="13.5" customHeight="1">
      <c r="D406" s="234"/>
      <c r="E406" s="234"/>
      <c r="F406" s="234"/>
      <c r="G406" s="234"/>
    </row>
    <row r="407" spans="4:7" ht="13.5" customHeight="1">
      <c r="D407" s="234"/>
      <c r="E407" s="234"/>
      <c r="F407" s="234"/>
      <c r="G407" s="234"/>
    </row>
    <row r="408" spans="4:7" ht="13.5" customHeight="1">
      <c r="D408" s="234"/>
      <c r="E408" s="234"/>
      <c r="F408" s="234"/>
      <c r="G408" s="234"/>
    </row>
    <row r="409" spans="4:7" ht="13.5" customHeight="1">
      <c r="D409" s="234"/>
      <c r="E409" s="234"/>
      <c r="F409" s="234"/>
      <c r="G409" s="234"/>
    </row>
    <row r="410" spans="4:7" ht="13.5" customHeight="1">
      <c r="D410" s="234"/>
      <c r="E410" s="234"/>
      <c r="F410" s="234"/>
      <c r="G410" s="234"/>
    </row>
    <row r="411" spans="4:7" ht="13.5" customHeight="1">
      <c r="D411" s="234"/>
      <c r="E411" s="234"/>
      <c r="F411" s="234"/>
      <c r="G411" s="234"/>
    </row>
    <row r="412" spans="4:7" ht="13.5" customHeight="1">
      <c r="D412" s="234"/>
      <c r="E412" s="234"/>
      <c r="F412" s="234"/>
      <c r="G412" s="234"/>
    </row>
    <row r="413" spans="4:7" ht="13.5" customHeight="1">
      <c r="D413" s="234"/>
      <c r="E413" s="234"/>
      <c r="F413" s="234"/>
      <c r="G413" s="234"/>
    </row>
    <row r="414" spans="4:7" ht="13.5" customHeight="1">
      <c r="D414" s="234"/>
      <c r="E414" s="234"/>
      <c r="F414" s="234"/>
      <c r="G414" s="234"/>
    </row>
    <row r="415" spans="4:7" ht="13.5" customHeight="1">
      <c r="D415" s="234"/>
      <c r="E415" s="234"/>
      <c r="F415" s="234"/>
      <c r="G415" s="234"/>
    </row>
    <row r="416" spans="4:7" ht="13.5" customHeight="1">
      <c r="D416" s="234"/>
      <c r="E416" s="234"/>
      <c r="F416" s="234"/>
      <c r="G416" s="234"/>
    </row>
    <row r="417" spans="4:7" ht="13.5" customHeight="1">
      <c r="D417" s="234"/>
      <c r="E417" s="234"/>
      <c r="F417" s="234"/>
      <c r="G417" s="234"/>
    </row>
    <row r="418" spans="4:7" ht="13.5" customHeight="1">
      <c r="D418" s="234"/>
      <c r="E418" s="234"/>
      <c r="F418" s="234"/>
      <c r="G418" s="234"/>
    </row>
    <row r="419" spans="4:7" ht="13.5" customHeight="1">
      <c r="D419" s="234"/>
      <c r="E419" s="234"/>
      <c r="F419" s="234"/>
      <c r="G419" s="234"/>
    </row>
    <row r="420" spans="4:7" ht="13.5" customHeight="1">
      <c r="D420" s="234"/>
      <c r="E420" s="234"/>
      <c r="F420" s="234"/>
      <c r="G420" s="234"/>
    </row>
    <row r="421" spans="4:7" ht="13.5" customHeight="1">
      <c r="D421" s="234"/>
      <c r="E421" s="234"/>
      <c r="F421" s="234"/>
      <c r="G421" s="234"/>
    </row>
    <row r="422" spans="4:7" ht="13.5" customHeight="1">
      <c r="D422" s="234"/>
      <c r="E422" s="234"/>
      <c r="F422" s="234"/>
      <c r="G422" s="234"/>
    </row>
    <row r="423" spans="4:7" ht="13.5" customHeight="1">
      <c r="D423" s="234"/>
      <c r="E423" s="234"/>
      <c r="F423" s="234"/>
      <c r="G423" s="234"/>
    </row>
    <row r="424" spans="4:7" ht="13.5" customHeight="1">
      <c r="D424" s="234"/>
      <c r="E424" s="234"/>
      <c r="F424" s="234"/>
      <c r="G424" s="234"/>
    </row>
    <row r="425" spans="4:7" ht="13.5" customHeight="1">
      <c r="D425" s="234"/>
      <c r="E425" s="234"/>
      <c r="F425" s="234"/>
      <c r="G425" s="234"/>
    </row>
    <row r="426" spans="4:7" ht="13.5" customHeight="1">
      <c r="D426" s="234"/>
      <c r="E426" s="234"/>
      <c r="F426" s="234"/>
      <c r="G426" s="234"/>
    </row>
    <row r="427" spans="4:7" ht="13.5" customHeight="1">
      <c r="D427" s="234"/>
      <c r="E427" s="234"/>
      <c r="F427" s="234"/>
      <c r="G427" s="234"/>
    </row>
    <row r="428" spans="4:7" ht="13.5" customHeight="1">
      <c r="D428" s="234"/>
      <c r="E428" s="234"/>
      <c r="F428" s="234"/>
      <c r="G428" s="234"/>
    </row>
    <row r="429" spans="4:7" ht="13.5" customHeight="1">
      <c r="D429" s="234"/>
      <c r="E429" s="234"/>
      <c r="F429" s="234"/>
      <c r="G429" s="234"/>
    </row>
    <row r="430" spans="4:7" ht="13.5" customHeight="1">
      <c r="D430" s="234"/>
      <c r="E430" s="234"/>
      <c r="F430" s="234"/>
      <c r="G430" s="234"/>
    </row>
    <row r="431" spans="4:7" ht="13.5" customHeight="1">
      <c r="D431" s="234"/>
      <c r="E431" s="234"/>
      <c r="F431" s="234"/>
      <c r="G431" s="234"/>
    </row>
    <row r="432" spans="4:7" ht="13.5" customHeight="1">
      <c r="D432" s="234"/>
      <c r="E432" s="234"/>
      <c r="F432" s="234"/>
      <c r="G432" s="234"/>
    </row>
    <row r="433" spans="4:7" ht="13.5" customHeight="1">
      <c r="D433" s="234"/>
      <c r="E433" s="234"/>
      <c r="F433" s="234"/>
      <c r="G433" s="234"/>
    </row>
    <row r="434" spans="4:7" ht="13.5" customHeight="1">
      <c r="D434" s="234"/>
      <c r="E434" s="234"/>
      <c r="F434" s="234"/>
      <c r="G434" s="234"/>
    </row>
    <row r="435" spans="4:7" ht="13.5" customHeight="1">
      <c r="D435" s="234"/>
      <c r="E435" s="234"/>
      <c r="F435" s="234"/>
      <c r="G435" s="234"/>
    </row>
    <row r="436" spans="4:7" ht="13.5" customHeight="1">
      <c r="D436" s="234"/>
      <c r="E436" s="234"/>
      <c r="F436" s="234"/>
      <c r="G436" s="234"/>
    </row>
    <row r="437" spans="4:7" ht="13.5" customHeight="1">
      <c r="D437" s="234"/>
      <c r="E437" s="234"/>
      <c r="F437" s="234"/>
      <c r="G437" s="234"/>
    </row>
    <row r="438" spans="4:7" ht="13.5" customHeight="1">
      <c r="D438" s="234"/>
      <c r="E438" s="234"/>
      <c r="F438" s="234"/>
      <c r="G438" s="234"/>
    </row>
    <row r="439" spans="4:7" ht="13.5" customHeight="1">
      <c r="D439" s="234"/>
      <c r="E439" s="234"/>
      <c r="F439" s="234"/>
      <c r="G439" s="234"/>
    </row>
    <row r="440" spans="4:7" ht="13.5" customHeight="1">
      <c r="D440" s="234"/>
      <c r="E440" s="234"/>
      <c r="F440" s="234"/>
      <c r="G440" s="234"/>
    </row>
    <row r="441" spans="4:7" ht="13.5" customHeight="1">
      <c r="D441" s="234"/>
      <c r="E441" s="234"/>
      <c r="F441" s="234"/>
      <c r="G441" s="234"/>
    </row>
    <row r="442" spans="4:7" ht="13.5" customHeight="1">
      <c r="D442" s="234"/>
      <c r="E442" s="234"/>
      <c r="F442" s="234"/>
      <c r="G442" s="234"/>
    </row>
    <row r="443" spans="4:7" ht="13.5" customHeight="1">
      <c r="D443" s="234"/>
      <c r="E443" s="234"/>
      <c r="F443" s="234"/>
      <c r="G443" s="234"/>
    </row>
    <row r="444" spans="4:7" ht="13.5" customHeight="1">
      <c r="D444" s="234"/>
      <c r="E444" s="234"/>
      <c r="F444" s="234"/>
      <c r="G444" s="234"/>
    </row>
    <row r="445" spans="4:7" ht="13.5" customHeight="1">
      <c r="D445" s="234"/>
      <c r="E445" s="234"/>
      <c r="F445" s="234"/>
      <c r="G445" s="234"/>
    </row>
    <row r="446" spans="4:7" ht="13.5" customHeight="1">
      <c r="D446" s="234"/>
      <c r="E446" s="234"/>
      <c r="F446" s="234"/>
      <c r="G446" s="234"/>
    </row>
    <row r="447" spans="4:7" ht="13.5" customHeight="1">
      <c r="D447" s="234"/>
      <c r="E447" s="234"/>
      <c r="F447" s="234"/>
      <c r="G447" s="234"/>
    </row>
    <row r="448" spans="4:7" ht="13.5" customHeight="1">
      <c r="D448" s="234"/>
      <c r="E448" s="234"/>
      <c r="F448" s="234"/>
      <c r="G448" s="234"/>
    </row>
    <row r="449" spans="4:7" ht="13.5" customHeight="1">
      <c r="D449" s="234"/>
      <c r="E449" s="234"/>
      <c r="F449" s="234"/>
      <c r="G449" s="234"/>
    </row>
    <row r="450" spans="4:7" ht="13.5" customHeight="1">
      <c r="D450" s="234"/>
      <c r="E450" s="234"/>
      <c r="F450" s="234"/>
      <c r="G450" s="234"/>
    </row>
    <row r="451" spans="4:7" ht="13.5" customHeight="1">
      <c r="D451" s="234"/>
      <c r="E451" s="234"/>
      <c r="F451" s="234"/>
      <c r="G451" s="234"/>
    </row>
    <row r="452" spans="4:7" ht="13.5" customHeight="1">
      <c r="D452" s="234"/>
      <c r="E452" s="234"/>
      <c r="F452" s="234"/>
      <c r="G452" s="234"/>
    </row>
    <row r="453" spans="4:7" ht="13.5" customHeight="1">
      <c r="D453" s="234"/>
      <c r="E453" s="234"/>
      <c r="F453" s="234"/>
      <c r="G453" s="234"/>
    </row>
    <row r="454" spans="4:7" ht="13.5" customHeight="1">
      <c r="D454" s="234"/>
      <c r="E454" s="234"/>
      <c r="F454" s="234"/>
      <c r="G454" s="234"/>
    </row>
    <row r="455" spans="4:7" ht="13.5" customHeight="1">
      <c r="D455" s="234"/>
      <c r="E455" s="234"/>
      <c r="F455" s="234"/>
      <c r="G455" s="234"/>
    </row>
    <row r="456" spans="4:7" ht="13.5" customHeight="1">
      <c r="D456" s="234"/>
      <c r="E456" s="234"/>
      <c r="F456" s="234"/>
      <c r="G456" s="234"/>
    </row>
    <row r="457" spans="4:7" ht="13.5" customHeight="1">
      <c r="D457" s="234"/>
      <c r="E457" s="234"/>
      <c r="F457" s="234"/>
      <c r="G457" s="234"/>
    </row>
    <row r="458" spans="4:7" ht="13.5" customHeight="1">
      <c r="D458" s="234"/>
      <c r="E458" s="234"/>
      <c r="F458" s="234"/>
      <c r="G458" s="234"/>
    </row>
    <row r="459" spans="4:7" ht="13.5" customHeight="1">
      <c r="D459" s="234"/>
      <c r="E459" s="234"/>
      <c r="F459" s="234"/>
      <c r="G459" s="234"/>
    </row>
    <row r="460" spans="4:7" ht="13.5" customHeight="1">
      <c r="D460" s="234"/>
      <c r="E460" s="234"/>
      <c r="F460" s="234"/>
      <c r="G460" s="234"/>
    </row>
    <row r="461" spans="4:7" ht="13.5" customHeight="1">
      <c r="D461" s="234"/>
      <c r="E461" s="234"/>
      <c r="F461" s="234"/>
      <c r="G461" s="234"/>
    </row>
    <row r="462" spans="4:7" ht="13.5" customHeight="1">
      <c r="D462" s="234"/>
      <c r="E462" s="234"/>
      <c r="F462" s="234"/>
      <c r="G462" s="234"/>
    </row>
    <row r="463" spans="4:7" ht="13.5" customHeight="1">
      <c r="D463" s="234"/>
      <c r="E463" s="234"/>
      <c r="F463" s="234"/>
      <c r="G463" s="234"/>
    </row>
    <row r="464" spans="4:7" ht="13.5" customHeight="1">
      <c r="D464" s="234"/>
      <c r="E464" s="234"/>
      <c r="F464" s="234"/>
      <c r="G464" s="234"/>
    </row>
    <row r="465" spans="4:7" ht="13.5" customHeight="1">
      <c r="D465" s="234"/>
      <c r="E465" s="234"/>
      <c r="F465" s="234"/>
      <c r="G465" s="234"/>
    </row>
    <row r="466" spans="4:7" ht="13.5" customHeight="1">
      <c r="D466" s="234"/>
      <c r="E466" s="234"/>
      <c r="F466" s="234"/>
      <c r="G466" s="234"/>
    </row>
    <row r="467" spans="4:7" ht="13.5" customHeight="1">
      <c r="D467" s="234"/>
      <c r="E467" s="234"/>
      <c r="F467" s="234"/>
      <c r="G467" s="234"/>
    </row>
    <row r="468" spans="4:7" ht="13.5" customHeight="1">
      <c r="D468" s="234"/>
      <c r="E468" s="234"/>
      <c r="F468" s="234"/>
      <c r="G468" s="234"/>
    </row>
    <row r="469" spans="4:7" ht="13.5" customHeight="1">
      <c r="D469" s="234"/>
      <c r="E469" s="234"/>
      <c r="F469" s="234"/>
      <c r="G469" s="234"/>
    </row>
    <row r="470" spans="4:7" ht="13.5" customHeight="1">
      <c r="D470" s="234"/>
      <c r="E470" s="234"/>
      <c r="F470" s="234"/>
      <c r="G470" s="234"/>
    </row>
    <row r="471" spans="4:7" ht="13.5" customHeight="1">
      <c r="D471" s="234"/>
      <c r="E471" s="234"/>
      <c r="F471" s="234"/>
      <c r="G471" s="234"/>
    </row>
    <row r="472" spans="4:7" ht="13.5" customHeight="1">
      <c r="D472" s="234"/>
      <c r="E472" s="234"/>
      <c r="F472" s="234"/>
      <c r="G472" s="234"/>
    </row>
    <row r="473" spans="4:7" ht="13.5" customHeight="1">
      <c r="D473" s="234"/>
      <c r="E473" s="234"/>
      <c r="F473" s="234"/>
      <c r="G473" s="234"/>
    </row>
    <row r="474" spans="4:7" ht="13.5" customHeight="1">
      <c r="D474" s="234"/>
      <c r="E474" s="234"/>
      <c r="F474" s="234"/>
      <c r="G474" s="234"/>
    </row>
    <row r="475" spans="4:7" ht="13.5" customHeight="1">
      <c r="D475" s="234"/>
      <c r="E475" s="234"/>
      <c r="F475" s="234"/>
      <c r="G475" s="234"/>
    </row>
    <row r="476" spans="4:7" ht="13.5" customHeight="1">
      <c r="D476" s="234"/>
      <c r="E476" s="234"/>
      <c r="F476" s="234"/>
      <c r="G476" s="234"/>
    </row>
    <row r="477" spans="4:7" ht="13.5" customHeight="1">
      <c r="D477" s="234"/>
      <c r="E477" s="234"/>
      <c r="F477" s="234"/>
      <c r="G477" s="234"/>
    </row>
    <row r="478" spans="4:7" ht="13.5" customHeight="1">
      <c r="D478" s="234"/>
      <c r="E478" s="234"/>
      <c r="F478" s="234"/>
      <c r="G478" s="234"/>
    </row>
    <row r="479" spans="4:7" ht="13.5" customHeight="1">
      <c r="D479" s="234"/>
      <c r="E479" s="234"/>
      <c r="F479" s="234"/>
      <c r="G479" s="234"/>
    </row>
    <row r="480" spans="4:7" ht="13.5" customHeight="1">
      <c r="D480" s="234"/>
      <c r="E480" s="234"/>
      <c r="F480" s="234"/>
      <c r="G480" s="234"/>
    </row>
    <row r="481" spans="4:7" ht="13.5" customHeight="1">
      <c r="D481" s="234"/>
      <c r="E481" s="234"/>
      <c r="F481" s="234"/>
      <c r="G481" s="234"/>
    </row>
    <row r="482" spans="4:7" ht="13.5" customHeight="1">
      <c r="D482" s="234"/>
      <c r="E482" s="234"/>
      <c r="F482" s="234"/>
      <c r="G482" s="234"/>
    </row>
    <row r="483" spans="4:7" ht="13.5" customHeight="1">
      <c r="D483" s="234"/>
      <c r="E483" s="234"/>
      <c r="F483" s="234"/>
      <c r="G483" s="234"/>
    </row>
    <row r="484" spans="4:7" ht="13.5" customHeight="1">
      <c r="D484" s="234"/>
      <c r="E484" s="234"/>
      <c r="F484" s="234"/>
      <c r="G484" s="234"/>
    </row>
    <row r="485" spans="4:7" ht="13.5" customHeight="1">
      <c r="D485" s="234"/>
      <c r="E485" s="234"/>
      <c r="F485" s="234"/>
      <c r="G485" s="234"/>
    </row>
    <row r="486" spans="4:7" ht="13.5" customHeight="1">
      <c r="D486" s="234"/>
      <c r="E486" s="234"/>
      <c r="F486" s="234"/>
      <c r="G486" s="234"/>
    </row>
    <row r="487" spans="4:7" ht="13.5" customHeight="1">
      <c r="D487" s="234"/>
      <c r="E487" s="234"/>
      <c r="F487" s="234"/>
      <c r="G487" s="234"/>
    </row>
    <row r="488" spans="4:7" ht="13.5" customHeight="1">
      <c r="D488" s="234"/>
      <c r="E488" s="234"/>
      <c r="F488" s="234"/>
      <c r="G488" s="234"/>
    </row>
    <row r="489" spans="4:7" ht="13.5" customHeight="1">
      <c r="D489" s="234"/>
      <c r="E489" s="234"/>
      <c r="F489" s="234"/>
      <c r="G489" s="234"/>
    </row>
    <row r="490" spans="4:7" ht="13.5" customHeight="1">
      <c r="D490" s="234"/>
      <c r="E490" s="234"/>
      <c r="F490" s="234"/>
      <c r="G490" s="234"/>
    </row>
    <row r="491" spans="4:7" ht="13.5" customHeight="1">
      <c r="D491" s="234"/>
      <c r="E491" s="234"/>
      <c r="F491" s="234"/>
      <c r="G491" s="234"/>
    </row>
    <row r="492" spans="4:7" ht="13.5" customHeight="1">
      <c r="D492" s="234"/>
      <c r="E492" s="234"/>
      <c r="F492" s="234"/>
      <c r="G492" s="234"/>
    </row>
    <row r="493" spans="4:7" ht="13.5" customHeight="1">
      <c r="D493" s="234"/>
      <c r="E493" s="234"/>
      <c r="F493" s="234"/>
      <c r="G493" s="234"/>
    </row>
    <row r="494" spans="4:7" ht="13.5" customHeight="1">
      <c r="D494" s="234"/>
      <c r="E494" s="234"/>
      <c r="F494" s="234"/>
      <c r="G494" s="234"/>
    </row>
    <row r="495" spans="4:7" ht="13.5" customHeight="1">
      <c r="D495" s="234"/>
      <c r="E495" s="234"/>
      <c r="F495" s="234"/>
      <c r="G495" s="234"/>
    </row>
    <row r="496" spans="4:7" ht="13.5" customHeight="1">
      <c r="D496" s="234"/>
      <c r="E496" s="234"/>
      <c r="F496" s="234"/>
      <c r="G496" s="234"/>
    </row>
    <row r="497" spans="4:7" ht="13.5" customHeight="1">
      <c r="D497" s="234"/>
      <c r="E497" s="234"/>
      <c r="F497" s="234"/>
      <c r="G497" s="234"/>
    </row>
    <row r="498" spans="4:7" ht="13.5" customHeight="1">
      <c r="D498" s="234"/>
      <c r="E498" s="234"/>
      <c r="F498" s="234"/>
      <c r="G498" s="234"/>
    </row>
    <row r="499" spans="4:7" ht="13.5" customHeight="1">
      <c r="D499" s="234"/>
      <c r="E499" s="234"/>
      <c r="F499" s="234"/>
      <c r="G499" s="234"/>
    </row>
    <row r="500" spans="4:7" ht="13.5" customHeight="1">
      <c r="D500" s="234"/>
      <c r="E500" s="234"/>
      <c r="F500" s="234"/>
      <c r="G500" s="234"/>
    </row>
    <row r="501" spans="4:7" ht="13.5" customHeight="1">
      <c r="D501" s="234"/>
      <c r="E501" s="234"/>
      <c r="F501" s="234"/>
      <c r="G501" s="234"/>
    </row>
    <row r="502" spans="4:7" ht="13.5" customHeight="1">
      <c r="D502" s="234"/>
      <c r="E502" s="234"/>
      <c r="F502" s="234"/>
      <c r="G502" s="234"/>
    </row>
    <row r="503" spans="4:7" ht="13.5" customHeight="1">
      <c r="D503" s="234"/>
      <c r="E503" s="234"/>
      <c r="F503" s="234"/>
      <c r="G503" s="234"/>
    </row>
    <row r="504" spans="4:7" ht="13.5" customHeight="1">
      <c r="D504" s="234"/>
      <c r="E504" s="234"/>
      <c r="F504" s="234"/>
      <c r="G504" s="234"/>
    </row>
    <row r="505" spans="4:7" ht="13.5" customHeight="1">
      <c r="D505" s="234"/>
      <c r="E505" s="234"/>
      <c r="F505" s="234"/>
      <c r="G505" s="234"/>
    </row>
    <row r="506" spans="4:7" ht="13.5" customHeight="1">
      <c r="D506" s="234"/>
      <c r="E506" s="234"/>
      <c r="F506" s="234"/>
      <c r="G506" s="234"/>
    </row>
    <row r="507" spans="4:7" ht="13.5" customHeight="1">
      <c r="D507" s="234"/>
      <c r="E507" s="234"/>
      <c r="F507" s="234"/>
      <c r="G507" s="234"/>
    </row>
    <row r="508" spans="4:7" ht="13.5" customHeight="1">
      <c r="D508" s="234"/>
      <c r="E508" s="234"/>
      <c r="F508" s="234"/>
      <c r="G508" s="234"/>
    </row>
    <row r="509" spans="4:7" ht="13.5" customHeight="1">
      <c r="D509" s="234"/>
      <c r="E509" s="234"/>
      <c r="F509" s="234"/>
      <c r="G509" s="234"/>
    </row>
    <row r="510" spans="4:7" ht="13.5" customHeight="1">
      <c r="D510" s="234"/>
      <c r="E510" s="234"/>
      <c r="F510" s="234"/>
      <c r="G510" s="234"/>
    </row>
    <row r="511" spans="4:7" ht="13.5" customHeight="1">
      <c r="D511" s="234"/>
      <c r="E511" s="234"/>
      <c r="F511" s="234"/>
      <c r="G511" s="234"/>
    </row>
    <row r="512" spans="4:7" ht="13.5" customHeight="1">
      <c r="D512" s="234"/>
      <c r="E512" s="234"/>
      <c r="F512" s="234"/>
      <c r="G512" s="234"/>
    </row>
    <row r="513" spans="4:7" ht="13.5" customHeight="1">
      <c r="D513" s="234"/>
      <c r="E513" s="234"/>
      <c r="F513" s="234"/>
      <c r="G513" s="234"/>
    </row>
    <row r="514" spans="4:7" ht="13.5" customHeight="1">
      <c r="D514" s="234"/>
      <c r="E514" s="234"/>
      <c r="F514" s="234"/>
      <c r="G514" s="234"/>
    </row>
    <row r="515" spans="4:7" ht="13.5" customHeight="1">
      <c r="D515" s="234"/>
      <c r="E515" s="234"/>
      <c r="F515" s="234"/>
      <c r="G515" s="234"/>
    </row>
    <row r="516" spans="4:7" ht="13.5" customHeight="1">
      <c r="D516" s="234"/>
      <c r="E516" s="234"/>
      <c r="F516" s="234"/>
      <c r="G516" s="234"/>
    </row>
    <row r="517" spans="4:7" ht="13.5" customHeight="1">
      <c r="D517" s="234"/>
      <c r="E517" s="234"/>
      <c r="F517" s="234"/>
      <c r="G517" s="234"/>
    </row>
    <row r="518" spans="4:7" ht="13.5" customHeight="1">
      <c r="D518" s="234"/>
      <c r="E518" s="234"/>
      <c r="F518" s="234"/>
      <c r="G518" s="234"/>
    </row>
    <row r="519" spans="4:7" ht="13.5" customHeight="1">
      <c r="D519" s="234"/>
      <c r="E519" s="234"/>
      <c r="F519" s="234"/>
      <c r="G519" s="234"/>
    </row>
    <row r="520" spans="4:7" ht="13.5" customHeight="1">
      <c r="D520" s="234"/>
      <c r="E520" s="234"/>
      <c r="F520" s="234"/>
      <c r="G520" s="234"/>
    </row>
    <row r="521" spans="4:7" ht="13.5" customHeight="1">
      <c r="D521" s="234"/>
      <c r="E521" s="234"/>
      <c r="F521" s="234"/>
      <c r="G521" s="234"/>
    </row>
    <row r="522" spans="4:7" ht="13.5" customHeight="1">
      <c r="D522" s="234"/>
      <c r="E522" s="234"/>
      <c r="F522" s="234"/>
      <c r="G522" s="234"/>
    </row>
    <row r="523" spans="4:7" ht="13.5" customHeight="1">
      <c r="D523" s="234"/>
      <c r="E523" s="234"/>
      <c r="F523" s="234"/>
      <c r="G523" s="234"/>
    </row>
    <row r="524" spans="4:7" ht="13.5" customHeight="1">
      <c r="D524" s="234"/>
      <c r="E524" s="234"/>
      <c r="F524" s="234"/>
      <c r="G524" s="234"/>
    </row>
    <row r="525" spans="4:7" ht="13.5" customHeight="1">
      <c r="D525" s="234"/>
      <c r="E525" s="234"/>
      <c r="F525" s="234"/>
      <c r="G525" s="234"/>
    </row>
    <row r="526" spans="4:7" ht="13.5" customHeight="1">
      <c r="D526" s="234"/>
      <c r="E526" s="234"/>
      <c r="F526" s="234"/>
      <c r="G526" s="234"/>
    </row>
    <row r="527" spans="4:7" ht="13.5" customHeight="1">
      <c r="D527" s="234"/>
      <c r="E527" s="234"/>
      <c r="F527" s="234"/>
      <c r="G527" s="234"/>
    </row>
    <row r="528" spans="4:7" ht="13.5" customHeight="1">
      <c r="D528" s="234"/>
      <c r="E528" s="234"/>
      <c r="F528" s="234"/>
      <c r="G528" s="234"/>
    </row>
    <row r="529" spans="4:7" ht="13.5" customHeight="1">
      <c r="D529" s="234"/>
      <c r="E529" s="234"/>
      <c r="F529" s="234"/>
      <c r="G529" s="234"/>
    </row>
    <row r="530" spans="4:7" ht="13.5" customHeight="1">
      <c r="D530" s="234"/>
      <c r="E530" s="234"/>
      <c r="F530" s="234"/>
      <c r="G530" s="234"/>
    </row>
    <row r="531" spans="4:7" ht="13.5" customHeight="1">
      <c r="D531" s="234"/>
      <c r="E531" s="234"/>
      <c r="F531" s="234"/>
      <c r="G531" s="234"/>
    </row>
    <row r="532" spans="4:7" ht="13.5" customHeight="1">
      <c r="D532" s="234"/>
      <c r="E532" s="234"/>
      <c r="F532" s="234"/>
      <c r="G532" s="234"/>
    </row>
    <row r="533" spans="4:7" ht="13.5" customHeight="1">
      <c r="D533" s="234"/>
      <c r="E533" s="234"/>
      <c r="F533" s="234"/>
      <c r="G533" s="234"/>
    </row>
    <row r="534" spans="4:7" ht="13.5" customHeight="1">
      <c r="D534" s="234"/>
      <c r="E534" s="234"/>
      <c r="F534" s="234"/>
      <c r="G534" s="234"/>
    </row>
    <row r="535" spans="4:7" ht="13.5" customHeight="1">
      <c r="D535" s="234"/>
      <c r="E535" s="234"/>
      <c r="F535" s="234"/>
      <c r="G535" s="234"/>
    </row>
    <row r="536" spans="4:7" ht="13.5" customHeight="1">
      <c r="D536" s="234"/>
      <c r="E536" s="234"/>
      <c r="F536" s="234"/>
      <c r="G536" s="234"/>
    </row>
    <row r="537" spans="4:7" ht="13.5" customHeight="1">
      <c r="D537" s="234"/>
      <c r="E537" s="234"/>
      <c r="F537" s="234"/>
      <c r="G537" s="234"/>
    </row>
    <row r="538" spans="4:7" ht="13.5" customHeight="1">
      <c r="D538" s="234"/>
      <c r="E538" s="234"/>
      <c r="F538" s="234"/>
      <c r="G538" s="234"/>
    </row>
    <row r="539" spans="4:7" ht="13.5" customHeight="1">
      <c r="D539" s="234"/>
      <c r="E539" s="234"/>
      <c r="F539" s="234"/>
      <c r="G539" s="234"/>
    </row>
    <row r="540" spans="4:7" ht="13.5" customHeight="1">
      <c r="D540" s="234"/>
      <c r="E540" s="234"/>
      <c r="F540" s="234"/>
      <c r="G540" s="234"/>
    </row>
    <row r="541" spans="4:7" ht="13.5" customHeight="1">
      <c r="D541" s="234"/>
      <c r="E541" s="234"/>
      <c r="F541" s="234"/>
      <c r="G541" s="234"/>
    </row>
    <row r="542" spans="4:7" ht="13.5" customHeight="1">
      <c r="D542" s="234"/>
      <c r="E542" s="234"/>
      <c r="F542" s="234"/>
      <c r="G542" s="234"/>
    </row>
    <row r="543" spans="4:7" ht="13.5" customHeight="1">
      <c r="D543" s="234"/>
      <c r="E543" s="234"/>
      <c r="F543" s="234"/>
      <c r="G543" s="234"/>
    </row>
    <row r="544" spans="4:7" ht="13.5" customHeight="1">
      <c r="D544" s="234"/>
      <c r="E544" s="234"/>
      <c r="F544" s="234"/>
      <c r="G544" s="234"/>
    </row>
    <row r="545" spans="4:7" ht="13.5" customHeight="1">
      <c r="D545" s="234"/>
      <c r="E545" s="234"/>
      <c r="F545" s="234"/>
      <c r="G545" s="234"/>
    </row>
    <row r="546" spans="4:7" ht="13.5" customHeight="1">
      <c r="D546" s="234"/>
      <c r="E546" s="234"/>
      <c r="F546" s="234"/>
      <c r="G546" s="234"/>
    </row>
    <row r="547" spans="4:7" ht="13.5" customHeight="1">
      <c r="D547" s="234"/>
      <c r="E547" s="234"/>
      <c r="F547" s="234"/>
      <c r="G547" s="234"/>
    </row>
    <row r="548" spans="4:7" ht="13.5" customHeight="1">
      <c r="D548" s="234"/>
      <c r="E548" s="234"/>
      <c r="F548" s="234"/>
      <c r="G548" s="234"/>
    </row>
    <row r="549" spans="4:7" ht="13.5" customHeight="1">
      <c r="D549" s="234"/>
      <c r="E549" s="234"/>
      <c r="F549" s="234"/>
      <c r="G549" s="234"/>
    </row>
    <row r="550" spans="4:7" ht="13.5" customHeight="1">
      <c r="D550" s="234"/>
      <c r="E550" s="234"/>
      <c r="F550" s="234"/>
      <c r="G550" s="234"/>
    </row>
    <row r="551" spans="4:7" ht="13.5" customHeight="1">
      <c r="D551" s="234"/>
      <c r="E551" s="234"/>
      <c r="F551" s="234"/>
      <c r="G551" s="234"/>
    </row>
    <row r="552" spans="4:7" ht="13.5" customHeight="1">
      <c r="D552" s="234"/>
      <c r="E552" s="234"/>
      <c r="F552" s="234"/>
      <c r="G552" s="234"/>
    </row>
    <row r="553" spans="4:7" ht="13.5" customHeight="1">
      <c r="D553" s="234"/>
      <c r="E553" s="234"/>
      <c r="F553" s="234"/>
      <c r="G553" s="234"/>
    </row>
    <row r="554" spans="4:7" ht="13.5" customHeight="1">
      <c r="D554" s="234"/>
      <c r="E554" s="234"/>
      <c r="F554" s="234"/>
      <c r="G554" s="234"/>
    </row>
    <row r="555" spans="4:7" ht="13.5" customHeight="1">
      <c r="D555" s="234"/>
      <c r="E555" s="234"/>
      <c r="F555" s="234"/>
      <c r="G555" s="234"/>
    </row>
    <row r="556" spans="4:7" ht="13.5" customHeight="1">
      <c r="D556" s="234"/>
      <c r="E556" s="234"/>
      <c r="F556" s="234"/>
      <c r="G556" s="234"/>
    </row>
    <row r="557" spans="4:7" ht="13.5" customHeight="1">
      <c r="D557" s="234"/>
      <c r="E557" s="234"/>
      <c r="F557" s="234"/>
      <c r="G557" s="234"/>
    </row>
    <row r="558" spans="4:7" ht="13.5" customHeight="1">
      <c r="D558" s="234"/>
      <c r="E558" s="234"/>
      <c r="F558" s="234"/>
      <c r="G558" s="234"/>
    </row>
    <row r="559" spans="4:7" ht="13.5" customHeight="1">
      <c r="D559" s="234"/>
      <c r="E559" s="234"/>
      <c r="F559" s="234"/>
      <c r="G559" s="234"/>
    </row>
    <row r="560" spans="4:7" ht="13.5" customHeight="1">
      <c r="D560" s="234"/>
      <c r="E560" s="234"/>
      <c r="F560" s="234"/>
      <c r="G560" s="234"/>
    </row>
    <row r="561" spans="4:7" ht="13.5" customHeight="1">
      <c r="D561" s="234"/>
      <c r="E561" s="234"/>
      <c r="F561" s="234"/>
      <c r="G561" s="234"/>
    </row>
    <row r="562" spans="4:7" ht="13.5" customHeight="1">
      <c r="D562" s="234"/>
      <c r="E562" s="234"/>
      <c r="F562" s="234"/>
      <c r="G562" s="234"/>
    </row>
    <row r="563" spans="4:7" ht="13.5" customHeight="1">
      <c r="D563" s="234"/>
      <c r="E563" s="234"/>
      <c r="F563" s="234"/>
      <c r="G563" s="234"/>
    </row>
    <row r="564" spans="4:7" ht="13.5" customHeight="1">
      <c r="D564" s="234"/>
      <c r="E564" s="234"/>
      <c r="F564" s="234"/>
      <c r="G564" s="234"/>
    </row>
    <row r="565" spans="4:7" ht="13.5" customHeight="1">
      <c r="D565" s="234"/>
      <c r="E565" s="234"/>
      <c r="F565" s="234"/>
      <c r="G565" s="234"/>
    </row>
    <row r="566" spans="4:7" ht="13.5" customHeight="1">
      <c r="D566" s="234"/>
      <c r="E566" s="234"/>
      <c r="F566" s="234"/>
      <c r="G566" s="234"/>
    </row>
    <row r="567" spans="4:7" ht="13.5" customHeight="1">
      <c r="D567" s="234"/>
      <c r="E567" s="234"/>
      <c r="F567" s="234"/>
      <c r="G567" s="234"/>
    </row>
    <row r="568" spans="4:7" ht="13.5" customHeight="1">
      <c r="D568" s="234"/>
      <c r="E568" s="234"/>
      <c r="F568" s="234"/>
      <c r="G568" s="234"/>
    </row>
    <row r="569" spans="4:7" ht="13.5" customHeight="1">
      <c r="D569" s="234"/>
      <c r="E569" s="234"/>
      <c r="F569" s="234"/>
      <c r="G569" s="234"/>
    </row>
    <row r="570" spans="4:7" ht="13.5" customHeight="1">
      <c r="D570" s="234"/>
      <c r="E570" s="234"/>
      <c r="F570" s="234"/>
      <c r="G570" s="234"/>
    </row>
    <row r="571" spans="4:7" ht="13.5" customHeight="1">
      <c r="D571" s="234"/>
      <c r="E571" s="234"/>
      <c r="F571" s="234"/>
      <c r="G571" s="234"/>
    </row>
    <row r="572" spans="4:7" ht="13.5" customHeight="1">
      <c r="D572" s="234"/>
      <c r="E572" s="234"/>
      <c r="F572" s="234"/>
      <c r="G572" s="234"/>
    </row>
    <row r="573" spans="4:7" ht="13.5" customHeight="1">
      <c r="D573" s="234"/>
      <c r="E573" s="234"/>
      <c r="F573" s="234"/>
      <c r="G573" s="234"/>
    </row>
    <row r="574" spans="4:7" ht="13.5" customHeight="1">
      <c r="D574" s="234"/>
      <c r="E574" s="234"/>
      <c r="F574" s="234"/>
      <c r="G574" s="234"/>
    </row>
    <row r="575" spans="4:7" ht="13.5" customHeight="1">
      <c r="D575" s="234"/>
      <c r="E575" s="234"/>
      <c r="F575" s="234"/>
      <c r="G575" s="234"/>
    </row>
    <row r="576" spans="4:7" ht="13.5" customHeight="1">
      <c r="D576" s="234"/>
      <c r="E576" s="234"/>
      <c r="F576" s="234"/>
      <c r="G576" s="234"/>
    </row>
    <row r="577" spans="4:7" ht="13.5" customHeight="1">
      <c r="D577" s="234"/>
      <c r="E577" s="234"/>
      <c r="F577" s="234"/>
      <c r="G577" s="234"/>
    </row>
    <row r="578" spans="4:7" ht="13.5" customHeight="1">
      <c r="D578" s="234"/>
      <c r="E578" s="234"/>
      <c r="F578" s="234"/>
      <c r="G578" s="234"/>
    </row>
    <row r="579" spans="4:7" ht="13.5" customHeight="1">
      <c r="D579" s="234"/>
      <c r="E579" s="234"/>
      <c r="F579" s="234"/>
      <c r="G579" s="234"/>
    </row>
    <row r="580" spans="4:7" ht="13.5" customHeight="1">
      <c r="D580" s="234"/>
      <c r="E580" s="234"/>
      <c r="F580" s="234"/>
      <c r="G580" s="234"/>
    </row>
    <row r="581" spans="4:7" ht="13.5" customHeight="1">
      <c r="D581" s="234"/>
      <c r="E581" s="234"/>
      <c r="F581" s="234"/>
      <c r="G581" s="234"/>
    </row>
    <row r="582" spans="4:7" ht="13.5" customHeight="1">
      <c r="D582" s="234"/>
      <c r="E582" s="234"/>
      <c r="F582" s="234"/>
      <c r="G582" s="234"/>
    </row>
    <row r="583" spans="4:7" ht="13.5" customHeight="1">
      <c r="D583" s="234"/>
      <c r="E583" s="234"/>
      <c r="F583" s="234"/>
      <c r="G583" s="234"/>
    </row>
    <row r="584" spans="4:7" ht="13.5" customHeight="1">
      <c r="D584" s="234"/>
      <c r="E584" s="234"/>
      <c r="F584" s="234"/>
      <c r="G584" s="234"/>
    </row>
    <row r="585" spans="4:7" ht="13.5" customHeight="1">
      <c r="D585" s="234"/>
      <c r="E585" s="234"/>
      <c r="F585" s="234"/>
      <c r="G585" s="234"/>
    </row>
    <row r="586" spans="4:7" ht="13.5" customHeight="1">
      <c r="D586" s="234"/>
      <c r="E586" s="234"/>
      <c r="F586" s="234"/>
      <c r="G586" s="234"/>
    </row>
    <row r="587" spans="4:7" ht="13.5" customHeight="1">
      <c r="D587" s="234"/>
      <c r="E587" s="234"/>
      <c r="F587" s="234"/>
      <c r="G587" s="234"/>
    </row>
    <row r="588" spans="4:7" ht="13.5" customHeight="1">
      <c r="D588" s="234"/>
      <c r="E588" s="234"/>
      <c r="F588" s="234"/>
      <c r="G588" s="234"/>
    </row>
    <row r="589" spans="4:7" ht="13.5" customHeight="1">
      <c r="D589" s="234"/>
      <c r="E589" s="234"/>
      <c r="F589" s="234"/>
      <c r="G589" s="234"/>
    </row>
    <row r="590" spans="4:7" ht="13.5" customHeight="1">
      <c r="D590" s="234"/>
      <c r="E590" s="234"/>
      <c r="F590" s="234"/>
      <c r="G590" s="234"/>
    </row>
    <row r="591" spans="4:7" ht="13.5" customHeight="1">
      <c r="D591" s="234"/>
      <c r="E591" s="234"/>
      <c r="F591" s="234"/>
      <c r="G591" s="234"/>
    </row>
    <row r="592" spans="4:7" ht="13.5" customHeight="1">
      <c r="D592" s="234"/>
      <c r="E592" s="234"/>
      <c r="F592" s="234"/>
      <c r="G592" s="234"/>
    </row>
    <row r="593" spans="4:7" ht="13.5" customHeight="1">
      <c r="D593" s="234"/>
      <c r="E593" s="234"/>
      <c r="F593" s="234"/>
      <c r="G593" s="234"/>
    </row>
    <row r="594" spans="4:7" ht="13.5" customHeight="1">
      <c r="D594" s="234"/>
      <c r="E594" s="234"/>
      <c r="F594" s="234"/>
      <c r="G594" s="234"/>
    </row>
    <row r="595" spans="4:7" ht="13.5" customHeight="1">
      <c r="D595" s="234"/>
      <c r="E595" s="234"/>
      <c r="F595" s="234"/>
      <c r="G595" s="234"/>
    </row>
    <row r="596" spans="4:7" ht="13.5" customHeight="1">
      <c r="D596" s="234"/>
      <c r="E596" s="234"/>
      <c r="F596" s="234"/>
      <c r="G596" s="234"/>
    </row>
    <row r="597" spans="4:7" ht="13.5" customHeight="1">
      <c r="D597" s="234"/>
      <c r="E597" s="234"/>
      <c r="F597" s="234"/>
      <c r="G597" s="234"/>
    </row>
    <row r="598" spans="4:7" ht="13.5" customHeight="1">
      <c r="D598" s="234"/>
      <c r="E598" s="234"/>
      <c r="F598" s="234"/>
      <c r="G598" s="234"/>
    </row>
    <row r="599" spans="4:7" ht="13.5" customHeight="1">
      <c r="D599" s="234"/>
      <c r="E599" s="234"/>
      <c r="F599" s="234"/>
      <c r="G599" s="234"/>
    </row>
    <row r="600" spans="4:7" ht="13.5" customHeight="1">
      <c r="D600" s="234"/>
      <c r="E600" s="234"/>
      <c r="F600" s="234"/>
      <c r="G600" s="234"/>
    </row>
    <row r="601" spans="4:7" ht="13.5" customHeight="1">
      <c r="D601" s="234"/>
      <c r="E601" s="234"/>
      <c r="F601" s="234"/>
      <c r="G601" s="234"/>
    </row>
    <row r="602" spans="4:7" ht="13.5" customHeight="1">
      <c r="D602" s="234"/>
      <c r="E602" s="234"/>
      <c r="F602" s="234"/>
      <c r="G602" s="234"/>
    </row>
    <row r="603" spans="4:7" ht="13.5" customHeight="1">
      <c r="D603" s="234"/>
      <c r="E603" s="234"/>
      <c r="F603" s="234"/>
      <c r="G603" s="234"/>
    </row>
    <row r="604" spans="4:7" ht="13.5" customHeight="1">
      <c r="D604" s="234"/>
      <c r="E604" s="234"/>
      <c r="F604" s="234"/>
      <c r="G604" s="234"/>
    </row>
    <row r="605" spans="4:7" ht="13.5" customHeight="1">
      <c r="D605" s="234"/>
      <c r="E605" s="234"/>
      <c r="F605" s="234"/>
      <c r="G605" s="234"/>
    </row>
    <row r="606" spans="4:7" ht="13.5" customHeight="1">
      <c r="D606" s="234"/>
      <c r="E606" s="234"/>
      <c r="F606" s="234"/>
      <c r="G606" s="234"/>
    </row>
    <row r="607" spans="4:7" ht="13.5" customHeight="1">
      <c r="D607" s="234"/>
      <c r="E607" s="234"/>
      <c r="F607" s="234"/>
      <c r="G607" s="234"/>
    </row>
    <row r="608" spans="4:7" ht="13.5" customHeight="1">
      <c r="D608" s="234"/>
      <c r="E608" s="234"/>
      <c r="F608" s="234"/>
      <c r="G608" s="234"/>
    </row>
    <row r="609" spans="4:7" ht="13.5" customHeight="1">
      <c r="D609" s="234"/>
      <c r="E609" s="234"/>
      <c r="F609" s="234"/>
      <c r="G609" s="234"/>
    </row>
    <row r="610" spans="4:7" ht="13.5" customHeight="1">
      <c r="D610" s="234"/>
      <c r="E610" s="234"/>
      <c r="F610" s="234"/>
      <c r="G610" s="234"/>
    </row>
    <row r="611" spans="4:7" ht="13.5" customHeight="1">
      <c r="D611" s="234"/>
      <c r="E611" s="234"/>
      <c r="F611" s="234"/>
      <c r="G611" s="234"/>
    </row>
    <row r="612" spans="4:7" ht="13.5" customHeight="1">
      <c r="D612" s="234"/>
      <c r="E612" s="234"/>
      <c r="F612" s="234"/>
      <c r="G612" s="234"/>
    </row>
    <row r="613" spans="4:7" ht="13.5" customHeight="1">
      <c r="D613" s="234"/>
      <c r="E613" s="234"/>
      <c r="F613" s="234"/>
      <c r="G613" s="234"/>
    </row>
    <row r="614" spans="4:7" ht="13.5" customHeight="1">
      <c r="D614" s="234"/>
      <c r="E614" s="234"/>
      <c r="F614" s="234"/>
      <c r="G614" s="234"/>
    </row>
    <row r="615" spans="4:7" ht="13.5" customHeight="1">
      <c r="D615" s="234"/>
      <c r="E615" s="234"/>
      <c r="F615" s="234"/>
      <c r="G615" s="234"/>
    </row>
    <row r="616" spans="4:7" ht="13.5" customHeight="1">
      <c r="D616" s="234"/>
      <c r="E616" s="234"/>
      <c r="F616" s="234"/>
      <c r="G616" s="234"/>
    </row>
    <row r="617" spans="4:7" ht="13.5" customHeight="1">
      <c r="D617" s="234"/>
      <c r="E617" s="234"/>
      <c r="F617" s="234"/>
      <c r="G617" s="234"/>
    </row>
    <row r="618" spans="4:7" ht="13.5" customHeight="1">
      <c r="D618" s="234"/>
      <c r="E618" s="234"/>
      <c r="F618" s="234"/>
      <c r="G618" s="234"/>
    </row>
    <row r="619" spans="4:7" ht="13.5" customHeight="1">
      <c r="D619" s="234"/>
      <c r="E619" s="234"/>
      <c r="F619" s="234"/>
      <c r="G619" s="234"/>
    </row>
    <row r="620" spans="4:7" ht="13.5" customHeight="1">
      <c r="D620" s="234"/>
      <c r="E620" s="234"/>
      <c r="F620" s="234"/>
      <c r="G620" s="234"/>
    </row>
    <row r="621" spans="4:7" ht="13.5" customHeight="1">
      <c r="D621" s="234"/>
      <c r="E621" s="234"/>
      <c r="F621" s="234"/>
      <c r="G621" s="234"/>
    </row>
    <row r="622" spans="4:7" ht="13.5" customHeight="1">
      <c r="D622" s="234"/>
      <c r="E622" s="234"/>
      <c r="F622" s="234"/>
      <c r="G622" s="234"/>
    </row>
    <row r="623" spans="4:7" ht="13.5" customHeight="1">
      <c r="D623" s="234"/>
      <c r="E623" s="234"/>
      <c r="F623" s="234"/>
      <c r="G623" s="234"/>
    </row>
    <row r="624" spans="4:7" ht="13.5" customHeight="1">
      <c r="D624" s="234"/>
      <c r="E624" s="234"/>
      <c r="F624" s="234"/>
      <c r="G624" s="234"/>
    </row>
    <row r="625" spans="4:7" ht="13.5" customHeight="1">
      <c r="D625" s="234"/>
      <c r="E625" s="234"/>
      <c r="F625" s="234"/>
      <c r="G625" s="234"/>
    </row>
    <row r="626" spans="4:7" ht="13.5" customHeight="1">
      <c r="D626" s="234"/>
      <c r="E626" s="234"/>
      <c r="F626" s="234"/>
      <c r="G626" s="234"/>
    </row>
    <row r="627" spans="4:7" ht="13.5" customHeight="1">
      <c r="D627" s="234"/>
      <c r="E627" s="234"/>
      <c r="F627" s="234"/>
      <c r="G627" s="234"/>
    </row>
    <row r="628" spans="4:7" ht="13.5" customHeight="1">
      <c r="D628" s="234"/>
      <c r="E628" s="234"/>
      <c r="F628" s="234"/>
      <c r="G628" s="234"/>
    </row>
    <row r="629" spans="4:7" ht="13.5" customHeight="1">
      <c r="D629" s="234"/>
      <c r="E629" s="234"/>
      <c r="F629" s="234"/>
      <c r="G629" s="234"/>
    </row>
    <row r="630" spans="4:7" ht="13.5" customHeight="1">
      <c r="D630" s="234"/>
      <c r="E630" s="234"/>
      <c r="F630" s="234"/>
      <c r="G630" s="234"/>
    </row>
    <row r="631" spans="4:7" ht="13.5" customHeight="1">
      <c r="D631" s="234"/>
      <c r="E631" s="234"/>
      <c r="F631" s="234"/>
      <c r="G631" s="234"/>
    </row>
    <row r="632" spans="4:7" ht="13.5" customHeight="1">
      <c r="D632" s="234"/>
      <c r="E632" s="234"/>
      <c r="F632" s="234"/>
      <c r="G632" s="234"/>
    </row>
    <row r="633" spans="4:7" ht="13.5" customHeight="1">
      <c r="D633" s="234"/>
      <c r="E633" s="234"/>
      <c r="F633" s="234"/>
      <c r="G633" s="234"/>
    </row>
    <row r="634" spans="4:7" ht="13.5" customHeight="1">
      <c r="D634" s="234"/>
      <c r="E634" s="234"/>
      <c r="F634" s="234"/>
      <c r="G634" s="234"/>
    </row>
    <row r="635" spans="4:7" ht="13.5" customHeight="1">
      <c r="D635" s="234"/>
      <c r="E635" s="234"/>
      <c r="F635" s="234"/>
      <c r="G635" s="234"/>
    </row>
    <row r="636" spans="4:7" ht="13.5" customHeight="1">
      <c r="D636" s="234"/>
      <c r="E636" s="234"/>
      <c r="F636" s="234"/>
      <c r="G636" s="234"/>
    </row>
    <row r="637" spans="4:7" ht="13.5" customHeight="1">
      <c r="D637" s="234"/>
      <c r="E637" s="234"/>
      <c r="F637" s="234"/>
      <c r="G637" s="234"/>
    </row>
    <row r="638" spans="4:7" ht="13.5" customHeight="1">
      <c r="D638" s="234"/>
      <c r="E638" s="234"/>
      <c r="F638" s="234"/>
      <c r="G638" s="234"/>
    </row>
    <row r="639" spans="4:7" ht="13.5" customHeight="1">
      <c r="D639" s="234"/>
      <c r="E639" s="234"/>
      <c r="F639" s="234"/>
      <c r="G639" s="234"/>
    </row>
    <row r="640" spans="4:7" ht="13.5" customHeight="1">
      <c r="D640" s="234"/>
      <c r="E640" s="234"/>
      <c r="F640" s="234"/>
      <c r="G640" s="234"/>
    </row>
    <row r="641" spans="4:7" ht="13.5" customHeight="1">
      <c r="D641" s="234"/>
      <c r="E641" s="234"/>
      <c r="F641" s="234"/>
      <c r="G641" s="234"/>
    </row>
    <row r="642" spans="4:7" ht="13.5" customHeight="1">
      <c r="D642" s="234"/>
      <c r="E642" s="234"/>
      <c r="F642" s="234"/>
      <c r="G642" s="234"/>
    </row>
    <row r="643" spans="4:7" ht="13.5" customHeight="1">
      <c r="D643" s="234"/>
      <c r="E643" s="234"/>
      <c r="F643" s="234"/>
      <c r="G643" s="234"/>
    </row>
    <row r="644" spans="4:7" ht="13.5" customHeight="1">
      <c r="D644" s="234"/>
      <c r="E644" s="234"/>
      <c r="F644" s="234"/>
      <c r="G644" s="234"/>
    </row>
    <row r="645" spans="4:7" ht="13.5" customHeight="1">
      <c r="D645" s="234"/>
      <c r="E645" s="234"/>
      <c r="F645" s="234"/>
      <c r="G645" s="234"/>
    </row>
    <row r="646" spans="4:7" ht="13.5" customHeight="1">
      <c r="D646" s="234"/>
      <c r="E646" s="234"/>
      <c r="F646" s="234"/>
      <c r="G646" s="234"/>
    </row>
    <row r="647" spans="4:7" ht="13.5" customHeight="1">
      <c r="D647" s="234"/>
      <c r="E647" s="234"/>
      <c r="F647" s="234"/>
      <c r="G647" s="234"/>
    </row>
    <row r="648" spans="4:7" ht="13.5" customHeight="1">
      <c r="D648" s="234"/>
      <c r="E648" s="234"/>
      <c r="F648" s="234"/>
      <c r="G648" s="234"/>
    </row>
    <row r="649" spans="4:7" ht="13.5" customHeight="1">
      <c r="D649" s="234"/>
      <c r="E649" s="234"/>
      <c r="F649" s="234"/>
      <c r="G649" s="234"/>
    </row>
    <row r="650" spans="4:7" ht="13.5" customHeight="1">
      <c r="D650" s="234"/>
      <c r="E650" s="234"/>
      <c r="F650" s="234"/>
      <c r="G650" s="234"/>
    </row>
    <row r="651" spans="4:7" ht="13.5" customHeight="1">
      <c r="D651" s="234"/>
      <c r="E651" s="234"/>
      <c r="F651" s="234"/>
      <c r="G651" s="234"/>
    </row>
    <row r="652" spans="4:7" ht="13.5" customHeight="1">
      <c r="D652" s="234"/>
      <c r="E652" s="234"/>
      <c r="F652" s="234"/>
      <c r="G652" s="234"/>
    </row>
    <row r="653" spans="4:7" ht="13.5" customHeight="1">
      <c r="D653" s="234"/>
      <c r="E653" s="234"/>
      <c r="F653" s="234"/>
      <c r="G653" s="234"/>
    </row>
    <row r="654" spans="4:7" ht="13.5" customHeight="1">
      <c r="D654" s="234"/>
      <c r="E654" s="234"/>
      <c r="F654" s="234"/>
      <c r="G654" s="234"/>
    </row>
    <row r="655" spans="4:7" ht="13.5" customHeight="1">
      <c r="D655" s="234"/>
      <c r="E655" s="234"/>
      <c r="F655" s="234"/>
      <c r="G655" s="234"/>
    </row>
    <row r="656" spans="4:7" ht="13.5" customHeight="1">
      <c r="D656" s="234"/>
      <c r="E656" s="234"/>
      <c r="F656" s="234"/>
      <c r="G656" s="234"/>
    </row>
    <row r="657" spans="4:7" ht="13.5" customHeight="1">
      <c r="D657" s="234"/>
      <c r="E657" s="234"/>
      <c r="F657" s="234"/>
      <c r="G657" s="234"/>
    </row>
    <row r="658" spans="4:7" ht="13.5" customHeight="1">
      <c r="D658" s="234"/>
      <c r="E658" s="234"/>
      <c r="F658" s="234"/>
      <c r="G658" s="234"/>
    </row>
    <row r="659" spans="4:7" ht="13.5" customHeight="1">
      <c r="D659" s="234"/>
      <c r="E659" s="234"/>
      <c r="F659" s="234"/>
      <c r="G659" s="234"/>
    </row>
    <row r="660" spans="4:7" ht="13.5" customHeight="1">
      <c r="D660" s="234"/>
      <c r="E660" s="234"/>
      <c r="F660" s="234"/>
      <c r="G660" s="234"/>
    </row>
    <row r="661" spans="4:7" ht="13.5" customHeight="1">
      <c r="D661" s="234"/>
      <c r="E661" s="234"/>
      <c r="F661" s="234"/>
      <c r="G661" s="234"/>
    </row>
    <row r="662" spans="4:7" ht="13.5" customHeight="1">
      <c r="D662" s="234"/>
      <c r="E662" s="234"/>
      <c r="F662" s="234"/>
      <c r="G662" s="234"/>
    </row>
    <row r="663" spans="4:7" ht="13.5" customHeight="1">
      <c r="D663" s="234"/>
      <c r="E663" s="234"/>
      <c r="F663" s="234"/>
      <c r="G663" s="234"/>
    </row>
    <row r="664" spans="4:7" ht="13.5" customHeight="1">
      <c r="D664" s="234"/>
      <c r="E664" s="234"/>
      <c r="F664" s="234"/>
      <c r="G664" s="234"/>
    </row>
    <row r="665" spans="4:7" ht="13.5" customHeight="1">
      <c r="D665" s="234"/>
      <c r="E665" s="234"/>
      <c r="F665" s="234"/>
      <c r="G665" s="234"/>
    </row>
    <row r="666" spans="4:7" ht="13.5" customHeight="1">
      <c r="D666" s="234"/>
      <c r="E666" s="234"/>
      <c r="F666" s="234"/>
      <c r="G666" s="234"/>
    </row>
    <row r="667" spans="4:7" ht="13.5" customHeight="1">
      <c r="D667" s="234"/>
      <c r="E667" s="234"/>
      <c r="F667" s="234"/>
      <c r="G667" s="234"/>
    </row>
    <row r="668" spans="4:7" ht="13.5" customHeight="1">
      <c r="D668" s="234"/>
      <c r="E668" s="234"/>
      <c r="F668" s="234"/>
      <c r="G668" s="234"/>
    </row>
    <row r="669" spans="4:7" ht="13.5" customHeight="1">
      <c r="D669" s="234"/>
      <c r="E669" s="234"/>
      <c r="F669" s="234"/>
      <c r="G669" s="234"/>
    </row>
    <row r="670" spans="4:7" ht="13.5" customHeight="1">
      <c r="D670" s="234"/>
      <c r="E670" s="234"/>
      <c r="F670" s="234"/>
      <c r="G670" s="234"/>
    </row>
    <row r="671" spans="4:7" ht="13.5" customHeight="1">
      <c r="D671" s="234"/>
      <c r="E671" s="234"/>
      <c r="F671" s="234"/>
      <c r="G671" s="234"/>
    </row>
    <row r="672" spans="4:7" ht="13.5" customHeight="1">
      <c r="D672" s="234"/>
      <c r="E672" s="234"/>
      <c r="F672" s="234"/>
      <c r="G672" s="234"/>
    </row>
    <row r="673" spans="4:7" ht="13.5" customHeight="1">
      <c r="D673" s="234"/>
      <c r="E673" s="234"/>
      <c r="F673" s="234"/>
      <c r="G673" s="234"/>
    </row>
    <row r="674" spans="4:7" ht="13.5" customHeight="1">
      <c r="D674" s="234"/>
      <c r="E674" s="234"/>
      <c r="F674" s="234"/>
      <c r="G674" s="234"/>
    </row>
    <row r="675" spans="4:7" ht="13.5" customHeight="1">
      <c r="D675" s="234"/>
      <c r="E675" s="234"/>
      <c r="F675" s="234"/>
      <c r="G675" s="234"/>
    </row>
    <row r="676" spans="4:7" ht="13.5" customHeight="1">
      <c r="D676" s="234"/>
      <c r="E676" s="234"/>
      <c r="F676" s="234"/>
      <c r="G676" s="234"/>
    </row>
    <row r="677" spans="4:7" ht="13.5" customHeight="1">
      <c r="D677" s="234"/>
      <c r="E677" s="234"/>
      <c r="F677" s="234"/>
      <c r="G677" s="234"/>
    </row>
    <row r="678" spans="4:7" ht="13.5" customHeight="1">
      <c r="D678" s="234"/>
      <c r="E678" s="234"/>
      <c r="F678" s="234"/>
      <c r="G678" s="234"/>
    </row>
    <row r="679" spans="4:7" ht="13.5" customHeight="1">
      <c r="D679" s="234"/>
      <c r="E679" s="234"/>
      <c r="F679" s="234"/>
      <c r="G679" s="234"/>
    </row>
    <row r="680" spans="4:7" ht="13.5" customHeight="1">
      <c r="D680" s="234"/>
      <c r="E680" s="234"/>
      <c r="F680" s="234"/>
      <c r="G680" s="234"/>
    </row>
    <row r="681" spans="4:7" ht="13.5" customHeight="1">
      <c r="D681" s="234"/>
      <c r="E681" s="234"/>
      <c r="F681" s="234"/>
      <c r="G681" s="234"/>
    </row>
    <row r="682" spans="4:7" ht="13.5" customHeight="1">
      <c r="D682" s="234"/>
      <c r="E682" s="234"/>
      <c r="F682" s="234"/>
      <c r="G682" s="234"/>
    </row>
    <row r="683" spans="4:7" ht="13.5" customHeight="1">
      <c r="D683" s="234"/>
      <c r="E683" s="234"/>
      <c r="F683" s="234"/>
      <c r="G683" s="234"/>
    </row>
    <row r="684" spans="4:7" ht="13.5" customHeight="1">
      <c r="D684" s="234"/>
      <c r="E684" s="234"/>
      <c r="F684" s="234"/>
      <c r="G684" s="234"/>
    </row>
    <row r="685" spans="4:7" ht="13.5" customHeight="1">
      <c r="D685" s="234"/>
      <c r="E685" s="234"/>
      <c r="F685" s="234"/>
      <c r="G685" s="234"/>
    </row>
    <row r="686" spans="4:7" ht="13.5" customHeight="1">
      <c r="D686" s="234"/>
      <c r="E686" s="234"/>
      <c r="F686" s="234"/>
      <c r="G686" s="234"/>
    </row>
    <row r="687" spans="4:7" ht="13.5" customHeight="1">
      <c r="D687" s="234"/>
      <c r="E687" s="234"/>
      <c r="F687" s="234"/>
      <c r="G687" s="234"/>
    </row>
    <row r="688" spans="4:7" ht="13.5" customHeight="1">
      <c r="D688" s="234"/>
      <c r="E688" s="234"/>
      <c r="F688" s="234"/>
      <c r="G688" s="234"/>
    </row>
    <row r="689" spans="4:7" ht="13.5" customHeight="1">
      <c r="D689" s="234"/>
      <c r="E689" s="234"/>
      <c r="F689" s="234"/>
      <c r="G689" s="234"/>
    </row>
    <row r="690" spans="4:7" ht="13.5" customHeight="1">
      <c r="D690" s="234"/>
      <c r="E690" s="234"/>
      <c r="F690" s="234"/>
      <c r="G690" s="234"/>
    </row>
    <row r="691" spans="4:7" ht="13.5" customHeight="1">
      <c r="D691" s="234"/>
      <c r="E691" s="234"/>
      <c r="F691" s="234"/>
      <c r="G691" s="234"/>
    </row>
    <row r="692" spans="4:7" ht="13.5" customHeight="1">
      <c r="D692" s="234"/>
      <c r="E692" s="234"/>
      <c r="F692" s="234"/>
      <c r="G692" s="234"/>
    </row>
    <row r="693" spans="4:7" ht="13.5" customHeight="1">
      <c r="D693" s="234"/>
      <c r="E693" s="234"/>
      <c r="F693" s="234"/>
      <c r="G693" s="234"/>
    </row>
    <row r="694" spans="4:7" ht="13.5" customHeight="1">
      <c r="D694" s="234"/>
      <c r="E694" s="234"/>
      <c r="F694" s="234"/>
      <c r="G694" s="234"/>
    </row>
    <row r="695" spans="4:7" ht="13.5" customHeight="1">
      <c r="D695" s="234"/>
      <c r="E695" s="234"/>
      <c r="F695" s="234"/>
      <c r="G695" s="234"/>
    </row>
    <row r="696" spans="4:7" ht="13.5" customHeight="1">
      <c r="D696" s="234"/>
      <c r="E696" s="234"/>
      <c r="F696" s="234"/>
      <c r="G696" s="234"/>
    </row>
    <row r="697" spans="4:7" ht="13.5" customHeight="1">
      <c r="D697" s="234"/>
      <c r="E697" s="234"/>
      <c r="F697" s="234"/>
      <c r="G697" s="234"/>
    </row>
    <row r="698" spans="4:7" ht="13.5" customHeight="1">
      <c r="D698" s="234"/>
      <c r="E698" s="234"/>
      <c r="F698" s="234"/>
      <c r="G698" s="234"/>
    </row>
    <row r="699" spans="4:7" ht="13.5" customHeight="1">
      <c r="D699" s="234"/>
      <c r="E699" s="234"/>
      <c r="F699" s="234"/>
      <c r="G699" s="234"/>
    </row>
    <row r="700" spans="4:7" ht="13.5" customHeight="1">
      <c r="D700" s="234"/>
      <c r="E700" s="234"/>
      <c r="F700" s="234"/>
      <c r="G700" s="234"/>
    </row>
    <row r="701" spans="4:7" ht="13.5" customHeight="1">
      <c r="D701" s="234"/>
      <c r="E701" s="234"/>
      <c r="F701" s="234"/>
      <c r="G701" s="234"/>
    </row>
    <row r="702" spans="4:7" ht="13.5" customHeight="1">
      <c r="D702" s="234"/>
      <c r="E702" s="234"/>
      <c r="F702" s="234"/>
      <c r="G702" s="234"/>
    </row>
    <row r="703" spans="4:7" ht="13.5" customHeight="1">
      <c r="D703" s="234"/>
      <c r="E703" s="234"/>
      <c r="F703" s="234"/>
      <c r="G703" s="234"/>
    </row>
    <row r="704" spans="4:7" ht="13.5" customHeight="1">
      <c r="D704" s="234"/>
      <c r="E704" s="234"/>
      <c r="F704" s="234"/>
      <c r="G704" s="234"/>
    </row>
    <row r="705" spans="4:7" ht="13.5" customHeight="1">
      <c r="D705" s="234"/>
      <c r="E705" s="234"/>
      <c r="F705" s="234"/>
      <c r="G705" s="234"/>
    </row>
    <row r="706" spans="4:7" ht="13.5" customHeight="1">
      <c r="D706" s="234"/>
      <c r="E706" s="234"/>
      <c r="F706" s="234"/>
      <c r="G706" s="234"/>
    </row>
    <row r="707" spans="4:7" ht="13.5" customHeight="1">
      <c r="D707" s="234"/>
      <c r="E707" s="234"/>
      <c r="F707" s="234"/>
      <c r="G707" s="234"/>
    </row>
    <row r="708" spans="4:7" ht="13.5" customHeight="1">
      <c r="D708" s="234"/>
      <c r="E708" s="234"/>
      <c r="F708" s="234"/>
      <c r="G708" s="234"/>
    </row>
    <row r="709" spans="4:7" ht="13.5" customHeight="1">
      <c r="D709" s="234"/>
      <c r="E709" s="234"/>
      <c r="F709" s="234"/>
      <c r="G709" s="234"/>
    </row>
    <row r="710" spans="4:7" ht="13.5" customHeight="1">
      <c r="D710" s="234"/>
      <c r="E710" s="234"/>
      <c r="F710" s="234"/>
      <c r="G710" s="234"/>
    </row>
    <row r="711" spans="4:7" ht="13.5" customHeight="1">
      <c r="D711" s="234"/>
      <c r="E711" s="234"/>
      <c r="F711" s="234"/>
      <c r="G711" s="234"/>
    </row>
    <row r="712" spans="4:7" ht="13.5" customHeight="1">
      <c r="D712" s="234"/>
      <c r="E712" s="234"/>
      <c r="F712" s="234"/>
      <c r="G712" s="234"/>
    </row>
    <row r="713" spans="4:7" ht="13.5" customHeight="1">
      <c r="D713" s="234"/>
      <c r="E713" s="234"/>
      <c r="F713" s="234"/>
      <c r="G713" s="234"/>
    </row>
    <row r="714" spans="4:7" ht="13.5" customHeight="1">
      <c r="D714" s="234"/>
      <c r="E714" s="234"/>
      <c r="F714" s="234"/>
      <c r="G714" s="234"/>
    </row>
    <row r="715" spans="4:7" ht="13.5" customHeight="1">
      <c r="D715" s="234"/>
      <c r="E715" s="234"/>
      <c r="F715" s="234"/>
      <c r="G715" s="234"/>
    </row>
    <row r="716" spans="4:7" ht="13.5" customHeight="1">
      <c r="D716" s="234"/>
      <c r="E716" s="234"/>
      <c r="F716" s="234"/>
      <c r="G716" s="234"/>
    </row>
    <row r="717" spans="4:7" ht="13.5" customHeight="1">
      <c r="D717" s="234"/>
      <c r="E717" s="234"/>
      <c r="F717" s="234"/>
      <c r="G717" s="234"/>
    </row>
    <row r="718" spans="4:7" ht="13.5" customHeight="1">
      <c r="D718" s="234"/>
      <c r="E718" s="234"/>
      <c r="F718" s="234"/>
      <c r="G718" s="234"/>
    </row>
    <row r="719" spans="4:7" ht="13.5" customHeight="1">
      <c r="D719" s="234"/>
      <c r="E719" s="234"/>
      <c r="F719" s="234"/>
      <c r="G719" s="234"/>
    </row>
    <row r="720" spans="4:7" ht="13.5" customHeight="1">
      <c r="D720" s="234"/>
      <c r="E720" s="234"/>
      <c r="F720" s="234"/>
      <c r="G720" s="234"/>
    </row>
    <row r="721" spans="4:7" ht="13.5" customHeight="1">
      <c r="D721" s="234"/>
      <c r="E721" s="234"/>
      <c r="F721" s="234"/>
      <c r="G721" s="234"/>
    </row>
    <row r="722" spans="4:7" ht="13.5" customHeight="1">
      <c r="D722" s="234"/>
      <c r="E722" s="234"/>
      <c r="F722" s="234"/>
      <c r="G722" s="234"/>
    </row>
    <row r="723" spans="4:7" ht="13.5" customHeight="1">
      <c r="D723" s="234"/>
      <c r="E723" s="234"/>
      <c r="F723" s="234"/>
      <c r="G723" s="234"/>
    </row>
    <row r="724" spans="4:7" ht="13.5" customHeight="1">
      <c r="D724" s="234"/>
      <c r="E724" s="234"/>
      <c r="F724" s="234"/>
      <c r="G724" s="234"/>
    </row>
    <row r="725" spans="4:7" ht="13.5" customHeight="1">
      <c r="D725" s="234"/>
      <c r="E725" s="234"/>
      <c r="F725" s="234"/>
      <c r="G725" s="234"/>
    </row>
    <row r="726" spans="4:7" ht="13.5" customHeight="1">
      <c r="D726" s="234"/>
      <c r="E726" s="234"/>
      <c r="F726" s="234"/>
      <c r="G726" s="234"/>
    </row>
    <row r="727" spans="4:7" ht="13.5" customHeight="1">
      <c r="D727" s="234"/>
      <c r="E727" s="234"/>
      <c r="F727" s="234"/>
      <c r="G727" s="234"/>
    </row>
    <row r="728" spans="4:7" ht="13.5" customHeight="1">
      <c r="D728" s="234"/>
      <c r="E728" s="234"/>
      <c r="F728" s="234"/>
      <c r="G728" s="234"/>
    </row>
    <row r="729" spans="4:7" ht="13.5" customHeight="1">
      <c r="D729" s="234"/>
      <c r="E729" s="234"/>
      <c r="F729" s="234"/>
      <c r="G729" s="234"/>
    </row>
    <row r="730" spans="4:7" ht="13.5" customHeight="1">
      <c r="D730" s="234"/>
      <c r="E730" s="234"/>
      <c r="F730" s="234"/>
      <c r="G730" s="234"/>
    </row>
    <row r="731" spans="4:7" ht="13.5" customHeight="1">
      <c r="D731" s="234"/>
      <c r="E731" s="234"/>
      <c r="F731" s="234"/>
      <c r="G731" s="234"/>
    </row>
    <row r="732" spans="4:7" ht="13.5" customHeight="1">
      <c r="D732" s="234"/>
      <c r="E732" s="234"/>
      <c r="F732" s="234"/>
      <c r="G732" s="234"/>
    </row>
    <row r="733" spans="4:7" ht="13.5" customHeight="1">
      <c r="D733" s="234"/>
      <c r="E733" s="234"/>
      <c r="F733" s="234"/>
      <c r="G733" s="234"/>
    </row>
    <row r="734" spans="4:7" ht="13.5" customHeight="1">
      <c r="D734" s="234"/>
      <c r="E734" s="234"/>
      <c r="F734" s="234"/>
      <c r="G734" s="234"/>
    </row>
    <row r="735" spans="4:7" ht="13.5" customHeight="1">
      <c r="D735" s="234"/>
      <c r="E735" s="234"/>
      <c r="F735" s="234"/>
      <c r="G735" s="234"/>
    </row>
    <row r="736" spans="4:7" ht="13.5" customHeight="1">
      <c r="D736" s="234"/>
      <c r="E736" s="234"/>
      <c r="F736" s="234"/>
      <c r="G736" s="234"/>
    </row>
    <row r="737" spans="4:7" ht="13.5" customHeight="1">
      <c r="D737" s="234"/>
      <c r="E737" s="234"/>
      <c r="F737" s="234"/>
      <c r="G737" s="234"/>
    </row>
    <row r="738" spans="4:7" ht="13.5" customHeight="1">
      <c r="D738" s="234"/>
      <c r="E738" s="234"/>
      <c r="F738" s="234"/>
      <c r="G738" s="234"/>
    </row>
    <row r="739" spans="4:7" ht="13.5" customHeight="1">
      <c r="D739" s="234"/>
      <c r="E739" s="234"/>
      <c r="F739" s="234"/>
      <c r="G739" s="234"/>
    </row>
    <row r="740" spans="4:7" ht="13.5" customHeight="1">
      <c r="D740" s="234"/>
      <c r="E740" s="234"/>
      <c r="F740" s="234"/>
      <c r="G740" s="234"/>
    </row>
    <row r="741" spans="4:7" ht="13.5" customHeight="1">
      <c r="D741" s="234"/>
      <c r="E741" s="234"/>
      <c r="F741" s="234"/>
      <c r="G741" s="234"/>
    </row>
    <row r="742" spans="4:7" ht="13.5" customHeight="1">
      <c r="D742" s="234"/>
      <c r="E742" s="234"/>
      <c r="F742" s="234"/>
      <c r="G742" s="234"/>
    </row>
    <row r="743" spans="4:7" ht="13.5" customHeight="1">
      <c r="D743" s="234"/>
      <c r="E743" s="234"/>
      <c r="F743" s="234"/>
      <c r="G743" s="234"/>
    </row>
    <row r="744" spans="4:7" ht="13.5" customHeight="1">
      <c r="D744" s="234"/>
      <c r="E744" s="234"/>
      <c r="F744" s="234"/>
      <c r="G744" s="234"/>
    </row>
    <row r="745" spans="4:7" ht="13.5" customHeight="1">
      <c r="D745" s="234"/>
      <c r="E745" s="234"/>
      <c r="F745" s="234"/>
      <c r="G745" s="234"/>
    </row>
    <row r="746" spans="4:7" ht="13.5" customHeight="1">
      <c r="D746" s="234"/>
      <c r="E746" s="234"/>
      <c r="F746" s="234"/>
      <c r="G746" s="234"/>
    </row>
    <row r="747" spans="4:7" ht="13.5" customHeight="1">
      <c r="D747" s="234"/>
      <c r="E747" s="234"/>
      <c r="F747" s="234"/>
      <c r="G747" s="234"/>
    </row>
    <row r="748" spans="4:7" ht="13.5" customHeight="1">
      <c r="D748" s="234"/>
      <c r="E748" s="234"/>
      <c r="F748" s="234"/>
      <c r="G748" s="234"/>
    </row>
    <row r="749" spans="4:7" ht="13.5" customHeight="1">
      <c r="D749" s="234"/>
      <c r="E749" s="234"/>
      <c r="F749" s="234"/>
      <c r="G749" s="234"/>
    </row>
    <row r="750" spans="4:7" ht="13.5" customHeight="1">
      <c r="D750" s="234"/>
      <c r="E750" s="234"/>
      <c r="F750" s="234"/>
      <c r="G750" s="234"/>
    </row>
    <row r="751" spans="4:7" ht="13.5" customHeight="1">
      <c r="D751" s="234"/>
      <c r="E751" s="234"/>
      <c r="F751" s="234"/>
      <c r="G751" s="234"/>
    </row>
    <row r="752" spans="4:7" ht="13.5" customHeight="1">
      <c r="D752" s="234"/>
      <c r="E752" s="234"/>
      <c r="F752" s="234"/>
      <c r="G752" s="234"/>
    </row>
    <row r="753" spans="4:7" ht="13.5" customHeight="1">
      <c r="D753" s="234"/>
      <c r="E753" s="234"/>
      <c r="F753" s="234"/>
      <c r="G753" s="234"/>
    </row>
    <row r="754" spans="4:7" ht="13.5" customHeight="1">
      <c r="D754" s="234"/>
      <c r="E754" s="234"/>
      <c r="F754" s="234"/>
      <c r="G754" s="234"/>
    </row>
    <row r="755" spans="4:7" ht="13.5" customHeight="1">
      <c r="D755" s="234"/>
      <c r="E755" s="234"/>
      <c r="F755" s="234"/>
      <c r="G755" s="234"/>
    </row>
    <row r="756" spans="4:7" ht="13.5" customHeight="1">
      <c r="D756" s="234"/>
      <c r="E756" s="234"/>
      <c r="F756" s="234"/>
      <c r="G756" s="234"/>
    </row>
    <row r="757" spans="4:7" ht="13.5" customHeight="1">
      <c r="D757" s="234"/>
      <c r="E757" s="234"/>
      <c r="F757" s="234"/>
      <c r="G757" s="234"/>
    </row>
    <row r="758" spans="4:7" ht="13.5" customHeight="1">
      <c r="D758" s="234"/>
      <c r="E758" s="234"/>
      <c r="F758" s="234"/>
      <c r="G758" s="234"/>
    </row>
    <row r="759" spans="4:7" ht="13.5" customHeight="1">
      <c r="D759" s="234"/>
      <c r="E759" s="234"/>
      <c r="F759" s="234"/>
      <c r="G759" s="234"/>
    </row>
    <row r="760" spans="4:7" ht="13.5" customHeight="1">
      <c r="D760" s="234"/>
      <c r="E760" s="234"/>
      <c r="F760" s="234"/>
      <c r="G760" s="234"/>
    </row>
    <row r="761" spans="4:7" ht="13.5" customHeight="1">
      <c r="D761" s="234"/>
      <c r="E761" s="234"/>
      <c r="F761" s="234"/>
      <c r="G761" s="234"/>
    </row>
    <row r="762" spans="4:7" ht="13.5" customHeight="1">
      <c r="D762" s="234"/>
      <c r="E762" s="234"/>
      <c r="F762" s="234"/>
      <c r="G762" s="234"/>
    </row>
    <row r="763" spans="4:7" ht="13.5" customHeight="1">
      <c r="D763" s="234"/>
      <c r="E763" s="234"/>
      <c r="F763" s="234"/>
      <c r="G763" s="234"/>
    </row>
    <row r="764" spans="4:7" ht="13.5" customHeight="1">
      <c r="D764" s="234"/>
      <c r="E764" s="234"/>
      <c r="F764" s="234"/>
      <c r="G764" s="234"/>
    </row>
    <row r="765" spans="4:7" ht="13.5" customHeight="1">
      <c r="D765" s="234"/>
      <c r="E765" s="234"/>
      <c r="F765" s="234"/>
      <c r="G765" s="234"/>
    </row>
    <row r="766" spans="4:7" ht="13.5" customHeight="1">
      <c r="D766" s="234"/>
      <c r="E766" s="234"/>
      <c r="F766" s="234"/>
      <c r="G766" s="234"/>
    </row>
    <row r="767" spans="4:7" ht="13.5" customHeight="1">
      <c r="D767" s="234"/>
      <c r="E767" s="234"/>
      <c r="F767" s="234"/>
      <c r="G767" s="234"/>
    </row>
    <row r="768" spans="4:7" ht="13.5" customHeight="1">
      <c r="D768" s="234"/>
      <c r="E768" s="234"/>
      <c r="F768" s="234"/>
      <c r="G768" s="234"/>
    </row>
    <row r="769" spans="4:7" ht="13.5" customHeight="1">
      <c r="D769" s="234"/>
      <c r="E769" s="234"/>
      <c r="F769" s="234"/>
      <c r="G769" s="234"/>
    </row>
    <row r="770" spans="4:7" ht="13.5" customHeight="1">
      <c r="D770" s="234"/>
      <c r="E770" s="234"/>
      <c r="F770" s="234"/>
      <c r="G770" s="234"/>
    </row>
    <row r="771" spans="4:7" ht="13.5" customHeight="1">
      <c r="D771" s="234"/>
      <c r="E771" s="234"/>
      <c r="F771" s="234"/>
      <c r="G771" s="234"/>
    </row>
    <row r="772" spans="4:7" ht="13.5" customHeight="1">
      <c r="D772" s="234"/>
      <c r="E772" s="234"/>
      <c r="F772" s="234"/>
      <c r="G772" s="234"/>
    </row>
    <row r="773" spans="4:7" ht="13.5" customHeight="1">
      <c r="D773" s="234"/>
      <c r="E773" s="234"/>
      <c r="F773" s="234"/>
      <c r="G773" s="234"/>
    </row>
    <row r="774" spans="4:7" ht="13.5" customHeight="1">
      <c r="D774" s="234"/>
      <c r="E774" s="234"/>
      <c r="F774" s="234"/>
      <c r="G774" s="234"/>
    </row>
    <row r="775" spans="4:7" ht="13.5" customHeight="1">
      <c r="D775" s="234"/>
      <c r="E775" s="234"/>
      <c r="F775" s="234"/>
      <c r="G775" s="234"/>
    </row>
    <row r="776" spans="4:7" ht="13.5" customHeight="1">
      <c r="D776" s="234"/>
      <c r="E776" s="234"/>
      <c r="F776" s="234"/>
      <c r="G776" s="234"/>
    </row>
    <row r="777" spans="4:7" ht="13.5" customHeight="1">
      <c r="D777" s="234"/>
      <c r="E777" s="234"/>
      <c r="F777" s="234"/>
      <c r="G777" s="234"/>
    </row>
    <row r="778" spans="4:7" ht="13.5" customHeight="1">
      <c r="D778" s="234"/>
      <c r="E778" s="234"/>
      <c r="F778" s="234"/>
      <c r="G778" s="234"/>
    </row>
    <row r="779" spans="4:7" ht="13.5" customHeight="1">
      <c r="D779" s="234"/>
      <c r="E779" s="234"/>
      <c r="F779" s="234"/>
      <c r="G779" s="234"/>
    </row>
    <row r="780" spans="4:7" ht="13.5" customHeight="1">
      <c r="D780" s="234"/>
      <c r="E780" s="234"/>
      <c r="F780" s="234"/>
      <c r="G780" s="234"/>
    </row>
    <row r="781" spans="4:7" ht="13.5" customHeight="1">
      <c r="D781" s="234"/>
      <c r="E781" s="234"/>
      <c r="F781" s="234"/>
      <c r="G781" s="234"/>
    </row>
    <row r="782" spans="4:7" ht="13.5" customHeight="1">
      <c r="D782" s="234"/>
      <c r="E782" s="234"/>
      <c r="F782" s="234"/>
      <c r="G782" s="234"/>
    </row>
    <row r="783" spans="4:7" ht="13.5" customHeight="1">
      <c r="D783" s="234"/>
      <c r="E783" s="234"/>
      <c r="F783" s="234"/>
      <c r="G783" s="234"/>
    </row>
    <row r="784" spans="4:7" ht="13.5" customHeight="1">
      <c r="D784" s="234"/>
      <c r="E784" s="234"/>
      <c r="F784" s="234"/>
      <c r="G784" s="234"/>
    </row>
    <row r="785" spans="4:7" ht="13.5" customHeight="1">
      <c r="D785" s="234"/>
      <c r="E785" s="234"/>
      <c r="F785" s="234"/>
      <c r="G785" s="234"/>
    </row>
    <row r="786" spans="4:7" ht="13.5" customHeight="1">
      <c r="D786" s="234"/>
      <c r="E786" s="234"/>
      <c r="F786" s="234"/>
      <c r="G786" s="234"/>
    </row>
    <row r="787" spans="4:7" ht="13.5" customHeight="1">
      <c r="D787" s="234"/>
      <c r="E787" s="234"/>
      <c r="F787" s="234"/>
      <c r="G787" s="234"/>
    </row>
    <row r="788" spans="4:7" ht="13.5" customHeight="1">
      <c r="D788" s="234"/>
      <c r="E788" s="234"/>
      <c r="F788" s="234"/>
      <c r="G788" s="234"/>
    </row>
    <row r="789" spans="4:7" ht="13.5" customHeight="1">
      <c r="D789" s="234"/>
      <c r="E789" s="234"/>
      <c r="F789" s="234"/>
      <c r="G789" s="234"/>
    </row>
    <row r="790" spans="4:7" ht="13.5" customHeight="1">
      <c r="D790" s="234"/>
      <c r="E790" s="234"/>
      <c r="F790" s="234"/>
      <c r="G790" s="234"/>
    </row>
    <row r="791" spans="4:7" ht="13.5" customHeight="1">
      <c r="D791" s="234"/>
      <c r="E791" s="234"/>
      <c r="F791" s="234"/>
      <c r="G791" s="234"/>
    </row>
    <row r="792" spans="4:7" ht="13.5" customHeight="1">
      <c r="D792" s="234"/>
      <c r="E792" s="234"/>
      <c r="F792" s="234"/>
      <c r="G792" s="234"/>
    </row>
    <row r="793" spans="4:7" ht="13.5" customHeight="1">
      <c r="D793" s="234"/>
      <c r="E793" s="234"/>
      <c r="F793" s="234"/>
      <c r="G793" s="234"/>
    </row>
    <row r="794" spans="4:7" ht="13.5" customHeight="1">
      <c r="D794" s="234"/>
      <c r="E794" s="234"/>
      <c r="F794" s="234"/>
      <c r="G794" s="234"/>
    </row>
    <row r="795" spans="4:7" ht="13.5" customHeight="1">
      <c r="D795" s="234"/>
      <c r="E795" s="234"/>
      <c r="F795" s="234"/>
      <c r="G795" s="234"/>
    </row>
    <row r="796" spans="4:7" ht="13.5" customHeight="1">
      <c r="D796" s="234"/>
      <c r="E796" s="234"/>
      <c r="F796" s="234"/>
      <c r="G796" s="234"/>
    </row>
    <row r="797" spans="4:7" ht="13.5" customHeight="1">
      <c r="D797" s="234"/>
      <c r="E797" s="234"/>
      <c r="F797" s="234"/>
      <c r="G797" s="234"/>
    </row>
    <row r="798" spans="4:7" ht="13.5" customHeight="1">
      <c r="D798" s="234"/>
      <c r="E798" s="234"/>
      <c r="F798" s="234"/>
      <c r="G798" s="234"/>
    </row>
    <row r="799" spans="4:7" ht="13.5" customHeight="1">
      <c r="D799" s="234"/>
      <c r="E799" s="234"/>
      <c r="F799" s="234"/>
      <c r="G799" s="234"/>
    </row>
    <row r="800" spans="4:7" ht="13.5" customHeight="1">
      <c r="D800" s="234"/>
      <c r="E800" s="234"/>
      <c r="F800" s="234"/>
      <c r="G800" s="234"/>
    </row>
    <row r="801" spans="4:7" ht="13.5" customHeight="1">
      <c r="D801" s="234"/>
      <c r="E801" s="234"/>
      <c r="F801" s="234"/>
      <c r="G801" s="234"/>
    </row>
    <row r="802" spans="4:7" ht="13.5" customHeight="1">
      <c r="D802" s="234"/>
      <c r="E802" s="234"/>
      <c r="F802" s="234"/>
      <c r="G802" s="234"/>
    </row>
    <row r="803" spans="4:7" ht="13.5" customHeight="1">
      <c r="D803" s="234"/>
      <c r="E803" s="234"/>
      <c r="F803" s="234"/>
      <c r="G803" s="234"/>
    </row>
    <row r="804" spans="4:7" ht="13.5" customHeight="1">
      <c r="D804" s="234"/>
      <c r="E804" s="234"/>
      <c r="F804" s="234"/>
      <c r="G804" s="234"/>
    </row>
    <row r="805" spans="4:7" ht="13.5" customHeight="1">
      <c r="D805" s="234"/>
      <c r="E805" s="234"/>
      <c r="F805" s="234"/>
      <c r="G805" s="234"/>
    </row>
    <row r="806" spans="4:7" ht="13.5" customHeight="1">
      <c r="D806" s="234"/>
      <c r="E806" s="234"/>
      <c r="F806" s="234"/>
      <c r="G806" s="234"/>
    </row>
    <row r="807" spans="4:7" ht="13.5" customHeight="1">
      <c r="D807" s="234"/>
      <c r="E807" s="234"/>
      <c r="F807" s="234"/>
      <c r="G807" s="234"/>
    </row>
    <row r="808" spans="4:7" ht="13.5" customHeight="1">
      <c r="D808" s="234"/>
      <c r="E808" s="234"/>
      <c r="F808" s="234"/>
      <c r="G808" s="234"/>
    </row>
    <row r="809" spans="4:7" ht="13.5" customHeight="1">
      <c r="D809" s="234"/>
      <c r="E809" s="234"/>
      <c r="F809" s="234"/>
      <c r="G809" s="234"/>
    </row>
    <row r="810" spans="4:7" ht="13.5" customHeight="1">
      <c r="D810" s="234"/>
      <c r="E810" s="234"/>
      <c r="F810" s="234"/>
      <c r="G810" s="234"/>
    </row>
    <row r="811" spans="4:7" ht="13.5" customHeight="1">
      <c r="D811" s="234"/>
      <c r="E811" s="234"/>
      <c r="F811" s="234"/>
      <c r="G811" s="234"/>
    </row>
    <row r="812" spans="4:7" ht="13.5" customHeight="1">
      <c r="D812" s="234"/>
      <c r="E812" s="234"/>
      <c r="F812" s="234"/>
      <c r="G812" s="234"/>
    </row>
    <row r="813" spans="4:7" ht="13.5" customHeight="1">
      <c r="D813" s="234"/>
      <c r="E813" s="234"/>
      <c r="F813" s="234"/>
      <c r="G813" s="234"/>
    </row>
    <row r="814" spans="4:7" ht="13.5" customHeight="1">
      <c r="D814" s="234"/>
      <c r="E814" s="234"/>
      <c r="F814" s="234"/>
      <c r="G814" s="234"/>
    </row>
    <row r="815" spans="4:7" ht="13.5" customHeight="1">
      <c r="D815" s="234"/>
      <c r="E815" s="234"/>
      <c r="F815" s="234"/>
      <c r="G815" s="234"/>
    </row>
    <row r="816" spans="4:7" ht="13.5" customHeight="1">
      <c r="D816" s="234"/>
      <c r="E816" s="234"/>
      <c r="F816" s="234"/>
      <c r="G816" s="234"/>
    </row>
    <row r="817" spans="4:7" ht="13.5" customHeight="1">
      <c r="D817" s="234"/>
      <c r="E817" s="234"/>
      <c r="F817" s="234"/>
      <c r="G817" s="234"/>
    </row>
    <row r="818" spans="4:7" ht="13.5" customHeight="1">
      <c r="D818" s="234"/>
      <c r="E818" s="234"/>
      <c r="F818" s="234"/>
      <c r="G818" s="234"/>
    </row>
    <row r="819" spans="4:7" ht="13.5" customHeight="1">
      <c r="D819" s="234"/>
      <c r="E819" s="234"/>
      <c r="F819" s="234"/>
      <c r="G819" s="234"/>
    </row>
    <row r="820" spans="4:7" ht="13.5" customHeight="1">
      <c r="D820" s="234"/>
      <c r="E820" s="234"/>
      <c r="F820" s="234"/>
      <c r="G820" s="234"/>
    </row>
    <row r="821" spans="4:7" ht="13.5" customHeight="1">
      <c r="D821" s="234"/>
      <c r="E821" s="234"/>
      <c r="F821" s="234"/>
      <c r="G821" s="234"/>
    </row>
    <row r="822" spans="4:7" ht="13.5" customHeight="1">
      <c r="D822" s="234"/>
      <c r="E822" s="234"/>
      <c r="F822" s="234"/>
      <c r="G822" s="234"/>
    </row>
    <row r="823" spans="4:7" ht="13.5" customHeight="1">
      <c r="D823" s="234"/>
      <c r="E823" s="234"/>
      <c r="F823" s="234"/>
      <c r="G823" s="234"/>
    </row>
    <row r="824" spans="4:7" ht="13.5" customHeight="1">
      <c r="D824" s="234"/>
      <c r="E824" s="234"/>
      <c r="F824" s="234"/>
      <c r="G824" s="234"/>
    </row>
    <row r="825" spans="4:7" ht="13.5" customHeight="1">
      <c r="D825" s="234"/>
      <c r="E825" s="234"/>
      <c r="F825" s="234"/>
      <c r="G825" s="234"/>
    </row>
    <row r="826" spans="4:7" ht="13.5" customHeight="1">
      <c r="D826" s="234"/>
      <c r="E826" s="234"/>
      <c r="F826" s="234"/>
      <c r="G826" s="234"/>
    </row>
    <row r="827" spans="4:7" ht="13.5" customHeight="1">
      <c r="D827" s="234"/>
      <c r="E827" s="234"/>
      <c r="F827" s="234"/>
      <c r="G827" s="234"/>
    </row>
    <row r="828" spans="4:7" ht="13.5" customHeight="1">
      <c r="D828" s="234"/>
      <c r="E828" s="234"/>
      <c r="F828" s="234"/>
      <c r="G828" s="234"/>
    </row>
    <row r="829" spans="4:7" ht="13.5" customHeight="1">
      <c r="D829" s="234"/>
      <c r="E829" s="234"/>
      <c r="F829" s="234"/>
      <c r="G829" s="234"/>
    </row>
    <row r="830" spans="4:7" ht="13.5" customHeight="1">
      <c r="D830" s="234"/>
      <c r="E830" s="234"/>
      <c r="F830" s="234"/>
      <c r="G830" s="234"/>
    </row>
    <row r="831" spans="4:7" ht="13.5" customHeight="1">
      <c r="D831" s="234"/>
      <c r="E831" s="234"/>
      <c r="F831" s="234"/>
      <c r="G831" s="234"/>
    </row>
    <row r="832" spans="4:7" ht="13.5" customHeight="1">
      <c r="D832" s="234"/>
      <c r="E832" s="234"/>
      <c r="F832" s="234"/>
      <c r="G832" s="234"/>
    </row>
    <row r="833" spans="4:7" ht="13.5" customHeight="1">
      <c r="D833" s="234"/>
      <c r="E833" s="234"/>
      <c r="F833" s="234"/>
      <c r="G833" s="234"/>
    </row>
    <row r="834" spans="4:7" ht="13.5" customHeight="1">
      <c r="D834" s="234"/>
      <c r="E834" s="234"/>
      <c r="F834" s="234"/>
      <c r="G834" s="234"/>
    </row>
    <row r="835" spans="4:7" ht="13.5" customHeight="1">
      <c r="D835" s="234"/>
      <c r="E835" s="234"/>
      <c r="F835" s="234"/>
      <c r="G835" s="234"/>
    </row>
    <row r="836" spans="4:7" ht="13.5" customHeight="1">
      <c r="D836" s="234"/>
      <c r="E836" s="234"/>
      <c r="F836" s="234"/>
      <c r="G836" s="234"/>
    </row>
    <row r="837" spans="4:7" ht="13.5" customHeight="1">
      <c r="D837" s="234"/>
      <c r="E837" s="234"/>
      <c r="F837" s="234"/>
      <c r="G837" s="234"/>
    </row>
    <row r="838" spans="4:7" ht="13.5" customHeight="1">
      <c r="D838" s="234"/>
      <c r="E838" s="234"/>
      <c r="F838" s="234"/>
      <c r="G838" s="234"/>
    </row>
    <row r="839" spans="4:7" ht="13.5" customHeight="1">
      <c r="D839" s="234"/>
      <c r="E839" s="234"/>
      <c r="F839" s="234"/>
      <c r="G839" s="234"/>
    </row>
    <row r="840" spans="4:7" ht="13.5" customHeight="1">
      <c r="D840" s="234"/>
      <c r="E840" s="234"/>
      <c r="F840" s="234"/>
      <c r="G840" s="234"/>
    </row>
    <row r="841" spans="4:7" ht="13.5" customHeight="1">
      <c r="D841" s="234"/>
      <c r="E841" s="234"/>
      <c r="F841" s="234"/>
      <c r="G841" s="234"/>
    </row>
    <row r="842" spans="4:7" ht="13.5" customHeight="1">
      <c r="D842" s="234"/>
      <c r="E842" s="234"/>
      <c r="F842" s="234"/>
      <c r="G842" s="234"/>
    </row>
    <row r="843" spans="4:7" ht="13.5" customHeight="1">
      <c r="D843" s="234"/>
      <c r="E843" s="234"/>
      <c r="F843" s="234"/>
      <c r="G843" s="234"/>
    </row>
    <row r="844" spans="4:7" ht="13.5" customHeight="1">
      <c r="D844" s="234"/>
      <c r="E844" s="234"/>
      <c r="F844" s="234"/>
      <c r="G844" s="234"/>
    </row>
    <row r="845" spans="4:7" ht="13.5" customHeight="1">
      <c r="D845" s="234"/>
      <c r="E845" s="234"/>
      <c r="F845" s="234"/>
      <c r="G845" s="234"/>
    </row>
    <row r="846" spans="4:7" ht="13.5" customHeight="1">
      <c r="D846" s="234"/>
      <c r="E846" s="234"/>
      <c r="F846" s="234"/>
      <c r="G846" s="234"/>
    </row>
    <row r="847" spans="4:7" ht="13.5" customHeight="1">
      <c r="D847" s="234"/>
      <c r="E847" s="234"/>
      <c r="F847" s="234"/>
      <c r="G847" s="234"/>
    </row>
    <row r="848" spans="4:7" ht="13.5" customHeight="1">
      <c r="D848" s="234"/>
      <c r="E848" s="234"/>
      <c r="F848" s="234"/>
      <c r="G848" s="234"/>
    </row>
    <row r="849" spans="4:7" ht="13.5" customHeight="1">
      <c r="D849" s="234"/>
      <c r="E849" s="234"/>
      <c r="F849" s="234"/>
      <c r="G849" s="234"/>
    </row>
    <row r="850" spans="4:7" ht="13.5" customHeight="1">
      <c r="D850" s="234"/>
      <c r="E850" s="234"/>
      <c r="F850" s="234"/>
      <c r="G850" s="234"/>
    </row>
    <row r="851" spans="4:7" ht="13.5" customHeight="1">
      <c r="D851" s="234"/>
      <c r="E851" s="234"/>
      <c r="F851" s="234"/>
      <c r="G851" s="234"/>
    </row>
    <row r="852" spans="4:7" ht="13.5" customHeight="1">
      <c r="D852" s="234"/>
      <c r="E852" s="234"/>
      <c r="F852" s="234"/>
      <c r="G852" s="234"/>
    </row>
    <row r="853" spans="4:7" ht="13.5" customHeight="1">
      <c r="D853" s="234"/>
      <c r="E853" s="234"/>
      <c r="F853" s="234"/>
      <c r="G853" s="234"/>
    </row>
    <row r="854" spans="4:7" ht="13.5" customHeight="1">
      <c r="D854" s="234"/>
      <c r="E854" s="234"/>
      <c r="F854" s="234"/>
      <c r="G854" s="234"/>
    </row>
    <row r="855" spans="4:7" ht="13.5" customHeight="1">
      <c r="D855" s="234"/>
      <c r="E855" s="234"/>
      <c r="F855" s="234"/>
      <c r="G855" s="234"/>
    </row>
    <row r="856" spans="4:7" ht="13.5" customHeight="1">
      <c r="D856" s="234"/>
      <c r="E856" s="234"/>
      <c r="F856" s="234"/>
      <c r="G856" s="234"/>
    </row>
    <row r="857" spans="4:7" ht="13.5" customHeight="1">
      <c r="D857" s="234"/>
      <c r="E857" s="234"/>
      <c r="F857" s="234"/>
      <c r="G857" s="234"/>
    </row>
    <row r="858" spans="4:7" ht="13.5" customHeight="1">
      <c r="D858" s="234"/>
      <c r="E858" s="234"/>
      <c r="F858" s="234"/>
      <c r="G858" s="234"/>
    </row>
    <row r="859" spans="4:7" ht="13.5" customHeight="1">
      <c r="D859" s="234"/>
      <c r="E859" s="234"/>
      <c r="F859" s="234"/>
      <c r="G859" s="234"/>
    </row>
    <row r="860" spans="4:7" ht="13.5" customHeight="1">
      <c r="D860" s="234"/>
      <c r="E860" s="234"/>
      <c r="F860" s="234"/>
      <c r="G860" s="234"/>
    </row>
    <row r="861" spans="4:7" ht="13.5" customHeight="1">
      <c r="D861" s="234"/>
      <c r="E861" s="234"/>
      <c r="F861" s="234"/>
      <c r="G861" s="234"/>
    </row>
    <row r="862" spans="4:7" ht="13.5" customHeight="1">
      <c r="D862" s="234"/>
      <c r="E862" s="234"/>
      <c r="F862" s="234"/>
      <c r="G862" s="234"/>
    </row>
    <row r="863" spans="4:7" ht="13.5" customHeight="1">
      <c r="D863" s="234"/>
      <c r="E863" s="234"/>
      <c r="F863" s="234"/>
      <c r="G863" s="234"/>
    </row>
    <row r="864" spans="4:7" ht="13.5" customHeight="1">
      <c r="D864" s="234"/>
      <c r="E864" s="234"/>
      <c r="F864" s="234"/>
      <c r="G864" s="234"/>
    </row>
    <row r="865" spans="4:7" ht="13.5" customHeight="1">
      <c r="D865" s="234"/>
      <c r="E865" s="234"/>
      <c r="F865" s="234"/>
      <c r="G865" s="234"/>
    </row>
    <row r="866" spans="4:7" ht="13.5" customHeight="1">
      <c r="D866" s="234"/>
      <c r="E866" s="234"/>
      <c r="F866" s="234"/>
      <c r="G866" s="234"/>
    </row>
    <row r="867" spans="4:7" ht="13.5" customHeight="1">
      <c r="D867" s="234"/>
      <c r="E867" s="234"/>
      <c r="F867" s="234"/>
      <c r="G867" s="234"/>
    </row>
    <row r="868" spans="4:7" ht="13.5" customHeight="1">
      <c r="D868" s="234"/>
      <c r="E868" s="234"/>
      <c r="F868" s="234"/>
      <c r="G868" s="234"/>
    </row>
    <row r="869" spans="4:7" ht="13.5" customHeight="1">
      <c r="D869" s="234"/>
      <c r="E869" s="234"/>
      <c r="F869" s="234"/>
      <c r="G869" s="234"/>
    </row>
    <row r="870" spans="4:7" ht="13.5" customHeight="1">
      <c r="D870" s="234"/>
      <c r="E870" s="234"/>
      <c r="F870" s="234"/>
      <c r="G870" s="234"/>
    </row>
    <row r="871" spans="4:7" ht="13.5" customHeight="1">
      <c r="D871" s="234"/>
      <c r="E871" s="234"/>
      <c r="F871" s="234"/>
      <c r="G871" s="234"/>
    </row>
    <row r="872" spans="4:7" ht="13.5" customHeight="1">
      <c r="D872" s="234"/>
      <c r="E872" s="234"/>
      <c r="F872" s="234"/>
      <c r="G872" s="234"/>
    </row>
    <row r="873" spans="4:7" ht="13.5" customHeight="1">
      <c r="D873" s="234"/>
      <c r="E873" s="234"/>
      <c r="F873" s="234"/>
      <c r="G873" s="234"/>
    </row>
    <row r="874" spans="4:7" ht="13.5" customHeight="1">
      <c r="D874" s="234"/>
      <c r="E874" s="234"/>
      <c r="F874" s="234"/>
      <c r="G874" s="234"/>
    </row>
    <row r="875" spans="4:7" ht="13.5" customHeight="1">
      <c r="D875" s="234"/>
      <c r="E875" s="234"/>
      <c r="F875" s="234"/>
      <c r="G875" s="234"/>
    </row>
    <row r="876" spans="4:7" ht="13.5" customHeight="1">
      <c r="D876" s="234"/>
      <c r="E876" s="234"/>
      <c r="F876" s="234"/>
      <c r="G876" s="234"/>
    </row>
    <row r="877" spans="4:7" ht="13.5" customHeight="1">
      <c r="D877" s="234"/>
      <c r="E877" s="234"/>
      <c r="F877" s="234"/>
      <c r="G877" s="234"/>
    </row>
    <row r="878" spans="4:7" ht="13.5" customHeight="1">
      <c r="D878" s="234"/>
      <c r="E878" s="234"/>
      <c r="F878" s="234"/>
      <c r="G878" s="234"/>
    </row>
    <row r="879" spans="4:7" ht="13.5" customHeight="1">
      <c r="D879" s="234"/>
      <c r="E879" s="234"/>
      <c r="F879" s="234"/>
      <c r="G879" s="234"/>
    </row>
    <row r="880" spans="4:7" ht="13.5" customHeight="1">
      <c r="D880" s="234"/>
      <c r="E880" s="234"/>
      <c r="F880" s="234"/>
      <c r="G880" s="234"/>
    </row>
    <row r="881" spans="4:7" ht="13.5" customHeight="1">
      <c r="D881" s="234"/>
      <c r="E881" s="234"/>
      <c r="F881" s="234"/>
      <c r="G881" s="234"/>
    </row>
    <row r="882" spans="4:7" ht="13.5" customHeight="1">
      <c r="D882" s="234"/>
      <c r="E882" s="234"/>
      <c r="F882" s="234"/>
      <c r="G882" s="234"/>
    </row>
    <row r="883" spans="4:7" ht="13.5" customHeight="1">
      <c r="D883" s="234"/>
      <c r="E883" s="234"/>
      <c r="F883" s="234"/>
      <c r="G883" s="234"/>
    </row>
    <row r="884" spans="4:7" ht="13.5" customHeight="1">
      <c r="D884" s="234"/>
      <c r="E884" s="234"/>
      <c r="F884" s="234"/>
      <c r="G884" s="234"/>
    </row>
    <row r="885" spans="4:7" ht="13.5" customHeight="1">
      <c r="D885" s="234"/>
      <c r="E885" s="234"/>
      <c r="F885" s="234"/>
      <c r="G885" s="234"/>
    </row>
    <row r="886" spans="4:7" ht="13.5" customHeight="1">
      <c r="D886" s="234"/>
      <c r="E886" s="234"/>
      <c r="F886" s="234"/>
      <c r="G886" s="234"/>
    </row>
    <row r="887" spans="4:7" ht="13.5" customHeight="1">
      <c r="D887" s="234"/>
      <c r="E887" s="234"/>
      <c r="F887" s="234"/>
      <c r="G887" s="234"/>
    </row>
    <row r="888" spans="4:7" ht="13.5" customHeight="1">
      <c r="D888" s="234"/>
      <c r="E888" s="234"/>
      <c r="F888" s="234"/>
      <c r="G888" s="234"/>
    </row>
    <row r="889" spans="4:7" ht="13.5" customHeight="1">
      <c r="D889" s="234"/>
      <c r="E889" s="234"/>
      <c r="F889" s="234"/>
      <c r="G889" s="234"/>
    </row>
    <row r="890" spans="4:7" ht="13.5" customHeight="1">
      <c r="D890" s="234"/>
      <c r="E890" s="234"/>
      <c r="F890" s="234"/>
      <c r="G890" s="234"/>
    </row>
    <row r="891" spans="4:7" ht="13.5" customHeight="1">
      <c r="D891" s="234"/>
      <c r="E891" s="234"/>
      <c r="F891" s="234"/>
      <c r="G891" s="234"/>
    </row>
    <row r="892" spans="4:7" ht="13.5" customHeight="1">
      <c r="D892" s="234"/>
      <c r="E892" s="234"/>
      <c r="F892" s="234"/>
      <c r="G892" s="234"/>
    </row>
    <row r="893" spans="4:7" ht="13.5" customHeight="1">
      <c r="D893" s="234"/>
      <c r="E893" s="234"/>
      <c r="F893" s="234"/>
      <c r="G893" s="234"/>
    </row>
    <row r="894" spans="4:7" ht="13.5" customHeight="1">
      <c r="D894" s="234"/>
      <c r="E894" s="234"/>
      <c r="F894" s="234"/>
      <c r="G894" s="234"/>
    </row>
    <row r="895" spans="4:7" ht="13.5" customHeight="1">
      <c r="D895" s="234"/>
      <c r="E895" s="234"/>
      <c r="F895" s="234"/>
      <c r="G895" s="234"/>
    </row>
    <row r="896" spans="4:7" ht="13.5" customHeight="1">
      <c r="D896" s="234"/>
      <c r="E896" s="234"/>
      <c r="F896" s="234"/>
      <c r="G896" s="234"/>
    </row>
    <row r="897" spans="4:7" ht="13.5" customHeight="1">
      <c r="D897" s="234"/>
      <c r="E897" s="234"/>
      <c r="F897" s="234"/>
      <c r="G897" s="234"/>
    </row>
    <row r="898" spans="4:7" ht="13.5" customHeight="1">
      <c r="D898" s="234"/>
      <c r="E898" s="234"/>
      <c r="F898" s="234"/>
      <c r="G898" s="234"/>
    </row>
    <row r="899" spans="4:7" ht="13.5" customHeight="1">
      <c r="D899" s="234"/>
      <c r="E899" s="234"/>
      <c r="F899" s="234"/>
      <c r="G899" s="234"/>
    </row>
    <row r="900" spans="4:7" ht="13.5" customHeight="1">
      <c r="D900" s="234"/>
      <c r="E900" s="234"/>
      <c r="F900" s="234"/>
      <c r="G900" s="234"/>
    </row>
    <row r="901" spans="4:7" ht="13.5" customHeight="1">
      <c r="D901" s="234"/>
      <c r="E901" s="234"/>
      <c r="F901" s="234"/>
      <c r="G901" s="234"/>
    </row>
    <row r="902" spans="4:7" ht="13.5" customHeight="1">
      <c r="D902" s="234"/>
      <c r="E902" s="234"/>
      <c r="F902" s="234"/>
      <c r="G902" s="234"/>
    </row>
    <row r="903" spans="4:7" ht="13.5" customHeight="1">
      <c r="D903" s="234"/>
      <c r="E903" s="234"/>
      <c r="F903" s="234"/>
      <c r="G903" s="234"/>
    </row>
    <row r="904" spans="4:7" ht="13.5" customHeight="1">
      <c r="D904" s="234"/>
      <c r="E904" s="234"/>
      <c r="F904" s="234"/>
      <c r="G904" s="234"/>
    </row>
    <row r="905" spans="4:7" ht="13.5" customHeight="1">
      <c r="D905" s="234"/>
      <c r="E905" s="234"/>
      <c r="F905" s="234"/>
      <c r="G905" s="234"/>
    </row>
    <row r="906" spans="4:7" ht="13.5" customHeight="1">
      <c r="D906" s="234"/>
      <c r="E906" s="234"/>
      <c r="F906" s="234"/>
      <c r="G906" s="234"/>
    </row>
    <row r="907" spans="4:7" ht="13.5" customHeight="1">
      <c r="D907" s="234"/>
      <c r="E907" s="234"/>
      <c r="F907" s="234"/>
      <c r="G907" s="234"/>
    </row>
    <row r="908" spans="4:7" ht="13.5" customHeight="1">
      <c r="D908" s="234"/>
      <c r="E908" s="234"/>
      <c r="F908" s="234"/>
      <c r="G908" s="234"/>
    </row>
    <row r="909" spans="4:7" ht="13.5" customHeight="1">
      <c r="D909" s="234"/>
      <c r="E909" s="234"/>
      <c r="F909" s="234"/>
      <c r="G909" s="234"/>
    </row>
    <row r="910" spans="4:7" ht="13.5" customHeight="1">
      <c r="D910" s="234"/>
      <c r="E910" s="234"/>
      <c r="F910" s="234"/>
      <c r="G910" s="234"/>
    </row>
    <row r="911" spans="4:7" ht="13.5" customHeight="1">
      <c r="D911" s="234"/>
      <c r="E911" s="234"/>
      <c r="F911" s="234"/>
      <c r="G911" s="234"/>
    </row>
    <row r="912" spans="4:7" ht="13.5" customHeight="1">
      <c r="D912" s="234"/>
      <c r="E912" s="234"/>
      <c r="F912" s="234"/>
      <c r="G912" s="234"/>
    </row>
    <row r="913" spans="4:7" ht="13.5" customHeight="1">
      <c r="D913" s="234"/>
      <c r="E913" s="234"/>
      <c r="F913" s="234"/>
      <c r="G913" s="234"/>
    </row>
    <row r="914" spans="4:7" ht="13.5" customHeight="1">
      <c r="D914" s="234"/>
      <c r="E914" s="234"/>
      <c r="F914" s="234"/>
      <c r="G914" s="234"/>
    </row>
    <row r="915" spans="4:7" ht="13.5" customHeight="1">
      <c r="D915" s="234"/>
      <c r="E915" s="234"/>
      <c r="F915" s="234"/>
      <c r="G915" s="234"/>
    </row>
    <row r="916" spans="4:7" ht="13.5" customHeight="1">
      <c r="D916" s="234"/>
      <c r="E916" s="234"/>
      <c r="F916" s="234"/>
      <c r="G916" s="234"/>
    </row>
    <row r="917" spans="4:7" ht="13.5" customHeight="1">
      <c r="D917" s="234"/>
      <c r="E917" s="234"/>
      <c r="F917" s="234"/>
      <c r="G917" s="234"/>
    </row>
    <row r="918" spans="4:7" ht="13.5" customHeight="1">
      <c r="D918" s="234"/>
      <c r="E918" s="234"/>
      <c r="F918" s="234"/>
      <c r="G918" s="234"/>
    </row>
    <row r="919" spans="4:7" ht="13.5" customHeight="1">
      <c r="D919" s="234"/>
      <c r="E919" s="234"/>
      <c r="F919" s="234"/>
      <c r="G919" s="234"/>
    </row>
    <row r="920" spans="4:7" ht="13.5" customHeight="1">
      <c r="D920" s="234"/>
      <c r="E920" s="234"/>
      <c r="F920" s="234"/>
      <c r="G920" s="234"/>
    </row>
    <row r="921" spans="4:7" ht="13.5" customHeight="1">
      <c r="D921" s="234"/>
      <c r="E921" s="234"/>
      <c r="F921" s="234"/>
      <c r="G921" s="234"/>
    </row>
    <row r="922" spans="4:7" ht="13.5" customHeight="1">
      <c r="D922" s="234"/>
      <c r="E922" s="234"/>
      <c r="F922" s="234"/>
      <c r="G922" s="234"/>
    </row>
    <row r="923" spans="4:7" ht="13.5" customHeight="1">
      <c r="D923" s="234"/>
      <c r="E923" s="234"/>
      <c r="F923" s="234"/>
      <c r="G923" s="234"/>
    </row>
    <row r="924" spans="4:7" ht="13.5" customHeight="1">
      <c r="D924" s="234"/>
      <c r="E924" s="234"/>
      <c r="F924" s="234"/>
      <c r="G924" s="234"/>
    </row>
    <row r="925" spans="4:7" ht="13.5" customHeight="1">
      <c r="D925" s="234"/>
      <c r="E925" s="234"/>
      <c r="F925" s="234"/>
      <c r="G925" s="234"/>
    </row>
    <row r="926" spans="4:7" ht="13.5" customHeight="1">
      <c r="D926" s="234"/>
      <c r="E926" s="234"/>
      <c r="F926" s="234"/>
      <c r="G926" s="234"/>
    </row>
    <row r="927" spans="4:7" ht="13.5" customHeight="1">
      <c r="D927" s="234"/>
      <c r="E927" s="234"/>
      <c r="F927" s="234"/>
      <c r="G927" s="234"/>
    </row>
    <row r="928" spans="4:7" ht="13.5" customHeight="1">
      <c r="D928" s="234"/>
      <c r="E928" s="234"/>
      <c r="F928" s="234"/>
      <c r="G928" s="234"/>
    </row>
    <row r="929" spans="4:7" ht="13.5" customHeight="1">
      <c r="D929" s="234"/>
      <c r="E929" s="234"/>
      <c r="F929" s="234"/>
      <c r="G929" s="234"/>
    </row>
    <row r="930" spans="4:7" ht="13.5" customHeight="1">
      <c r="D930" s="234"/>
      <c r="E930" s="234"/>
      <c r="F930" s="234"/>
      <c r="G930" s="234"/>
    </row>
    <row r="931" spans="4:7" ht="13.5" customHeight="1">
      <c r="D931" s="234"/>
      <c r="E931" s="234"/>
      <c r="F931" s="234"/>
      <c r="G931" s="234"/>
    </row>
    <row r="932" spans="4:7" ht="13.5" customHeight="1">
      <c r="D932" s="234"/>
      <c r="E932" s="234"/>
      <c r="F932" s="234"/>
      <c r="G932" s="234"/>
    </row>
    <row r="933" spans="4:7" ht="13.5" customHeight="1">
      <c r="D933" s="234"/>
      <c r="E933" s="234"/>
      <c r="F933" s="234"/>
      <c r="G933" s="234"/>
    </row>
    <row r="934" spans="4:7" ht="13.5" customHeight="1">
      <c r="D934" s="234"/>
      <c r="E934" s="234"/>
      <c r="F934" s="234"/>
      <c r="G934" s="234"/>
    </row>
    <row r="935" spans="4:7" ht="13.5" customHeight="1">
      <c r="D935" s="234"/>
      <c r="E935" s="234"/>
      <c r="F935" s="234"/>
      <c r="G935" s="234"/>
    </row>
    <row r="936" spans="4:7" ht="13.5" customHeight="1">
      <c r="D936" s="234"/>
      <c r="E936" s="234"/>
      <c r="F936" s="234"/>
      <c r="G936" s="234"/>
    </row>
    <row r="937" spans="4:7" ht="13.5" customHeight="1">
      <c r="D937" s="234"/>
      <c r="E937" s="234"/>
      <c r="F937" s="234"/>
      <c r="G937" s="234"/>
    </row>
    <row r="938" spans="4:7" ht="13.5" customHeight="1">
      <c r="D938" s="234"/>
      <c r="E938" s="234"/>
      <c r="F938" s="234"/>
      <c r="G938" s="234"/>
    </row>
    <row r="939" spans="4:7" ht="13.5" customHeight="1">
      <c r="D939" s="234"/>
      <c r="E939" s="234"/>
      <c r="F939" s="234"/>
      <c r="G939" s="234"/>
    </row>
    <row r="940" spans="4:7" ht="13.5" customHeight="1">
      <c r="D940" s="234"/>
      <c r="E940" s="234"/>
      <c r="F940" s="234"/>
      <c r="G940" s="234"/>
    </row>
    <row r="941" spans="4:7" ht="13.5" customHeight="1">
      <c r="D941" s="234"/>
      <c r="E941" s="234"/>
      <c r="F941" s="234"/>
      <c r="G941" s="234"/>
    </row>
    <row r="942" spans="4:7" ht="13.5" customHeight="1">
      <c r="D942" s="234"/>
      <c r="E942" s="234"/>
      <c r="F942" s="234"/>
      <c r="G942" s="234"/>
    </row>
    <row r="943" spans="4:7" ht="13.5" customHeight="1">
      <c r="D943" s="234"/>
      <c r="E943" s="234"/>
      <c r="F943" s="234"/>
      <c r="G943" s="234"/>
    </row>
    <row r="944" spans="4:7" ht="13.5" customHeight="1">
      <c r="D944" s="234"/>
      <c r="E944" s="234"/>
      <c r="F944" s="234"/>
      <c r="G944" s="234"/>
    </row>
    <row r="945" spans="4:7" ht="13.5" customHeight="1">
      <c r="D945" s="234"/>
      <c r="E945" s="234"/>
      <c r="F945" s="234"/>
      <c r="G945" s="234"/>
    </row>
    <row r="946" spans="4:7" ht="13.5" customHeight="1">
      <c r="D946" s="234"/>
      <c r="E946" s="234"/>
      <c r="F946" s="234"/>
      <c r="G946" s="234"/>
    </row>
    <row r="947" spans="4:7" ht="13.5" customHeight="1">
      <c r="D947" s="234"/>
      <c r="E947" s="234"/>
      <c r="F947" s="234"/>
      <c r="G947" s="234"/>
    </row>
    <row r="948" spans="4:7" ht="13.5" customHeight="1">
      <c r="D948" s="234"/>
      <c r="E948" s="234"/>
      <c r="F948" s="234"/>
      <c r="G948" s="234"/>
    </row>
    <row r="949" spans="4:7" ht="13.5" customHeight="1">
      <c r="D949" s="234"/>
      <c r="E949" s="234"/>
      <c r="F949" s="234"/>
      <c r="G949" s="234"/>
    </row>
    <row r="950" spans="4:7" ht="13.5" customHeight="1">
      <c r="D950" s="234"/>
      <c r="E950" s="234"/>
      <c r="F950" s="234"/>
      <c r="G950" s="234"/>
    </row>
    <row r="951" spans="4:7" ht="13.5" customHeight="1">
      <c r="D951" s="234"/>
      <c r="E951" s="234"/>
      <c r="F951" s="234"/>
      <c r="G951" s="234"/>
    </row>
    <row r="952" spans="4:7" ht="13.5" customHeight="1">
      <c r="D952" s="234"/>
      <c r="E952" s="234"/>
      <c r="F952" s="234"/>
      <c r="G952" s="234"/>
    </row>
    <row r="953" spans="4:7" ht="13.5" customHeight="1">
      <c r="D953" s="234"/>
      <c r="E953" s="234"/>
      <c r="F953" s="234"/>
      <c r="G953" s="234"/>
    </row>
    <row r="954" spans="4:7" ht="13.5" customHeight="1">
      <c r="D954" s="234"/>
      <c r="E954" s="234"/>
      <c r="F954" s="234"/>
      <c r="G954" s="234"/>
    </row>
    <row r="955" spans="4:7" ht="13.5" customHeight="1">
      <c r="D955" s="234"/>
      <c r="E955" s="234"/>
      <c r="F955" s="234"/>
      <c r="G955" s="234"/>
    </row>
    <row r="956" spans="4:7" ht="13.5" customHeight="1">
      <c r="D956" s="234"/>
      <c r="E956" s="234"/>
      <c r="F956" s="234"/>
      <c r="G956" s="234"/>
    </row>
    <row r="957" spans="4:7" ht="13.5" customHeight="1">
      <c r="D957" s="234"/>
      <c r="E957" s="234"/>
      <c r="F957" s="234"/>
      <c r="G957" s="234"/>
    </row>
    <row r="958" spans="4:7" ht="13.5" customHeight="1">
      <c r="D958" s="234"/>
      <c r="E958" s="234"/>
      <c r="F958" s="234"/>
      <c r="G958" s="234"/>
    </row>
    <row r="959" spans="4:7" ht="13.5" customHeight="1">
      <c r="D959" s="234"/>
      <c r="E959" s="234"/>
      <c r="F959" s="234"/>
      <c r="G959" s="234"/>
    </row>
    <row r="960" spans="4:7" ht="13.5" customHeight="1">
      <c r="D960" s="234"/>
      <c r="E960" s="234"/>
      <c r="F960" s="234"/>
      <c r="G960" s="234"/>
    </row>
    <row r="961" spans="4:7" ht="13.5" customHeight="1">
      <c r="D961" s="234"/>
      <c r="E961" s="234"/>
      <c r="F961" s="234"/>
      <c r="G961" s="234"/>
    </row>
    <row r="962" spans="4:7" ht="13.5" customHeight="1">
      <c r="D962" s="234"/>
      <c r="E962" s="234"/>
      <c r="F962" s="234"/>
      <c r="G962" s="234"/>
    </row>
    <row r="963" spans="4:7" ht="13.5" customHeight="1">
      <c r="D963" s="234"/>
      <c r="E963" s="234"/>
      <c r="F963" s="234"/>
      <c r="G963" s="234"/>
    </row>
    <row r="964" spans="4:7" ht="13.5" customHeight="1">
      <c r="D964" s="234"/>
      <c r="E964" s="234"/>
      <c r="F964" s="234"/>
      <c r="G964" s="234"/>
    </row>
    <row r="965" spans="4:7" ht="13.5" customHeight="1">
      <c r="D965" s="234"/>
      <c r="E965" s="234"/>
      <c r="F965" s="234"/>
      <c r="G965" s="234"/>
    </row>
    <row r="966" spans="4:7" ht="13.5" customHeight="1">
      <c r="D966" s="234"/>
      <c r="E966" s="234"/>
      <c r="F966" s="234"/>
      <c r="G966" s="234"/>
    </row>
    <row r="967" spans="4:7" ht="13.5" customHeight="1">
      <c r="D967" s="234"/>
      <c r="E967" s="234"/>
      <c r="F967" s="234"/>
      <c r="G967" s="234"/>
    </row>
    <row r="968" spans="4:7" ht="13.5" customHeight="1">
      <c r="D968" s="234"/>
      <c r="E968" s="234"/>
      <c r="F968" s="234"/>
      <c r="G968" s="234"/>
    </row>
    <row r="969" spans="4:7" ht="13.5" customHeight="1">
      <c r="D969" s="234"/>
      <c r="E969" s="234"/>
      <c r="F969" s="234"/>
      <c r="G969" s="234"/>
    </row>
    <row r="970" spans="4:7" ht="13.5" customHeight="1">
      <c r="D970" s="234"/>
      <c r="E970" s="234"/>
      <c r="F970" s="234"/>
      <c r="G970" s="234"/>
    </row>
    <row r="971" spans="4:7" ht="13.5" customHeight="1">
      <c r="D971" s="234"/>
      <c r="E971" s="234"/>
      <c r="F971" s="234"/>
      <c r="G971" s="234"/>
    </row>
    <row r="972" spans="4:7" ht="13.5" customHeight="1">
      <c r="D972" s="234"/>
      <c r="E972" s="234"/>
      <c r="F972" s="234"/>
      <c r="G972" s="234"/>
    </row>
    <row r="973" spans="4:7" ht="13.5" customHeight="1">
      <c r="D973" s="234"/>
      <c r="E973" s="234"/>
      <c r="F973" s="234"/>
      <c r="G973" s="234"/>
    </row>
    <row r="974" spans="4:7" ht="13.5" customHeight="1">
      <c r="D974" s="234"/>
      <c r="E974" s="234"/>
      <c r="F974" s="234"/>
      <c r="G974" s="234"/>
    </row>
    <row r="975" spans="4:7" ht="13.5" customHeight="1">
      <c r="D975" s="234"/>
      <c r="E975" s="234"/>
      <c r="F975" s="234"/>
      <c r="G975" s="234"/>
    </row>
    <row r="976" spans="4:7" ht="13.5" customHeight="1">
      <c r="D976" s="234"/>
      <c r="E976" s="234"/>
      <c r="F976" s="234"/>
      <c r="G976" s="234"/>
    </row>
    <row r="977" spans="4:7" ht="13.5" customHeight="1">
      <c r="D977" s="234"/>
      <c r="E977" s="234"/>
      <c r="F977" s="234"/>
      <c r="G977" s="234"/>
    </row>
    <row r="978" spans="4:7" ht="13.5" customHeight="1">
      <c r="D978" s="234"/>
      <c r="E978" s="234"/>
      <c r="F978" s="234"/>
      <c r="G978" s="234"/>
    </row>
    <row r="979" spans="4:7" ht="13.5" customHeight="1">
      <c r="D979" s="234"/>
      <c r="E979" s="234"/>
      <c r="F979" s="234"/>
      <c r="G979" s="234"/>
    </row>
    <row r="980" spans="4:7" ht="13.5" customHeight="1">
      <c r="D980" s="234"/>
      <c r="E980" s="234"/>
      <c r="F980" s="234"/>
      <c r="G980" s="234"/>
    </row>
    <row r="981" spans="4:7" ht="13.5" customHeight="1">
      <c r="D981" s="234"/>
      <c r="E981" s="234"/>
      <c r="F981" s="234"/>
      <c r="G981" s="234"/>
    </row>
    <row r="982" spans="4:7" ht="13.5" customHeight="1">
      <c r="D982" s="234"/>
      <c r="E982" s="234"/>
      <c r="F982" s="234"/>
      <c r="G982" s="234"/>
    </row>
    <row r="983" spans="4:7" ht="13.5" customHeight="1">
      <c r="D983" s="234"/>
      <c r="E983" s="234"/>
      <c r="F983" s="234"/>
      <c r="G983" s="234"/>
    </row>
    <row r="984" spans="4:7" ht="13.5" customHeight="1">
      <c r="D984" s="234"/>
      <c r="E984" s="234"/>
      <c r="F984" s="234"/>
      <c r="G984" s="234"/>
    </row>
    <row r="985" spans="4:7" ht="13.5" customHeight="1">
      <c r="D985" s="234"/>
      <c r="E985" s="234"/>
      <c r="F985" s="234"/>
      <c r="G985" s="234"/>
    </row>
    <row r="986" spans="4:7" ht="13.5" customHeight="1">
      <c r="D986" s="234"/>
      <c r="E986" s="234"/>
      <c r="F986" s="234"/>
      <c r="G986" s="234"/>
    </row>
    <row r="987" spans="4:7" ht="13.5" customHeight="1">
      <c r="D987" s="234"/>
      <c r="E987" s="234"/>
      <c r="F987" s="234"/>
      <c r="G987" s="234"/>
    </row>
    <row r="988" spans="4:7" ht="13.5" customHeight="1">
      <c r="D988" s="234"/>
      <c r="E988" s="234"/>
      <c r="F988" s="234"/>
      <c r="G988" s="234"/>
    </row>
    <row r="989" spans="4:7" ht="13.5" customHeight="1">
      <c r="D989" s="234"/>
      <c r="E989" s="234"/>
      <c r="F989" s="234"/>
      <c r="G989" s="234"/>
    </row>
    <row r="990" spans="4:7" ht="13.5" customHeight="1">
      <c r="D990" s="234"/>
      <c r="E990" s="234"/>
      <c r="F990" s="234"/>
      <c r="G990" s="234"/>
    </row>
    <row r="991" spans="4:7" ht="13.5" customHeight="1">
      <c r="D991" s="234"/>
      <c r="E991" s="234"/>
      <c r="F991" s="234"/>
      <c r="G991" s="234"/>
    </row>
    <row r="992" spans="4:7" ht="13.5" customHeight="1">
      <c r="D992" s="234"/>
      <c r="E992" s="234"/>
      <c r="F992" s="234"/>
      <c r="G992" s="234"/>
    </row>
    <row r="993" spans="4:7" ht="13.5" customHeight="1">
      <c r="D993" s="234"/>
      <c r="E993" s="234"/>
      <c r="F993" s="234"/>
      <c r="G993" s="234"/>
    </row>
    <row r="994" spans="4:7" ht="13.5" customHeight="1">
      <c r="D994" s="234"/>
      <c r="E994" s="234"/>
      <c r="F994" s="234"/>
      <c r="G994" s="234"/>
    </row>
    <row r="995" spans="4:7" ht="13.5" customHeight="1">
      <c r="D995" s="234"/>
      <c r="E995" s="234"/>
      <c r="F995" s="234"/>
      <c r="G995" s="234"/>
    </row>
    <row r="996" spans="4:7" ht="13.5" customHeight="1">
      <c r="D996" s="234"/>
      <c r="E996" s="234"/>
      <c r="F996" s="234"/>
      <c r="G996" s="234"/>
    </row>
    <row r="997" spans="4:7" ht="13.5" customHeight="1">
      <c r="D997" s="234"/>
      <c r="E997" s="234"/>
      <c r="F997" s="234"/>
      <c r="G997" s="234"/>
    </row>
    <row r="998" spans="4:7" ht="13.5" customHeight="1">
      <c r="D998" s="234"/>
      <c r="E998" s="234"/>
      <c r="F998" s="234"/>
      <c r="G998" s="234"/>
    </row>
    <row r="999" spans="4:7" ht="13.5" customHeight="1">
      <c r="D999" s="234"/>
      <c r="E999" s="234"/>
      <c r="F999" s="234"/>
      <c r="G999" s="234"/>
    </row>
    <row r="1000" spans="4:7" ht="13.5" customHeight="1">
      <c r="D1000" s="234"/>
      <c r="E1000" s="234"/>
      <c r="F1000" s="234"/>
      <c r="G1000" s="234"/>
    </row>
    <row r="1001" spans="4:7" ht="13.5" customHeight="1">
      <c r="D1001" s="234"/>
      <c r="E1001" s="234"/>
      <c r="F1001" s="234"/>
      <c r="G1001" s="234"/>
    </row>
    <row r="1002" spans="4:7" ht="13.5" customHeight="1">
      <c r="D1002" s="234"/>
      <c r="E1002" s="234"/>
      <c r="F1002" s="234"/>
      <c r="G1002" s="234"/>
    </row>
    <row r="1003" spans="4:7" ht="13.5" customHeight="1">
      <c r="D1003" s="234"/>
      <c r="E1003" s="234"/>
      <c r="F1003" s="234"/>
      <c r="G1003" s="234"/>
    </row>
    <row r="1004" spans="4:7" ht="13.5" customHeight="1">
      <c r="D1004" s="234"/>
      <c r="E1004" s="234"/>
      <c r="F1004" s="234"/>
      <c r="G1004" s="234"/>
    </row>
    <row r="1005" spans="4:7" ht="13.5" customHeight="1">
      <c r="D1005" s="234"/>
      <c r="E1005" s="234"/>
      <c r="F1005" s="234"/>
      <c r="G1005" s="234"/>
    </row>
    <row r="1006" spans="4:7" ht="13.5" customHeight="1">
      <c r="D1006" s="234"/>
      <c r="E1006" s="234"/>
      <c r="F1006" s="234"/>
      <c r="G1006" s="234"/>
    </row>
    <row r="1007" spans="4:7" ht="13.5" customHeight="1">
      <c r="D1007" s="234"/>
      <c r="E1007" s="234"/>
      <c r="F1007" s="234"/>
      <c r="G1007" s="234"/>
    </row>
    <row r="1008" spans="4:7" ht="13.5" customHeight="1">
      <c r="D1008" s="234"/>
      <c r="E1008" s="234"/>
      <c r="F1008" s="234"/>
      <c r="G1008" s="234"/>
    </row>
    <row r="1009" spans="4:7" ht="13.5" customHeight="1">
      <c r="D1009" s="234"/>
      <c r="E1009" s="234"/>
      <c r="F1009" s="234"/>
      <c r="G1009" s="234"/>
    </row>
    <row r="1010" spans="4:7" ht="13.5" customHeight="1">
      <c r="D1010" s="234"/>
      <c r="E1010" s="234"/>
      <c r="F1010" s="234"/>
      <c r="G1010" s="234"/>
    </row>
    <row r="1011" spans="4:7" ht="13.5" customHeight="1">
      <c r="D1011" s="234"/>
      <c r="E1011" s="234"/>
      <c r="F1011" s="234"/>
      <c r="G1011" s="234"/>
    </row>
    <row r="1012" spans="4:7" ht="13.5" customHeight="1">
      <c r="D1012" s="234"/>
      <c r="E1012" s="234"/>
      <c r="F1012" s="234"/>
      <c r="G1012" s="234"/>
    </row>
    <row r="1013" spans="4:7" ht="13.5" customHeight="1">
      <c r="D1013" s="234"/>
      <c r="E1013" s="234"/>
      <c r="F1013" s="234"/>
      <c r="G1013" s="234"/>
    </row>
    <row r="1014" spans="4:7" ht="13.5" customHeight="1">
      <c r="D1014" s="234"/>
      <c r="E1014" s="234"/>
      <c r="F1014" s="234"/>
      <c r="G1014" s="234"/>
    </row>
    <row r="1015" spans="4:7" ht="13.5" customHeight="1">
      <c r="D1015" s="234"/>
      <c r="E1015" s="234"/>
      <c r="F1015" s="234"/>
      <c r="G1015" s="234"/>
    </row>
    <row r="1016" spans="4:7" ht="13.5" customHeight="1">
      <c r="D1016" s="234"/>
      <c r="E1016" s="234"/>
      <c r="F1016" s="234"/>
      <c r="G1016" s="234"/>
    </row>
    <row r="1017" spans="4:7" ht="13.5" customHeight="1">
      <c r="D1017" s="234"/>
      <c r="E1017" s="234"/>
      <c r="F1017" s="234"/>
      <c r="G1017" s="234"/>
    </row>
    <row r="1018" spans="4:7" ht="13.5" customHeight="1">
      <c r="D1018" s="234"/>
      <c r="E1018" s="234"/>
      <c r="F1018" s="234"/>
      <c r="G1018" s="234"/>
    </row>
    <row r="1019" spans="4:7" ht="13.5" customHeight="1">
      <c r="D1019" s="234"/>
      <c r="E1019" s="234"/>
      <c r="F1019" s="234"/>
      <c r="G1019" s="234"/>
    </row>
    <row r="1020" spans="4:7" ht="13.5" customHeight="1">
      <c r="D1020" s="234"/>
      <c r="E1020" s="234"/>
      <c r="F1020" s="234"/>
      <c r="G1020" s="234"/>
    </row>
    <row r="1021" spans="4:7" ht="13.5" customHeight="1">
      <c r="D1021" s="234"/>
      <c r="E1021" s="234"/>
      <c r="F1021" s="234"/>
      <c r="G1021" s="234"/>
    </row>
    <row r="1022" spans="4:7" ht="13.5" customHeight="1">
      <c r="D1022" s="234"/>
      <c r="E1022" s="234"/>
      <c r="F1022" s="234"/>
      <c r="G1022" s="234"/>
    </row>
    <row r="1023" spans="4:7" ht="13.5" customHeight="1">
      <c r="D1023" s="234"/>
      <c r="E1023" s="234"/>
      <c r="F1023" s="234"/>
      <c r="G1023" s="234"/>
    </row>
    <row r="1024" spans="4:7" ht="13.5" customHeight="1">
      <c r="D1024" s="234"/>
      <c r="E1024" s="234"/>
      <c r="F1024" s="234"/>
      <c r="G1024" s="234"/>
    </row>
    <row r="1025" spans="4:7" ht="13.5" customHeight="1">
      <c r="D1025" s="234"/>
      <c r="E1025" s="234"/>
      <c r="F1025" s="234"/>
      <c r="G1025" s="234"/>
    </row>
    <row r="1026" spans="4:7" ht="13.5" customHeight="1">
      <c r="D1026" s="234"/>
      <c r="E1026" s="234"/>
      <c r="F1026" s="234"/>
      <c r="G1026" s="234"/>
    </row>
    <row r="1027" spans="4:7" ht="13.5" customHeight="1">
      <c r="D1027" s="234"/>
      <c r="E1027" s="234"/>
      <c r="F1027" s="234"/>
      <c r="G1027" s="234"/>
    </row>
    <row r="1028" spans="4:7" ht="13.5" customHeight="1">
      <c r="D1028" s="234"/>
      <c r="E1028" s="234"/>
      <c r="F1028" s="234"/>
      <c r="G1028" s="234"/>
    </row>
    <row r="1029" spans="4:7" ht="13.5" customHeight="1">
      <c r="D1029" s="234"/>
      <c r="E1029" s="234"/>
      <c r="F1029" s="234"/>
      <c r="G1029" s="234"/>
    </row>
    <row r="1030" spans="4:7" ht="13.5" customHeight="1">
      <c r="D1030" s="234"/>
      <c r="E1030" s="234"/>
      <c r="F1030" s="234"/>
      <c r="G1030" s="234"/>
    </row>
    <row r="1031" spans="4:7" ht="13.5" customHeight="1">
      <c r="D1031" s="234"/>
      <c r="E1031" s="234"/>
      <c r="F1031" s="234"/>
      <c r="G1031" s="234"/>
    </row>
    <row r="1032" spans="4:7" ht="13.5" customHeight="1">
      <c r="D1032" s="234"/>
      <c r="E1032" s="234"/>
      <c r="F1032" s="234"/>
      <c r="G1032" s="234"/>
    </row>
    <row r="1033" spans="4:7" ht="13.5" customHeight="1">
      <c r="D1033" s="234"/>
      <c r="E1033" s="234"/>
      <c r="F1033" s="234"/>
      <c r="G1033" s="234"/>
    </row>
    <row r="1034" spans="4:7" ht="13.5" customHeight="1">
      <c r="D1034" s="234"/>
      <c r="E1034" s="234"/>
      <c r="F1034" s="234"/>
      <c r="G1034" s="234"/>
    </row>
    <row r="1035" spans="4:7" ht="13.5" customHeight="1">
      <c r="D1035" s="234"/>
      <c r="E1035" s="234"/>
      <c r="F1035" s="234"/>
      <c r="G1035" s="234"/>
    </row>
    <row r="1036" spans="4:7" ht="13.5" customHeight="1">
      <c r="D1036" s="234"/>
      <c r="E1036" s="234"/>
      <c r="F1036" s="234"/>
      <c r="G1036" s="234"/>
    </row>
    <row r="1037" spans="4:7" ht="13.5" customHeight="1">
      <c r="D1037" s="234"/>
      <c r="E1037" s="234"/>
      <c r="F1037" s="234"/>
      <c r="G1037" s="234"/>
    </row>
    <row r="1038" spans="4:7" ht="13.5" customHeight="1">
      <c r="D1038" s="234"/>
      <c r="E1038" s="234"/>
      <c r="F1038" s="234"/>
      <c r="G1038" s="234"/>
    </row>
    <row r="1039" spans="4:7" ht="13.5" customHeight="1">
      <c r="D1039" s="234"/>
      <c r="E1039" s="234"/>
      <c r="F1039" s="234"/>
      <c r="G1039" s="234"/>
    </row>
    <row r="1040" spans="4:7" ht="13.5" customHeight="1">
      <c r="D1040" s="234"/>
      <c r="E1040" s="234"/>
      <c r="F1040" s="234"/>
      <c r="G1040" s="234"/>
    </row>
    <row r="1041" spans="4:7" ht="13.5" customHeight="1">
      <c r="D1041" s="234"/>
      <c r="E1041" s="234"/>
      <c r="F1041" s="234"/>
      <c r="G1041" s="234"/>
    </row>
    <row r="1042" spans="4:7" ht="13.5" customHeight="1">
      <c r="D1042" s="234"/>
      <c r="E1042" s="234"/>
      <c r="F1042" s="234"/>
      <c r="G1042" s="234"/>
    </row>
    <row r="1043" spans="4:7" ht="13.5" customHeight="1">
      <c r="D1043" s="234"/>
      <c r="E1043" s="234"/>
      <c r="F1043" s="234"/>
      <c r="G1043" s="234"/>
    </row>
    <row r="1044" spans="4:7" ht="13.5" customHeight="1">
      <c r="D1044" s="234"/>
      <c r="E1044" s="234"/>
      <c r="F1044" s="234"/>
      <c r="G1044" s="234"/>
    </row>
    <row r="1045" spans="4:7" ht="13.5" customHeight="1">
      <c r="D1045" s="234"/>
      <c r="E1045" s="234"/>
      <c r="F1045" s="234"/>
      <c r="G1045" s="234"/>
    </row>
    <row r="1046" spans="4:7" ht="13.5" customHeight="1">
      <c r="D1046" s="234"/>
      <c r="E1046" s="234"/>
      <c r="F1046" s="234"/>
      <c r="G1046" s="234"/>
    </row>
    <row r="1047" spans="4:7" ht="13.5" customHeight="1">
      <c r="D1047" s="234"/>
      <c r="E1047" s="234"/>
      <c r="F1047" s="234"/>
      <c r="G1047" s="234"/>
    </row>
    <row r="1048" spans="4:7" ht="13.5" customHeight="1">
      <c r="D1048" s="234"/>
      <c r="E1048" s="234"/>
      <c r="F1048" s="234"/>
      <c r="G1048" s="234"/>
    </row>
    <row r="1049" spans="4:7" ht="13.5" customHeight="1">
      <c r="D1049" s="234"/>
      <c r="E1049" s="234"/>
      <c r="F1049" s="234"/>
      <c r="G1049" s="234"/>
    </row>
    <row r="1050" spans="4:7" ht="13.5" customHeight="1">
      <c r="D1050" s="234"/>
      <c r="E1050" s="234"/>
      <c r="F1050" s="234"/>
      <c r="G1050" s="234"/>
    </row>
    <row r="1051" spans="4:7" ht="13.5" customHeight="1">
      <c r="D1051" s="234"/>
      <c r="E1051" s="234"/>
      <c r="F1051" s="234"/>
      <c r="G1051" s="234"/>
    </row>
    <row r="1052" spans="4:7" ht="13.5" customHeight="1">
      <c r="D1052" s="234"/>
      <c r="E1052" s="234"/>
      <c r="F1052" s="234"/>
      <c r="G1052" s="234"/>
    </row>
    <row r="1053" spans="4:7" ht="13.5" customHeight="1">
      <c r="D1053" s="234"/>
      <c r="E1053" s="234"/>
      <c r="F1053" s="234"/>
      <c r="G1053" s="234"/>
    </row>
    <row r="1054" spans="4:7" ht="13.5" customHeight="1">
      <c r="D1054" s="234"/>
      <c r="E1054" s="234"/>
      <c r="F1054" s="234"/>
      <c r="G1054" s="234"/>
    </row>
    <row r="1055" spans="4:7" ht="13.5" customHeight="1">
      <c r="D1055" s="234"/>
      <c r="E1055" s="234"/>
      <c r="F1055" s="234"/>
      <c r="G1055" s="234"/>
    </row>
    <row r="1056" spans="4:7" ht="13.5" customHeight="1">
      <c r="D1056" s="234"/>
      <c r="E1056" s="234"/>
      <c r="F1056" s="234"/>
      <c r="G1056" s="234"/>
    </row>
    <row r="1057" spans="4:7" ht="13.5" customHeight="1">
      <c r="D1057" s="234"/>
      <c r="E1057" s="234"/>
      <c r="F1057" s="234"/>
      <c r="G1057" s="234"/>
    </row>
    <row r="1058" spans="4:7" ht="13.5" customHeight="1">
      <c r="D1058" s="234"/>
      <c r="E1058" s="234"/>
      <c r="F1058" s="234"/>
      <c r="G1058" s="234"/>
    </row>
    <row r="1059" spans="4:7" ht="13.5" customHeight="1">
      <c r="D1059" s="234"/>
      <c r="E1059" s="234"/>
      <c r="F1059" s="234"/>
      <c r="G1059" s="234"/>
    </row>
    <row r="1060" spans="4:7" ht="13.5" customHeight="1">
      <c r="D1060" s="234"/>
      <c r="E1060" s="234"/>
      <c r="F1060" s="234"/>
      <c r="G1060" s="234"/>
    </row>
    <row r="1061" spans="4:7" ht="13.5" customHeight="1">
      <c r="D1061" s="234"/>
      <c r="E1061" s="234"/>
      <c r="F1061" s="234"/>
      <c r="G1061" s="234"/>
    </row>
    <row r="1062" spans="4:7" ht="13.5" customHeight="1">
      <c r="D1062" s="234"/>
      <c r="E1062" s="234"/>
      <c r="F1062" s="234"/>
      <c r="G1062" s="234"/>
    </row>
    <row r="1063" spans="4:7" ht="13.5" customHeight="1">
      <c r="D1063" s="234"/>
      <c r="E1063" s="234"/>
      <c r="F1063" s="234"/>
      <c r="G1063" s="234"/>
    </row>
    <row r="1064" spans="4:7" ht="13.5" customHeight="1">
      <c r="D1064" s="234"/>
      <c r="E1064" s="234"/>
      <c r="F1064" s="234"/>
      <c r="G1064" s="234"/>
    </row>
    <row r="1065" spans="4:7" ht="13.5" customHeight="1">
      <c r="D1065" s="234"/>
      <c r="E1065" s="234"/>
      <c r="F1065" s="234"/>
      <c r="G1065" s="234"/>
    </row>
    <row r="1066" spans="4:7" ht="13.5" customHeight="1">
      <c r="D1066" s="234"/>
      <c r="E1066" s="234"/>
      <c r="F1066" s="234"/>
      <c r="G1066" s="234"/>
    </row>
    <row r="1067" spans="4:7" ht="13.5" customHeight="1">
      <c r="D1067" s="234"/>
      <c r="E1067" s="234"/>
      <c r="F1067" s="234"/>
      <c r="G1067" s="234"/>
    </row>
    <row r="1068" spans="4:7" ht="13.5" customHeight="1">
      <c r="D1068" s="234"/>
      <c r="E1068" s="234"/>
      <c r="F1068" s="234"/>
      <c r="G1068" s="234"/>
    </row>
    <row r="1069" spans="4:7" ht="13.5" customHeight="1">
      <c r="D1069" s="234"/>
      <c r="E1069" s="234"/>
      <c r="F1069" s="234"/>
      <c r="G1069" s="234"/>
    </row>
    <row r="1070" spans="4:7" ht="13.5" customHeight="1">
      <c r="D1070" s="234"/>
      <c r="E1070" s="234"/>
      <c r="F1070" s="234"/>
      <c r="G1070" s="234"/>
    </row>
    <row r="1071" spans="4:7" ht="13.5" customHeight="1">
      <c r="D1071" s="234"/>
      <c r="E1071" s="234"/>
      <c r="F1071" s="234"/>
      <c r="G1071" s="234"/>
    </row>
    <row r="1072" spans="4:7" ht="13.5" customHeight="1">
      <c r="D1072" s="234"/>
      <c r="E1072" s="234"/>
      <c r="F1072" s="234"/>
      <c r="G1072" s="234"/>
    </row>
    <row r="1073" spans="4:7" ht="13.5" customHeight="1">
      <c r="D1073" s="234"/>
      <c r="E1073" s="234"/>
      <c r="F1073" s="234"/>
      <c r="G1073" s="234"/>
    </row>
    <row r="1074" spans="4:7" ht="13.5" customHeight="1">
      <c r="D1074" s="234"/>
      <c r="E1074" s="234"/>
      <c r="F1074" s="234"/>
      <c r="G1074" s="234"/>
    </row>
    <row r="1075" spans="4:7" ht="13.5" customHeight="1">
      <c r="D1075" s="234"/>
      <c r="E1075" s="234"/>
      <c r="F1075" s="234"/>
      <c r="G1075" s="234"/>
    </row>
    <row r="1076" spans="4:7" ht="13.5" customHeight="1">
      <c r="D1076" s="234"/>
      <c r="E1076" s="234"/>
      <c r="F1076" s="234"/>
      <c r="G1076" s="234"/>
    </row>
    <row r="1077" spans="4:7" ht="13.5" customHeight="1">
      <c r="D1077" s="234"/>
      <c r="E1077" s="234"/>
      <c r="F1077" s="234"/>
      <c r="G1077" s="234"/>
    </row>
    <row r="1078" spans="4:7" ht="13.5" customHeight="1">
      <c r="D1078" s="234"/>
      <c r="E1078" s="234"/>
      <c r="F1078" s="234"/>
      <c r="G1078" s="234"/>
    </row>
    <row r="1079" spans="4:7" ht="13.5" customHeight="1">
      <c r="D1079" s="234"/>
      <c r="E1079" s="234"/>
      <c r="F1079" s="234"/>
      <c r="G1079" s="234"/>
    </row>
    <row r="1080" spans="4:7" ht="13.5" customHeight="1">
      <c r="D1080" s="234"/>
      <c r="E1080" s="234"/>
      <c r="F1080" s="234"/>
      <c r="G1080" s="234"/>
    </row>
    <row r="1081" spans="4:7" ht="13.5" customHeight="1">
      <c r="D1081" s="234"/>
      <c r="E1081" s="234"/>
      <c r="F1081" s="234"/>
      <c r="G1081" s="234"/>
    </row>
    <row r="1082" spans="4:7" ht="13.5" customHeight="1">
      <c r="D1082" s="234"/>
      <c r="E1082" s="234"/>
      <c r="F1082" s="234"/>
      <c r="G1082" s="234"/>
    </row>
    <row r="1083" spans="4:7" ht="13.5" customHeight="1">
      <c r="D1083" s="234"/>
      <c r="E1083" s="234"/>
      <c r="F1083" s="234"/>
      <c r="G1083" s="234"/>
    </row>
    <row r="1084" spans="4:7" ht="13.5" customHeight="1">
      <c r="D1084" s="234"/>
      <c r="E1084" s="234"/>
      <c r="F1084" s="234"/>
      <c r="G1084" s="234"/>
    </row>
    <row r="1085" spans="4:7" ht="13.5" customHeight="1">
      <c r="D1085" s="234"/>
      <c r="E1085" s="234"/>
      <c r="F1085" s="234"/>
      <c r="G1085" s="234"/>
    </row>
    <row r="1086" spans="4:7" ht="13.5" customHeight="1">
      <c r="D1086" s="234"/>
      <c r="E1086" s="234"/>
      <c r="F1086" s="234"/>
      <c r="G1086" s="234"/>
    </row>
    <row r="1087" spans="4:7" ht="13.5" customHeight="1">
      <c r="D1087" s="234"/>
      <c r="E1087" s="234"/>
      <c r="F1087" s="234"/>
      <c r="G1087" s="234"/>
    </row>
    <row r="1088" spans="4:7" ht="13.5" customHeight="1">
      <c r="D1088" s="234"/>
      <c r="E1088" s="234"/>
      <c r="F1088" s="234"/>
      <c r="G1088" s="234"/>
    </row>
    <row r="1089" spans="4:7" ht="13.5" customHeight="1">
      <c r="D1089" s="234"/>
      <c r="E1089" s="234"/>
      <c r="F1089" s="234"/>
      <c r="G1089" s="234"/>
    </row>
    <row r="1090" spans="4:7" ht="13.5" customHeight="1">
      <c r="D1090" s="234"/>
      <c r="E1090" s="234"/>
      <c r="F1090" s="234"/>
      <c r="G1090" s="234"/>
    </row>
    <row r="1091" spans="4:7" ht="13.5" customHeight="1">
      <c r="D1091" s="234"/>
      <c r="E1091" s="234"/>
      <c r="F1091" s="234"/>
      <c r="G1091" s="234"/>
    </row>
    <row r="1092" spans="4:7" ht="13.5" customHeight="1">
      <c r="D1092" s="234"/>
      <c r="E1092" s="234"/>
      <c r="F1092" s="234"/>
      <c r="G1092" s="234"/>
    </row>
    <row r="1093" spans="4:7" ht="13.5" customHeight="1">
      <c r="D1093" s="234"/>
      <c r="E1093" s="234"/>
      <c r="F1093" s="234"/>
      <c r="G1093" s="234"/>
    </row>
    <row r="1094" spans="4:7" ht="13.5" customHeight="1">
      <c r="D1094" s="234"/>
      <c r="E1094" s="234"/>
      <c r="F1094" s="234"/>
      <c r="G1094" s="234"/>
    </row>
    <row r="1095" spans="4:7" ht="13.5" customHeight="1">
      <c r="D1095" s="234"/>
      <c r="E1095" s="234"/>
      <c r="F1095" s="234"/>
      <c r="G1095" s="234"/>
    </row>
    <row r="1096" spans="4:7" ht="13.5" customHeight="1">
      <c r="D1096" s="234"/>
      <c r="E1096" s="234"/>
      <c r="F1096" s="234"/>
      <c r="G1096" s="234"/>
    </row>
    <row r="1097" spans="4:7" ht="13.5" customHeight="1">
      <c r="D1097" s="234"/>
      <c r="E1097" s="234"/>
      <c r="F1097" s="234"/>
      <c r="G1097" s="234"/>
    </row>
    <row r="1098" spans="4:7" ht="13.5" customHeight="1">
      <c r="D1098" s="234"/>
      <c r="E1098" s="234"/>
      <c r="F1098" s="234"/>
      <c r="G1098" s="234"/>
    </row>
  </sheetData>
  <mergeCells count="1">
    <mergeCell ref="A1:I1"/>
  </mergeCells>
  <pageMargins left="0.70866141732283472" right="0.70866141732283472" top="0.74803149606299213" bottom="0.74803149606299213" header="0" footer="0"/>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EE714-AA93-405D-82C5-5514F9861613}">
  <dimension ref="A1:V983"/>
  <sheetViews>
    <sheetView zoomScaleNormal="100" workbookViewId="0">
      <pane xSplit="2" ySplit="2" topLeftCell="C3" activePane="bottomRight" state="frozen"/>
      <selection pane="topRight" activeCell="H18" sqref="H18"/>
      <selection pane="bottomLeft" activeCell="H18" sqref="H18"/>
      <selection pane="bottomRight" activeCell="B44" sqref="B44"/>
    </sheetView>
  </sheetViews>
  <sheetFormatPr defaultColWidth="14.44140625" defaultRowHeight="15" customHeight="1"/>
  <cols>
    <col min="1" max="1" width="9.109375" style="228" customWidth="1"/>
    <col min="2" max="2" width="37.109375" style="228" customWidth="1"/>
    <col min="3" max="3" width="10.88671875" style="228" customWidth="1"/>
    <col min="4" max="4" width="11" style="228" customWidth="1"/>
    <col min="5" max="5" width="12.109375" style="228" hidden="1" customWidth="1"/>
    <col min="6" max="6" width="11.6640625" style="228" hidden="1" customWidth="1"/>
    <col min="7" max="7" width="14" style="228" customWidth="1"/>
    <col min="8" max="8" width="10.6640625" style="228" customWidth="1"/>
    <col min="9" max="9" width="12.44140625" style="228" bestFit="1" customWidth="1"/>
    <col min="10" max="10" width="9.109375" style="228" customWidth="1"/>
    <col min="11" max="11" width="10.33203125" style="228" bestFit="1" customWidth="1"/>
    <col min="12" max="22" width="9.109375" style="228" customWidth="1"/>
    <col min="23" max="16384" width="14.44140625" style="228"/>
  </cols>
  <sheetData>
    <row r="1" spans="1:22" ht="15" customHeight="1">
      <c r="A1" s="1079" t="s">
        <v>508</v>
      </c>
      <c r="B1" s="1080"/>
      <c r="C1" s="1080"/>
      <c r="D1" s="1080"/>
      <c r="E1" s="1080"/>
      <c r="F1" s="1080"/>
      <c r="G1" s="1080"/>
      <c r="H1" s="1080"/>
      <c r="I1" s="1081"/>
    </row>
    <row r="2" spans="1:22" ht="39.6">
      <c r="A2" s="237" t="s">
        <v>288</v>
      </c>
      <c r="B2" s="237" t="s">
        <v>482</v>
      </c>
      <c r="C2" s="237" t="s">
        <v>483</v>
      </c>
      <c r="D2" s="238" t="s">
        <v>484</v>
      </c>
      <c r="E2" s="238" t="s">
        <v>485</v>
      </c>
      <c r="F2" s="238" t="s">
        <v>486</v>
      </c>
      <c r="G2" s="238" t="s">
        <v>487</v>
      </c>
      <c r="H2" s="239" t="s">
        <v>91</v>
      </c>
      <c r="I2" s="239" t="s">
        <v>488</v>
      </c>
      <c r="J2" s="229"/>
      <c r="K2" s="229"/>
      <c r="L2" s="229"/>
      <c r="M2" s="229"/>
      <c r="N2" s="229"/>
      <c r="O2" s="229"/>
      <c r="P2" s="229"/>
      <c r="Q2" s="229"/>
      <c r="R2" s="229"/>
      <c r="S2" s="229"/>
      <c r="T2" s="229"/>
      <c r="U2" s="229"/>
      <c r="V2" s="229"/>
    </row>
    <row r="3" spans="1:22" ht="13.5" customHeight="1">
      <c r="A3" s="240"/>
      <c r="B3" s="241"/>
      <c r="C3" s="242"/>
      <c r="D3" s="243"/>
      <c r="E3" s="243"/>
      <c r="F3" s="243"/>
      <c r="G3" s="243"/>
      <c r="H3" s="243"/>
      <c r="I3" s="243"/>
      <c r="J3" s="229"/>
      <c r="K3" s="229"/>
      <c r="L3" s="229"/>
      <c r="M3" s="229"/>
      <c r="N3" s="229"/>
      <c r="O3" s="229"/>
      <c r="P3" s="229"/>
      <c r="Q3" s="229"/>
      <c r="R3" s="229"/>
      <c r="S3" s="229"/>
      <c r="T3" s="229"/>
      <c r="U3" s="229"/>
      <c r="V3" s="229"/>
    </row>
    <row r="4" spans="1:22" ht="13.5" customHeight="1">
      <c r="A4" s="504">
        <v>1</v>
      </c>
      <c r="B4" s="270" t="str">
        <f>'Room Conf'!D2</f>
        <v>Office 1</v>
      </c>
      <c r="C4" s="242"/>
      <c r="D4" s="243"/>
      <c r="E4" s="243"/>
      <c r="F4" s="243"/>
      <c r="G4" s="243"/>
      <c r="H4" s="243">
        <f>'Room Conf'!D40</f>
        <v>4</v>
      </c>
      <c r="I4" s="243">
        <f>+H4*F8</f>
        <v>1618.9055999999998</v>
      </c>
    </row>
    <row r="5" spans="1:22" ht="13.5" customHeight="1">
      <c r="A5" s="240">
        <v>1</v>
      </c>
      <c r="B5" s="244" t="s">
        <v>509</v>
      </c>
      <c r="C5" s="242">
        <v>1</v>
      </c>
      <c r="D5" s="243">
        <v>33.47</v>
      </c>
      <c r="E5" s="243">
        <f>D5*10.764</f>
        <v>360.27107999999998</v>
      </c>
      <c r="F5" s="243">
        <f>E5*C5</f>
        <v>360.27107999999998</v>
      </c>
      <c r="G5" s="243">
        <v>19.39</v>
      </c>
      <c r="H5" s="243"/>
      <c r="I5" s="243"/>
    </row>
    <row r="6" spans="1:22" ht="13.5" customHeight="1">
      <c r="A6" s="240">
        <v>2</v>
      </c>
      <c r="B6" s="244" t="s">
        <v>510</v>
      </c>
      <c r="C6" s="242">
        <v>1</v>
      </c>
      <c r="D6" s="243">
        <v>2.0699999999999998</v>
      </c>
      <c r="E6" s="243">
        <f>D6*10.764</f>
        <v>22.281479999999998</v>
      </c>
      <c r="F6" s="243">
        <f>E6*C6</f>
        <v>22.281479999999998</v>
      </c>
      <c r="G6" s="243">
        <v>6.04</v>
      </c>
      <c r="H6" s="243"/>
      <c r="I6" s="243"/>
    </row>
    <row r="7" spans="1:22" ht="13.5" customHeight="1">
      <c r="A7" s="240">
        <v>3</v>
      </c>
      <c r="B7" s="244" t="s">
        <v>511</v>
      </c>
      <c r="C7" s="242">
        <v>1</v>
      </c>
      <c r="D7" s="243">
        <v>2.06</v>
      </c>
      <c r="E7" s="243">
        <f>D7*10.764</f>
        <v>22.173839999999998</v>
      </c>
      <c r="F7" s="243">
        <f>E7*C7</f>
        <v>22.173839999999998</v>
      </c>
      <c r="G7" s="243">
        <v>5.82</v>
      </c>
      <c r="H7" s="243"/>
      <c r="I7" s="243"/>
    </row>
    <row r="8" spans="1:22" ht="13.5" customHeight="1">
      <c r="A8" s="245"/>
      <c r="B8" s="246" t="s">
        <v>494</v>
      </c>
      <c r="C8" s="247"/>
      <c r="D8" s="248">
        <f>SUM(D5:D7)</f>
        <v>37.6</v>
      </c>
      <c r="E8" s="248">
        <f>SUM(E5:E7)</f>
        <v>404.72639999999996</v>
      </c>
      <c r="F8" s="248">
        <f>SUM(F5:F7)</f>
        <v>404.72639999999996</v>
      </c>
      <c r="G8" s="248"/>
      <c r="H8" s="248"/>
      <c r="I8" s="248"/>
    </row>
    <row r="9" spans="1:22" ht="13.5" customHeight="1">
      <c r="A9" s="504">
        <v>2</v>
      </c>
      <c r="B9" s="270" t="str">
        <f>'Room Conf'!E2</f>
        <v>Office 2</v>
      </c>
      <c r="C9" s="242"/>
      <c r="D9" s="243"/>
      <c r="E9" s="243"/>
      <c r="F9" s="243"/>
      <c r="G9" s="243"/>
      <c r="H9" s="243">
        <f>'Room Conf'!E40</f>
        <v>4</v>
      </c>
      <c r="I9" s="243">
        <f>+H9*F13</f>
        <v>1567.6689599999997</v>
      </c>
    </row>
    <row r="10" spans="1:22" ht="13.5" customHeight="1">
      <c r="A10" s="240">
        <v>1</v>
      </c>
      <c r="B10" s="244" t="s">
        <v>509</v>
      </c>
      <c r="C10" s="242">
        <v>1</v>
      </c>
      <c r="D10" s="243">
        <v>31.85</v>
      </c>
      <c r="E10" s="243">
        <f t="shared" ref="E10:E12" si="0">D10*10.764</f>
        <v>342.83339999999998</v>
      </c>
      <c r="F10" s="243">
        <f>E10*C10</f>
        <v>342.83339999999998</v>
      </c>
      <c r="G10" s="243">
        <v>24.91</v>
      </c>
      <c r="H10" s="243"/>
      <c r="I10" s="243"/>
    </row>
    <row r="11" spans="1:22" ht="13.5" customHeight="1">
      <c r="A11" s="240">
        <v>2</v>
      </c>
      <c r="B11" s="244" t="s">
        <v>510</v>
      </c>
      <c r="C11" s="242">
        <v>1</v>
      </c>
      <c r="D11" s="243">
        <v>2.5</v>
      </c>
      <c r="E11" s="243">
        <f t="shared" si="0"/>
        <v>26.909999999999997</v>
      </c>
      <c r="F11" s="243">
        <f t="shared" ref="F11:F12" si="1">E11*C11</f>
        <v>26.909999999999997</v>
      </c>
      <c r="G11" s="243">
        <v>6.72</v>
      </c>
      <c r="H11" s="243"/>
      <c r="I11" s="243"/>
    </row>
    <row r="12" spans="1:22" ht="13.5" customHeight="1">
      <c r="A12" s="240">
        <v>3</v>
      </c>
      <c r="B12" s="244" t="s">
        <v>511</v>
      </c>
      <c r="C12" s="242">
        <v>1</v>
      </c>
      <c r="D12" s="243">
        <v>2.06</v>
      </c>
      <c r="E12" s="243">
        <f t="shared" si="0"/>
        <v>22.173839999999998</v>
      </c>
      <c r="F12" s="243">
        <f t="shared" si="1"/>
        <v>22.173839999999998</v>
      </c>
      <c r="G12" s="243">
        <v>6.12</v>
      </c>
      <c r="H12" s="243"/>
      <c r="I12" s="243"/>
    </row>
    <row r="13" spans="1:22" ht="13.5" customHeight="1">
      <c r="A13" s="245"/>
      <c r="B13" s="246" t="s">
        <v>494</v>
      </c>
      <c r="C13" s="247"/>
      <c r="D13" s="248">
        <f>SUM(D10:D12)</f>
        <v>36.410000000000004</v>
      </c>
      <c r="E13" s="248">
        <f>SUM(E10:E12)</f>
        <v>391.91723999999994</v>
      </c>
      <c r="F13" s="248">
        <f>SUM(F10:F12)</f>
        <v>391.91723999999994</v>
      </c>
      <c r="G13" s="248"/>
      <c r="H13" s="248"/>
      <c r="I13" s="248"/>
    </row>
    <row r="14" spans="1:22" ht="13.5" customHeight="1">
      <c r="A14" s="504">
        <v>3</v>
      </c>
      <c r="B14" s="270" t="str">
        <f>'Room Conf'!F2</f>
        <v>Office 3</v>
      </c>
      <c r="C14" s="242"/>
      <c r="D14" s="243"/>
      <c r="E14" s="243"/>
      <c r="F14" s="243"/>
      <c r="G14" s="243"/>
      <c r="H14" s="243">
        <f>'Room Conf'!F40</f>
        <v>4</v>
      </c>
      <c r="I14" s="243">
        <f>+H14*F18</f>
        <v>1329.5692799999999</v>
      </c>
    </row>
    <row r="15" spans="1:22" ht="13.5" customHeight="1">
      <c r="A15" s="240">
        <v>1</v>
      </c>
      <c r="B15" s="244" t="s">
        <v>509</v>
      </c>
      <c r="C15" s="242">
        <v>1</v>
      </c>
      <c r="D15" s="243">
        <v>21.86</v>
      </c>
      <c r="E15" s="243">
        <f t="shared" ref="E15:E17" si="2">D15*10.764</f>
        <v>235.30103999999997</v>
      </c>
      <c r="F15" s="243">
        <f t="shared" ref="F15:F17" si="3">E15*C15</f>
        <v>235.30103999999997</v>
      </c>
      <c r="G15" s="243">
        <v>19.09</v>
      </c>
      <c r="H15" s="243"/>
      <c r="I15" s="243"/>
    </row>
    <row r="16" spans="1:22" ht="13.5" customHeight="1">
      <c r="A16" s="240">
        <v>2</v>
      </c>
      <c r="B16" s="244" t="s">
        <v>510</v>
      </c>
      <c r="C16" s="242">
        <v>1</v>
      </c>
      <c r="D16" s="243">
        <v>6.96</v>
      </c>
      <c r="E16" s="243">
        <f t="shared" si="2"/>
        <v>74.917439999999999</v>
      </c>
      <c r="F16" s="243">
        <f t="shared" si="3"/>
        <v>74.917439999999999</v>
      </c>
      <c r="G16" s="243">
        <v>11.08</v>
      </c>
      <c r="H16" s="243"/>
      <c r="I16" s="243"/>
    </row>
    <row r="17" spans="1:9" ht="13.5" customHeight="1">
      <c r="A17" s="240">
        <v>3</v>
      </c>
      <c r="B17" s="244" t="s">
        <v>511</v>
      </c>
      <c r="C17" s="242">
        <v>1</v>
      </c>
      <c r="D17" s="243">
        <v>2.06</v>
      </c>
      <c r="E17" s="243">
        <f t="shared" si="2"/>
        <v>22.173839999999998</v>
      </c>
      <c r="F17" s="243">
        <f t="shared" si="3"/>
        <v>22.173839999999998</v>
      </c>
      <c r="G17" s="243">
        <v>14.59</v>
      </c>
      <c r="H17" s="243"/>
      <c r="I17" s="243"/>
    </row>
    <row r="18" spans="1:9" ht="13.5" customHeight="1">
      <c r="A18" s="245"/>
      <c r="B18" s="246" t="s">
        <v>494</v>
      </c>
      <c r="C18" s="247"/>
      <c r="D18" s="248">
        <f>SUM(D15:D17)</f>
        <v>30.88</v>
      </c>
      <c r="E18" s="248">
        <f>SUM(E15:E17)</f>
        <v>332.39231999999998</v>
      </c>
      <c r="F18" s="248">
        <f>SUM(F15:F17)</f>
        <v>332.39231999999998</v>
      </c>
      <c r="G18" s="248"/>
      <c r="H18" s="248"/>
      <c r="I18" s="248"/>
    </row>
    <row r="19" spans="1:9" ht="13.5" customHeight="1">
      <c r="A19" s="531">
        <v>4</v>
      </c>
      <c r="B19" s="270" t="str">
        <f>'Room Conf'!G2</f>
        <v>Office 4</v>
      </c>
      <c r="C19" s="242"/>
      <c r="D19" s="243"/>
      <c r="E19" s="243"/>
      <c r="F19" s="243"/>
      <c r="G19" s="243"/>
      <c r="H19" s="243">
        <f>'Room Conf'!G40</f>
        <v>4</v>
      </c>
      <c r="I19" s="243">
        <f>+H19*F23</f>
        <v>3686.88528</v>
      </c>
    </row>
    <row r="20" spans="1:9" ht="13.5" customHeight="1">
      <c r="A20" s="240">
        <v>1</v>
      </c>
      <c r="B20" s="244" t="s">
        <v>509</v>
      </c>
      <c r="C20" s="242">
        <v>1</v>
      </c>
      <c r="D20" s="243">
        <v>81.650000000000006</v>
      </c>
      <c r="E20" s="243">
        <f t="shared" ref="E20:E22" si="4">D20*10.764</f>
        <v>878.88059999999996</v>
      </c>
      <c r="F20" s="243">
        <f t="shared" ref="F20:F22" si="5">E20*C20</f>
        <v>878.88059999999996</v>
      </c>
      <c r="G20" s="243">
        <v>38.64</v>
      </c>
      <c r="H20" s="243"/>
      <c r="I20" s="243"/>
    </row>
    <row r="21" spans="1:9" ht="13.5" customHeight="1">
      <c r="A21" s="240">
        <v>2</v>
      </c>
      <c r="B21" s="244" t="s">
        <v>510</v>
      </c>
      <c r="C21" s="242">
        <v>1</v>
      </c>
      <c r="D21" s="243">
        <v>1.92</v>
      </c>
      <c r="E21" s="243">
        <f t="shared" si="4"/>
        <v>20.666879999999999</v>
      </c>
      <c r="F21" s="243">
        <f t="shared" si="5"/>
        <v>20.666879999999999</v>
      </c>
      <c r="G21" s="243">
        <v>5.82</v>
      </c>
      <c r="H21" s="243"/>
      <c r="I21" s="243"/>
    </row>
    <row r="22" spans="1:9" ht="13.5" customHeight="1">
      <c r="A22" s="240">
        <v>3</v>
      </c>
      <c r="B22" s="244" t="s">
        <v>511</v>
      </c>
      <c r="C22" s="242">
        <v>1</v>
      </c>
      <c r="D22" s="243">
        <v>2.06</v>
      </c>
      <c r="E22" s="243">
        <f t="shared" si="4"/>
        <v>22.173839999999998</v>
      </c>
      <c r="F22" s="243">
        <f t="shared" si="5"/>
        <v>22.173839999999998</v>
      </c>
      <c r="G22" s="243">
        <v>5.82</v>
      </c>
      <c r="H22" s="243"/>
      <c r="I22" s="243"/>
    </row>
    <row r="23" spans="1:9" ht="13.5" customHeight="1">
      <c r="A23" s="245"/>
      <c r="B23" s="246" t="s">
        <v>494</v>
      </c>
      <c r="C23" s="247"/>
      <c r="D23" s="248">
        <f>SUM(D20:D22)</f>
        <v>85.63000000000001</v>
      </c>
      <c r="E23" s="248">
        <f>SUM(E20:E22)</f>
        <v>921.72131999999999</v>
      </c>
      <c r="F23" s="248">
        <f>SUM(F20:F22)</f>
        <v>921.72131999999999</v>
      </c>
      <c r="G23" s="248"/>
      <c r="H23" s="248"/>
      <c r="I23" s="248"/>
    </row>
    <row r="24" spans="1:9" ht="13.5" customHeight="1">
      <c r="A24" s="531">
        <v>5</v>
      </c>
      <c r="B24" s="270" t="str">
        <f>'Room Conf'!H2</f>
        <v>Office 5</v>
      </c>
      <c r="C24" s="242"/>
      <c r="D24" s="243"/>
      <c r="E24" s="243"/>
      <c r="F24" s="243"/>
      <c r="G24" s="243"/>
      <c r="H24" s="243">
        <f>'Room Conf'!H40</f>
        <v>4</v>
      </c>
      <c r="I24" s="243">
        <f>+H24*F28</f>
        <v>2132.13312</v>
      </c>
    </row>
    <row r="25" spans="1:9" ht="13.5" customHeight="1">
      <c r="A25" s="240">
        <v>1</v>
      </c>
      <c r="B25" s="244" t="s">
        <v>509</v>
      </c>
      <c r="C25" s="242">
        <v>1</v>
      </c>
      <c r="D25" s="243">
        <v>45.39</v>
      </c>
      <c r="E25" s="243">
        <f t="shared" ref="E25:E27" si="6">D25*10.764</f>
        <v>488.57795999999996</v>
      </c>
      <c r="F25" s="243">
        <f t="shared" ref="F25:F27" si="7">E25*C25</f>
        <v>488.57795999999996</v>
      </c>
      <c r="G25" s="243">
        <v>30.18</v>
      </c>
      <c r="H25" s="243"/>
      <c r="I25" s="243"/>
    </row>
    <row r="26" spans="1:9" ht="13.5" customHeight="1">
      <c r="A26" s="240">
        <v>2</v>
      </c>
      <c r="B26" s="244" t="s">
        <v>510</v>
      </c>
      <c r="C26" s="242">
        <v>1</v>
      </c>
      <c r="D26" s="243">
        <v>2.0699999999999998</v>
      </c>
      <c r="E26" s="243">
        <f t="shared" si="6"/>
        <v>22.281479999999998</v>
      </c>
      <c r="F26" s="243">
        <f t="shared" si="7"/>
        <v>22.281479999999998</v>
      </c>
      <c r="G26" s="243">
        <v>6.04</v>
      </c>
      <c r="H26" s="243"/>
      <c r="I26" s="243"/>
    </row>
    <row r="27" spans="1:9" ht="13.5" customHeight="1">
      <c r="A27" s="240">
        <v>3</v>
      </c>
      <c r="B27" s="244" t="s">
        <v>511</v>
      </c>
      <c r="C27" s="242">
        <v>1</v>
      </c>
      <c r="D27" s="243">
        <v>2.06</v>
      </c>
      <c r="E27" s="243">
        <f t="shared" si="6"/>
        <v>22.173839999999998</v>
      </c>
      <c r="F27" s="243">
        <f t="shared" si="7"/>
        <v>22.173839999999998</v>
      </c>
      <c r="G27" s="243">
        <v>5.82</v>
      </c>
      <c r="H27" s="243"/>
      <c r="I27" s="243"/>
    </row>
    <row r="28" spans="1:9" ht="13.5" customHeight="1">
      <c r="A28" s="245"/>
      <c r="B28" s="246" t="s">
        <v>494</v>
      </c>
      <c r="C28" s="247"/>
      <c r="D28" s="248">
        <f>SUM(D25:D27)</f>
        <v>49.52</v>
      </c>
      <c r="E28" s="248">
        <f>SUM(E25:E27)</f>
        <v>533.03327999999999</v>
      </c>
      <c r="F28" s="248">
        <f>SUM(F25:F27)</f>
        <v>533.03327999999999</v>
      </c>
      <c r="G28" s="248"/>
      <c r="H28" s="248"/>
      <c r="I28" s="248"/>
    </row>
    <row r="29" spans="1:9" ht="13.5" customHeight="1">
      <c r="A29" s="531">
        <v>6</v>
      </c>
      <c r="B29" s="270" t="str">
        <f>'Room Conf'!I2</f>
        <v>Office 6</v>
      </c>
      <c r="C29" s="242"/>
      <c r="D29" s="243"/>
      <c r="E29" s="243"/>
      <c r="F29" s="243"/>
      <c r="G29" s="243"/>
      <c r="H29" s="243">
        <f>'Room Conf'!I40</f>
        <v>4</v>
      </c>
      <c r="I29" s="243">
        <f>+H29*F33</f>
        <v>1559.4883199999999</v>
      </c>
    </row>
    <row r="30" spans="1:9" ht="13.5" customHeight="1">
      <c r="A30" s="240">
        <v>1</v>
      </c>
      <c r="B30" s="244" t="s">
        <v>509</v>
      </c>
      <c r="C30" s="242">
        <v>1</v>
      </c>
      <c r="D30" s="243">
        <v>32.090000000000003</v>
      </c>
      <c r="E30" s="243">
        <f t="shared" ref="E30:E32" si="8">D30*10.764</f>
        <v>345.41676000000001</v>
      </c>
      <c r="F30" s="243">
        <f t="shared" ref="F30:F32" si="9">E30*C30</f>
        <v>345.41676000000001</v>
      </c>
      <c r="G30" s="243">
        <v>24.96</v>
      </c>
      <c r="H30" s="243"/>
      <c r="I30" s="243"/>
    </row>
    <row r="31" spans="1:9" ht="13.5" customHeight="1">
      <c r="A31" s="240">
        <v>2</v>
      </c>
      <c r="B31" s="244" t="s">
        <v>510</v>
      </c>
      <c r="C31" s="242">
        <v>1</v>
      </c>
      <c r="D31" s="243">
        <v>2.0699999999999998</v>
      </c>
      <c r="E31" s="243">
        <f t="shared" si="8"/>
        <v>22.281479999999998</v>
      </c>
      <c r="F31" s="243">
        <f t="shared" si="9"/>
        <v>22.281479999999998</v>
      </c>
      <c r="G31" s="243">
        <v>6.04</v>
      </c>
      <c r="H31" s="243"/>
      <c r="I31" s="243"/>
    </row>
    <row r="32" spans="1:9" ht="13.5" customHeight="1">
      <c r="A32" s="240">
        <v>3</v>
      </c>
      <c r="B32" s="244" t="s">
        <v>511</v>
      </c>
      <c r="C32" s="242">
        <v>1</v>
      </c>
      <c r="D32" s="243">
        <v>2.06</v>
      </c>
      <c r="E32" s="243">
        <f t="shared" si="8"/>
        <v>22.173839999999998</v>
      </c>
      <c r="F32" s="243">
        <f t="shared" si="9"/>
        <v>22.173839999999998</v>
      </c>
      <c r="G32" s="243">
        <v>5.82</v>
      </c>
      <c r="H32" s="243"/>
      <c r="I32" s="243"/>
    </row>
    <row r="33" spans="1:9" ht="13.5" customHeight="1">
      <c r="A33" s="245"/>
      <c r="B33" s="246" t="s">
        <v>494</v>
      </c>
      <c r="C33" s="247"/>
      <c r="D33" s="248">
        <f>SUM(D30:D32)</f>
        <v>36.220000000000006</v>
      </c>
      <c r="E33" s="248">
        <f>SUM(E30:E32)</f>
        <v>389.87207999999998</v>
      </c>
      <c r="F33" s="248">
        <f>SUM(F30:F32)</f>
        <v>389.87207999999998</v>
      </c>
      <c r="G33" s="248"/>
      <c r="H33" s="248"/>
      <c r="I33" s="248"/>
    </row>
    <row r="34" spans="1:9" ht="13.5" customHeight="1">
      <c r="A34" s="531">
        <v>7</v>
      </c>
      <c r="B34" s="270" t="str">
        <f>'Room Conf'!J2</f>
        <v>Office 7</v>
      </c>
      <c r="C34" s="242"/>
      <c r="D34" s="243"/>
      <c r="E34" s="243"/>
      <c r="F34" s="243"/>
      <c r="G34" s="243"/>
      <c r="H34" s="243">
        <f>'Room Conf'!J40</f>
        <v>4</v>
      </c>
      <c r="I34" s="243">
        <f>+H34*SUM(F35:F37)</f>
        <v>1578.4329599999999</v>
      </c>
    </row>
    <row r="35" spans="1:9" ht="13.5" customHeight="1">
      <c r="A35" s="240">
        <v>1</v>
      </c>
      <c r="B35" s="244" t="s">
        <v>509</v>
      </c>
      <c r="C35" s="242">
        <v>1</v>
      </c>
      <c r="D35" s="243">
        <f>32.53</f>
        <v>32.53</v>
      </c>
      <c r="E35" s="243">
        <f t="shared" ref="E35:E37" si="10">D35*10.764</f>
        <v>350.15291999999999</v>
      </c>
      <c r="F35" s="243">
        <f>E35*C35</f>
        <v>350.15291999999999</v>
      </c>
      <c r="G35" s="243">
        <v>24.9</v>
      </c>
      <c r="H35" s="243"/>
      <c r="I35" s="243"/>
    </row>
    <row r="36" spans="1:9" ht="13.5" customHeight="1">
      <c r="A36" s="240">
        <v>2</v>
      </c>
      <c r="B36" s="244" t="s">
        <v>510</v>
      </c>
      <c r="C36" s="242">
        <v>1</v>
      </c>
      <c r="D36" s="243">
        <v>2.0699999999999998</v>
      </c>
      <c r="E36" s="243">
        <f t="shared" si="10"/>
        <v>22.281479999999998</v>
      </c>
      <c r="F36" s="243">
        <f t="shared" ref="F36:F37" si="11">E36*C36</f>
        <v>22.281479999999998</v>
      </c>
      <c r="G36" s="243">
        <v>6.04</v>
      </c>
      <c r="H36" s="243"/>
      <c r="I36" s="243"/>
    </row>
    <row r="37" spans="1:9" ht="13.5" customHeight="1">
      <c r="A37" s="240">
        <v>3</v>
      </c>
      <c r="B37" s="244" t="s">
        <v>511</v>
      </c>
      <c r="C37" s="242">
        <v>1</v>
      </c>
      <c r="D37" s="243">
        <v>2.06</v>
      </c>
      <c r="E37" s="243">
        <f t="shared" si="10"/>
        <v>22.173839999999998</v>
      </c>
      <c r="F37" s="243">
        <f t="shared" si="11"/>
        <v>22.173839999999998</v>
      </c>
      <c r="G37" s="243">
        <v>5.82</v>
      </c>
      <c r="H37" s="243"/>
      <c r="I37" s="243"/>
    </row>
    <row r="38" spans="1:9" ht="13.5" customHeight="1">
      <c r="A38" s="245"/>
      <c r="B38" s="246" t="s">
        <v>494</v>
      </c>
      <c r="C38" s="247"/>
      <c r="D38" s="248">
        <f>SUM(D35:D37)</f>
        <v>36.660000000000004</v>
      </c>
      <c r="E38" s="248">
        <f>SUM(E35:E37)</f>
        <v>394.60823999999997</v>
      </c>
      <c r="F38" s="248">
        <f>SUM(F34:F37)</f>
        <v>394.60823999999997</v>
      </c>
      <c r="G38" s="248"/>
      <c r="H38" s="248"/>
      <c r="I38" s="248"/>
    </row>
    <row r="39" spans="1:9" ht="13.5" customHeight="1">
      <c r="A39" s="531">
        <v>8</v>
      </c>
      <c r="B39" s="270" t="str">
        <f>'Room Conf'!K2</f>
        <v>Office 8</v>
      </c>
      <c r="C39" s="242"/>
      <c r="D39" s="243"/>
      <c r="E39" s="243"/>
      <c r="F39" s="243"/>
      <c r="G39" s="243"/>
      <c r="H39" s="243">
        <f>'Room Conf'!K40</f>
        <v>4</v>
      </c>
      <c r="I39" s="243">
        <f>+H39*SUM(F40:F42)</f>
        <v>1618.9055999999998</v>
      </c>
    </row>
    <row r="40" spans="1:9" ht="13.5" customHeight="1">
      <c r="A40" s="240">
        <v>1</v>
      </c>
      <c r="B40" s="244" t="s">
        <v>509</v>
      </c>
      <c r="C40" s="242">
        <v>1</v>
      </c>
      <c r="D40" s="243">
        <v>33.47</v>
      </c>
      <c r="E40" s="243">
        <f>D40*10.764</f>
        <v>360.27107999999998</v>
      </c>
      <c r="F40" s="243">
        <f>E40*C40</f>
        <v>360.27107999999998</v>
      </c>
      <c r="G40" s="243">
        <v>25.54</v>
      </c>
      <c r="H40" s="243"/>
      <c r="I40" s="248"/>
    </row>
    <row r="41" spans="1:9" ht="13.5" customHeight="1">
      <c r="A41" s="240">
        <v>2</v>
      </c>
      <c r="B41" s="244" t="s">
        <v>510</v>
      </c>
      <c r="C41" s="242">
        <v>1</v>
      </c>
      <c r="D41" s="243">
        <v>2.0699999999999998</v>
      </c>
      <c r="E41" s="243">
        <f>D41*10.764</f>
        <v>22.281479999999998</v>
      </c>
      <c r="F41" s="243">
        <f t="shared" ref="F41:F42" si="12">E41*C41</f>
        <v>22.281479999999998</v>
      </c>
      <c r="G41" s="243">
        <v>6.04</v>
      </c>
      <c r="H41" s="243"/>
      <c r="I41" s="248"/>
    </row>
    <row r="42" spans="1:9" ht="13.5" customHeight="1">
      <c r="A42" s="240">
        <v>3</v>
      </c>
      <c r="B42" s="244" t="s">
        <v>511</v>
      </c>
      <c r="C42" s="242">
        <v>1</v>
      </c>
      <c r="D42" s="243">
        <v>2.06</v>
      </c>
      <c r="E42" s="243">
        <f t="shared" ref="E42" si="13">D42*10.764</f>
        <v>22.173839999999998</v>
      </c>
      <c r="F42" s="243">
        <f t="shared" si="12"/>
        <v>22.173839999999998</v>
      </c>
      <c r="G42" s="243">
        <v>5.82</v>
      </c>
      <c r="H42" s="243"/>
      <c r="I42" s="248"/>
    </row>
    <row r="43" spans="1:9" ht="13.5" customHeight="1">
      <c r="A43" s="245"/>
      <c r="B43" s="246" t="s">
        <v>494</v>
      </c>
      <c r="C43" s="247"/>
      <c r="D43" s="248">
        <f>SUM(D40:D42)</f>
        <v>37.6</v>
      </c>
      <c r="E43" s="248">
        <f>SUM(E40:E42)</f>
        <v>404.72639999999996</v>
      </c>
      <c r="F43" s="248">
        <f>SUM(F40:F42)</f>
        <v>404.72639999999996</v>
      </c>
      <c r="G43" s="248"/>
      <c r="H43" s="243"/>
      <c r="I43" s="248"/>
    </row>
    <row r="44" spans="1:9" ht="13.5" customHeight="1">
      <c r="A44" s="531">
        <v>9</v>
      </c>
      <c r="B44" s="270" t="s">
        <v>512</v>
      </c>
      <c r="C44" s="247"/>
      <c r="D44" s="248"/>
      <c r="E44" s="248"/>
      <c r="F44" s="248"/>
      <c r="G44" s="248"/>
      <c r="H44" s="243"/>
      <c r="I44" s="243"/>
    </row>
    <row r="45" spans="1:9" ht="13.5" customHeight="1">
      <c r="A45" s="240">
        <v>1</v>
      </c>
      <c r="B45" s="244" t="s">
        <v>513</v>
      </c>
      <c r="C45" s="242">
        <v>4</v>
      </c>
      <c r="D45" s="243">
        <v>13.58</v>
      </c>
      <c r="E45" s="243">
        <f t="shared" ref="E45:E47" si="14">D45*10.764</f>
        <v>146.17511999999999</v>
      </c>
      <c r="F45" s="243">
        <f t="shared" ref="F45:F47" si="15">E45*C45</f>
        <v>584.70047999999997</v>
      </c>
      <c r="G45" s="243">
        <v>18.239999999999998</v>
      </c>
      <c r="H45" s="243">
        <v>4</v>
      </c>
      <c r="I45" s="248">
        <f>F45*H45</f>
        <v>2338.8019199999999</v>
      </c>
    </row>
    <row r="46" spans="1:9" ht="13.5" customHeight="1">
      <c r="A46" s="240">
        <v>2</v>
      </c>
      <c r="B46" s="244" t="s">
        <v>504</v>
      </c>
      <c r="C46" s="242">
        <v>4</v>
      </c>
      <c r="D46" s="243">
        <v>3.62</v>
      </c>
      <c r="E46" s="243">
        <f t="shared" si="14"/>
        <v>38.965679999999999</v>
      </c>
      <c r="F46" s="243">
        <f t="shared" si="15"/>
        <v>155.86272</v>
      </c>
      <c r="G46" s="243">
        <v>7.63</v>
      </c>
      <c r="H46" s="243">
        <v>4</v>
      </c>
      <c r="I46" s="248">
        <f>F46*H46</f>
        <v>623.45087999999998</v>
      </c>
    </row>
    <row r="47" spans="1:9" ht="13.5" customHeight="1">
      <c r="A47" s="240">
        <v>3</v>
      </c>
      <c r="B47" s="244" t="s">
        <v>476</v>
      </c>
      <c r="C47" s="242">
        <v>4</v>
      </c>
      <c r="D47" s="243">
        <v>13.81</v>
      </c>
      <c r="E47" s="243">
        <f t="shared" si="14"/>
        <v>148.65083999999999</v>
      </c>
      <c r="F47" s="243">
        <f t="shared" si="15"/>
        <v>594.60335999999995</v>
      </c>
      <c r="G47" s="243">
        <v>14.9</v>
      </c>
      <c r="H47" s="243">
        <v>4</v>
      </c>
      <c r="I47" s="248">
        <f>F47*H47</f>
        <v>2378.4134399999998</v>
      </c>
    </row>
    <row r="48" spans="1:9" ht="13.5" customHeight="1">
      <c r="A48" s="249"/>
      <c r="B48" s="250" t="s">
        <v>232</v>
      </c>
      <c r="C48" s="242"/>
      <c r="D48" s="243"/>
      <c r="E48" s="251"/>
      <c r="F48" s="248"/>
      <c r="G48" s="248"/>
      <c r="H48" s="243"/>
      <c r="I48" s="252">
        <f>SUM(I4:I47)</f>
        <v>20432.655360000001</v>
      </c>
    </row>
    <row r="49" spans="2:9" ht="13.5" customHeight="1">
      <c r="B49" s="233"/>
      <c r="C49" s="235"/>
      <c r="D49" s="232"/>
      <c r="E49" s="230"/>
      <c r="F49" s="230"/>
      <c r="G49" s="230"/>
      <c r="I49" s="236"/>
    </row>
    <row r="50" spans="2:9" ht="13.5" customHeight="1">
      <c r="B50" s="233"/>
      <c r="C50" s="235"/>
      <c r="D50" s="232"/>
      <c r="E50" s="230"/>
      <c r="F50" s="230"/>
      <c r="G50" s="230"/>
      <c r="I50" s="231"/>
    </row>
    <row r="51" spans="2:9" ht="13.5" customHeight="1">
      <c r="B51" s="233"/>
      <c r="C51" s="235"/>
      <c r="D51" s="232"/>
      <c r="E51" s="230"/>
      <c r="F51" s="230"/>
      <c r="G51" s="230"/>
    </row>
    <row r="52" spans="2:9" ht="13.5" customHeight="1">
      <c r="D52" s="234"/>
      <c r="E52" s="234"/>
      <c r="F52" s="234"/>
      <c r="G52" s="234"/>
    </row>
    <row r="53" spans="2:9" ht="13.5" customHeight="1">
      <c r="D53" s="234"/>
      <c r="E53" s="234"/>
      <c r="F53" s="234"/>
      <c r="G53" s="234"/>
    </row>
    <row r="54" spans="2:9" ht="13.5" customHeight="1">
      <c r="D54" s="234"/>
      <c r="E54" s="234"/>
      <c r="F54" s="234"/>
      <c r="G54" s="234"/>
    </row>
    <row r="55" spans="2:9" ht="13.5" customHeight="1">
      <c r="D55" s="234"/>
      <c r="E55" s="234"/>
      <c r="F55" s="234"/>
      <c r="G55" s="234"/>
    </row>
    <row r="56" spans="2:9" ht="13.5" customHeight="1">
      <c r="D56" s="234"/>
      <c r="E56" s="234"/>
      <c r="F56" s="234"/>
      <c r="G56" s="234"/>
    </row>
    <row r="57" spans="2:9" ht="13.5" customHeight="1">
      <c r="D57" s="234"/>
      <c r="E57" s="234"/>
      <c r="F57" s="234"/>
      <c r="G57" s="234"/>
    </row>
    <row r="58" spans="2:9" ht="13.5" customHeight="1">
      <c r="D58" s="234"/>
      <c r="E58" s="234"/>
      <c r="F58" s="234"/>
      <c r="G58" s="234"/>
    </row>
    <row r="59" spans="2:9" ht="13.5" customHeight="1">
      <c r="D59" s="234"/>
      <c r="E59" s="234"/>
      <c r="F59" s="234"/>
      <c r="G59" s="234"/>
    </row>
    <row r="60" spans="2:9" ht="13.5" customHeight="1">
      <c r="D60" s="234"/>
      <c r="E60" s="234"/>
      <c r="F60" s="234"/>
      <c r="G60" s="234"/>
    </row>
    <row r="61" spans="2:9" ht="13.5" customHeight="1">
      <c r="D61" s="234"/>
      <c r="E61" s="234"/>
      <c r="F61" s="234"/>
      <c r="G61" s="234"/>
    </row>
    <row r="62" spans="2:9" ht="13.5" customHeight="1">
      <c r="D62" s="234"/>
      <c r="E62" s="234"/>
      <c r="F62" s="234"/>
      <c r="G62" s="234"/>
    </row>
    <row r="63" spans="2:9" ht="13.5" customHeight="1">
      <c r="D63" s="234"/>
      <c r="E63" s="234"/>
      <c r="F63" s="234"/>
      <c r="G63" s="234"/>
    </row>
    <row r="64" spans="2:9" ht="13.5" customHeight="1">
      <c r="D64" s="234"/>
      <c r="E64" s="234"/>
      <c r="F64" s="234"/>
      <c r="G64" s="234"/>
    </row>
    <row r="65" spans="4:7" ht="13.5" customHeight="1">
      <c r="D65" s="234"/>
      <c r="E65" s="234"/>
      <c r="F65" s="234"/>
      <c r="G65" s="234"/>
    </row>
    <row r="66" spans="4:7" ht="13.5" customHeight="1">
      <c r="D66" s="234"/>
      <c r="E66" s="234"/>
      <c r="F66" s="234"/>
      <c r="G66" s="234"/>
    </row>
    <row r="67" spans="4:7" ht="13.5" customHeight="1">
      <c r="D67" s="234"/>
      <c r="E67" s="234"/>
      <c r="F67" s="234"/>
      <c r="G67" s="234"/>
    </row>
    <row r="68" spans="4:7" ht="13.5" customHeight="1">
      <c r="D68" s="234"/>
      <c r="E68" s="234"/>
      <c r="F68" s="234"/>
      <c r="G68" s="234"/>
    </row>
    <row r="69" spans="4:7" ht="13.5" customHeight="1">
      <c r="D69" s="234"/>
      <c r="E69" s="234"/>
      <c r="F69" s="234"/>
      <c r="G69" s="234"/>
    </row>
    <row r="70" spans="4:7" ht="13.5" customHeight="1">
      <c r="D70" s="234"/>
      <c r="E70" s="234"/>
      <c r="F70" s="234"/>
      <c r="G70" s="234"/>
    </row>
    <row r="71" spans="4:7" ht="13.5" customHeight="1">
      <c r="D71" s="234"/>
      <c r="E71" s="234"/>
      <c r="F71" s="234"/>
      <c r="G71" s="234"/>
    </row>
    <row r="72" spans="4:7" ht="13.5" customHeight="1">
      <c r="D72" s="234"/>
      <c r="E72" s="234"/>
      <c r="F72" s="234"/>
      <c r="G72" s="234"/>
    </row>
    <row r="73" spans="4:7" ht="13.5" customHeight="1">
      <c r="D73" s="234"/>
      <c r="E73" s="234"/>
      <c r="F73" s="234"/>
      <c r="G73" s="234"/>
    </row>
    <row r="74" spans="4:7" ht="13.5" customHeight="1">
      <c r="D74" s="234"/>
      <c r="E74" s="234"/>
      <c r="F74" s="234"/>
      <c r="G74" s="234"/>
    </row>
    <row r="75" spans="4:7" ht="13.5" customHeight="1">
      <c r="D75" s="234"/>
      <c r="E75" s="234"/>
      <c r="F75" s="234"/>
      <c r="G75" s="234"/>
    </row>
    <row r="76" spans="4:7" ht="13.5" customHeight="1">
      <c r="D76" s="234"/>
      <c r="E76" s="234"/>
      <c r="F76" s="234"/>
      <c r="G76" s="234"/>
    </row>
    <row r="77" spans="4:7" ht="13.5" customHeight="1">
      <c r="D77" s="234"/>
      <c r="E77" s="234"/>
      <c r="F77" s="234"/>
      <c r="G77" s="234"/>
    </row>
    <row r="78" spans="4:7" ht="13.5" customHeight="1">
      <c r="D78" s="234"/>
      <c r="E78" s="234"/>
      <c r="F78" s="234"/>
      <c r="G78" s="234"/>
    </row>
    <row r="79" spans="4:7" ht="13.5" customHeight="1">
      <c r="D79" s="234"/>
      <c r="E79" s="234"/>
      <c r="F79" s="234"/>
      <c r="G79" s="234"/>
    </row>
    <row r="80" spans="4:7" ht="13.5" customHeight="1">
      <c r="D80" s="234"/>
      <c r="E80" s="234"/>
      <c r="F80" s="234"/>
      <c r="G80" s="234"/>
    </row>
    <row r="81" spans="4:7" ht="13.5" customHeight="1">
      <c r="D81" s="234"/>
      <c r="E81" s="234"/>
      <c r="F81" s="234"/>
      <c r="G81" s="234"/>
    </row>
    <row r="82" spans="4:7" ht="13.5" customHeight="1">
      <c r="D82" s="234"/>
      <c r="E82" s="234"/>
      <c r="F82" s="234"/>
      <c r="G82" s="234"/>
    </row>
    <row r="83" spans="4:7" ht="13.5" customHeight="1">
      <c r="D83" s="234"/>
      <c r="E83" s="234"/>
      <c r="F83" s="234"/>
      <c r="G83" s="234"/>
    </row>
    <row r="84" spans="4:7" ht="13.5" customHeight="1">
      <c r="D84" s="234"/>
      <c r="E84" s="234"/>
      <c r="F84" s="234"/>
      <c r="G84" s="234"/>
    </row>
    <row r="85" spans="4:7" ht="13.5" customHeight="1">
      <c r="D85" s="234"/>
      <c r="E85" s="234"/>
      <c r="F85" s="234"/>
      <c r="G85" s="234"/>
    </row>
    <row r="86" spans="4:7" ht="13.5" customHeight="1">
      <c r="D86" s="234"/>
      <c r="E86" s="234"/>
      <c r="F86" s="234"/>
      <c r="G86" s="234"/>
    </row>
    <row r="87" spans="4:7" ht="13.5" customHeight="1">
      <c r="D87" s="234"/>
      <c r="E87" s="234"/>
      <c r="F87" s="234"/>
      <c r="G87" s="234"/>
    </row>
    <row r="88" spans="4:7" ht="13.5" customHeight="1">
      <c r="D88" s="234"/>
      <c r="E88" s="234"/>
      <c r="F88" s="234"/>
      <c r="G88" s="234"/>
    </row>
    <row r="89" spans="4:7" ht="13.5" customHeight="1">
      <c r="D89" s="234"/>
      <c r="E89" s="234"/>
      <c r="F89" s="234"/>
      <c r="G89" s="234"/>
    </row>
    <row r="90" spans="4:7" ht="13.5" customHeight="1">
      <c r="D90" s="234"/>
      <c r="E90" s="234"/>
      <c r="F90" s="234"/>
      <c r="G90" s="234"/>
    </row>
    <row r="91" spans="4:7" ht="13.5" customHeight="1">
      <c r="D91" s="234"/>
      <c r="E91" s="234"/>
      <c r="F91" s="234"/>
      <c r="G91" s="234"/>
    </row>
    <row r="92" spans="4:7" ht="13.5" customHeight="1">
      <c r="D92" s="234"/>
      <c r="E92" s="234"/>
      <c r="F92" s="234"/>
      <c r="G92" s="234"/>
    </row>
    <row r="93" spans="4:7" ht="13.5" customHeight="1">
      <c r="D93" s="234"/>
      <c r="E93" s="234"/>
      <c r="F93" s="234"/>
      <c r="G93" s="234"/>
    </row>
    <row r="94" spans="4:7" ht="13.5" customHeight="1">
      <c r="D94" s="234"/>
      <c r="E94" s="234"/>
      <c r="F94" s="234"/>
      <c r="G94" s="234"/>
    </row>
    <row r="95" spans="4:7" ht="13.5" customHeight="1">
      <c r="D95" s="234"/>
      <c r="E95" s="234"/>
      <c r="F95" s="234"/>
      <c r="G95" s="234"/>
    </row>
    <row r="96" spans="4:7" ht="13.5" customHeight="1">
      <c r="D96" s="234"/>
      <c r="E96" s="234"/>
      <c r="F96" s="234"/>
      <c r="G96" s="234"/>
    </row>
    <row r="97" spans="4:7" ht="13.5" customHeight="1">
      <c r="D97" s="234"/>
      <c r="E97" s="234"/>
      <c r="F97" s="234"/>
      <c r="G97" s="234"/>
    </row>
    <row r="98" spans="4:7" ht="13.5" customHeight="1">
      <c r="D98" s="234"/>
      <c r="E98" s="234"/>
      <c r="F98" s="234"/>
      <c r="G98" s="234"/>
    </row>
    <row r="99" spans="4:7" ht="13.5" customHeight="1">
      <c r="D99" s="234"/>
      <c r="E99" s="234"/>
      <c r="F99" s="234"/>
      <c r="G99" s="234"/>
    </row>
    <row r="100" spans="4:7" ht="13.5" customHeight="1">
      <c r="D100" s="234"/>
      <c r="E100" s="234"/>
      <c r="F100" s="234"/>
      <c r="G100" s="234"/>
    </row>
    <row r="101" spans="4:7" ht="13.5" customHeight="1">
      <c r="D101" s="234"/>
      <c r="E101" s="234"/>
      <c r="F101" s="234"/>
      <c r="G101" s="234"/>
    </row>
    <row r="102" spans="4:7" ht="13.5" customHeight="1">
      <c r="D102" s="234"/>
      <c r="E102" s="234"/>
      <c r="F102" s="234"/>
      <c r="G102" s="234"/>
    </row>
    <row r="103" spans="4:7" ht="13.5" customHeight="1">
      <c r="D103" s="234"/>
      <c r="E103" s="234"/>
      <c r="F103" s="234"/>
      <c r="G103" s="234"/>
    </row>
    <row r="104" spans="4:7" ht="13.5" customHeight="1">
      <c r="D104" s="234"/>
      <c r="E104" s="234"/>
      <c r="F104" s="234"/>
      <c r="G104" s="234"/>
    </row>
    <row r="105" spans="4:7" ht="13.5" customHeight="1">
      <c r="D105" s="234"/>
      <c r="E105" s="234"/>
      <c r="F105" s="234"/>
      <c r="G105" s="234"/>
    </row>
    <row r="106" spans="4:7" ht="13.5" customHeight="1">
      <c r="D106" s="234"/>
      <c r="E106" s="234"/>
      <c r="F106" s="234"/>
      <c r="G106" s="234"/>
    </row>
    <row r="107" spans="4:7" ht="13.5" customHeight="1">
      <c r="D107" s="234"/>
      <c r="E107" s="234"/>
      <c r="F107" s="234"/>
      <c r="G107" s="234"/>
    </row>
    <row r="108" spans="4:7" ht="13.5" customHeight="1">
      <c r="D108" s="234"/>
      <c r="E108" s="234"/>
      <c r="F108" s="234"/>
      <c r="G108" s="234"/>
    </row>
    <row r="109" spans="4:7" ht="13.5" customHeight="1">
      <c r="D109" s="234"/>
      <c r="E109" s="234"/>
      <c r="F109" s="234"/>
      <c r="G109" s="234"/>
    </row>
    <row r="110" spans="4:7" ht="13.5" customHeight="1">
      <c r="D110" s="234"/>
      <c r="E110" s="234"/>
      <c r="F110" s="234"/>
      <c r="G110" s="234"/>
    </row>
    <row r="111" spans="4:7" ht="13.5" customHeight="1">
      <c r="D111" s="234"/>
      <c r="E111" s="234"/>
      <c r="F111" s="234"/>
      <c r="G111" s="234"/>
    </row>
    <row r="112" spans="4:7" ht="13.5" customHeight="1">
      <c r="D112" s="234"/>
      <c r="E112" s="234"/>
      <c r="F112" s="234"/>
      <c r="G112" s="234"/>
    </row>
    <row r="113" spans="4:7" ht="13.5" customHeight="1">
      <c r="D113" s="234"/>
      <c r="E113" s="234"/>
      <c r="F113" s="234"/>
      <c r="G113" s="234"/>
    </row>
    <row r="114" spans="4:7" ht="13.5" customHeight="1">
      <c r="D114" s="234"/>
      <c r="E114" s="234"/>
      <c r="F114" s="234"/>
      <c r="G114" s="234"/>
    </row>
    <row r="115" spans="4:7" ht="13.5" customHeight="1">
      <c r="D115" s="234"/>
      <c r="E115" s="234"/>
      <c r="F115" s="234"/>
      <c r="G115" s="234"/>
    </row>
    <row r="116" spans="4:7" ht="13.5" customHeight="1">
      <c r="D116" s="234"/>
      <c r="E116" s="234"/>
      <c r="F116" s="234"/>
      <c r="G116" s="234"/>
    </row>
    <row r="117" spans="4:7" ht="13.5" customHeight="1">
      <c r="D117" s="234"/>
      <c r="E117" s="234"/>
      <c r="F117" s="234"/>
      <c r="G117" s="234"/>
    </row>
    <row r="118" spans="4:7" ht="13.5" customHeight="1">
      <c r="D118" s="234"/>
      <c r="E118" s="234"/>
      <c r="F118" s="234"/>
      <c r="G118" s="234"/>
    </row>
    <row r="119" spans="4:7" ht="13.5" customHeight="1">
      <c r="D119" s="234"/>
      <c r="E119" s="234"/>
      <c r="F119" s="234"/>
      <c r="G119" s="234"/>
    </row>
    <row r="120" spans="4:7" ht="13.5" customHeight="1">
      <c r="D120" s="234"/>
      <c r="E120" s="234"/>
      <c r="F120" s="234"/>
      <c r="G120" s="234"/>
    </row>
    <row r="121" spans="4:7" ht="13.5" customHeight="1">
      <c r="D121" s="234"/>
      <c r="E121" s="234"/>
      <c r="F121" s="234"/>
      <c r="G121" s="234"/>
    </row>
    <row r="122" spans="4:7" ht="13.5" customHeight="1">
      <c r="D122" s="234"/>
      <c r="E122" s="234"/>
      <c r="F122" s="234"/>
      <c r="G122" s="234"/>
    </row>
    <row r="123" spans="4:7" ht="13.5" customHeight="1">
      <c r="D123" s="234"/>
      <c r="E123" s="234"/>
      <c r="F123" s="234"/>
      <c r="G123" s="234"/>
    </row>
    <row r="124" spans="4:7" ht="13.5" customHeight="1">
      <c r="D124" s="234"/>
      <c r="E124" s="234"/>
      <c r="F124" s="234"/>
      <c r="G124" s="234"/>
    </row>
    <row r="125" spans="4:7" ht="13.5" customHeight="1">
      <c r="D125" s="234"/>
      <c r="E125" s="234"/>
      <c r="F125" s="234"/>
      <c r="G125" s="234"/>
    </row>
    <row r="126" spans="4:7" ht="13.5" customHeight="1">
      <c r="D126" s="234"/>
      <c r="E126" s="234"/>
      <c r="F126" s="234"/>
      <c r="G126" s="234"/>
    </row>
    <row r="127" spans="4:7" ht="13.5" customHeight="1">
      <c r="D127" s="234"/>
      <c r="E127" s="234"/>
      <c r="F127" s="234"/>
      <c r="G127" s="234"/>
    </row>
    <row r="128" spans="4:7" ht="13.5" customHeight="1">
      <c r="D128" s="234"/>
      <c r="E128" s="234"/>
      <c r="F128" s="234"/>
      <c r="G128" s="234"/>
    </row>
    <row r="129" spans="4:7" ht="13.5" customHeight="1">
      <c r="D129" s="234"/>
      <c r="E129" s="234"/>
      <c r="F129" s="234"/>
      <c r="G129" s="234"/>
    </row>
    <row r="130" spans="4:7" ht="13.5" customHeight="1">
      <c r="D130" s="234"/>
      <c r="E130" s="234"/>
      <c r="F130" s="234"/>
      <c r="G130" s="234"/>
    </row>
    <row r="131" spans="4:7" ht="13.5" customHeight="1">
      <c r="D131" s="234"/>
      <c r="E131" s="234"/>
      <c r="F131" s="234"/>
      <c r="G131" s="234"/>
    </row>
    <row r="132" spans="4:7" ht="13.5" customHeight="1">
      <c r="D132" s="234"/>
      <c r="E132" s="234"/>
      <c r="F132" s="234"/>
      <c r="G132" s="234"/>
    </row>
    <row r="133" spans="4:7" ht="13.5" customHeight="1">
      <c r="D133" s="234"/>
      <c r="E133" s="234"/>
      <c r="F133" s="234"/>
      <c r="G133" s="234"/>
    </row>
    <row r="134" spans="4:7" ht="13.5" customHeight="1">
      <c r="D134" s="234"/>
      <c r="E134" s="234"/>
      <c r="F134" s="234"/>
      <c r="G134" s="234"/>
    </row>
    <row r="135" spans="4:7" ht="13.5" customHeight="1">
      <c r="D135" s="234"/>
      <c r="E135" s="234"/>
      <c r="F135" s="234"/>
      <c r="G135" s="234"/>
    </row>
    <row r="136" spans="4:7" ht="13.5" customHeight="1">
      <c r="D136" s="234"/>
      <c r="E136" s="234"/>
      <c r="F136" s="234"/>
      <c r="G136" s="234"/>
    </row>
    <row r="137" spans="4:7" ht="13.5" customHeight="1">
      <c r="D137" s="234"/>
      <c r="E137" s="234"/>
      <c r="F137" s="234"/>
      <c r="G137" s="234"/>
    </row>
    <row r="138" spans="4:7" ht="13.5" customHeight="1">
      <c r="D138" s="234"/>
      <c r="E138" s="234"/>
      <c r="F138" s="234"/>
      <c r="G138" s="234"/>
    </row>
    <row r="139" spans="4:7" ht="13.5" customHeight="1">
      <c r="D139" s="234"/>
      <c r="E139" s="234"/>
      <c r="F139" s="234"/>
      <c r="G139" s="234"/>
    </row>
    <row r="140" spans="4:7" ht="13.5" customHeight="1">
      <c r="D140" s="234"/>
      <c r="E140" s="234"/>
      <c r="F140" s="234"/>
      <c r="G140" s="234"/>
    </row>
    <row r="141" spans="4:7" ht="13.5" customHeight="1">
      <c r="D141" s="234"/>
      <c r="E141" s="234"/>
      <c r="F141" s="234"/>
      <c r="G141" s="234"/>
    </row>
    <row r="142" spans="4:7" ht="13.5" customHeight="1">
      <c r="D142" s="234"/>
      <c r="E142" s="234"/>
      <c r="F142" s="234"/>
      <c r="G142" s="234"/>
    </row>
    <row r="143" spans="4:7" ht="13.5" customHeight="1">
      <c r="D143" s="234"/>
      <c r="E143" s="234"/>
      <c r="F143" s="234"/>
      <c r="G143" s="234"/>
    </row>
    <row r="144" spans="4:7" ht="13.5" customHeight="1">
      <c r="D144" s="234"/>
      <c r="E144" s="234"/>
      <c r="F144" s="234"/>
      <c r="G144" s="234"/>
    </row>
    <row r="145" spans="4:7" ht="13.5" customHeight="1">
      <c r="D145" s="234"/>
      <c r="E145" s="234"/>
      <c r="F145" s="234"/>
      <c r="G145" s="234"/>
    </row>
    <row r="146" spans="4:7" ht="13.5" customHeight="1">
      <c r="D146" s="234"/>
      <c r="E146" s="234"/>
      <c r="F146" s="234"/>
      <c r="G146" s="234"/>
    </row>
    <row r="147" spans="4:7" ht="13.5" customHeight="1">
      <c r="D147" s="234"/>
      <c r="E147" s="234"/>
      <c r="F147" s="234"/>
      <c r="G147" s="234"/>
    </row>
    <row r="148" spans="4:7" ht="13.5" customHeight="1">
      <c r="D148" s="234"/>
      <c r="E148" s="234"/>
      <c r="F148" s="234"/>
      <c r="G148" s="234"/>
    </row>
    <row r="149" spans="4:7" ht="13.5" customHeight="1">
      <c r="D149" s="234"/>
      <c r="E149" s="234"/>
      <c r="F149" s="234"/>
      <c r="G149" s="234"/>
    </row>
    <row r="150" spans="4:7" ht="13.5" customHeight="1">
      <c r="D150" s="234"/>
      <c r="E150" s="234"/>
      <c r="F150" s="234"/>
      <c r="G150" s="234"/>
    </row>
    <row r="151" spans="4:7" ht="13.5" customHeight="1">
      <c r="D151" s="234"/>
      <c r="E151" s="234"/>
      <c r="F151" s="234"/>
      <c r="G151" s="234"/>
    </row>
    <row r="152" spans="4:7" ht="13.5" customHeight="1">
      <c r="D152" s="234"/>
      <c r="E152" s="234"/>
      <c r="F152" s="234"/>
      <c r="G152" s="234"/>
    </row>
    <row r="153" spans="4:7" ht="13.5" customHeight="1">
      <c r="D153" s="234"/>
      <c r="E153" s="234"/>
      <c r="F153" s="234"/>
      <c r="G153" s="234"/>
    </row>
    <row r="154" spans="4:7" ht="13.5" customHeight="1">
      <c r="D154" s="234"/>
      <c r="E154" s="234"/>
      <c r="F154" s="234"/>
      <c r="G154" s="234"/>
    </row>
    <row r="155" spans="4:7" ht="13.5" customHeight="1">
      <c r="D155" s="234"/>
      <c r="E155" s="234"/>
      <c r="F155" s="234"/>
      <c r="G155" s="234"/>
    </row>
    <row r="156" spans="4:7" ht="13.5" customHeight="1">
      <c r="D156" s="234"/>
      <c r="E156" s="234"/>
      <c r="F156" s="234"/>
      <c r="G156" s="234"/>
    </row>
    <row r="157" spans="4:7" ht="13.5" customHeight="1">
      <c r="D157" s="234"/>
      <c r="E157" s="234"/>
      <c r="F157" s="234"/>
      <c r="G157" s="234"/>
    </row>
    <row r="158" spans="4:7" ht="13.5" customHeight="1">
      <c r="D158" s="234"/>
      <c r="E158" s="234"/>
      <c r="F158" s="234"/>
      <c r="G158" s="234"/>
    </row>
    <row r="159" spans="4:7" ht="13.5" customHeight="1">
      <c r="D159" s="234"/>
      <c r="E159" s="234"/>
      <c r="F159" s="234"/>
      <c r="G159" s="234"/>
    </row>
    <row r="160" spans="4:7" ht="13.5" customHeight="1">
      <c r="D160" s="234"/>
      <c r="E160" s="234"/>
      <c r="F160" s="234"/>
      <c r="G160" s="234"/>
    </row>
    <row r="161" spans="4:7" ht="13.5" customHeight="1">
      <c r="D161" s="234"/>
      <c r="E161" s="234"/>
      <c r="F161" s="234"/>
      <c r="G161" s="234"/>
    </row>
    <row r="162" spans="4:7" ht="13.5" customHeight="1">
      <c r="D162" s="234"/>
      <c r="E162" s="234"/>
      <c r="F162" s="234"/>
      <c r="G162" s="234"/>
    </row>
    <row r="163" spans="4:7" ht="13.5" customHeight="1">
      <c r="D163" s="234"/>
      <c r="E163" s="234"/>
      <c r="F163" s="234"/>
      <c r="G163" s="234"/>
    </row>
    <row r="164" spans="4:7" ht="13.5" customHeight="1">
      <c r="D164" s="234"/>
      <c r="E164" s="234"/>
      <c r="F164" s="234"/>
      <c r="G164" s="234"/>
    </row>
    <row r="165" spans="4:7" ht="13.5" customHeight="1">
      <c r="D165" s="234"/>
      <c r="E165" s="234"/>
      <c r="F165" s="234"/>
      <c r="G165" s="234"/>
    </row>
    <row r="166" spans="4:7" ht="13.5" customHeight="1">
      <c r="D166" s="234"/>
      <c r="E166" s="234"/>
      <c r="F166" s="234"/>
      <c r="G166" s="234"/>
    </row>
    <row r="167" spans="4:7" ht="13.5" customHeight="1">
      <c r="D167" s="234"/>
      <c r="E167" s="234"/>
      <c r="F167" s="234"/>
      <c r="G167" s="234"/>
    </row>
    <row r="168" spans="4:7" ht="13.5" customHeight="1">
      <c r="D168" s="234"/>
      <c r="E168" s="234"/>
      <c r="F168" s="234"/>
      <c r="G168" s="234"/>
    </row>
    <row r="169" spans="4:7" ht="13.5" customHeight="1">
      <c r="D169" s="234"/>
      <c r="E169" s="234"/>
      <c r="F169" s="234"/>
      <c r="G169" s="234"/>
    </row>
    <row r="170" spans="4:7" ht="13.5" customHeight="1">
      <c r="D170" s="234"/>
      <c r="E170" s="234"/>
      <c r="F170" s="234"/>
      <c r="G170" s="234"/>
    </row>
    <row r="171" spans="4:7" ht="13.5" customHeight="1">
      <c r="D171" s="234"/>
      <c r="E171" s="234"/>
      <c r="F171" s="234"/>
      <c r="G171" s="234"/>
    </row>
    <row r="172" spans="4:7" ht="13.5" customHeight="1">
      <c r="D172" s="234"/>
      <c r="E172" s="234"/>
      <c r="F172" s="234"/>
      <c r="G172" s="234"/>
    </row>
    <row r="173" spans="4:7" ht="13.5" customHeight="1">
      <c r="D173" s="234"/>
      <c r="E173" s="234"/>
      <c r="F173" s="234"/>
      <c r="G173" s="234"/>
    </row>
    <row r="174" spans="4:7" ht="13.5" customHeight="1">
      <c r="D174" s="234"/>
      <c r="E174" s="234"/>
      <c r="F174" s="234"/>
      <c r="G174" s="234"/>
    </row>
    <row r="175" spans="4:7" ht="13.5" customHeight="1">
      <c r="D175" s="234"/>
      <c r="E175" s="234"/>
      <c r="F175" s="234"/>
      <c r="G175" s="234"/>
    </row>
    <row r="176" spans="4:7" ht="13.5" customHeight="1">
      <c r="D176" s="234"/>
      <c r="E176" s="234"/>
      <c r="F176" s="234"/>
      <c r="G176" s="234"/>
    </row>
    <row r="177" spans="4:7" ht="13.5" customHeight="1">
      <c r="D177" s="234"/>
      <c r="E177" s="234"/>
      <c r="F177" s="234"/>
      <c r="G177" s="234"/>
    </row>
    <row r="178" spans="4:7" ht="13.5" customHeight="1">
      <c r="D178" s="234"/>
      <c r="E178" s="234"/>
      <c r="F178" s="234"/>
      <c r="G178" s="234"/>
    </row>
    <row r="179" spans="4:7" ht="13.5" customHeight="1">
      <c r="D179" s="234"/>
      <c r="E179" s="234"/>
      <c r="F179" s="234"/>
      <c r="G179" s="234"/>
    </row>
    <row r="180" spans="4:7" ht="13.5" customHeight="1">
      <c r="D180" s="234"/>
      <c r="E180" s="234"/>
      <c r="F180" s="234"/>
      <c r="G180" s="234"/>
    </row>
    <row r="181" spans="4:7" ht="13.5" customHeight="1">
      <c r="D181" s="234"/>
      <c r="E181" s="234"/>
      <c r="F181" s="234"/>
      <c r="G181" s="234"/>
    </row>
    <row r="182" spans="4:7" ht="13.5" customHeight="1">
      <c r="D182" s="234"/>
      <c r="E182" s="234"/>
      <c r="F182" s="234"/>
      <c r="G182" s="234"/>
    </row>
    <row r="183" spans="4:7" ht="13.5" customHeight="1">
      <c r="D183" s="234"/>
      <c r="E183" s="234"/>
      <c r="F183" s="234"/>
      <c r="G183" s="234"/>
    </row>
    <row r="184" spans="4:7" ht="13.5" customHeight="1">
      <c r="D184" s="234"/>
      <c r="E184" s="234"/>
      <c r="F184" s="234"/>
      <c r="G184" s="234"/>
    </row>
    <row r="185" spans="4:7" ht="13.5" customHeight="1">
      <c r="D185" s="234"/>
      <c r="E185" s="234"/>
      <c r="F185" s="234"/>
      <c r="G185" s="234"/>
    </row>
    <row r="186" spans="4:7" ht="13.5" customHeight="1">
      <c r="D186" s="234"/>
      <c r="E186" s="234"/>
      <c r="F186" s="234"/>
      <c r="G186" s="234"/>
    </row>
    <row r="187" spans="4:7" ht="13.5" customHeight="1">
      <c r="D187" s="234"/>
      <c r="E187" s="234"/>
      <c r="F187" s="234"/>
      <c r="G187" s="234"/>
    </row>
    <row r="188" spans="4:7" ht="13.5" customHeight="1">
      <c r="D188" s="234"/>
      <c r="E188" s="234"/>
      <c r="F188" s="234"/>
      <c r="G188" s="234"/>
    </row>
    <row r="189" spans="4:7" ht="13.5" customHeight="1">
      <c r="D189" s="234"/>
      <c r="E189" s="234"/>
      <c r="F189" s="234"/>
      <c r="G189" s="234"/>
    </row>
    <row r="190" spans="4:7" ht="13.5" customHeight="1">
      <c r="D190" s="234"/>
      <c r="E190" s="234"/>
      <c r="F190" s="234"/>
      <c r="G190" s="234"/>
    </row>
    <row r="191" spans="4:7" ht="13.5" customHeight="1">
      <c r="D191" s="234"/>
      <c r="E191" s="234"/>
      <c r="F191" s="234"/>
      <c r="G191" s="234"/>
    </row>
    <row r="192" spans="4:7" ht="13.5" customHeight="1">
      <c r="D192" s="234"/>
      <c r="E192" s="234"/>
      <c r="F192" s="234"/>
      <c r="G192" s="234"/>
    </row>
    <row r="193" spans="4:7" ht="13.5" customHeight="1">
      <c r="D193" s="234"/>
      <c r="E193" s="234"/>
      <c r="F193" s="234"/>
      <c r="G193" s="234"/>
    </row>
    <row r="194" spans="4:7" ht="13.5" customHeight="1">
      <c r="D194" s="234"/>
      <c r="E194" s="234"/>
      <c r="F194" s="234"/>
      <c r="G194" s="234"/>
    </row>
    <row r="195" spans="4:7" ht="13.5" customHeight="1">
      <c r="D195" s="234"/>
      <c r="E195" s="234"/>
      <c r="F195" s="234"/>
      <c r="G195" s="234"/>
    </row>
    <row r="196" spans="4:7" ht="13.5" customHeight="1">
      <c r="D196" s="234"/>
      <c r="E196" s="234"/>
      <c r="F196" s="234"/>
      <c r="G196" s="234"/>
    </row>
    <row r="197" spans="4:7" ht="13.5" customHeight="1">
      <c r="D197" s="234"/>
      <c r="E197" s="234"/>
      <c r="F197" s="234"/>
      <c r="G197" s="234"/>
    </row>
    <row r="198" spans="4:7" ht="13.5" customHeight="1">
      <c r="D198" s="234"/>
      <c r="E198" s="234"/>
      <c r="F198" s="234"/>
      <c r="G198" s="234"/>
    </row>
    <row r="199" spans="4:7" ht="13.5" customHeight="1">
      <c r="D199" s="234"/>
      <c r="E199" s="234"/>
      <c r="F199" s="234"/>
      <c r="G199" s="234"/>
    </row>
    <row r="200" spans="4:7" ht="13.5" customHeight="1">
      <c r="D200" s="234"/>
      <c r="E200" s="234"/>
      <c r="F200" s="234"/>
      <c r="G200" s="234"/>
    </row>
    <row r="201" spans="4:7" ht="13.5" customHeight="1">
      <c r="D201" s="234"/>
      <c r="E201" s="234"/>
      <c r="F201" s="234"/>
      <c r="G201" s="234"/>
    </row>
    <row r="202" spans="4:7" ht="13.5" customHeight="1">
      <c r="D202" s="234"/>
      <c r="E202" s="234"/>
      <c r="F202" s="234"/>
      <c r="G202" s="234"/>
    </row>
    <row r="203" spans="4:7" ht="13.5" customHeight="1">
      <c r="D203" s="234"/>
      <c r="E203" s="234"/>
      <c r="F203" s="234"/>
      <c r="G203" s="234"/>
    </row>
    <row r="204" spans="4:7" ht="13.5" customHeight="1">
      <c r="D204" s="234"/>
      <c r="E204" s="234"/>
      <c r="F204" s="234"/>
      <c r="G204" s="234"/>
    </row>
    <row r="205" spans="4:7" ht="13.5" customHeight="1">
      <c r="D205" s="234"/>
      <c r="E205" s="234"/>
      <c r="F205" s="234"/>
      <c r="G205" s="234"/>
    </row>
    <row r="206" spans="4:7" ht="13.5" customHeight="1">
      <c r="D206" s="234"/>
      <c r="E206" s="234"/>
      <c r="F206" s="234"/>
      <c r="G206" s="234"/>
    </row>
    <row r="207" spans="4:7" ht="13.5" customHeight="1">
      <c r="D207" s="234"/>
      <c r="E207" s="234"/>
      <c r="F207" s="234"/>
      <c r="G207" s="234"/>
    </row>
    <row r="208" spans="4:7" ht="13.5" customHeight="1">
      <c r="D208" s="234"/>
      <c r="E208" s="234"/>
      <c r="F208" s="234"/>
      <c r="G208" s="234"/>
    </row>
    <row r="209" spans="4:7" ht="13.5" customHeight="1">
      <c r="D209" s="234"/>
      <c r="E209" s="234"/>
      <c r="F209" s="234"/>
      <c r="G209" s="234"/>
    </row>
    <row r="210" spans="4:7" ht="13.5" customHeight="1">
      <c r="D210" s="234"/>
      <c r="E210" s="234"/>
      <c r="F210" s="234"/>
      <c r="G210" s="234"/>
    </row>
    <row r="211" spans="4:7" ht="13.5" customHeight="1">
      <c r="D211" s="234"/>
      <c r="E211" s="234"/>
      <c r="F211" s="234"/>
      <c r="G211" s="234"/>
    </row>
    <row r="212" spans="4:7" ht="13.5" customHeight="1">
      <c r="D212" s="234"/>
      <c r="E212" s="234"/>
      <c r="F212" s="234"/>
      <c r="G212" s="234"/>
    </row>
    <row r="213" spans="4:7" ht="13.5" customHeight="1">
      <c r="D213" s="234"/>
      <c r="E213" s="234"/>
      <c r="F213" s="234"/>
      <c r="G213" s="234"/>
    </row>
    <row r="214" spans="4:7" ht="13.5" customHeight="1">
      <c r="D214" s="234"/>
      <c r="E214" s="234"/>
      <c r="F214" s="234"/>
      <c r="G214" s="234"/>
    </row>
    <row r="215" spans="4:7" ht="13.5" customHeight="1">
      <c r="D215" s="234"/>
      <c r="E215" s="234"/>
      <c r="F215" s="234"/>
      <c r="G215" s="234"/>
    </row>
    <row r="216" spans="4:7" ht="13.5" customHeight="1">
      <c r="D216" s="234"/>
      <c r="E216" s="234"/>
      <c r="F216" s="234"/>
      <c r="G216" s="234"/>
    </row>
    <row r="217" spans="4:7" ht="13.5" customHeight="1">
      <c r="D217" s="234"/>
      <c r="E217" s="234"/>
      <c r="F217" s="234"/>
      <c r="G217" s="234"/>
    </row>
    <row r="218" spans="4:7" ht="13.5" customHeight="1">
      <c r="D218" s="234"/>
      <c r="E218" s="234"/>
      <c r="F218" s="234"/>
      <c r="G218" s="234"/>
    </row>
    <row r="219" spans="4:7" ht="13.5" customHeight="1">
      <c r="D219" s="234"/>
      <c r="E219" s="234"/>
      <c r="F219" s="234"/>
      <c r="G219" s="234"/>
    </row>
    <row r="220" spans="4:7" ht="13.5" customHeight="1">
      <c r="D220" s="234"/>
      <c r="E220" s="234"/>
      <c r="F220" s="234"/>
      <c r="G220" s="234"/>
    </row>
    <row r="221" spans="4:7" ht="13.5" customHeight="1">
      <c r="D221" s="234"/>
      <c r="E221" s="234"/>
      <c r="F221" s="234"/>
      <c r="G221" s="234"/>
    </row>
    <row r="222" spans="4:7" ht="13.5" customHeight="1">
      <c r="D222" s="234"/>
      <c r="E222" s="234"/>
      <c r="F222" s="234"/>
      <c r="G222" s="234"/>
    </row>
    <row r="223" spans="4:7" ht="13.5" customHeight="1">
      <c r="D223" s="234"/>
      <c r="E223" s="234"/>
      <c r="F223" s="234"/>
      <c r="G223" s="234"/>
    </row>
    <row r="224" spans="4:7" ht="13.5" customHeight="1">
      <c r="D224" s="234"/>
      <c r="E224" s="234"/>
      <c r="F224" s="234"/>
      <c r="G224" s="234"/>
    </row>
    <row r="225" spans="4:7" ht="13.5" customHeight="1">
      <c r="D225" s="234"/>
      <c r="E225" s="234"/>
      <c r="F225" s="234"/>
      <c r="G225" s="234"/>
    </row>
    <row r="226" spans="4:7" ht="13.5" customHeight="1">
      <c r="D226" s="234"/>
      <c r="E226" s="234"/>
      <c r="F226" s="234"/>
      <c r="G226" s="234"/>
    </row>
    <row r="227" spans="4:7" ht="13.5" customHeight="1">
      <c r="D227" s="234"/>
      <c r="E227" s="234"/>
      <c r="F227" s="234"/>
      <c r="G227" s="234"/>
    </row>
    <row r="228" spans="4:7" ht="13.5" customHeight="1">
      <c r="D228" s="234"/>
      <c r="E228" s="234"/>
      <c r="F228" s="234"/>
      <c r="G228" s="234"/>
    </row>
    <row r="229" spans="4:7" ht="13.5" customHeight="1">
      <c r="D229" s="234"/>
      <c r="E229" s="234"/>
      <c r="F229" s="234"/>
      <c r="G229" s="234"/>
    </row>
    <row r="230" spans="4:7" ht="13.5" customHeight="1">
      <c r="D230" s="234"/>
      <c r="E230" s="234"/>
      <c r="F230" s="234"/>
      <c r="G230" s="234"/>
    </row>
    <row r="231" spans="4:7" ht="13.5" customHeight="1">
      <c r="D231" s="234"/>
      <c r="E231" s="234"/>
      <c r="F231" s="234"/>
      <c r="G231" s="234"/>
    </row>
    <row r="232" spans="4:7" ht="13.5" customHeight="1">
      <c r="D232" s="234"/>
      <c r="E232" s="234"/>
      <c r="F232" s="234"/>
      <c r="G232" s="234"/>
    </row>
    <row r="233" spans="4:7" ht="13.5" customHeight="1">
      <c r="D233" s="234"/>
      <c r="E233" s="234"/>
      <c r="F233" s="234"/>
      <c r="G233" s="234"/>
    </row>
    <row r="234" spans="4:7" ht="13.5" customHeight="1">
      <c r="D234" s="234"/>
      <c r="E234" s="234"/>
      <c r="F234" s="234"/>
      <c r="G234" s="234"/>
    </row>
    <row r="235" spans="4:7" ht="13.5" customHeight="1">
      <c r="D235" s="234"/>
      <c r="E235" s="234"/>
      <c r="F235" s="234"/>
      <c r="G235" s="234"/>
    </row>
    <row r="236" spans="4:7" ht="13.5" customHeight="1">
      <c r="D236" s="234"/>
      <c r="E236" s="234"/>
      <c r="F236" s="234"/>
      <c r="G236" s="234"/>
    </row>
    <row r="237" spans="4:7" ht="13.5" customHeight="1">
      <c r="D237" s="234"/>
      <c r="E237" s="234"/>
      <c r="F237" s="234"/>
      <c r="G237" s="234"/>
    </row>
    <row r="238" spans="4:7" ht="13.5" customHeight="1">
      <c r="D238" s="234"/>
      <c r="E238" s="234"/>
      <c r="F238" s="234"/>
      <c r="G238" s="234"/>
    </row>
    <row r="239" spans="4:7" ht="13.5" customHeight="1">
      <c r="D239" s="234"/>
      <c r="E239" s="234"/>
      <c r="F239" s="234"/>
      <c r="G239" s="234"/>
    </row>
    <row r="240" spans="4:7" ht="13.5" customHeight="1">
      <c r="D240" s="234"/>
      <c r="E240" s="234"/>
      <c r="F240" s="234"/>
      <c r="G240" s="234"/>
    </row>
    <row r="241" spans="4:7" ht="13.5" customHeight="1">
      <c r="D241" s="234"/>
      <c r="E241" s="234"/>
      <c r="F241" s="234"/>
      <c r="G241" s="234"/>
    </row>
    <row r="242" spans="4:7" ht="13.5" customHeight="1">
      <c r="D242" s="234"/>
      <c r="E242" s="234"/>
      <c r="F242" s="234"/>
      <c r="G242" s="234"/>
    </row>
    <row r="243" spans="4:7" ht="13.5" customHeight="1">
      <c r="D243" s="234"/>
      <c r="E243" s="234"/>
      <c r="F243" s="234"/>
      <c r="G243" s="234"/>
    </row>
    <row r="244" spans="4:7" ht="13.5" customHeight="1">
      <c r="D244" s="234"/>
      <c r="E244" s="234"/>
      <c r="F244" s="234"/>
      <c r="G244" s="234"/>
    </row>
    <row r="245" spans="4:7" ht="13.5" customHeight="1">
      <c r="D245" s="234"/>
      <c r="E245" s="234"/>
      <c r="F245" s="234"/>
      <c r="G245" s="234"/>
    </row>
    <row r="246" spans="4:7" ht="13.5" customHeight="1">
      <c r="D246" s="234"/>
      <c r="E246" s="234"/>
      <c r="F246" s="234"/>
      <c r="G246" s="234"/>
    </row>
    <row r="247" spans="4:7" ht="13.5" customHeight="1">
      <c r="D247" s="234"/>
      <c r="E247" s="234"/>
      <c r="F247" s="234"/>
      <c r="G247" s="234"/>
    </row>
    <row r="248" spans="4:7" ht="13.5" customHeight="1">
      <c r="D248" s="234"/>
      <c r="E248" s="234"/>
      <c r="F248" s="234"/>
      <c r="G248" s="234"/>
    </row>
    <row r="249" spans="4:7" ht="13.5" customHeight="1">
      <c r="D249" s="234"/>
      <c r="E249" s="234"/>
      <c r="F249" s="234"/>
      <c r="G249" s="234"/>
    </row>
    <row r="250" spans="4:7" ht="13.5" customHeight="1">
      <c r="D250" s="234"/>
      <c r="E250" s="234"/>
      <c r="F250" s="234"/>
      <c r="G250" s="234"/>
    </row>
    <row r="251" spans="4:7" ht="13.5" customHeight="1">
      <c r="D251" s="234"/>
      <c r="E251" s="234"/>
      <c r="F251" s="234"/>
      <c r="G251" s="234"/>
    </row>
    <row r="252" spans="4:7" ht="13.5" customHeight="1">
      <c r="D252" s="234"/>
      <c r="E252" s="234"/>
      <c r="F252" s="234"/>
      <c r="G252" s="234"/>
    </row>
    <row r="253" spans="4:7" ht="13.5" customHeight="1">
      <c r="D253" s="234"/>
      <c r="E253" s="234"/>
      <c r="F253" s="234"/>
      <c r="G253" s="234"/>
    </row>
    <row r="254" spans="4:7" ht="13.5" customHeight="1">
      <c r="D254" s="234"/>
      <c r="E254" s="234"/>
      <c r="F254" s="234"/>
      <c r="G254" s="234"/>
    </row>
    <row r="255" spans="4:7" ht="13.5" customHeight="1">
      <c r="D255" s="234"/>
      <c r="E255" s="234"/>
      <c r="F255" s="234"/>
      <c r="G255" s="234"/>
    </row>
    <row r="256" spans="4:7" ht="13.5" customHeight="1">
      <c r="D256" s="234"/>
      <c r="E256" s="234"/>
      <c r="F256" s="234"/>
      <c r="G256" s="234"/>
    </row>
    <row r="257" spans="4:7" ht="13.5" customHeight="1">
      <c r="D257" s="234"/>
      <c r="E257" s="234"/>
      <c r="F257" s="234"/>
      <c r="G257" s="234"/>
    </row>
    <row r="258" spans="4:7" ht="13.5" customHeight="1">
      <c r="D258" s="234"/>
      <c r="E258" s="234"/>
      <c r="F258" s="234"/>
      <c r="G258" s="234"/>
    </row>
    <row r="259" spans="4:7" ht="13.5" customHeight="1">
      <c r="D259" s="234"/>
      <c r="E259" s="234"/>
      <c r="F259" s="234"/>
      <c r="G259" s="234"/>
    </row>
    <row r="260" spans="4:7" ht="13.5" customHeight="1">
      <c r="D260" s="234"/>
      <c r="E260" s="234"/>
      <c r="F260" s="234"/>
      <c r="G260" s="234"/>
    </row>
    <row r="261" spans="4:7" ht="13.5" customHeight="1">
      <c r="D261" s="234"/>
      <c r="E261" s="234"/>
      <c r="F261" s="234"/>
      <c r="G261" s="234"/>
    </row>
    <row r="262" spans="4:7" ht="13.5" customHeight="1">
      <c r="D262" s="234"/>
      <c r="E262" s="234"/>
      <c r="F262" s="234"/>
      <c r="G262" s="234"/>
    </row>
    <row r="263" spans="4:7" ht="13.5" customHeight="1">
      <c r="D263" s="234"/>
      <c r="E263" s="234"/>
      <c r="F263" s="234"/>
      <c r="G263" s="234"/>
    </row>
    <row r="264" spans="4:7" ht="13.5" customHeight="1">
      <c r="D264" s="234"/>
      <c r="E264" s="234"/>
      <c r="F264" s="234"/>
      <c r="G264" s="234"/>
    </row>
    <row r="265" spans="4:7" ht="13.5" customHeight="1">
      <c r="D265" s="234"/>
      <c r="E265" s="234"/>
      <c r="F265" s="234"/>
      <c r="G265" s="234"/>
    </row>
    <row r="266" spans="4:7" ht="13.5" customHeight="1">
      <c r="D266" s="234"/>
      <c r="E266" s="234"/>
      <c r="F266" s="234"/>
      <c r="G266" s="234"/>
    </row>
    <row r="267" spans="4:7" ht="13.5" customHeight="1">
      <c r="D267" s="234"/>
      <c r="E267" s="234"/>
      <c r="F267" s="234"/>
      <c r="G267" s="234"/>
    </row>
    <row r="268" spans="4:7" ht="13.5" customHeight="1">
      <c r="D268" s="234"/>
      <c r="E268" s="234"/>
      <c r="F268" s="234"/>
      <c r="G268" s="234"/>
    </row>
    <row r="269" spans="4:7" ht="13.5" customHeight="1">
      <c r="D269" s="234"/>
      <c r="E269" s="234"/>
      <c r="F269" s="234"/>
      <c r="G269" s="234"/>
    </row>
    <row r="270" spans="4:7" ht="13.5" customHeight="1">
      <c r="D270" s="234"/>
      <c r="E270" s="234"/>
      <c r="F270" s="234"/>
      <c r="G270" s="234"/>
    </row>
    <row r="271" spans="4:7" ht="13.5" customHeight="1">
      <c r="D271" s="234"/>
      <c r="E271" s="234"/>
      <c r="F271" s="234"/>
      <c r="G271" s="234"/>
    </row>
    <row r="272" spans="4:7" ht="13.5" customHeight="1">
      <c r="D272" s="234"/>
      <c r="E272" s="234"/>
      <c r="F272" s="234"/>
      <c r="G272" s="234"/>
    </row>
    <row r="273" spans="4:7" ht="13.5" customHeight="1">
      <c r="D273" s="234"/>
      <c r="E273" s="234"/>
      <c r="F273" s="234"/>
      <c r="G273" s="234"/>
    </row>
    <row r="274" spans="4:7" ht="13.5" customHeight="1">
      <c r="D274" s="234"/>
      <c r="E274" s="234"/>
      <c r="F274" s="234"/>
      <c r="G274" s="234"/>
    </row>
    <row r="275" spans="4:7" ht="13.5" customHeight="1">
      <c r="D275" s="234"/>
      <c r="E275" s="234"/>
      <c r="F275" s="234"/>
      <c r="G275" s="234"/>
    </row>
    <row r="276" spans="4:7" ht="13.5" customHeight="1">
      <c r="D276" s="234"/>
      <c r="E276" s="234"/>
      <c r="F276" s="234"/>
      <c r="G276" s="234"/>
    </row>
    <row r="277" spans="4:7" ht="13.5" customHeight="1">
      <c r="D277" s="234"/>
      <c r="E277" s="234"/>
      <c r="F277" s="234"/>
      <c r="G277" s="234"/>
    </row>
    <row r="278" spans="4:7" ht="13.5" customHeight="1">
      <c r="D278" s="234"/>
      <c r="E278" s="234"/>
      <c r="F278" s="234"/>
      <c r="G278" s="234"/>
    </row>
    <row r="279" spans="4:7" ht="13.5" customHeight="1">
      <c r="D279" s="234"/>
      <c r="E279" s="234"/>
      <c r="F279" s="234"/>
      <c r="G279" s="234"/>
    </row>
    <row r="280" spans="4:7" ht="13.5" customHeight="1">
      <c r="D280" s="234"/>
      <c r="E280" s="234"/>
      <c r="F280" s="234"/>
      <c r="G280" s="234"/>
    </row>
    <row r="281" spans="4:7" ht="13.5" customHeight="1">
      <c r="D281" s="234"/>
      <c r="E281" s="234"/>
      <c r="F281" s="234"/>
      <c r="G281" s="234"/>
    </row>
    <row r="282" spans="4:7" ht="13.5" customHeight="1">
      <c r="D282" s="234"/>
      <c r="E282" s="234"/>
      <c r="F282" s="234"/>
      <c r="G282" s="234"/>
    </row>
    <row r="283" spans="4:7" ht="13.5" customHeight="1">
      <c r="D283" s="234"/>
      <c r="E283" s="234"/>
      <c r="F283" s="234"/>
      <c r="G283" s="234"/>
    </row>
    <row r="284" spans="4:7" ht="13.5" customHeight="1">
      <c r="D284" s="234"/>
      <c r="E284" s="234"/>
      <c r="F284" s="234"/>
      <c r="G284" s="234"/>
    </row>
    <row r="285" spans="4:7" ht="13.5" customHeight="1">
      <c r="D285" s="234"/>
      <c r="E285" s="234"/>
      <c r="F285" s="234"/>
      <c r="G285" s="234"/>
    </row>
    <row r="286" spans="4:7" ht="13.5" customHeight="1">
      <c r="D286" s="234"/>
      <c r="E286" s="234"/>
      <c r="F286" s="234"/>
      <c r="G286" s="234"/>
    </row>
    <row r="287" spans="4:7" ht="13.5" customHeight="1">
      <c r="D287" s="234"/>
      <c r="E287" s="234"/>
      <c r="F287" s="234"/>
      <c r="G287" s="234"/>
    </row>
    <row r="288" spans="4:7" ht="13.5" customHeight="1">
      <c r="D288" s="234"/>
      <c r="E288" s="234"/>
      <c r="F288" s="234"/>
      <c r="G288" s="234"/>
    </row>
    <row r="289" spans="4:7" ht="13.5" customHeight="1">
      <c r="D289" s="234"/>
      <c r="E289" s="234"/>
      <c r="F289" s="234"/>
      <c r="G289" s="234"/>
    </row>
    <row r="290" spans="4:7" ht="13.5" customHeight="1">
      <c r="D290" s="234"/>
      <c r="E290" s="234"/>
      <c r="F290" s="234"/>
      <c r="G290" s="234"/>
    </row>
    <row r="291" spans="4:7" ht="13.5" customHeight="1">
      <c r="D291" s="234"/>
      <c r="E291" s="234"/>
      <c r="F291" s="234"/>
      <c r="G291" s="234"/>
    </row>
    <row r="292" spans="4:7" ht="13.5" customHeight="1">
      <c r="D292" s="234"/>
      <c r="E292" s="234"/>
      <c r="F292" s="234"/>
      <c r="G292" s="234"/>
    </row>
    <row r="293" spans="4:7" ht="13.5" customHeight="1">
      <c r="D293" s="234"/>
      <c r="E293" s="234"/>
      <c r="F293" s="234"/>
      <c r="G293" s="234"/>
    </row>
    <row r="294" spans="4:7" ht="13.5" customHeight="1">
      <c r="D294" s="234"/>
      <c r="E294" s="234"/>
      <c r="F294" s="234"/>
      <c r="G294" s="234"/>
    </row>
    <row r="295" spans="4:7" ht="13.5" customHeight="1">
      <c r="D295" s="234"/>
      <c r="E295" s="234"/>
      <c r="F295" s="234"/>
      <c r="G295" s="234"/>
    </row>
    <row r="296" spans="4:7" ht="13.5" customHeight="1">
      <c r="D296" s="234"/>
      <c r="E296" s="234"/>
      <c r="F296" s="234"/>
      <c r="G296" s="234"/>
    </row>
    <row r="297" spans="4:7" ht="13.5" customHeight="1">
      <c r="D297" s="234"/>
      <c r="E297" s="234"/>
      <c r="F297" s="234"/>
      <c r="G297" s="234"/>
    </row>
    <row r="298" spans="4:7" ht="13.5" customHeight="1">
      <c r="D298" s="234"/>
      <c r="E298" s="234"/>
      <c r="F298" s="234"/>
      <c r="G298" s="234"/>
    </row>
    <row r="299" spans="4:7" ht="13.5" customHeight="1">
      <c r="D299" s="234"/>
      <c r="E299" s="234"/>
      <c r="F299" s="234"/>
      <c r="G299" s="234"/>
    </row>
    <row r="300" spans="4:7" ht="13.5" customHeight="1">
      <c r="D300" s="234"/>
      <c r="E300" s="234"/>
      <c r="F300" s="234"/>
      <c r="G300" s="234"/>
    </row>
    <row r="301" spans="4:7" ht="13.5" customHeight="1">
      <c r="D301" s="234"/>
      <c r="E301" s="234"/>
      <c r="F301" s="234"/>
      <c r="G301" s="234"/>
    </row>
    <row r="302" spans="4:7" ht="13.5" customHeight="1">
      <c r="D302" s="234"/>
      <c r="E302" s="234"/>
      <c r="F302" s="234"/>
      <c r="G302" s="234"/>
    </row>
    <row r="303" spans="4:7" ht="13.5" customHeight="1">
      <c r="D303" s="234"/>
      <c r="E303" s="234"/>
      <c r="F303" s="234"/>
      <c r="G303" s="234"/>
    </row>
    <row r="304" spans="4:7" ht="13.5" customHeight="1">
      <c r="D304" s="234"/>
      <c r="E304" s="234"/>
      <c r="F304" s="234"/>
      <c r="G304" s="234"/>
    </row>
    <row r="305" spans="4:7" ht="13.5" customHeight="1">
      <c r="D305" s="234"/>
      <c r="E305" s="234"/>
      <c r="F305" s="234"/>
      <c r="G305" s="234"/>
    </row>
    <row r="306" spans="4:7" ht="13.5" customHeight="1">
      <c r="D306" s="234"/>
      <c r="E306" s="234"/>
      <c r="F306" s="234"/>
      <c r="G306" s="234"/>
    </row>
    <row r="307" spans="4:7" ht="13.5" customHeight="1">
      <c r="D307" s="234"/>
      <c r="E307" s="234"/>
      <c r="F307" s="234"/>
      <c r="G307" s="234"/>
    </row>
    <row r="308" spans="4:7" ht="13.5" customHeight="1">
      <c r="D308" s="234"/>
      <c r="E308" s="234"/>
      <c r="F308" s="234"/>
      <c r="G308" s="234"/>
    </row>
    <row r="309" spans="4:7" ht="13.5" customHeight="1">
      <c r="D309" s="234"/>
      <c r="E309" s="234"/>
      <c r="F309" s="234"/>
      <c r="G309" s="234"/>
    </row>
    <row r="310" spans="4:7" ht="13.5" customHeight="1">
      <c r="D310" s="234"/>
      <c r="E310" s="234"/>
      <c r="F310" s="234"/>
      <c r="G310" s="234"/>
    </row>
    <row r="311" spans="4:7" ht="13.5" customHeight="1">
      <c r="D311" s="234"/>
      <c r="E311" s="234"/>
      <c r="F311" s="234"/>
      <c r="G311" s="234"/>
    </row>
    <row r="312" spans="4:7" ht="13.5" customHeight="1">
      <c r="D312" s="234"/>
      <c r="E312" s="234"/>
      <c r="F312" s="234"/>
      <c r="G312" s="234"/>
    </row>
    <row r="313" spans="4:7" ht="13.5" customHeight="1">
      <c r="D313" s="234"/>
      <c r="E313" s="234"/>
      <c r="F313" s="234"/>
      <c r="G313" s="234"/>
    </row>
    <row r="314" spans="4:7" ht="13.5" customHeight="1">
      <c r="D314" s="234"/>
      <c r="E314" s="234"/>
      <c r="F314" s="234"/>
      <c r="G314" s="234"/>
    </row>
    <row r="315" spans="4:7" ht="13.5" customHeight="1">
      <c r="D315" s="234"/>
      <c r="E315" s="234"/>
      <c r="F315" s="234"/>
      <c r="G315" s="234"/>
    </row>
    <row r="316" spans="4:7" ht="13.5" customHeight="1">
      <c r="D316" s="234"/>
      <c r="E316" s="234"/>
      <c r="F316" s="234"/>
      <c r="G316" s="234"/>
    </row>
    <row r="317" spans="4:7" ht="13.5" customHeight="1">
      <c r="D317" s="234"/>
      <c r="E317" s="234"/>
      <c r="F317" s="234"/>
      <c r="G317" s="234"/>
    </row>
    <row r="318" spans="4:7" ht="13.5" customHeight="1">
      <c r="D318" s="234"/>
      <c r="E318" s="234"/>
      <c r="F318" s="234"/>
      <c r="G318" s="234"/>
    </row>
    <row r="319" spans="4:7" ht="13.5" customHeight="1">
      <c r="D319" s="234"/>
      <c r="E319" s="234"/>
      <c r="F319" s="234"/>
      <c r="G319" s="234"/>
    </row>
    <row r="320" spans="4:7" ht="13.5" customHeight="1">
      <c r="D320" s="234"/>
      <c r="E320" s="234"/>
      <c r="F320" s="234"/>
      <c r="G320" s="234"/>
    </row>
    <row r="321" spans="4:7" ht="13.5" customHeight="1">
      <c r="D321" s="234"/>
      <c r="E321" s="234"/>
      <c r="F321" s="234"/>
      <c r="G321" s="234"/>
    </row>
    <row r="322" spans="4:7" ht="13.5" customHeight="1">
      <c r="D322" s="234"/>
      <c r="E322" s="234"/>
      <c r="F322" s="234"/>
      <c r="G322" s="234"/>
    </row>
    <row r="323" spans="4:7" ht="13.5" customHeight="1">
      <c r="D323" s="234"/>
      <c r="E323" s="234"/>
      <c r="F323" s="234"/>
      <c r="G323" s="234"/>
    </row>
    <row r="324" spans="4:7" ht="13.5" customHeight="1">
      <c r="D324" s="234"/>
      <c r="E324" s="234"/>
      <c r="F324" s="234"/>
      <c r="G324" s="234"/>
    </row>
    <row r="325" spans="4:7" ht="13.5" customHeight="1">
      <c r="D325" s="234"/>
      <c r="E325" s="234"/>
      <c r="F325" s="234"/>
      <c r="G325" s="234"/>
    </row>
    <row r="326" spans="4:7" ht="13.5" customHeight="1">
      <c r="D326" s="234"/>
      <c r="E326" s="234"/>
      <c r="F326" s="234"/>
      <c r="G326" s="234"/>
    </row>
    <row r="327" spans="4:7" ht="13.5" customHeight="1">
      <c r="D327" s="234"/>
      <c r="E327" s="234"/>
      <c r="F327" s="234"/>
      <c r="G327" s="234"/>
    </row>
    <row r="328" spans="4:7" ht="13.5" customHeight="1">
      <c r="D328" s="234"/>
      <c r="E328" s="234"/>
      <c r="F328" s="234"/>
      <c r="G328" s="234"/>
    </row>
    <row r="329" spans="4:7" ht="13.5" customHeight="1">
      <c r="D329" s="234"/>
      <c r="E329" s="234"/>
      <c r="F329" s="234"/>
      <c r="G329" s="234"/>
    </row>
    <row r="330" spans="4:7" ht="13.5" customHeight="1">
      <c r="D330" s="234"/>
      <c r="E330" s="234"/>
      <c r="F330" s="234"/>
      <c r="G330" s="234"/>
    </row>
    <row r="331" spans="4:7" ht="13.5" customHeight="1">
      <c r="D331" s="234"/>
      <c r="E331" s="234"/>
      <c r="F331" s="234"/>
      <c r="G331" s="234"/>
    </row>
    <row r="332" spans="4:7" ht="13.5" customHeight="1">
      <c r="D332" s="234"/>
      <c r="E332" s="234"/>
      <c r="F332" s="234"/>
      <c r="G332" s="234"/>
    </row>
    <row r="333" spans="4:7" ht="13.5" customHeight="1">
      <c r="D333" s="234"/>
      <c r="E333" s="234"/>
      <c r="F333" s="234"/>
      <c r="G333" s="234"/>
    </row>
    <row r="334" spans="4:7" ht="13.5" customHeight="1">
      <c r="D334" s="234"/>
      <c r="E334" s="234"/>
      <c r="F334" s="234"/>
      <c r="G334" s="234"/>
    </row>
    <row r="335" spans="4:7" ht="13.5" customHeight="1">
      <c r="D335" s="234"/>
      <c r="E335" s="234"/>
      <c r="F335" s="234"/>
      <c r="G335" s="234"/>
    </row>
    <row r="336" spans="4:7" ht="13.5" customHeight="1">
      <c r="D336" s="234"/>
      <c r="E336" s="234"/>
      <c r="F336" s="234"/>
      <c r="G336" s="234"/>
    </row>
    <row r="337" spans="4:7" ht="13.5" customHeight="1">
      <c r="D337" s="234"/>
      <c r="E337" s="234"/>
      <c r="F337" s="234"/>
      <c r="G337" s="234"/>
    </row>
    <row r="338" spans="4:7" ht="13.5" customHeight="1">
      <c r="D338" s="234"/>
      <c r="E338" s="234"/>
      <c r="F338" s="234"/>
      <c r="G338" s="234"/>
    </row>
    <row r="339" spans="4:7" ht="13.5" customHeight="1">
      <c r="D339" s="234"/>
      <c r="E339" s="234"/>
      <c r="F339" s="234"/>
      <c r="G339" s="234"/>
    </row>
    <row r="340" spans="4:7" ht="13.5" customHeight="1">
      <c r="D340" s="234"/>
      <c r="E340" s="234"/>
      <c r="F340" s="234"/>
      <c r="G340" s="234"/>
    </row>
    <row r="341" spans="4:7" ht="13.5" customHeight="1">
      <c r="D341" s="234"/>
      <c r="E341" s="234"/>
      <c r="F341" s="234"/>
      <c r="G341" s="234"/>
    </row>
    <row r="342" spans="4:7" ht="13.5" customHeight="1">
      <c r="D342" s="234"/>
      <c r="E342" s="234"/>
      <c r="F342" s="234"/>
      <c r="G342" s="234"/>
    </row>
    <row r="343" spans="4:7" ht="13.5" customHeight="1">
      <c r="D343" s="234"/>
      <c r="E343" s="234"/>
      <c r="F343" s="234"/>
      <c r="G343" s="234"/>
    </row>
    <row r="344" spans="4:7" ht="13.5" customHeight="1">
      <c r="D344" s="234"/>
      <c r="E344" s="234"/>
      <c r="F344" s="234"/>
      <c r="G344" s="234"/>
    </row>
    <row r="345" spans="4:7" ht="13.5" customHeight="1">
      <c r="D345" s="234"/>
      <c r="E345" s="234"/>
      <c r="F345" s="234"/>
      <c r="G345" s="234"/>
    </row>
    <row r="346" spans="4:7" ht="13.5" customHeight="1">
      <c r="D346" s="234"/>
      <c r="E346" s="234"/>
      <c r="F346" s="234"/>
      <c r="G346" s="234"/>
    </row>
    <row r="347" spans="4:7" ht="13.5" customHeight="1">
      <c r="D347" s="234"/>
      <c r="E347" s="234"/>
      <c r="F347" s="234"/>
      <c r="G347" s="234"/>
    </row>
    <row r="348" spans="4:7" ht="13.5" customHeight="1">
      <c r="D348" s="234"/>
      <c r="E348" s="234"/>
      <c r="F348" s="234"/>
      <c r="G348" s="234"/>
    </row>
    <row r="349" spans="4:7" ht="13.5" customHeight="1">
      <c r="D349" s="234"/>
      <c r="E349" s="234"/>
      <c r="F349" s="234"/>
      <c r="G349" s="234"/>
    </row>
    <row r="350" spans="4:7" ht="13.5" customHeight="1">
      <c r="D350" s="234"/>
      <c r="E350" s="234"/>
      <c r="F350" s="234"/>
      <c r="G350" s="234"/>
    </row>
    <row r="351" spans="4:7" ht="13.5" customHeight="1">
      <c r="D351" s="234"/>
      <c r="E351" s="234"/>
      <c r="F351" s="234"/>
      <c r="G351" s="234"/>
    </row>
    <row r="352" spans="4:7" ht="13.5" customHeight="1">
      <c r="D352" s="234"/>
      <c r="E352" s="234"/>
      <c r="F352" s="234"/>
      <c r="G352" s="234"/>
    </row>
    <row r="353" spans="4:7" ht="13.5" customHeight="1">
      <c r="D353" s="234"/>
      <c r="E353" s="234"/>
      <c r="F353" s="234"/>
      <c r="G353" s="234"/>
    </row>
    <row r="354" spans="4:7" ht="13.5" customHeight="1">
      <c r="D354" s="234"/>
      <c r="E354" s="234"/>
      <c r="F354" s="234"/>
      <c r="G354" s="234"/>
    </row>
    <row r="355" spans="4:7" ht="13.5" customHeight="1">
      <c r="D355" s="234"/>
      <c r="E355" s="234"/>
      <c r="F355" s="234"/>
      <c r="G355" s="234"/>
    </row>
    <row r="356" spans="4:7" ht="13.5" customHeight="1">
      <c r="D356" s="234"/>
      <c r="E356" s="234"/>
      <c r="F356" s="234"/>
      <c r="G356" s="234"/>
    </row>
    <row r="357" spans="4:7" ht="13.5" customHeight="1">
      <c r="D357" s="234"/>
      <c r="E357" s="234"/>
      <c r="F357" s="234"/>
      <c r="G357" s="234"/>
    </row>
    <row r="358" spans="4:7" ht="13.5" customHeight="1">
      <c r="D358" s="234"/>
      <c r="E358" s="234"/>
      <c r="F358" s="234"/>
      <c r="G358" s="234"/>
    </row>
    <row r="359" spans="4:7" ht="13.5" customHeight="1">
      <c r="D359" s="234"/>
      <c r="E359" s="234"/>
      <c r="F359" s="234"/>
      <c r="G359" s="234"/>
    </row>
    <row r="360" spans="4:7" ht="13.5" customHeight="1">
      <c r="D360" s="234"/>
      <c r="E360" s="234"/>
      <c r="F360" s="234"/>
      <c r="G360" s="234"/>
    </row>
    <row r="361" spans="4:7" ht="13.5" customHeight="1">
      <c r="D361" s="234"/>
      <c r="E361" s="234"/>
      <c r="F361" s="234"/>
      <c r="G361" s="234"/>
    </row>
    <row r="362" spans="4:7" ht="13.5" customHeight="1">
      <c r="D362" s="234"/>
      <c r="E362" s="234"/>
      <c r="F362" s="234"/>
      <c r="G362" s="234"/>
    </row>
    <row r="363" spans="4:7" ht="13.5" customHeight="1">
      <c r="D363" s="234"/>
      <c r="E363" s="234"/>
      <c r="F363" s="234"/>
      <c r="G363" s="234"/>
    </row>
    <row r="364" spans="4:7" ht="13.5" customHeight="1">
      <c r="D364" s="234"/>
      <c r="E364" s="234"/>
      <c r="F364" s="234"/>
      <c r="G364" s="234"/>
    </row>
    <row r="365" spans="4:7" ht="13.5" customHeight="1">
      <c r="D365" s="234"/>
      <c r="E365" s="234"/>
      <c r="F365" s="234"/>
      <c r="G365" s="234"/>
    </row>
    <row r="366" spans="4:7" ht="13.5" customHeight="1">
      <c r="D366" s="234"/>
      <c r="E366" s="234"/>
      <c r="F366" s="234"/>
      <c r="G366" s="234"/>
    </row>
    <row r="367" spans="4:7" ht="13.5" customHeight="1">
      <c r="D367" s="234"/>
      <c r="E367" s="234"/>
      <c r="F367" s="234"/>
      <c r="G367" s="234"/>
    </row>
    <row r="368" spans="4:7" ht="13.5" customHeight="1">
      <c r="D368" s="234"/>
      <c r="E368" s="234"/>
      <c r="F368" s="234"/>
      <c r="G368" s="234"/>
    </row>
    <row r="369" spans="4:7" ht="13.5" customHeight="1">
      <c r="D369" s="234"/>
      <c r="E369" s="234"/>
      <c r="F369" s="234"/>
      <c r="G369" s="234"/>
    </row>
    <row r="370" spans="4:7" ht="13.5" customHeight="1">
      <c r="D370" s="234"/>
      <c r="E370" s="234"/>
      <c r="F370" s="234"/>
      <c r="G370" s="234"/>
    </row>
    <row r="371" spans="4:7" ht="13.5" customHeight="1">
      <c r="D371" s="234"/>
      <c r="E371" s="234"/>
      <c r="F371" s="234"/>
      <c r="G371" s="234"/>
    </row>
    <row r="372" spans="4:7" ht="13.5" customHeight="1">
      <c r="D372" s="234"/>
      <c r="E372" s="234"/>
      <c r="F372" s="234"/>
      <c r="G372" s="234"/>
    </row>
    <row r="373" spans="4:7" ht="13.5" customHeight="1">
      <c r="D373" s="234"/>
      <c r="E373" s="234"/>
      <c r="F373" s="234"/>
      <c r="G373" s="234"/>
    </row>
    <row r="374" spans="4:7" ht="13.5" customHeight="1">
      <c r="D374" s="234"/>
      <c r="E374" s="234"/>
      <c r="F374" s="234"/>
      <c r="G374" s="234"/>
    </row>
    <row r="375" spans="4:7" ht="13.5" customHeight="1">
      <c r="D375" s="234"/>
      <c r="E375" s="234"/>
      <c r="F375" s="234"/>
      <c r="G375" s="234"/>
    </row>
    <row r="376" spans="4:7" ht="13.5" customHeight="1">
      <c r="D376" s="234"/>
      <c r="E376" s="234"/>
      <c r="F376" s="234"/>
      <c r="G376" s="234"/>
    </row>
    <row r="377" spans="4:7" ht="13.5" customHeight="1">
      <c r="D377" s="234"/>
      <c r="E377" s="234"/>
      <c r="F377" s="234"/>
      <c r="G377" s="234"/>
    </row>
    <row r="378" spans="4:7" ht="13.5" customHeight="1">
      <c r="D378" s="234"/>
      <c r="E378" s="234"/>
      <c r="F378" s="234"/>
      <c r="G378" s="234"/>
    </row>
    <row r="379" spans="4:7" ht="13.5" customHeight="1">
      <c r="D379" s="234"/>
      <c r="E379" s="234"/>
      <c r="F379" s="234"/>
      <c r="G379" s="234"/>
    </row>
    <row r="380" spans="4:7" ht="13.5" customHeight="1">
      <c r="D380" s="234"/>
      <c r="E380" s="234"/>
      <c r="F380" s="234"/>
      <c r="G380" s="234"/>
    </row>
    <row r="381" spans="4:7" ht="13.5" customHeight="1">
      <c r="D381" s="234"/>
      <c r="E381" s="234"/>
      <c r="F381" s="234"/>
      <c r="G381" s="234"/>
    </row>
    <row r="382" spans="4:7" ht="13.5" customHeight="1">
      <c r="D382" s="234"/>
      <c r="E382" s="234"/>
      <c r="F382" s="234"/>
      <c r="G382" s="234"/>
    </row>
    <row r="383" spans="4:7" ht="13.5" customHeight="1">
      <c r="D383" s="234"/>
      <c r="E383" s="234"/>
      <c r="F383" s="234"/>
      <c r="G383" s="234"/>
    </row>
    <row r="384" spans="4:7" ht="13.5" customHeight="1">
      <c r="D384" s="234"/>
      <c r="E384" s="234"/>
      <c r="F384" s="234"/>
      <c r="G384" s="234"/>
    </row>
    <row r="385" spans="4:7" ht="13.5" customHeight="1">
      <c r="D385" s="234"/>
      <c r="E385" s="234"/>
      <c r="F385" s="234"/>
      <c r="G385" s="234"/>
    </row>
    <row r="386" spans="4:7" ht="13.5" customHeight="1">
      <c r="D386" s="234"/>
      <c r="E386" s="234"/>
      <c r="F386" s="234"/>
      <c r="G386" s="234"/>
    </row>
    <row r="387" spans="4:7" ht="13.5" customHeight="1">
      <c r="D387" s="234"/>
      <c r="E387" s="234"/>
      <c r="F387" s="234"/>
      <c r="G387" s="234"/>
    </row>
    <row r="388" spans="4:7" ht="13.5" customHeight="1">
      <c r="D388" s="234"/>
      <c r="E388" s="234"/>
      <c r="F388" s="234"/>
      <c r="G388" s="234"/>
    </row>
    <row r="389" spans="4:7" ht="13.5" customHeight="1">
      <c r="D389" s="234"/>
      <c r="E389" s="234"/>
      <c r="F389" s="234"/>
      <c r="G389" s="234"/>
    </row>
    <row r="390" spans="4:7" ht="13.5" customHeight="1">
      <c r="D390" s="234"/>
      <c r="E390" s="234"/>
      <c r="F390" s="234"/>
      <c r="G390" s="234"/>
    </row>
    <row r="391" spans="4:7" ht="13.5" customHeight="1">
      <c r="D391" s="234"/>
      <c r="E391" s="234"/>
      <c r="F391" s="234"/>
      <c r="G391" s="234"/>
    </row>
    <row r="392" spans="4:7" ht="13.5" customHeight="1">
      <c r="D392" s="234"/>
      <c r="E392" s="234"/>
      <c r="F392" s="234"/>
      <c r="G392" s="234"/>
    </row>
    <row r="393" spans="4:7" ht="13.5" customHeight="1">
      <c r="D393" s="234"/>
      <c r="E393" s="234"/>
      <c r="F393" s="234"/>
      <c r="G393" s="234"/>
    </row>
    <row r="394" spans="4:7" ht="13.5" customHeight="1">
      <c r="D394" s="234"/>
      <c r="E394" s="234"/>
      <c r="F394" s="234"/>
      <c r="G394" s="234"/>
    </row>
    <row r="395" spans="4:7" ht="13.5" customHeight="1">
      <c r="D395" s="234"/>
      <c r="E395" s="234"/>
      <c r="F395" s="234"/>
      <c r="G395" s="234"/>
    </row>
    <row r="396" spans="4:7" ht="13.5" customHeight="1">
      <c r="D396" s="234"/>
      <c r="E396" s="234"/>
      <c r="F396" s="234"/>
      <c r="G396" s="234"/>
    </row>
    <row r="397" spans="4:7" ht="13.5" customHeight="1">
      <c r="D397" s="234"/>
      <c r="E397" s="234"/>
      <c r="F397" s="234"/>
      <c r="G397" s="234"/>
    </row>
    <row r="398" spans="4:7" ht="13.5" customHeight="1">
      <c r="D398" s="234"/>
      <c r="E398" s="234"/>
      <c r="F398" s="234"/>
      <c r="G398" s="234"/>
    </row>
    <row r="399" spans="4:7" ht="13.5" customHeight="1">
      <c r="D399" s="234"/>
      <c r="E399" s="234"/>
      <c r="F399" s="234"/>
      <c r="G399" s="234"/>
    </row>
    <row r="400" spans="4:7" ht="13.5" customHeight="1">
      <c r="D400" s="234"/>
      <c r="E400" s="234"/>
      <c r="F400" s="234"/>
      <c r="G400" s="234"/>
    </row>
    <row r="401" spans="4:7" ht="13.5" customHeight="1">
      <c r="D401" s="234"/>
      <c r="E401" s="234"/>
      <c r="F401" s="234"/>
      <c r="G401" s="234"/>
    </row>
    <row r="402" spans="4:7" ht="13.5" customHeight="1">
      <c r="D402" s="234"/>
      <c r="E402" s="234"/>
      <c r="F402" s="234"/>
      <c r="G402" s="234"/>
    </row>
    <row r="403" spans="4:7" ht="13.5" customHeight="1">
      <c r="D403" s="234"/>
      <c r="E403" s="234"/>
      <c r="F403" s="234"/>
      <c r="G403" s="234"/>
    </row>
    <row r="404" spans="4:7" ht="13.5" customHeight="1">
      <c r="D404" s="234"/>
      <c r="E404" s="234"/>
      <c r="F404" s="234"/>
      <c r="G404" s="234"/>
    </row>
    <row r="405" spans="4:7" ht="13.5" customHeight="1">
      <c r="D405" s="234"/>
      <c r="E405" s="234"/>
      <c r="F405" s="234"/>
      <c r="G405" s="234"/>
    </row>
    <row r="406" spans="4:7" ht="13.5" customHeight="1">
      <c r="D406" s="234"/>
      <c r="E406" s="234"/>
      <c r="F406" s="234"/>
      <c r="G406" s="234"/>
    </row>
    <row r="407" spans="4:7" ht="13.5" customHeight="1">
      <c r="D407" s="234"/>
      <c r="E407" s="234"/>
      <c r="F407" s="234"/>
      <c r="G407" s="234"/>
    </row>
    <row r="408" spans="4:7" ht="13.5" customHeight="1">
      <c r="D408" s="234"/>
      <c r="E408" s="234"/>
      <c r="F408" s="234"/>
      <c r="G408" s="234"/>
    </row>
    <row r="409" spans="4:7" ht="13.5" customHeight="1">
      <c r="D409" s="234"/>
      <c r="E409" s="234"/>
      <c r="F409" s="234"/>
      <c r="G409" s="234"/>
    </row>
    <row r="410" spans="4:7" ht="13.5" customHeight="1">
      <c r="D410" s="234"/>
      <c r="E410" s="234"/>
      <c r="F410" s="234"/>
      <c r="G410" s="234"/>
    </row>
    <row r="411" spans="4:7" ht="13.5" customHeight="1">
      <c r="D411" s="234"/>
      <c r="E411" s="234"/>
      <c r="F411" s="234"/>
      <c r="G411" s="234"/>
    </row>
    <row r="412" spans="4:7" ht="13.5" customHeight="1">
      <c r="D412" s="234"/>
      <c r="E412" s="234"/>
      <c r="F412" s="234"/>
      <c r="G412" s="234"/>
    </row>
    <row r="413" spans="4:7" ht="13.5" customHeight="1">
      <c r="D413" s="234"/>
      <c r="E413" s="234"/>
      <c r="F413" s="234"/>
      <c r="G413" s="234"/>
    </row>
    <row r="414" spans="4:7" ht="13.5" customHeight="1">
      <c r="D414" s="234"/>
      <c r="E414" s="234"/>
      <c r="F414" s="234"/>
      <c r="G414" s="234"/>
    </row>
    <row r="415" spans="4:7" ht="13.5" customHeight="1">
      <c r="D415" s="234"/>
      <c r="E415" s="234"/>
      <c r="F415" s="234"/>
      <c r="G415" s="234"/>
    </row>
    <row r="416" spans="4:7" ht="13.5" customHeight="1">
      <c r="D416" s="234"/>
      <c r="E416" s="234"/>
      <c r="F416" s="234"/>
      <c r="G416" s="234"/>
    </row>
    <row r="417" spans="4:7" ht="13.5" customHeight="1">
      <c r="D417" s="234"/>
      <c r="E417" s="234"/>
      <c r="F417" s="234"/>
      <c r="G417" s="234"/>
    </row>
    <row r="418" spans="4:7" ht="13.5" customHeight="1">
      <c r="D418" s="234"/>
      <c r="E418" s="234"/>
      <c r="F418" s="234"/>
      <c r="G418" s="234"/>
    </row>
    <row r="419" spans="4:7" ht="13.5" customHeight="1">
      <c r="D419" s="234"/>
      <c r="E419" s="234"/>
      <c r="F419" s="234"/>
      <c r="G419" s="234"/>
    </row>
    <row r="420" spans="4:7" ht="13.5" customHeight="1">
      <c r="D420" s="234"/>
      <c r="E420" s="234"/>
      <c r="F420" s="234"/>
      <c r="G420" s="234"/>
    </row>
    <row r="421" spans="4:7" ht="13.5" customHeight="1">
      <c r="D421" s="234"/>
      <c r="E421" s="234"/>
      <c r="F421" s="234"/>
      <c r="G421" s="234"/>
    </row>
    <row r="422" spans="4:7" ht="13.5" customHeight="1">
      <c r="D422" s="234"/>
      <c r="E422" s="234"/>
      <c r="F422" s="234"/>
      <c r="G422" s="234"/>
    </row>
    <row r="423" spans="4:7" ht="13.5" customHeight="1">
      <c r="D423" s="234"/>
      <c r="E423" s="234"/>
      <c r="F423" s="234"/>
      <c r="G423" s="234"/>
    </row>
    <row r="424" spans="4:7" ht="13.5" customHeight="1">
      <c r="D424" s="234"/>
      <c r="E424" s="234"/>
      <c r="F424" s="234"/>
      <c r="G424" s="234"/>
    </row>
    <row r="425" spans="4:7" ht="13.5" customHeight="1">
      <c r="D425" s="234"/>
      <c r="E425" s="234"/>
      <c r="F425" s="234"/>
      <c r="G425" s="234"/>
    </row>
    <row r="426" spans="4:7" ht="13.5" customHeight="1">
      <c r="D426" s="234"/>
      <c r="E426" s="234"/>
      <c r="F426" s="234"/>
      <c r="G426" s="234"/>
    </row>
    <row r="427" spans="4:7" ht="13.5" customHeight="1">
      <c r="D427" s="234"/>
      <c r="E427" s="234"/>
      <c r="F427" s="234"/>
      <c r="G427" s="234"/>
    </row>
    <row r="428" spans="4:7" ht="13.5" customHeight="1">
      <c r="D428" s="234"/>
      <c r="E428" s="234"/>
      <c r="F428" s="234"/>
      <c r="G428" s="234"/>
    </row>
    <row r="429" spans="4:7" ht="13.5" customHeight="1">
      <c r="D429" s="234"/>
      <c r="E429" s="234"/>
      <c r="F429" s="234"/>
      <c r="G429" s="234"/>
    </row>
    <row r="430" spans="4:7" ht="13.5" customHeight="1">
      <c r="D430" s="234"/>
      <c r="E430" s="234"/>
      <c r="F430" s="234"/>
      <c r="G430" s="234"/>
    </row>
    <row r="431" spans="4:7" ht="13.5" customHeight="1">
      <c r="D431" s="234"/>
      <c r="E431" s="234"/>
      <c r="F431" s="234"/>
      <c r="G431" s="234"/>
    </row>
    <row r="432" spans="4:7" ht="13.5" customHeight="1">
      <c r="D432" s="234"/>
      <c r="E432" s="234"/>
      <c r="F432" s="234"/>
      <c r="G432" s="234"/>
    </row>
    <row r="433" spans="4:7" ht="13.5" customHeight="1">
      <c r="D433" s="234"/>
      <c r="E433" s="234"/>
      <c r="F433" s="234"/>
      <c r="G433" s="234"/>
    </row>
    <row r="434" spans="4:7" ht="13.5" customHeight="1">
      <c r="D434" s="234"/>
      <c r="E434" s="234"/>
      <c r="F434" s="234"/>
      <c r="G434" s="234"/>
    </row>
    <row r="435" spans="4:7" ht="13.5" customHeight="1">
      <c r="D435" s="234"/>
      <c r="E435" s="234"/>
      <c r="F435" s="234"/>
      <c r="G435" s="234"/>
    </row>
    <row r="436" spans="4:7" ht="13.5" customHeight="1">
      <c r="D436" s="234"/>
      <c r="E436" s="234"/>
      <c r="F436" s="234"/>
      <c r="G436" s="234"/>
    </row>
    <row r="437" spans="4:7" ht="13.5" customHeight="1">
      <c r="D437" s="234"/>
      <c r="E437" s="234"/>
      <c r="F437" s="234"/>
      <c r="G437" s="234"/>
    </row>
    <row r="438" spans="4:7" ht="13.5" customHeight="1">
      <c r="D438" s="234"/>
      <c r="E438" s="234"/>
      <c r="F438" s="234"/>
      <c r="G438" s="234"/>
    </row>
    <row r="439" spans="4:7" ht="13.5" customHeight="1">
      <c r="D439" s="234"/>
      <c r="E439" s="234"/>
      <c r="F439" s="234"/>
      <c r="G439" s="234"/>
    </row>
    <row r="440" spans="4:7" ht="13.5" customHeight="1">
      <c r="D440" s="234"/>
      <c r="E440" s="234"/>
      <c r="F440" s="234"/>
      <c r="G440" s="234"/>
    </row>
    <row r="441" spans="4:7" ht="13.5" customHeight="1">
      <c r="D441" s="234"/>
      <c r="E441" s="234"/>
      <c r="F441" s="234"/>
      <c r="G441" s="234"/>
    </row>
    <row r="442" spans="4:7" ht="13.5" customHeight="1">
      <c r="D442" s="234"/>
      <c r="E442" s="234"/>
      <c r="F442" s="234"/>
      <c r="G442" s="234"/>
    </row>
    <row r="443" spans="4:7" ht="13.5" customHeight="1">
      <c r="D443" s="234"/>
      <c r="E443" s="234"/>
      <c r="F443" s="234"/>
      <c r="G443" s="234"/>
    </row>
    <row r="444" spans="4:7" ht="13.5" customHeight="1">
      <c r="D444" s="234"/>
      <c r="E444" s="234"/>
      <c r="F444" s="234"/>
      <c r="G444" s="234"/>
    </row>
    <row r="445" spans="4:7" ht="13.5" customHeight="1">
      <c r="D445" s="234"/>
      <c r="E445" s="234"/>
      <c r="F445" s="234"/>
      <c r="G445" s="234"/>
    </row>
    <row r="446" spans="4:7" ht="13.5" customHeight="1">
      <c r="D446" s="234"/>
      <c r="E446" s="234"/>
      <c r="F446" s="234"/>
      <c r="G446" s="234"/>
    </row>
    <row r="447" spans="4:7" ht="13.5" customHeight="1">
      <c r="D447" s="234"/>
      <c r="E447" s="234"/>
      <c r="F447" s="234"/>
      <c r="G447" s="234"/>
    </row>
    <row r="448" spans="4:7" ht="13.5" customHeight="1">
      <c r="D448" s="234"/>
      <c r="E448" s="234"/>
      <c r="F448" s="234"/>
      <c r="G448" s="234"/>
    </row>
    <row r="449" spans="4:7" ht="13.5" customHeight="1">
      <c r="D449" s="234"/>
      <c r="E449" s="234"/>
      <c r="F449" s="234"/>
      <c r="G449" s="234"/>
    </row>
    <row r="450" spans="4:7" ht="13.5" customHeight="1">
      <c r="D450" s="234"/>
      <c r="E450" s="234"/>
      <c r="F450" s="234"/>
      <c r="G450" s="234"/>
    </row>
    <row r="451" spans="4:7" ht="13.5" customHeight="1">
      <c r="D451" s="234"/>
      <c r="E451" s="234"/>
      <c r="F451" s="234"/>
      <c r="G451" s="234"/>
    </row>
    <row r="452" spans="4:7" ht="13.5" customHeight="1">
      <c r="D452" s="234"/>
      <c r="E452" s="234"/>
      <c r="F452" s="234"/>
      <c r="G452" s="234"/>
    </row>
    <row r="453" spans="4:7" ht="13.5" customHeight="1">
      <c r="D453" s="234"/>
      <c r="E453" s="234"/>
      <c r="F453" s="234"/>
      <c r="G453" s="234"/>
    </row>
    <row r="454" spans="4:7" ht="13.5" customHeight="1">
      <c r="D454" s="234"/>
      <c r="E454" s="234"/>
      <c r="F454" s="234"/>
      <c r="G454" s="234"/>
    </row>
    <row r="455" spans="4:7" ht="13.5" customHeight="1">
      <c r="D455" s="234"/>
      <c r="E455" s="234"/>
      <c r="F455" s="234"/>
      <c r="G455" s="234"/>
    </row>
    <row r="456" spans="4:7" ht="13.5" customHeight="1">
      <c r="D456" s="234"/>
      <c r="E456" s="234"/>
      <c r="F456" s="234"/>
      <c r="G456" s="234"/>
    </row>
    <row r="457" spans="4:7" ht="13.5" customHeight="1">
      <c r="D457" s="234"/>
      <c r="E457" s="234"/>
      <c r="F457" s="234"/>
      <c r="G457" s="234"/>
    </row>
    <row r="458" spans="4:7" ht="13.5" customHeight="1">
      <c r="D458" s="234"/>
      <c r="E458" s="234"/>
      <c r="F458" s="234"/>
      <c r="G458" s="234"/>
    </row>
    <row r="459" spans="4:7" ht="13.5" customHeight="1">
      <c r="D459" s="234"/>
      <c r="E459" s="234"/>
      <c r="F459" s="234"/>
      <c r="G459" s="234"/>
    </row>
    <row r="460" spans="4:7" ht="13.5" customHeight="1">
      <c r="D460" s="234"/>
      <c r="E460" s="234"/>
      <c r="F460" s="234"/>
      <c r="G460" s="234"/>
    </row>
    <row r="461" spans="4:7" ht="13.5" customHeight="1">
      <c r="D461" s="234"/>
      <c r="E461" s="234"/>
      <c r="F461" s="234"/>
      <c r="G461" s="234"/>
    </row>
    <row r="462" spans="4:7" ht="13.5" customHeight="1">
      <c r="D462" s="234"/>
      <c r="E462" s="234"/>
      <c r="F462" s="234"/>
      <c r="G462" s="234"/>
    </row>
    <row r="463" spans="4:7" ht="13.5" customHeight="1">
      <c r="D463" s="234"/>
      <c r="E463" s="234"/>
      <c r="F463" s="234"/>
      <c r="G463" s="234"/>
    </row>
    <row r="464" spans="4:7" ht="13.5" customHeight="1">
      <c r="D464" s="234"/>
      <c r="E464" s="234"/>
      <c r="F464" s="234"/>
      <c r="G464" s="234"/>
    </row>
    <row r="465" spans="4:7" ht="13.5" customHeight="1">
      <c r="D465" s="234"/>
      <c r="E465" s="234"/>
      <c r="F465" s="234"/>
      <c r="G465" s="234"/>
    </row>
    <row r="466" spans="4:7" ht="13.5" customHeight="1">
      <c r="D466" s="234"/>
      <c r="E466" s="234"/>
      <c r="F466" s="234"/>
      <c r="G466" s="234"/>
    </row>
    <row r="467" spans="4:7" ht="13.5" customHeight="1">
      <c r="D467" s="234"/>
      <c r="E467" s="234"/>
      <c r="F467" s="234"/>
      <c r="G467" s="234"/>
    </row>
    <row r="468" spans="4:7" ht="13.5" customHeight="1">
      <c r="D468" s="234"/>
      <c r="E468" s="234"/>
      <c r="F468" s="234"/>
      <c r="G468" s="234"/>
    </row>
    <row r="469" spans="4:7" ht="13.5" customHeight="1">
      <c r="D469" s="234"/>
      <c r="E469" s="234"/>
      <c r="F469" s="234"/>
      <c r="G469" s="234"/>
    </row>
    <row r="470" spans="4:7" ht="13.5" customHeight="1">
      <c r="D470" s="234"/>
      <c r="E470" s="234"/>
      <c r="F470" s="234"/>
      <c r="G470" s="234"/>
    </row>
    <row r="471" spans="4:7" ht="13.5" customHeight="1">
      <c r="D471" s="234"/>
      <c r="E471" s="234"/>
      <c r="F471" s="234"/>
      <c r="G471" s="234"/>
    </row>
    <row r="472" spans="4:7" ht="13.5" customHeight="1">
      <c r="D472" s="234"/>
      <c r="E472" s="234"/>
      <c r="F472" s="234"/>
      <c r="G472" s="234"/>
    </row>
    <row r="473" spans="4:7" ht="13.5" customHeight="1">
      <c r="D473" s="234"/>
      <c r="E473" s="234"/>
      <c r="F473" s="234"/>
      <c r="G473" s="234"/>
    </row>
    <row r="474" spans="4:7" ht="13.5" customHeight="1">
      <c r="D474" s="234"/>
      <c r="E474" s="234"/>
      <c r="F474" s="234"/>
      <c r="G474" s="234"/>
    </row>
    <row r="475" spans="4:7" ht="13.5" customHeight="1">
      <c r="D475" s="234"/>
      <c r="E475" s="234"/>
      <c r="F475" s="234"/>
      <c r="G475" s="234"/>
    </row>
    <row r="476" spans="4:7" ht="13.5" customHeight="1">
      <c r="D476" s="234"/>
      <c r="E476" s="234"/>
      <c r="F476" s="234"/>
      <c r="G476" s="234"/>
    </row>
    <row r="477" spans="4:7" ht="13.5" customHeight="1">
      <c r="D477" s="234"/>
      <c r="E477" s="234"/>
      <c r="F477" s="234"/>
      <c r="G477" s="234"/>
    </row>
    <row r="478" spans="4:7" ht="13.5" customHeight="1">
      <c r="D478" s="234"/>
      <c r="E478" s="234"/>
      <c r="F478" s="234"/>
      <c r="G478" s="234"/>
    </row>
    <row r="479" spans="4:7" ht="13.5" customHeight="1">
      <c r="D479" s="234"/>
      <c r="E479" s="234"/>
      <c r="F479" s="234"/>
      <c r="G479" s="234"/>
    </row>
    <row r="480" spans="4:7" ht="13.5" customHeight="1">
      <c r="D480" s="234"/>
      <c r="E480" s="234"/>
      <c r="F480" s="234"/>
      <c r="G480" s="234"/>
    </row>
    <row r="481" spans="4:7" ht="13.5" customHeight="1">
      <c r="D481" s="234"/>
      <c r="E481" s="234"/>
      <c r="F481" s="234"/>
      <c r="G481" s="234"/>
    </row>
    <row r="482" spans="4:7" ht="13.5" customHeight="1">
      <c r="D482" s="234"/>
      <c r="E482" s="234"/>
      <c r="F482" s="234"/>
      <c r="G482" s="234"/>
    </row>
    <row r="483" spans="4:7" ht="13.5" customHeight="1">
      <c r="D483" s="234"/>
      <c r="E483" s="234"/>
      <c r="F483" s="234"/>
      <c r="G483" s="234"/>
    </row>
    <row r="484" spans="4:7" ht="13.5" customHeight="1">
      <c r="D484" s="234"/>
      <c r="E484" s="234"/>
      <c r="F484" s="234"/>
      <c r="G484" s="234"/>
    </row>
    <row r="485" spans="4:7" ht="13.5" customHeight="1">
      <c r="D485" s="234"/>
      <c r="E485" s="234"/>
      <c r="F485" s="234"/>
      <c r="G485" s="234"/>
    </row>
    <row r="486" spans="4:7" ht="13.5" customHeight="1">
      <c r="D486" s="234"/>
      <c r="E486" s="234"/>
      <c r="F486" s="234"/>
      <c r="G486" s="234"/>
    </row>
    <row r="487" spans="4:7" ht="13.5" customHeight="1">
      <c r="D487" s="234"/>
      <c r="E487" s="234"/>
      <c r="F487" s="234"/>
      <c r="G487" s="234"/>
    </row>
    <row r="488" spans="4:7" ht="13.5" customHeight="1">
      <c r="D488" s="234"/>
      <c r="E488" s="234"/>
      <c r="F488" s="234"/>
      <c r="G488" s="234"/>
    </row>
    <row r="489" spans="4:7" ht="13.5" customHeight="1">
      <c r="D489" s="234"/>
      <c r="E489" s="234"/>
      <c r="F489" s="234"/>
      <c r="G489" s="234"/>
    </row>
    <row r="490" spans="4:7" ht="13.5" customHeight="1">
      <c r="D490" s="234"/>
      <c r="E490" s="234"/>
      <c r="F490" s="234"/>
      <c r="G490" s="234"/>
    </row>
    <row r="491" spans="4:7" ht="13.5" customHeight="1">
      <c r="D491" s="234"/>
      <c r="E491" s="234"/>
      <c r="F491" s="234"/>
      <c r="G491" s="234"/>
    </row>
    <row r="492" spans="4:7" ht="13.5" customHeight="1">
      <c r="D492" s="234"/>
      <c r="E492" s="234"/>
      <c r="F492" s="234"/>
      <c r="G492" s="234"/>
    </row>
    <row r="493" spans="4:7" ht="13.5" customHeight="1">
      <c r="D493" s="234"/>
      <c r="E493" s="234"/>
      <c r="F493" s="234"/>
      <c r="G493" s="234"/>
    </row>
    <row r="494" spans="4:7" ht="13.5" customHeight="1">
      <c r="D494" s="234"/>
      <c r="E494" s="234"/>
      <c r="F494" s="234"/>
      <c r="G494" s="234"/>
    </row>
    <row r="495" spans="4:7" ht="13.5" customHeight="1">
      <c r="D495" s="234"/>
      <c r="E495" s="234"/>
      <c r="F495" s="234"/>
      <c r="G495" s="234"/>
    </row>
    <row r="496" spans="4:7" ht="13.5" customHeight="1">
      <c r="D496" s="234"/>
      <c r="E496" s="234"/>
      <c r="F496" s="234"/>
      <c r="G496" s="234"/>
    </row>
    <row r="497" spans="4:7" ht="13.5" customHeight="1">
      <c r="D497" s="234"/>
      <c r="E497" s="234"/>
      <c r="F497" s="234"/>
      <c r="G497" s="234"/>
    </row>
    <row r="498" spans="4:7" ht="13.5" customHeight="1">
      <c r="D498" s="234"/>
      <c r="E498" s="234"/>
      <c r="F498" s="234"/>
      <c r="G498" s="234"/>
    </row>
    <row r="499" spans="4:7" ht="13.5" customHeight="1">
      <c r="D499" s="234"/>
      <c r="E499" s="234"/>
      <c r="F499" s="234"/>
      <c r="G499" s="234"/>
    </row>
    <row r="500" spans="4:7" ht="13.5" customHeight="1">
      <c r="D500" s="234"/>
      <c r="E500" s="234"/>
      <c r="F500" s="234"/>
      <c r="G500" s="234"/>
    </row>
    <row r="501" spans="4:7" ht="13.5" customHeight="1">
      <c r="D501" s="234"/>
      <c r="E501" s="234"/>
      <c r="F501" s="234"/>
      <c r="G501" s="234"/>
    </row>
    <row r="502" spans="4:7" ht="13.5" customHeight="1">
      <c r="D502" s="234"/>
      <c r="E502" s="234"/>
      <c r="F502" s="234"/>
      <c r="G502" s="234"/>
    </row>
    <row r="503" spans="4:7" ht="13.5" customHeight="1">
      <c r="D503" s="234"/>
      <c r="E503" s="234"/>
      <c r="F503" s="234"/>
      <c r="G503" s="234"/>
    </row>
    <row r="504" spans="4:7" ht="13.5" customHeight="1">
      <c r="D504" s="234"/>
      <c r="E504" s="234"/>
      <c r="F504" s="234"/>
      <c r="G504" s="234"/>
    </row>
    <row r="505" spans="4:7" ht="13.5" customHeight="1">
      <c r="D505" s="234"/>
      <c r="E505" s="234"/>
      <c r="F505" s="234"/>
      <c r="G505" s="234"/>
    </row>
    <row r="506" spans="4:7" ht="13.5" customHeight="1">
      <c r="D506" s="234"/>
      <c r="E506" s="234"/>
      <c r="F506" s="234"/>
      <c r="G506" s="234"/>
    </row>
    <row r="507" spans="4:7" ht="13.5" customHeight="1">
      <c r="D507" s="234"/>
      <c r="E507" s="234"/>
      <c r="F507" s="234"/>
      <c r="G507" s="234"/>
    </row>
    <row r="508" spans="4:7" ht="13.5" customHeight="1">
      <c r="D508" s="234"/>
      <c r="E508" s="234"/>
      <c r="F508" s="234"/>
      <c r="G508" s="234"/>
    </row>
    <row r="509" spans="4:7" ht="13.5" customHeight="1">
      <c r="D509" s="234"/>
      <c r="E509" s="234"/>
      <c r="F509" s="234"/>
      <c r="G509" s="234"/>
    </row>
    <row r="510" spans="4:7" ht="13.5" customHeight="1">
      <c r="D510" s="234"/>
      <c r="E510" s="234"/>
      <c r="F510" s="234"/>
      <c r="G510" s="234"/>
    </row>
    <row r="511" spans="4:7" ht="13.5" customHeight="1">
      <c r="D511" s="234"/>
      <c r="E511" s="234"/>
      <c r="F511" s="234"/>
      <c r="G511" s="234"/>
    </row>
    <row r="512" spans="4:7" ht="13.5" customHeight="1">
      <c r="D512" s="234"/>
      <c r="E512" s="234"/>
      <c r="F512" s="234"/>
      <c r="G512" s="234"/>
    </row>
    <row r="513" spans="4:7" ht="13.5" customHeight="1">
      <c r="D513" s="234"/>
      <c r="E513" s="234"/>
      <c r="F513" s="234"/>
      <c r="G513" s="234"/>
    </row>
    <row r="514" spans="4:7" ht="13.5" customHeight="1">
      <c r="D514" s="234"/>
      <c r="E514" s="234"/>
      <c r="F514" s="234"/>
      <c r="G514" s="234"/>
    </row>
    <row r="515" spans="4:7" ht="13.5" customHeight="1">
      <c r="D515" s="234"/>
      <c r="E515" s="234"/>
      <c r="F515" s="234"/>
      <c r="G515" s="234"/>
    </row>
    <row r="516" spans="4:7" ht="13.5" customHeight="1">
      <c r="D516" s="234"/>
      <c r="E516" s="234"/>
      <c r="F516" s="234"/>
      <c r="G516" s="234"/>
    </row>
    <row r="517" spans="4:7" ht="13.5" customHeight="1">
      <c r="D517" s="234"/>
      <c r="E517" s="234"/>
      <c r="F517" s="234"/>
      <c r="G517" s="234"/>
    </row>
    <row r="518" spans="4:7" ht="13.5" customHeight="1">
      <c r="D518" s="234"/>
      <c r="E518" s="234"/>
      <c r="F518" s="234"/>
      <c r="G518" s="234"/>
    </row>
    <row r="519" spans="4:7" ht="13.5" customHeight="1">
      <c r="D519" s="234"/>
      <c r="E519" s="234"/>
      <c r="F519" s="234"/>
      <c r="G519" s="234"/>
    </row>
    <row r="520" spans="4:7" ht="13.5" customHeight="1">
      <c r="D520" s="234"/>
      <c r="E520" s="234"/>
      <c r="F520" s="234"/>
      <c r="G520" s="234"/>
    </row>
    <row r="521" spans="4:7" ht="13.5" customHeight="1">
      <c r="D521" s="234"/>
      <c r="E521" s="234"/>
      <c r="F521" s="234"/>
      <c r="G521" s="234"/>
    </row>
    <row r="522" spans="4:7" ht="13.5" customHeight="1">
      <c r="D522" s="234"/>
      <c r="E522" s="234"/>
      <c r="F522" s="234"/>
      <c r="G522" s="234"/>
    </row>
    <row r="523" spans="4:7" ht="13.5" customHeight="1">
      <c r="D523" s="234"/>
      <c r="E523" s="234"/>
      <c r="F523" s="234"/>
      <c r="G523" s="234"/>
    </row>
    <row r="524" spans="4:7" ht="13.5" customHeight="1">
      <c r="D524" s="234"/>
      <c r="E524" s="234"/>
      <c r="F524" s="234"/>
      <c r="G524" s="234"/>
    </row>
    <row r="525" spans="4:7" ht="13.5" customHeight="1">
      <c r="D525" s="234"/>
      <c r="E525" s="234"/>
      <c r="F525" s="234"/>
      <c r="G525" s="234"/>
    </row>
    <row r="526" spans="4:7" ht="13.5" customHeight="1">
      <c r="D526" s="234"/>
      <c r="E526" s="234"/>
      <c r="F526" s="234"/>
      <c r="G526" s="234"/>
    </row>
    <row r="527" spans="4:7" ht="13.5" customHeight="1">
      <c r="D527" s="234"/>
      <c r="E527" s="234"/>
      <c r="F527" s="234"/>
      <c r="G527" s="234"/>
    </row>
    <row r="528" spans="4:7" ht="13.5" customHeight="1">
      <c r="D528" s="234"/>
      <c r="E528" s="234"/>
      <c r="F528" s="234"/>
      <c r="G528" s="234"/>
    </row>
    <row r="529" spans="4:7" ht="13.5" customHeight="1">
      <c r="D529" s="234"/>
      <c r="E529" s="234"/>
      <c r="F529" s="234"/>
      <c r="G529" s="234"/>
    </row>
    <row r="530" spans="4:7" ht="13.5" customHeight="1">
      <c r="D530" s="234"/>
      <c r="E530" s="234"/>
      <c r="F530" s="234"/>
      <c r="G530" s="234"/>
    </row>
    <row r="531" spans="4:7" ht="13.5" customHeight="1">
      <c r="D531" s="234"/>
      <c r="E531" s="234"/>
      <c r="F531" s="234"/>
      <c r="G531" s="234"/>
    </row>
    <row r="532" spans="4:7" ht="13.5" customHeight="1">
      <c r="D532" s="234"/>
      <c r="E532" s="234"/>
      <c r="F532" s="234"/>
      <c r="G532" s="234"/>
    </row>
    <row r="533" spans="4:7" ht="13.5" customHeight="1">
      <c r="D533" s="234"/>
      <c r="E533" s="234"/>
      <c r="F533" s="234"/>
      <c r="G533" s="234"/>
    </row>
    <row r="534" spans="4:7" ht="13.5" customHeight="1">
      <c r="D534" s="234"/>
      <c r="E534" s="234"/>
      <c r="F534" s="234"/>
      <c r="G534" s="234"/>
    </row>
    <row r="535" spans="4:7" ht="13.5" customHeight="1">
      <c r="D535" s="234"/>
      <c r="E535" s="234"/>
      <c r="F535" s="234"/>
      <c r="G535" s="234"/>
    </row>
    <row r="536" spans="4:7" ht="13.5" customHeight="1">
      <c r="D536" s="234"/>
      <c r="E536" s="234"/>
      <c r="F536" s="234"/>
      <c r="G536" s="234"/>
    </row>
    <row r="537" spans="4:7" ht="13.5" customHeight="1">
      <c r="D537" s="234"/>
      <c r="E537" s="234"/>
      <c r="F537" s="234"/>
      <c r="G537" s="234"/>
    </row>
    <row r="538" spans="4:7" ht="13.5" customHeight="1">
      <c r="D538" s="234"/>
      <c r="E538" s="234"/>
      <c r="F538" s="234"/>
      <c r="G538" s="234"/>
    </row>
    <row r="539" spans="4:7" ht="13.5" customHeight="1">
      <c r="D539" s="234"/>
      <c r="E539" s="234"/>
      <c r="F539" s="234"/>
      <c r="G539" s="234"/>
    </row>
    <row r="540" spans="4:7" ht="13.5" customHeight="1">
      <c r="D540" s="234"/>
      <c r="E540" s="234"/>
      <c r="F540" s="234"/>
      <c r="G540" s="234"/>
    </row>
    <row r="541" spans="4:7" ht="13.5" customHeight="1">
      <c r="D541" s="234"/>
      <c r="E541" s="234"/>
      <c r="F541" s="234"/>
      <c r="G541" s="234"/>
    </row>
    <row r="542" spans="4:7" ht="13.5" customHeight="1">
      <c r="D542" s="234"/>
      <c r="E542" s="234"/>
      <c r="F542" s="234"/>
      <c r="G542" s="234"/>
    </row>
    <row r="543" spans="4:7" ht="13.5" customHeight="1">
      <c r="D543" s="234"/>
      <c r="E543" s="234"/>
      <c r="F543" s="234"/>
      <c r="G543" s="234"/>
    </row>
    <row r="544" spans="4:7" ht="13.5" customHeight="1">
      <c r="D544" s="234"/>
      <c r="E544" s="234"/>
      <c r="F544" s="234"/>
      <c r="G544" s="234"/>
    </row>
    <row r="545" spans="4:7" ht="13.5" customHeight="1">
      <c r="D545" s="234"/>
      <c r="E545" s="234"/>
      <c r="F545" s="234"/>
      <c r="G545" s="234"/>
    </row>
    <row r="546" spans="4:7" ht="13.5" customHeight="1">
      <c r="D546" s="234"/>
      <c r="E546" s="234"/>
      <c r="F546" s="234"/>
      <c r="G546" s="234"/>
    </row>
    <row r="547" spans="4:7" ht="13.5" customHeight="1">
      <c r="D547" s="234"/>
      <c r="E547" s="234"/>
      <c r="F547" s="234"/>
      <c r="G547" s="234"/>
    </row>
    <row r="548" spans="4:7" ht="13.5" customHeight="1">
      <c r="D548" s="234"/>
      <c r="E548" s="234"/>
      <c r="F548" s="234"/>
      <c r="G548" s="234"/>
    </row>
    <row r="549" spans="4:7" ht="13.5" customHeight="1">
      <c r="D549" s="234"/>
      <c r="E549" s="234"/>
      <c r="F549" s="234"/>
      <c r="G549" s="234"/>
    </row>
    <row r="550" spans="4:7" ht="13.5" customHeight="1">
      <c r="D550" s="234"/>
      <c r="E550" s="234"/>
      <c r="F550" s="234"/>
      <c r="G550" s="234"/>
    </row>
    <row r="551" spans="4:7" ht="13.5" customHeight="1">
      <c r="D551" s="234"/>
      <c r="E551" s="234"/>
      <c r="F551" s="234"/>
      <c r="G551" s="234"/>
    </row>
    <row r="552" spans="4:7" ht="13.5" customHeight="1">
      <c r="D552" s="234"/>
      <c r="E552" s="234"/>
      <c r="F552" s="234"/>
      <c r="G552" s="234"/>
    </row>
    <row r="553" spans="4:7" ht="13.5" customHeight="1">
      <c r="D553" s="234"/>
      <c r="E553" s="234"/>
      <c r="F553" s="234"/>
      <c r="G553" s="234"/>
    </row>
    <row r="554" spans="4:7" ht="13.5" customHeight="1">
      <c r="D554" s="234"/>
      <c r="E554" s="234"/>
      <c r="F554" s="234"/>
      <c r="G554" s="234"/>
    </row>
    <row r="555" spans="4:7" ht="13.5" customHeight="1">
      <c r="D555" s="234"/>
      <c r="E555" s="234"/>
      <c r="F555" s="234"/>
      <c r="G555" s="234"/>
    </row>
    <row r="556" spans="4:7" ht="13.5" customHeight="1">
      <c r="D556" s="234"/>
      <c r="E556" s="234"/>
      <c r="F556" s="234"/>
      <c r="G556" s="234"/>
    </row>
    <row r="557" spans="4:7" ht="13.5" customHeight="1">
      <c r="D557" s="234"/>
      <c r="E557" s="234"/>
      <c r="F557" s="234"/>
      <c r="G557" s="234"/>
    </row>
    <row r="558" spans="4:7" ht="13.5" customHeight="1">
      <c r="D558" s="234"/>
      <c r="E558" s="234"/>
      <c r="F558" s="234"/>
      <c r="G558" s="234"/>
    </row>
    <row r="559" spans="4:7" ht="13.5" customHeight="1">
      <c r="D559" s="234"/>
      <c r="E559" s="234"/>
      <c r="F559" s="234"/>
      <c r="G559" s="234"/>
    </row>
    <row r="560" spans="4:7" ht="13.5" customHeight="1">
      <c r="D560" s="234"/>
      <c r="E560" s="234"/>
      <c r="F560" s="234"/>
      <c r="G560" s="234"/>
    </row>
    <row r="561" spans="4:7" ht="13.5" customHeight="1">
      <c r="D561" s="234"/>
      <c r="E561" s="234"/>
      <c r="F561" s="234"/>
      <c r="G561" s="234"/>
    </row>
    <row r="562" spans="4:7" ht="13.5" customHeight="1">
      <c r="D562" s="234"/>
      <c r="E562" s="234"/>
      <c r="F562" s="234"/>
      <c r="G562" s="234"/>
    </row>
    <row r="563" spans="4:7" ht="13.5" customHeight="1">
      <c r="D563" s="234"/>
      <c r="E563" s="234"/>
      <c r="F563" s="234"/>
      <c r="G563" s="234"/>
    </row>
    <row r="564" spans="4:7" ht="13.5" customHeight="1">
      <c r="D564" s="234"/>
      <c r="E564" s="234"/>
      <c r="F564" s="234"/>
      <c r="G564" s="234"/>
    </row>
    <row r="565" spans="4:7" ht="13.5" customHeight="1">
      <c r="D565" s="234"/>
      <c r="E565" s="234"/>
      <c r="F565" s="234"/>
      <c r="G565" s="234"/>
    </row>
    <row r="566" spans="4:7" ht="13.5" customHeight="1">
      <c r="D566" s="234"/>
      <c r="E566" s="234"/>
      <c r="F566" s="234"/>
      <c r="G566" s="234"/>
    </row>
    <row r="567" spans="4:7" ht="13.5" customHeight="1">
      <c r="D567" s="234"/>
      <c r="E567" s="234"/>
      <c r="F567" s="234"/>
      <c r="G567" s="234"/>
    </row>
    <row r="568" spans="4:7" ht="13.5" customHeight="1">
      <c r="D568" s="234"/>
      <c r="E568" s="234"/>
      <c r="F568" s="234"/>
      <c r="G568" s="234"/>
    </row>
    <row r="569" spans="4:7" ht="13.5" customHeight="1">
      <c r="D569" s="234"/>
      <c r="E569" s="234"/>
      <c r="F569" s="234"/>
      <c r="G569" s="234"/>
    </row>
    <row r="570" spans="4:7" ht="13.5" customHeight="1">
      <c r="D570" s="234"/>
      <c r="E570" s="234"/>
      <c r="F570" s="234"/>
      <c r="G570" s="234"/>
    </row>
    <row r="571" spans="4:7" ht="13.5" customHeight="1">
      <c r="D571" s="234"/>
      <c r="E571" s="234"/>
      <c r="F571" s="234"/>
      <c r="G571" s="234"/>
    </row>
    <row r="572" spans="4:7" ht="13.5" customHeight="1">
      <c r="D572" s="234"/>
      <c r="E572" s="234"/>
      <c r="F572" s="234"/>
      <c r="G572" s="234"/>
    </row>
    <row r="573" spans="4:7" ht="13.5" customHeight="1">
      <c r="D573" s="234"/>
      <c r="E573" s="234"/>
      <c r="F573" s="234"/>
      <c r="G573" s="234"/>
    </row>
    <row r="574" spans="4:7" ht="13.5" customHeight="1">
      <c r="D574" s="234"/>
      <c r="E574" s="234"/>
      <c r="F574" s="234"/>
      <c r="G574" s="234"/>
    </row>
    <row r="575" spans="4:7" ht="13.5" customHeight="1">
      <c r="D575" s="234"/>
      <c r="E575" s="234"/>
      <c r="F575" s="234"/>
      <c r="G575" s="234"/>
    </row>
    <row r="576" spans="4:7" ht="13.5" customHeight="1">
      <c r="D576" s="234"/>
      <c r="E576" s="234"/>
      <c r="F576" s="234"/>
      <c r="G576" s="234"/>
    </row>
    <row r="577" spans="4:7" ht="13.5" customHeight="1">
      <c r="D577" s="234"/>
      <c r="E577" s="234"/>
      <c r="F577" s="234"/>
      <c r="G577" s="234"/>
    </row>
    <row r="578" spans="4:7" ht="13.5" customHeight="1">
      <c r="D578" s="234"/>
      <c r="E578" s="234"/>
      <c r="F578" s="234"/>
      <c r="G578" s="234"/>
    </row>
    <row r="579" spans="4:7" ht="13.5" customHeight="1">
      <c r="D579" s="234"/>
      <c r="E579" s="234"/>
      <c r="F579" s="234"/>
      <c r="G579" s="234"/>
    </row>
    <row r="580" spans="4:7" ht="13.5" customHeight="1">
      <c r="D580" s="234"/>
      <c r="E580" s="234"/>
      <c r="F580" s="234"/>
      <c r="G580" s="234"/>
    </row>
    <row r="581" spans="4:7" ht="13.5" customHeight="1">
      <c r="D581" s="234"/>
      <c r="E581" s="234"/>
      <c r="F581" s="234"/>
      <c r="G581" s="234"/>
    </row>
    <row r="582" spans="4:7" ht="13.5" customHeight="1">
      <c r="D582" s="234"/>
      <c r="E582" s="234"/>
      <c r="F582" s="234"/>
      <c r="G582" s="234"/>
    </row>
    <row r="583" spans="4:7" ht="13.5" customHeight="1">
      <c r="D583" s="234"/>
      <c r="E583" s="234"/>
      <c r="F583" s="234"/>
      <c r="G583" s="234"/>
    </row>
    <row r="584" spans="4:7" ht="13.5" customHeight="1">
      <c r="D584" s="234"/>
      <c r="E584" s="234"/>
      <c r="F584" s="234"/>
      <c r="G584" s="234"/>
    </row>
    <row r="585" spans="4:7" ht="13.5" customHeight="1">
      <c r="D585" s="234"/>
      <c r="E585" s="234"/>
      <c r="F585" s="234"/>
      <c r="G585" s="234"/>
    </row>
    <row r="586" spans="4:7" ht="13.5" customHeight="1">
      <c r="D586" s="234"/>
      <c r="E586" s="234"/>
      <c r="F586" s="234"/>
      <c r="G586" s="234"/>
    </row>
    <row r="587" spans="4:7" ht="13.5" customHeight="1">
      <c r="D587" s="234"/>
      <c r="E587" s="234"/>
      <c r="F587" s="234"/>
      <c r="G587" s="234"/>
    </row>
    <row r="588" spans="4:7" ht="13.5" customHeight="1">
      <c r="D588" s="234"/>
      <c r="E588" s="234"/>
      <c r="F588" s="234"/>
      <c r="G588" s="234"/>
    </row>
    <row r="589" spans="4:7" ht="13.5" customHeight="1">
      <c r="D589" s="234"/>
      <c r="E589" s="234"/>
      <c r="F589" s="234"/>
      <c r="G589" s="234"/>
    </row>
    <row r="590" spans="4:7" ht="13.5" customHeight="1">
      <c r="D590" s="234"/>
      <c r="E590" s="234"/>
      <c r="F590" s="234"/>
      <c r="G590" s="234"/>
    </row>
    <row r="591" spans="4:7" ht="13.5" customHeight="1">
      <c r="D591" s="234"/>
      <c r="E591" s="234"/>
      <c r="F591" s="234"/>
      <c r="G591" s="234"/>
    </row>
    <row r="592" spans="4:7" ht="13.5" customHeight="1">
      <c r="D592" s="234"/>
      <c r="E592" s="234"/>
      <c r="F592" s="234"/>
      <c r="G592" s="234"/>
    </row>
    <row r="593" spans="4:7" ht="13.5" customHeight="1">
      <c r="D593" s="234"/>
      <c r="E593" s="234"/>
      <c r="F593" s="234"/>
      <c r="G593" s="234"/>
    </row>
    <row r="594" spans="4:7" ht="13.5" customHeight="1">
      <c r="D594" s="234"/>
      <c r="E594" s="234"/>
      <c r="F594" s="234"/>
      <c r="G594" s="234"/>
    </row>
    <row r="595" spans="4:7" ht="13.5" customHeight="1">
      <c r="D595" s="234"/>
      <c r="E595" s="234"/>
      <c r="F595" s="234"/>
      <c r="G595" s="234"/>
    </row>
    <row r="596" spans="4:7" ht="13.5" customHeight="1">
      <c r="D596" s="234"/>
      <c r="E596" s="234"/>
      <c r="F596" s="234"/>
      <c r="G596" s="234"/>
    </row>
    <row r="597" spans="4:7" ht="13.5" customHeight="1">
      <c r="D597" s="234"/>
      <c r="E597" s="234"/>
      <c r="F597" s="234"/>
      <c r="G597" s="234"/>
    </row>
    <row r="598" spans="4:7" ht="13.5" customHeight="1">
      <c r="D598" s="234"/>
      <c r="E598" s="234"/>
      <c r="F598" s="234"/>
      <c r="G598" s="234"/>
    </row>
    <row r="599" spans="4:7" ht="13.5" customHeight="1">
      <c r="D599" s="234"/>
      <c r="E599" s="234"/>
      <c r="F599" s="234"/>
      <c r="G599" s="234"/>
    </row>
    <row r="600" spans="4:7" ht="13.5" customHeight="1">
      <c r="D600" s="234"/>
      <c r="E600" s="234"/>
      <c r="F600" s="234"/>
      <c r="G600" s="234"/>
    </row>
    <row r="601" spans="4:7" ht="13.5" customHeight="1">
      <c r="D601" s="234"/>
      <c r="E601" s="234"/>
      <c r="F601" s="234"/>
      <c r="G601" s="234"/>
    </row>
    <row r="602" spans="4:7" ht="13.5" customHeight="1">
      <c r="D602" s="234"/>
      <c r="E602" s="234"/>
      <c r="F602" s="234"/>
      <c r="G602" s="234"/>
    </row>
    <row r="603" spans="4:7" ht="13.5" customHeight="1">
      <c r="D603" s="234"/>
      <c r="E603" s="234"/>
      <c r="F603" s="234"/>
      <c r="G603" s="234"/>
    </row>
    <row r="604" spans="4:7" ht="13.5" customHeight="1">
      <c r="D604" s="234"/>
      <c r="E604" s="234"/>
      <c r="F604" s="234"/>
      <c r="G604" s="234"/>
    </row>
    <row r="605" spans="4:7" ht="13.5" customHeight="1">
      <c r="D605" s="234"/>
      <c r="E605" s="234"/>
      <c r="F605" s="234"/>
      <c r="G605" s="234"/>
    </row>
    <row r="606" spans="4:7" ht="13.5" customHeight="1">
      <c r="D606" s="234"/>
      <c r="E606" s="234"/>
      <c r="F606" s="234"/>
      <c r="G606" s="234"/>
    </row>
    <row r="607" spans="4:7" ht="13.5" customHeight="1">
      <c r="D607" s="234"/>
      <c r="E607" s="234"/>
      <c r="F607" s="234"/>
      <c r="G607" s="234"/>
    </row>
    <row r="608" spans="4:7" ht="13.5" customHeight="1">
      <c r="D608" s="234"/>
      <c r="E608" s="234"/>
      <c r="F608" s="234"/>
      <c r="G608" s="234"/>
    </row>
    <row r="609" spans="4:7" ht="13.5" customHeight="1">
      <c r="D609" s="234"/>
      <c r="E609" s="234"/>
      <c r="F609" s="234"/>
      <c r="G609" s="234"/>
    </row>
    <row r="610" spans="4:7" ht="13.5" customHeight="1">
      <c r="D610" s="234"/>
      <c r="E610" s="234"/>
      <c r="F610" s="234"/>
      <c r="G610" s="234"/>
    </row>
    <row r="611" spans="4:7" ht="13.5" customHeight="1">
      <c r="D611" s="234"/>
      <c r="E611" s="234"/>
      <c r="F611" s="234"/>
      <c r="G611" s="234"/>
    </row>
    <row r="612" spans="4:7" ht="13.5" customHeight="1">
      <c r="D612" s="234"/>
      <c r="E612" s="234"/>
      <c r="F612" s="234"/>
      <c r="G612" s="234"/>
    </row>
    <row r="613" spans="4:7" ht="13.5" customHeight="1">
      <c r="D613" s="234"/>
      <c r="E613" s="234"/>
      <c r="F613" s="234"/>
      <c r="G613" s="234"/>
    </row>
    <row r="614" spans="4:7" ht="13.5" customHeight="1">
      <c r="D614" s="234"/>
      <c r="E614" s="234"/>
      <c r="F614" s="234"/>
      <c r="G614" s="234"/>
    </row>
    <row r="615" spans="4:7" ht="13.5" customHeight="1">
      <c r="D615" s="234"/>
      <c r="E615" s="234"/>
      <c r="F615" s="234"/>
      <c r="G615" s="234"/>
    </row>
    <row r="616" spans="4:7" ht="13.5" customHeight="1">
      <c r="D616" s="234"/>
      <c r="E616" s="234"/>
      <c r="F616" s="234"/>
      <c r="G616" s="234"/>
    </row>
    <row r="617" spans="4:7" ht="13.5" customHeight="1">
      <c r="D617" s="234"/>
      <c r="E617" s="234"/>
      <c r="F617" s="234"/>
      <c r="G617" s="234"/>
    </row>
    <row r="618" spans="4:7" ht="13.5" customHeight="1">
      <c r="D618" s="234"/>
      <c r="E618" s="234"/>
      <c r="F618" s="234"/>
      <c r="G618" s="234"/>
    </row>
    <row r="619" spans="4:7" ht="13.5" customHeight="1">
      <c r="D619" s="234"/>
      <c r="E619" s="234"/>
      <c r="F619" s="234"/>
      <c r="G619" s="234"/>
    </row>
    <row r="620" spans="4:7" ht="13.5" customHeight="1">
      <c r="D620" s="234"/>
      <c r="E620" s="234"/>
      <c r="F620" s="234"/>
      <c r="G620" s="234"/>
    </row>
    <row r="621" spans="4:7" ht="13.5" customHeight="1">
      <c r="D621" s="234"/>
      <c r="E621" s="234"/>
      <c r="F621" s="234"/>
      <c r="G621" s="234"/>
    </row>
    <row r="622" spans="4:7" ht="13.5" customHeight="1">
      <c r="D622" s="234"/>
      <c r="E622" s="234"/>
      <c r="F622" s="234"/>
      <c r="G622" s="234"/>
    </row>
    <row r="623" spans="4:7" ht="13.5" customHeight="1">
      <c r="D623" s="234"/>
      <c r="E623" s="234"/>
      <c r="F623" s="234"/>
      <c r="G623" s="234"/>
    </row>
    <row r="624" spans="4:7" ht="13.5" customHeight="1">
      <c r="D624" s="234"/>
      <c r="E624" s="234"/>
      <c r="F624" s="234"/>
      <c r="G624" s="234"/>
    </row>
    <row r="625" spans="4:7" ht="13.5" customHeight="1">
      <c r="D625" s="234"/>
      <c r="E625" s="234"/>
      <c r="F625" s="234"/>
      <c r="G625" s="234"/>
    </row>
    <row r="626" spans="4:7" ht="13.5" customHeight="1">
      <c r="D626" s="234"/>
      <c r="E626" s="234"/>
      <c r="F626" s="234"/>
      <c r="G626" s="234"/>
    </row>
    <row r="627" spans="4:7" ht="13.5" customHeight="1">
      <c r="D627" s="234"/>
      <c r="E627" s="234"/>
      <c r="F627" s="234"/>
      <c r="G627" s="234"/>
    </row>
    <row r="628" spans="4:7" ht="13.5" customHeight="1">
      <c r="D628" s="234"/>
      <c r="E628" s="234"/>
      <c r="F628" s="234"/>
      <c r="G628" s="234"/>
    </row>
    <row r="629" spans="4:7" ht="13.5" customHeight="1">
      <c r="D629" s="234"/>
      <c r="E629" s="234"/>
      <c r="F629" s="234"/>
      <c r="G629" s="234"/>
    </row>
    <row r="630" spans="4:7" ht="13.5" customHeight="1">
      <c r="D630" s="234"/>
      <c r="E630" s="234"/>
      <c r="F630" s="234"/>
      <c r="G630" s="234"/>
    </row>
    <row r="631" spans="4:7" ht="13.5" customHeight="1">
      <c r="D631" s="234"/>
      <c r="E631" s="234"/>
      <c r="F631" s="234"/>
      <c r="G631" s="234"/>
    </row>
    <row r="632" spans="4:7" ht="13.5" customHeight="1">
      <c r="D632" s="234"/>
      <c r="E632" s="234"/>
      <c r="F632" s="234"/>
      <c r="G632" s="234"/>
    </row>
    <row r="633" spans="4:7" ht="13.5" customHeight="1">
      <c r="D633" s="234"/>
      <c r="E633" s="234"/>
      <c r="F633" s="234"/>
      <c r="G633" s="234"/>
    </row>
    <row r="634" spans="4:7" ht="13.5" customHeight="1">
      <c r="D634" s="234"/>
      <c r="E634" s="234"/>
      <c r="F634" s="234"/>
      <c r="G634" s="234"/>
    </row>
    <row r="635" spans="4:7" ht="13.5" customHeight="1">
      <c r="D635" s="234"/>
      <c r="E635" s="234"/>
      <c r="F635" s="234"/>
      <c r="G635" s="234"/>
    </row>
    <row r="636" spans="4:7" ht="13.5" customHeight="1">
      <c r="D636" s="234"/>
      <c r="E636" s="234"/>
      <c r="F636" s="234"/>
      <c r="G636" s="234"/>
    </row>
    <row r="637" spans="4:7" ht="13.5" customHeight="1">
      <c r="D637" s="234"/>
      <c r="E637" s="234"/>
      <c r="F637" s="234"/>
      <c r="G637" s="234"/>
    </row>
    <row r="638" spans="4:7" ht="13.5" customHeight="1">
      <c r="D638" s="234"/>
      <c r="E638" s="234"/>
      <c r="F638" s="234"/>
      <c r="G638" s="234"/>
    </row>
    <row r="639" spans="4:7" ht="13.5" customHeight="1">
      <c r="D639" s="234"/>
      <c r="E639" s="234"/>
      <c r="F639" s="234"/>
      <c r="G639" s="234"/>
    </row>
    <row r="640" spans="4:7" ht="13.5" customHeight="1">
      <c r="D640" s="234"/>
      <c r="E640" s="234"/>
      <c r="F640" s="234"/>
      <c r="G640" s="234"/>
    </row>
    <row r="641" spans="4:7" ht="13.5" customHeight="1">
      <c r="D641" s="234"/>
      <c r="E641" s="234"/>
      <c r="F641" s="234"/>
      <c r="G641" s="234"/>
    </row>
    <row r="642" spans="4:7" ht="13.5" customHeight="1">
      <c r="D642" s="234"/>
      <c r="E642" s="234"/>
      <c r="F642" s="234"/>
      <c r="G642" s="234"/>
    </row>
    <row r="643" spans="4:7" ht="13.5" customHeight="1">
      <c r="D643" s="234"/>
      <c r="E643" s="234"/>
      <c r="F643" s="234"/>
      <c r="G643" s="234"/>
    </row>
    <row r="644" spans="4:7" ht="13.5" customHeight="1">
      <c r="D644" s="234"/>
      <c r="E644" s="234"/>
      <c r="F644" s="234"/>
      <c r="G644" s="234"/>
    </row>
    <row r="645" spans="4:7" ht="13.5" customHeight="1">
      <c r="D645" s="234"/>
      <c r="E645" s="234"/>
      <c r="F645" s="234"/>
      <c r="G645" s="234"/>
    </row>
    <row r="646" spans="4:7" ht="13.5" customHeight="1">
      <c r="D646" s="234"/>
      <c r="E646" s="234"/>
      <c r="F646" s="234"/>
      <c r="G646" s="234"/>
    </row>
    <row r="647" spans="4:7" ht="13.5" customHeight="1">
      <c r="D647" s="234"/>
      <c r="E647" s="234"/>
      <c r="F647" s="234"/>
      <c r="G647" s="234"/>
    </row>
    <row r="648" spans="4:7" ht="13.5" customHeight="1">
      <c r="D648" s="234"/>
      <c r="E648" s="234"/>
      <c r="F648" s="234"/>
      <c r="G648" s="234"/>
    </row>
    <row r="649" spans="4:7" ht="13.5" customHeight="1">
      <c r="D649" s="234"/>
      <c r="E649" s="234"/>
      <c r="F649" s="234"/>
      <c r="G649" s="234"/>
    </row>
    <row r="650" spans="4:7" ht="13.5" customHeight="1">
      <c r="D650" s="234"/>
      <c r="E650" s="234"/>
      <c r="F650" s="234"/>
      <c r="G650" s="234"/>
    </row>
    <row r="651" spans="4:7" ht="13.5" customHeight="1">
      <c r="D651" s="234"/>
      <c r="E651" s="234"/>
      <c r="F651" s="234"/>
      <c r="G651" s="234"/>
    </row>
    <row r="652" spans="4:7" ht="13.5" customHeight="1">
      <c r="D652" s="234"/>
      <c r="E652" s="234"/>
      <c r="F652" s="234"/>
      <c r="G652" s="234"/>
    </row>
    <row r="653" spans="4:7" ht="13.5" customHeight="1">
      <c r="D653" s="234"/>
      <c r="E653" s="234"/>
      <c r="F653" s="234"/>
      <c r="G653" s="234"/>
    </row>
    <row r="654" spans="4:7" ht="13.5" customHeight="1">
      <c r="D654" s="234"/>
      <c r="E654" s="234"/>
      <c r="F654" s="234"/>
      <c r="G654" s="234"/>
    </row>
    <row r="655" spans="4:7" ht="13.5" customHeight="1">
      <c r="D655" s="234"/>
      <c r="E655" s="234"/>
      <c r="F655" s="234"/>
      <c r="G655" s="234"/>
    </row>
    <row r="656" spans="4:7" ht="13.5" customHeight="1">
      <c r="D656" s="234"/>
      <c r="E656" s="234"/>
      <c r="F656" s="234"/>
      <c r="G656" s="234"/>
    </row>
    <row r="657" spans="4:7" ht="13.5" customHeight="1">
      <c r="D657" s="234"/>
      <c r="E657" s="234"/>
      <c r="F657" s="234"/>
      <c r="G657" s="234"/>
    </row>
    <row r="658" spans="4:7" ht="13.5" customHeight="1">
      <c r="D658" s="234"/>
      <c r="E658" s="234"/>
      <c r="F658" s="234"/>
      <c r="G658" s="234"/>
    </row>
    <row r="659" spans="4:7" ht="13.5" customHeight="1">
      <c r="D659" s="234"/>
      <c r="E659" s="234"/>
      <c r="F659" s="234"/>
      <c r="G659" s="234"/>
    </row>
    <row r="660" spans="4:7" ht="13.5" customHeight="1">
      <c r="D660" s="234"/>
      <c r="E660" s="234"/>
      <c r="F660" s="234"/>
      <c r="G660" s="234"/>
    </row>
    <row r="661" spans="4:7" ht="13.5" customHeight="1">
      <c r="D661" s="234"/>
      <c r="E661" s="234"/>
      <c r="F661" s="234"/>
      <c r="G661" s="234"/>
    </row>
    <row r="662" spans="4:7" ht="13.5" customHeight="1">
      <c r="D662" s="234"/>
      <c r="E662" s="234"/>
      <c r="F662" s="234"/>
      <c r="G662" s="234"/>
    </row>
    <row r="663" spans="4:7" ht="13.5" customHeight="1">
      <c r="D663" s="234"/>
      <c r="E663" s="234"/>
      <c r="F663" s="234"/>
      <c r="G663" s="234"/>
    </row>
    <row r="664" spans="4:7" ht="13.5" customHeight="1">
      <c r="D664" s="234"/>
      <c r="E664" s="234"/>
      <c r="F664" s="234"/>
      <c r="G664" s="234"/>
    </row>
    <row r="665" spans="4:7" ht="13.5" customHeight="1">
      <c r="D665" s="234"/>
      <c r="E665" s="234"/>
      <c r="F665" s="234"/>
      <c r="G665" s="234"/>
    </row>
    <row r="666" spans="4:7" ht="13.5" customHeight="1">
      <c r="D666" s="234"/>
      <c r="E666" s="234"/>
      <c r="F666" s="234"/>
      <c r="G666" s="234"/>
    </row>
    <row r="667" spans="4:7" ht="13.5" customHeight="1">
      <c r="D667" s="234"/>
      <c r="E667" s="234"/>
      <c r="F667" s="234"/>
      <c r="G667" s="234"/>
    </row>
    <row r="668" spans="4:7" ht="13.5" customHeight="1">
      <c r="D668" s="234"/>
      <c r="E668" s="234"/>
      <c r="F668" s="234"/>
      <c r="G668" s="234"/>
    </row>
    <row r="669" spans="4:7" ht="13.5" customHeight="1">
      <c r="D669" s="234"/>
      <c r="E669" s="234"/>
      <c r="F669" s="234"/>
      <c r="G669" s="234"/>
    </row>
    <row r="670" spans="4:7" ht="13.5" customHeight="1">
      <c r="D670" s="234"/>
      <c r="E670" s="234"/>
      <c r="F670" s="234"/>
      <c r="G670" s="234"/>
    </row>
    <row r="671" spans="4:7" ht="13.5" customHeight="1">
      <c r="D671" s="234"/>
      <c r="E671" s="234"/>
      <c r="F671" s="234"/>
      <c r="G671" s="234"/>
    </row>
    <row r="672" spans="4:7" ht="13.5" customHeight="1">
      <c r="D672" s="234"/>
      <c r="E672" s="234"/>
      <c r="F672" s="234"/>
      <c r="G672" s="234"/>
    </row>
    <row r="673" spans="4:7" ht="13.5" customHeight="1">
      <c r="D673" s="234"/>
      <c r="E673" s="234"/>
      <c r="F673" s="234"/>
      <c r="G673" s="234"/>
    </row>
    <row r="674" spans="4:7" ht="13.5" customHeight="1">
      <c r="D674" s="234"/>
      <c r="E674" s="234"/>
      <c r="F674" s="234"/>
      <c r="G674" s="234"/>
    </row>
    <row r="675" spans="4:7" ht="13.5" customHeight="1">
      <c r="D675" s="234"/>
      <c r="E675" s="234"/>
      <c r="F675" s="234"/>
      <c r="G675" s="234"/>
    </row>
    <row r="676" spans="4:7" ht="13.5" customHeight="1">
      <c r="D676" s="234"/>
      <c r="E676" s="234"/>
      <c r="F676" s="234"/>
      <c r="G676" s="234"/>
    </row>
    <row r="677" spans="4:7" ht="13.5" customHeight="1">
      <c r="D677" s="234"/>
      <c r="E677" s="234"/>
      <c r="F677" s="234"/>
      <c r="G677" s="234"/>
    </row>
    <row r="678" spans="4:7" ht="13.5" customHeight="1">
      <c r="D678" s="234"/>
      <c r="E678" s="234"/>
      <c r="F678" s="234"/>
      <c r="G678" s="234"/>
    </row>
    <row r="679" spans="4:7" ht="13.5" customHeight="1">
      <c r="D679" s="234"/>
      <c r="E679" s="234"/>
      <c r="F679" s="234"/>
      <c r="G679" s="234"/>
    </row>
    <row r="680" spans="4:7" ht="13.5" customHeight="1">
      <c r="D680" s="234"/>
      <c r="E680" s="234"/>
      <c r="F680" s="234"/>
      <c r="G680" s="234"/>
    </row>
    <row r="681" spans="4:7" ht="13.5" customHeight="1">
      <c r="D681" s="234"/>
      <c r="E681" s="234"/>
      <c r="F681" s="234"/>
      <c r="G681" s="234"/>
    </row>
    <row r="682" spans="4:7" ht="13.5" customHeight="1">
      <c r="D682" s="234"/>
      <c r="E682" s="234"/>
      <c r="F682" s="234"/>
      <c r="G682" s="234"/>
    </row>
    <row r="683" spans="4:7" ht="13.5" customHeight="1">
      <c r="D683" s="234"/>
      <c r="E683" s="234"/>
      <c r="F683" s="234"/>
      <c r="G683" s="234"/>
    </row>
    <row r="684" spans="4:7" ht="13.5" customHeight="1">
      <c r="D684" s="234"/>
      <c r="E684" s="234"/>
      <c r="F684" s="234"/>
      <c r="G684" s="234"/>
    </row>
    <row r="685" spans="4:7" ht="13.5" customHeight="1">
      <c r="D685" s="234"/>
      <c r="E685" s="234"/>
      <c r="F685" s="234"/>
      <c r="G685" s="234"/>
    </row>
    <row r="686" spans="4:7" ht="13.5" customHeight="1">
      <c r="D686" s="234"/>
      <c r="E686" s="234"/>
      <c r="F686" s="234"/>
      <c r="G686" s="234"/>
    </row>
    <row r="687" spans="4:7" ht="13.5" customHeight="1">
      <c r="D687" s="234"/>
      <c r="E687" s="234"/>
      <c r="F687" s="234"/>
      <c r="G687" s="234"/>
    </row>
    <row r="688" spans="4:7" ht="13.5" customHeight="1">
      <c r="D688" s="234"/>
      <c r="E688" s="234"/>
      <c r="F688" s="234"/>
      <c r="G688" s="234"/>
    </row>
    <row r="689" spans="4:7" ht="13.5" customHeight="1">
      <c r="D689" s="234"/>
      <c r="E689" s="234"/>
      <c r="F689" s="234"/>
      <c r="G689" s="234"/>
    </row>
    <row r="690" spans="4:7" ht="13.5" customHeight="1">
      <c r="D690" s="234"/>
      <c r="E690" s="234"/>
      <c r="F690" s="234"/>
      <c r="G690" s="234"/>
    </row>
    <row r="691" spans="4:7" ht="13.5" customHeight="1">
      <c r="D691" s="234"/>
      <c r="E691" s="234"/>
      <c r="F691" s="234"/>
      <c r="G691" s="234"/>
    </row>
    <row r="692" spans="4:7" ht="13.5" customHeight="1">
      <c r="D692" s="234"/>
      <c r="E692" s="234"/>
      <c r="F692" s="234"/>
      <c r="G692" s="234"/>
    </row>
    <row r="693" spans="4:7" ht="13.5" customHeight="1">
      <c r="D693" s="234"/>
      <c r="E693" s="234"/>
      <c r="F693" s="234"/>
      <c r="G693" s="234"/>
    </row>
    <row r="694" spans="4:7" ht="13.5" customHeight="1">
      <c r="D694" s="234"/>
      <c r="E694" s="234"/>
      <c r="F694" s="234"/>
      <c r="G694" s="234"/>
    </row>
    <row r="695" spans="4:7" ht="13.5" customHeight="1">
      <c r="D695" s="234"/>
      <c r="E695" s="234"/>
      <c r="F695" s="234"/>
      <c r="G695" s="234"/>
    </row>
    <row r="696" spans="4:7" ht="13.5" customHeight="1">
      <c r="D696" s="234"/>
      <c r="E696" s="234"/>
      <c r="F696" s="234"/>
      <c r="G696" s="234"/>
    </row>
    <row r="697" spans="4:7" ht="13.5" customHeight="1">
      <c r="D697" s="234"/>
      <c r="E697" s="234"/>
      <c r="F697" s="234"/>
      <c r="G697" s="234"/>
    </row>
    <row r="698" spans="4:7" ht="13.5" customHeight="1">
      <c r="D698" s="234"/>
      <c r="E698" s="234"/>
      <c r="F698" s="234"/>
      <c r="G698" s="234"/>
    </row>
    <row r="699" spans="4:7" ht="13.5" customHeight="1">
      <c r="D699" s="234"/>
      <c r="E699" s="234"/>
      <c r="F699" s="234"/>
      <c r="G699" s="234"/>
    </row>
    <row r="700" spans="4:7" ht="13.5" customHeight="1">
      <c r="D700" s="234"/>
      <c r="E700" s="234"/>
      <c r="F700" s="234"/>
      <c r="G700" s="234"/>
    </row>
    <row r="701" spans="4:7" ht="13.5" customHeight="1">
      <c r="D701" s="234"/>
      <c r="E701" s="234"/>
      <c r="F701" s="234"/>
      <c r="G701" s="234"/>
    </row>
    <row r="702" spans="4:7" ht="13.5" customHeight="1">
      <c r="D702" s="234"/>
      <c r="E702" s="234"/>
      <c r="F702" s="234"/>
      <c r="G702" s="234"/>
    </row>
    <row r="703" spans="4:7" ht="13.5" customHeight="1">
      <c r="D703" s="234"/>
      <c r="E703" s="234"/>
      <c r="F703" s="234"/>
      <c r="G703" s="234"/>
    </row>
    <row r="704" spans="4:7" ht="13.5" customHeight="1">
      <c r="D704" s="234"/>
      <c r="E704" s="234"/>
      <c r="F704" s="234"/>
      <c r="G704" s="234"/>
    </row>
    <row r="705" spans="4:7" ht="13.5" customHeight="1">
      <c r="D705" s="234"/>
      <c r="E705" s="234"/>
      <c r="F705" s="234"/>
      <c r="G705" s="234"/>
    </row>
    <row r="706" spans="4:7" ht="13.5" customHeight="1">
      <c r="D706" s="234"/>
      <c r="E706" s="234"/>
      <c r="F706" s="234"/>
      <c r="G706" s="234"/>
    </row>
    <row r="707" spans="4:7" ht="13.5" customHeight="1">
      <c r="D707" s="234"/>
      <c r="E707" s="234"/>
      <c r="F707" s="234"/>
      <c r="G707" s="234"/>
    </row>
    <row r="708" spans="4:7" ht="13.5" customHeight="1">
      <c r="D708" s="234"/>
      <c r="E708" s="234"/>
      <c r="F708" s="234"/>
      <c r="G708" s="234"/>
    </row>
    <row r="709" spans="4:7" ht="13.5" customHeight="1">
      <c r="D709" s="234"/>
      <c r="E709" s="234"/>
      <c r="F709" s="234"/>
      <c r="G709" s="234"/>
    </row>
    <row r="710" spans="4:7" ht="13.5" customHeight="1">
      <c r="D710" s="234"/>
      <c r="E710" s="234"/>
      <c r="F710" s="234"/>
      <c r="G710" s="234"/>
    </row>
    <row r="711" spans="4:7" ht="13.5" customHeight="1">
      <c r="D711" s="234"/>
      <c r="E711" s="234"/>
      <c r="F711" s="234"/>
      <c r="G711" s="234"/>
    </row>
    <row r="712" spans="4:7" ht="13.5" customHeight="1">
      <c r="D712" s="234"/>
      <c r="E712" s="234"/>
      <c r="F712" s="234"/>
      <c r="G712" s="234"/>
    </row>
    <row r="713" spans="4:7" ht="13.5" customHeight="1">
      <c r="D713" s="234"/>
      <c r="E713" s="234"/>
      <c r="F713" s="234"/>
      <c r="G713" s="234"/>
    </row>
    <row r="714" spans="4:7" ht="13.5" customHeight="1">
      <c r="D714" s="234"/>
      <c r="E714" s="234"/>
      <c r="F714" s="234"/>
      <c r="G714" s="234"/>
    </row>
    <row r="715" spans="4:7" ht="13.5" customHeight="1">
      <c r="D715" s="234"/>
      <c r="E715" s="234"/>
      <c r="F715" s="234"/>
      <c r="G715" s="234"/>
    </row>
    <row r="716" spans="4:7" ht="13.5" customHeight="1">
      <c r="D716" s="234"/>
      <c r="E716" s="234"/>
      <c r="F716" s="234"/>
      <c r="G716" s="234"/>
    </row>
    <row r="717" spans="4:7" ht="13.5" customHeight="1">
      <c r="D717" s="234"/>
      <c r="E717" s="234"/>
      <c r="F717" s="234"/>
      <c r="G717" s="234"/>
    </row>
    <row r="718" spans="4:7" ht="13.5" customHeight="1">
      <c r="D718" s="234"/>
      <c r="E718" s="234"/>
      <c r="F718" s="234"/>
      <c r="G718" s="234"/>
    </row>
    <row r="719" spans="4:7" ht="13.5" customHeight="1">
      <c r="D719" s="234"/>
      <c r="E719" s="234"/>
      <c r="F719" s="234"/>
      <c r="G719" s="234"/>
    </row>
    <row r="720" spans="4:7" ht="13.5" customHeight="1">
      <c r="D720" s="234"/>
      <c r="E720" s="234"/>
      <c r="F720" s="234"/>
      <c r="G720" s="234"/>
    </row>
    <row r="721" spans="4:7" ht="13.5" customHeight="1">
      <c r="D721" s="234"/>
      <c r="E721" s="234"/>
      <c r="F721" s="234"/>
      <c r="G721" s="234"/>
    </row>
    <row r="722" spans="4:7" ht="13.5" customHeight="1">
      <c r="D722" s="234"/>
      <c r="E722" s="234"/>
      <c r="F722" s="234"/>
      <c r="G722" s="234"/>
    </row>
    <row r="723" spans="4:7" ht="13.5" customHeight="1">
      <c r="D723" s="234"/>
      <c r="E723" s="234"/>
      <c r="F723" s="234"/>
      <c r="G723" s="234"/>
    </row>
    <row r="724" spans="4:7" ht="13.5" customHeight="1">
      <c r="D724" s="234"/>
      <c r="E724" s="234"/>
      <c r="F724" s="234"/>
      <c r="G724" s="234"/>
    </row>
    <row r="725" spans="4:7" ht="13.5" customHeight="1">
      <c r="D725" s="234"/>
      <c r="E725" s="234"/>
      <c r="F725" s="234"/>
      <c r="G725" s="234"/>
    </row>
    <row r="726" spans="4:7" ht="13.5" customHeight="1">
      <c r="D726" s="234"/>
      <c r="E726" s="234"/>
      <c r="F726" s="234"/>
      <c r="G726" s="234"/>
    </row>
    <row r="727" spans="4:7" ht="13.5" customHeight="1">
      <c r="D727" s="234"/>
      <c r="E727" s="234"/>
      <c r="F727" s="234"/>
      <c r="G727" s="234"/>
    </row>
    <row r="728" spans="4:7" ht="13.5" customHeight="1">
      <c r="D728" s="234"/>
      <c r="E728" s="234"/>
      <c r="F728" s="234"/>
      <c r="G728" s="234"/>
    </row>
    <row r="729" spans="4:7" ht="13.5" customHeight="1">
      <c r="D729" s="234"/>
      <c r="E729" s="234"/>
      <c r="F729" s="234"/>
      <c r="G729" s="234"/>
    </row>
    <row r="730" spans="4:7" ht="13.5" customHeight="1">
      <c r="D730" s="234"/>
      <c r="E730" s="234"/>
      <c r="F730" s="234"/>
      <c r="G730" s="234"/>
    </row>
    <row r="731" spans="4:7" ht="13.5" customHeight="1">
      <c r="D731" s="234"/>
      <c r="E731" s="234"/>
      <c r="F731" s="234"/>
      <c r="G731" s="234"/>
    </row>
    <row r="732" spans="4:7" ht="13.5" customHeight="1">
      <c r="D732" s="234"/>
      <c r="E732" s="234"/>
      <c r="F732" s="234"/>
      <c r="G732" s="234"/>
    </row>
    <row r="733" spans="4:7" ht="13.5" customHeight="1">
      <c r="D733" s="234"/>
      <c r="E733" s="234"/>
      <c r="F733" s="234"/>
      <c r="G733" s="234"/>
    </row>
    <row r="734" spans="4:7" ht="13.5" customHeight="1">
      <c r="D734" s="234"/>
      <c r="E734" s="234"/>
      <c r="F734" s="234"/>
      <c r="G734" s="234"/>
    </row>
    <row r="735" spans="4:7" ht="13.5" customHeight="1">
      <c r="D735" s="234"/>
      <c r="E735" s="234"/>
      <c r="F735" s="234"/>
      <c r="G735" s="234"/>
    </row>
    <row r="736" spans="4:7" ht="13.5" customHeight="1">
      <c r="D736" s="234"/>
      <c r="E736" s="234"/>
      <c r="F736" s="234"/>
      <c r="G736" s="234"/>
    </row>
    <row r="737" spans="4:7" ht="13.5" customHeight="1">
      <c r="D737" s="234"/>
      <c r="E737" s="234"/>
      <c r="F737" s="234"/>
      <c r="G737" s="234"/>
    </row>
    <row r="738" spans="4:7" ht="13.5" customHeight="1">
      <c r="D738" s="234"/>
      <c r="E738" s="234"/>
      <c r="F738" s="234"/>
      <c r="G738" s="234"/>
    </row>
    <row r="739" spans="4:7" ht="13.5" customHeight="1">
      <c r="D739" s="234"/>
      <c r="E739" s="234"/>
      <c r="F739" s="234"/>
      <c r="G739" s="234"/>
    </row>
    <row r="740" spans="4:7" ht="13.5" customHeight="1">
      <c r="D740" s="234"/>
      <c r="E740" s="234"/>
      <c r="F740" s="234"/>
      <c r="G740" s="234"/>
    </row>
    <row r="741" spans="4:7" ht="13.5" customHeight="1">
      <c r="D741" s="234"/>
      <c r="E741" s="234"/>
      <c r="F741" s="234"/>
      <c r="G741" s="234"/>
    </row>
    <row r="742" spans="4:7" ht="13.5" customHeight="1">
      <c r="D742" s="234"/>
      <c r="E742" s="234"/>
      <c r="F742" s="234"/>
      <c r="G742" s="234"/>
    </row>
    <row r="743" spans="4:7" ht="13.5" customHeight="1">
      <c r="D743" s="234"/>
      <c r="E743" s="234"/>
      <c r="F743" s="234"/>
      <c r="G743" s="234"/>
    </row>
    <row r="744" spans="4:7" ht="13.5" customHeight="1">
      <c r="D744" s="234"/>
      <c r="E744" s="234"/>
      <c r="F744" s="234"/>
      <c r="G744" s="234"/>
    </row>
    <row r="745" spans="4:7" ht="13.5" customHeight="1">
      <c r="D745" s="234"/>
      <c r="E745" s="234"/>
      <c r="F745" s="234"/>
      <c r="G745" s="234"/>
    </row>
    <row r="746" spans="4:7" ht="13.5" customHeight="1">
      <c r="D746" s="234"/>
      <c r="E746" s="234"/>
      <c r="F746" s="234"/>
      <c r="G746" s="234"/>
    </row>
    <row r="747" spans="4:7" ht="13.5" customHeight="1">
      <c r="D747" s="234"/>
      <c r="E747" s="234"/>
      <c r="F747" s="234"/>
      <c r="G747" s="234"/>
    </row>
    <row r="748" spans="4:7" ht="13.5" customHeight="1">
      <c r="D748" s="234"/>
      <c r="E748" s="234"/>
      <c r="F748" s="234"/>
      <c r="G748" s="234"/>
    </row>
    <row r="749" spans="4:7" ht="13.5" customHeight="1">
      <c r="D749" s="234"/>
      <c r="E749" s="234"/>
      <c r="F749" s="234"/>
      <c r="G749" s="234"/>
    </row>
    <row r="750" spans="4:7" ht="13.5" customHeight="1">
      <c r="D750" s="234"/>
      <c r="E750" s="234"/>
      <c r="F750" s="234"/>
      <c r="G750" s="234"/>
    </row>
    <row r="751" spans="4:7" ht="13.5" customHeight="1">
      <c r="D751" s="234"/>
      <c r="E751" s="234"/>
      <c r="F751" s="234"/>
      <c r="G751" s="234"/>
    </row>
    <row r="752" spans="4:7" ht="13.5" customHeight="1">
      <c r="D752" s="234"/>
      <c r="E752" s="234"/>
      <c r="F752" s="234"/>
      <c r="G752" s="234"/>
    </row>
    <row r="753" spans="4:7" ht="13.5" customHeight="1">
      <c r="D753" s="234"/>
      <c r="E753" s="234"/>
      <c r="F753" s="234"/>
      <c r="G753" s="234"/>
    </row>
    <row r="754" spans="4:7" ht="13.5" customHeight="1">
      <c r="D754" s="234"/>
      <c r="E754" s="234"/>
      <c r="F754" s="234"/>
      <c r="G754" s="234"/>
    </row>
    <row r="755" spans="4:7" ht="13.5" customHeight="1">
      <c r="D755" s="234"/>
      <c r="E755" s="234"/>
      <c r="F755" s="234"/>
      <c r="G755" s="234"/>
    </row>
    <row r="756" spans="4:7" ht="13.5" customHeight="1">
      <c r="D756" s="234"/>
      <c r="E756" s="234"/>
      <c r="F756" s="234"/>
      <c r="G756" s="234"/>
    </row>
    <row r="757" spans="4:7" ht="13.5" customHeight="1">
      <c r="D757" s="234"/>
      <c r="E757" s="234"/>
      <c r="F757" s="234"/>
      <c r="G757" s="234"/>
    </row>
    <row r="758" spans="4:7" ht="13.5" customHeight="1">
      <c r="D758" s="234"/>
      <c r="E758" s="234"/>
      <c r="F758" s="234"/>
      <c r="G758" s="234"/>
    </row>
    <row r="759" spans="4:7" ht="13.5" customHeight="1">
      <c r="D759" s="234"/>
      <c r="E759" s="234"/>
      <c r="F759" s="234"/>
      <c r="G759" s="234"/>
    </row>
    <row r="760" spans="4:7" ht="13.5" customHeight="1">
      <c r="D760" s="234"/>
      <c r="E760" s="234"/>
      <c r="F760" s="234"/>
      <c r="G760" s="234"/>
    </row>
    <row r="761" spans="4:7" ht="13.5" customHeight="1">
      <c r="D761" s="234"/>
      <c r="E761" s="234"/>
      <c r="F761" s="234"/>
      <c r="G761" s="234"/>
    </row>
    <row r="762" spans="4:7" ht="13.5" customHeight="1">
      <c r="D762" s="234"/>
      <c r="E762" s="234"/>
      <c r="F762" s="234"/>
      <c r="G762" s="234"/>
    </row>
    <row r="763" spans="4:7" ht="13.5" customHeight="1">
      <c r="D763" s="234"/>
      <c r="E763" s="234"/>
      <c r="F763" s="234"/>
      <c r="G763" s="234"/>
    </row>
    <row r="764" spans="4:7" ht="13.5" customHeight="1">
      <c r="D764" s="234"/>
      <c r="E764" s="234"/>
      <c r="F764" s="234"/>
      <c r="G764" s="234"/>
    </row>
    <row r="765" spans="4:7" ht="13.5" customHeight="1">
      <c r="D765" s="234"/>
      <c r="E765" s="234"/>
      <c r="F765" s="234"/>
      <c r="G765" s="234"/>
    </row>
    <row r="766" spans="4:7" ht="13.5" customHeight="1">
      <c r="D766" s="234"/>
      <c r="E766" s="234"/>
      <c r="F766" s="234"/>
      <c r="G766" s="234"/>
    </row>
    <row r="767" spans="4:7" ht="13.5" customHeight="1">
      <c r="D767" s="234"/>
      <c r="E767" s="234"/>
      <c r="F767" s="234"/>
      <c r="G767" s="234"/>
    </row>
    <row r="768" spans="4:7" ht="13.5" customHeight="1">
      <c r="D768" s="234"/>
      <c r="E768" s="234"/>
      <c r="F768" s="234"/>
      <c r="G768" s="234"/>
    </row>
    <row r="769" spans="4:7" ht="13.5" customHeight="1">
      <c r="D769" s="234"/>
      <c r="E769" s="234"/>
      <c r="F769" s="234"/>
      <c r="G769" s="234"/>
    </row>
    <row r="770" spans="4:7" ht="13.5" customHeight="1">
      <c r="D770" s="234"/>
      <c r="E770" s="234"/>
      <c r="F770" s="234"/>
      <c r="G770" s="234"/>
    </row>
    <row r="771" spans="4:7" ht="13.5" customHeight="1">
      <c r="D771" s="234"/>
      <c r="E771" s="234"/>
      <c r="F771" s="234"/>
      <c r="G771" s="234"/>
    </row>
    <row r="772" spans="4:7" ht="13.5" customHeight="1">
      <c r="D772" s="234"/>
      <c r="E772" s="234"/>
      <c r="F772" s="234"/>
      <c r="G772" s="234"/>
    </row>
    <row r="773" spans="4:7" ht="13.5" customHeight="1">
      <c r="D773" s="234"/>
      <c r="E773" s="234"/>
      <c r="F773" s="234"/>
      <c r="G773" s="234"/>
    </row>
    <row r="774" spans="4:7" ht="13.5" customHeight="1">
      <c r="D774" s="234"/>
      <c r="E774" s="234"/>
      <c r="F774" s="234"/>
      <c r="G774" s="234"/>
    </row>
    <row r="775" spans="4:7" ht="13.5" customHeight="1">
      <c r="D775" s="234"/>
      <c r="E775" s="234"/>
      <c r="F775" s="234"/>
      <c r="G775" s="234"/>
    </row>
    <row r="776" spans="4:7" ht="13.5" customHeight="1">
      <c r="D776" s="234"/>
      <c r="E776" s="234"/>
      <c r="F776" s="234"/>
      <c r="G776" s="234"/>
    </row>
    <row r="777" spans="4:7" ht="13.5" customHeight="1">
      <c r="D777" s="234"/>
      <c r="E777" s="234"/>
      <c r="F777" s="234"/>
      <c r="G777" s="234"/>
    </row>
    <row r="778" spans="4:7" ht="13.5" customHeight="1">
      <c r="D778" s="234"/>
      <c r="E778" s="234"/>
      <c r="F778" s="234"/>
      <c r="G778" s="234"/>
    </row>
    <row r="779" spans="4:7" ht="13.5" customHeight="1">
      <c r="D779" s="234"/>
      <c r="E779" s="234"/>
      <c r="F779" s="234"/>
      <c r="G779" s="234"/>
    </row>
    <row r="780" spans="4:7" ht="13.5" customHeight="1">
      <c r="D780" s="234"/>
      <c r="E780" s="234"/>
      <c r="F780" s="234"/>
      <c r="G780" s="234"/>
    </row>
    <row r="781" spans="4:7" ht="13.5" customHeight="1">
      <c r="D781" s="234"/>
      <c r="E781" s="234"/>
      <c r="F781" s="234"/>
      <c r="G781" s="234"/>
    </row>
    <row r="782" spans="4:7" ht="13.5" customHeight="1">
      <c r="D782" s="234"/>
      <c r="E782" s="234"/>
      <c r="F782" s="234"/>
      <c r="G782" s="234"/>
    </row>
    <row r="783" spans="4:7" ht="13.5" customHeight="1">
      <c r="D783" s="234"/>
      <c r="E783" s="234"/>
      <c r="F783" s="234"/>
      <c r="G783" s="234"/>
    </row>
    <row r="784" spans="4:7" ht="13.5" customHeight="1">
      <c r="D784" s="234"/>
      <c r="E784" s="234"/>
      <c r="F784" s="234"/>
      <c r="G784" s="234"/>
    </row>
    <row r="785" spans="4:7" ht="13.5" customHeight="1">
      <c r="D785" s="234"/>
      <c r="E785" s="234"/>
      <c r="F785" s="234"/>
      <c r="G785" s="234"/>
    </row>
    <row r="786" spans="4:7" ht="13.5" customHeight="1">
      <c r="D786" s="234"/>
      <c r="E786" s="234"/>
      <c r="F786" s="234"/>
      <c r="G786" s="234"/>
    </row>
    <row r="787" spans="4:7" ht="13.5" customHeight="1">
      <c r="D787" s="234"/>
      <c r="E787" s="234"/>
      <c r="F787" s="234"/>
      <c r="G787" s="234"/>
    </row>
    <row r="788" spans="4:7" ht="13.5" customHeight="1">
      <c r="D788" s="234"/>
      <c r="E788" s="234"/>
      <c r="F788" s="234"/>
      <c r="G788" s="234"/>
    </row>
    <row r="789" spans="4:7" ht="13.5" customHeight="1">
      <c r="D789" s="234"/>
      <c r="E789" s="234"/>
      <c r="F789" s="234"/>
      <c r="G789" s="234"/>
    </row>
    <row r="790" spans="4:7" ht="13.5" customHeight="1">
      <c r="D790" s="234"/>
      <c r="E790" s="234"/>
      <c r="F790" s="234"/>
      <c r="G790" s="234"/>
    </row>
    <row r="791" spans="4:7" ht="13.5" customHeight="1">
      <c r="D791" s="234"/>
      <c r="E791" s="234"/>
      <c r="F791" s="234"/>
      <c r="G791" s="234"/>
    </row>
    <row r="792" spans="4:7" ht="13.5" customHeight="1">
      <c r="D792" s="234"/>
      <c r="E792" s="234"/>
      <c r="F792" s="234"/>
      <c r="G792" s="234"/>
    </row>
    <row r="793" spans="4:7" ht="13.5" customHeight="1">
      <c r="D793" s="234"/>
      <c r="E793" s="234"/>
      <c r="F793" s="234"/>
      <c r="G793" s="234"/>
    </row>
    <row r="794" spans="4:7" ht="13.5" customHeight="1">
      <c r="D794" s="234"/>
      <c r="E794" s="234"/>
      <c r="F794" s="234"/>
      <c r="G794" s="234"/>
    </row>
    <row r="795" spans="4:7" ht="13.5" customHeight="1">
      <c r="D795" s="234"/>
      <c r="E795" s="234"/>
      <c r="F795" s="234"/>
      <c r="G795" s="234"/>
    </row>
    <row r="796" spans="4:7" ht="13.5" customHeight="1">
      <c r="D796" s="234"/>
      <c r="E796" s="234"/>
      <c r="F796" s="234"/>
      <c r="G796" s="234"/>
    </row>
    <row r="797" spans="4:7" ht="13.5" customHeight="1">
      <c r="D797" s="234"/>
      <c r="E797" s="234"/>
      <c r="F797" s="234"/>
      <c r="G797" s="234"/>
    </row>
    <row r="798" spans="4:7" ht="13.5" customHeight="1">
      <c r="D798" s="234"/>
      <c r="E798" s="234"/>
      <c r="F798" s="234"/>
      <c r="G798" s="234"/>
    </row>
    <row r="799" spans="4:7" ht="13.5" customHeight="1">
      <c r="D799" s="234"/>
      <c r="E799" s="234"/>
      <c r="F799" s="234"/>
      <c r="G799" s="234"/>
    </row>
    <row r="800" spans="4:7" ht="13.5" customHeight="1">
      <c r="D800" s="234"/>
      <c r="E800" s="234"/>
      <c r="F800" s="234"/>
      <c r="G800" s="234"/>
    </row>
    <row r="801" spans="4:7" ht="13.5" customHeight="1">
      <c r="D801" s="234"/>
      <c r="E801" s="234"/>
      <c r="F801" s="234"/>
      <c r="G801" s="234"/>
    </row>
    <row r="802" spans="4:7" ht="13.5" customHeight="1">
      <c r="D802" s="234"/>
      <c r="E802" s="234"/>
      <c r="F802" s="234"/>
      <c r="G802" s="234"/>
    </row>
    <row r="803" spans="4:7" ht="13.5" customHeight="1">
      <c r="D803" s="234"/>
      <c r="E803" s="234"/>
      <c r="F803" s="234"/>
      <c r="G803" s="234"/>
    </row>
    <row r="804" spans="4:7" ht="13.5" customHeight="1">
      <c r="D804" s="234"/>
      <c r="E804" s="234"/>
      <c r="F804" s="234"/>
      <c r="G804" s="234"/>
    </row>
    <row r="805" spans="4:7" ht="13.5" customHeight="1">
      <c r="D805" s="234"/>
      <c r="E805" s="234"/>
      <c r="F805" s="234"/>
      <c r="G805" s="234"/>
    </row>
    <row r="806" spans="4:7" ht="13.5" customHeight="1">
      <c r="D806" s="234"/>
      <c r="E806" s="234"/>
      <c r="F806" s="234"/>
      <c r="G806" s="234"/>
    </row>
    <row r="807" spans="4:7" ht="13.5" customHeight="1">
      <c r="D807" s="234"/>
      <c r="E807" s="234"/>
      <c r="F807" s="234"/>
      <c r="G807" s="234"/>
    </row>
    <row r="808" spans="4:7" ht="13.5" customHeight="1">
      <c r="D808" s="234"/>
      <c r="E808" s="234"/>
      <c r="F808" s="234"/>
      <c r="G808" s="234"/>
    </row>
    <row r="809" spans="4:7" ht="13.5" customHeight="1">
      <c r="D809" s="234"/>
      <c r="E809" s="234"/>
      <c r="F809" s="234"/>
      <c r="G809" s="234"/>
    </row>
    <row r="810" spans="4:7" ht="13.5" customHeight="1">
      <c r="D810" s="234"/>
      <c r="E810" s="234"/>
      <c r="F810" s="234"/>
      <c r="G810" s="234"/>
    </row>
    <row r="811" spans="4:7" ht="13.5" customHeight="1">
      <c r="D811" s="234"/>
      <c r="E811" s="234"/>
      <c r="F811" s="234"/>
      <c r="G811" s="234"/>
    </row>
    <row r="812" spans="4:7" ht="13.5" customHeight="1">
      <c r="D812" s="234"/>
      <c r="E812" s="234"/>
      <c r="F812" s="234"/>
      <c r="G812" s="234"/>
    </row>
    <row r="813" spans="4:7" ht="13.5" customHeight="1">
      <c r="D813" s="234"/>
      <c r="E813" s="234"/>
      <c r="F813" s="234"/>
      <c r="G813" s="234"/>
    </row>
    <row r="814" spans="4:7" ht="13.5" customHeight="1">
      <c r="D814" s="234"/>
      <c r="E814" s="234"/>
      <c r="F814" s="234"/>
      <c r="G814" s="234"/>
    </row>
    <row r="815" spans="4:7" ht="13.5" customHeight="1">
      <c r="D815" s="234"/>
      <c r="E815" s="234"/>
      <c r="F815" s="234"/>
      <c r="G815" s="234"/>
    </row>
    <row r="816" spans="4:7" ht="13.5" customHeight="1">
      <c r="D816" s="234"/>
      <c r="E816" s="234"/>
      <c r="F816" s="234"/>
      <c r="G816" s="234"/>
    </row>
    <row r="817" spans="4:7" ht="13.5" customHeight="1">
      <c r="D817" s="234"/>
      <c r="E817" s="234"/>
      <c r="F817" s="234"/>
      <c r="G817" s="234"/>
    </row>
    <row r="818" spans="4:7" ht="13.5" customHeight="1">
      <c r="D818" s="234"/>
      <c r="E818" s="234"/>
      <c r="F818" s="234"/>
      <c r="G818" s="234"/>
    </row>
    <row r="819" spans="4:7" ht="13.5" customHeight="1">
      <c r="D819" s="234"/>
      <c r="E819" s="234"/>
      <c r="F819" s="234"/>
      <c r="G819" s="234"/>
    </row>
    <row r="820" spans="4:7" ht="13.5" customHeight="1">
      <c r="D820" s="234"/>
      <c r="E820" s="234"/>
      <c r="F820" s="234"/>
      <c r="G820" s="234"/>
    </row>
    <row r="821" spans="4:7" ht="13.5" customHeight="1">
      <c r="D821" s="234"/>
      <c r="E821" s="234"/>
      <c r="F821" s="234"/>
      <c r="G821" s="234"/>
    </row>
    <row r="822" spans="4:7" ht="13.5" customHeight="1">
      <c r="D822" s="234"/>
      <c r="E822" s="234"/>
      <c r="F822" s="234"/>
      <c r="G822" s="234"/>
    </row>
    <row r="823" spans="4:7" ht="13.5" customHeight="1">
      <c r="D823" s="234"/>
      <c r="E823" s="234"/>
      <c r="F823" s="234"/>
      <c r="G823" s="234"/>
    </row>
    <row r="824" spans="4:7" ht="13.5" customHeight="1">
      <c r="D824" s="234"/>
      <c r="E824" s="234"/>
      <c r="F824" s="234"/>
      <c r="G824" s="234"/>
    </row>
    <row r="825" spans="4:7" ht="13.5" customHeight="1">
      <c r="D825" s="234"/>
      <c r="E825" s="234"/>
      <c r="F825" s="234"/>
      <c r="G825" s="234"/>
    </row>
    <row r="826" spans="4:7" ht="13.5" customHeight="1">
      <c r="D826" s="234"/>
      <c r="E826" s="234"/>
      <c r="F826" s="234"/>
      <c r="G826" s="234"/>
    </row>
    <row r="827" spans="4:7" ht="13.5" customHeight="1">
      <c r="D827" s="234"/>
      <c r="E827" s="234"/>
      <c r="F827" s="234"/>
      <c r="G827" s="234"/>
    </row>
    <row r="828" spans="4:7" ht="13.5" customHeight="1">
      <c r="D828" s="234"/>
      <c r="E828" s="234"/>
      <c r="F828" s="234"/>
      <c r="G828" s="234"/>
    </row>
    <row r="829" spans="4:7" ht="13.5" customHeight="1">
      <c r="D829" s="234"/>
      <c r="E829" s="234"/>
      <c r="F829" s="234"/>
      <c r="G829" s="234"/>
    </row>
    <row r="830" spans="4:7" ht="13.5" customHeight="1">
      <c r="D830" s="234"/>
      <c r="E830" s="234"/>
      <c r="F830" s="234"/>
      <c r="G830" s="234"/>
    </row>
    <row r="831" spans="4:7" ht="13.5" customHeight="1">
      <c r="D831" s="234"/>
      <c r="E831" s="234"/>
      <c r="F831" s="234"/>
      <c r="G831" s="234"/>
    </row>
    <row r="832" spans="4:7" ht="13.5" customHeight="1">
      <c r="D832" s="234"/>
      <c r="E832" s="234"/>
      <c r="F832" s="234"/>
      <c r="G832" s="234"/>
    </row>
    <row r="833" spans="4:7" ht="13.5" customHeight="1">
      <c r="D833" s="234"/>
      <c r="E833" s="234"/>
      <c r="F833" s="234"/>
      <c r="G833" s="234"/>
    </row>
    <row r="834" spans="4:7" ht="13.5" customHeight="1">
      <c r="D834" s="234"/>
      <c r="E834" s="234"/>
      <c r="F834" s="234"/>
      <c r="G834" s="234"/>
    </row>
    <row r="835" spans="4:7" ht="13.5" customHeight="1">
      <c r="D835" s="234"/>
      <c r="E835" s="234"/>
      <c r="F835" s="234"/>
      <c r="G835" s="234"/>
    </row>
    <row r="836" spans="4:7" ht="13.5" customHeight="1">
      <c r="D836" s="234"/>
      <c r="E836" s="234"/>
      <c r="F836" s="234"/>
      <c r="G836" s="234"/>
    </row>
    <row r="837" spans="4:7" ht="13.5" customHeight="1">
      <c r="D837" s="234"/>
      <c r="E837" s="234"/>
      <c r="F837" s="234"/>
      <c r="G837" s="234"/>
    </row>
    <row r="838" spans="4:7" ht="13.5" customHeight="1">
      <c r="D838" s="234"/>
      <c r="E838" s="234"/>
      <c r="F838" s="234"/>
      <c r="G838" s="234"/>
    </row>
    <row r="839" spans="4:7" ht="13.5" customHeight="1">
      <c r="D839" s="234"/>
      <c r="E839" s="234"/>
      <c r="F839" s="234"/>
      <c r="G839" s="234"/>
    </row>
    <row r="840" spans="4:7" ht="13.5" customHeight="1">
      <c r="D840" s="234"/>
      <c r="E840" s="234"/>
      <c r="F840" s="234"/>
      <c r="G840" s="234"/>
    </row>
    <row r="841" spans="4:7" ht="13.5" customHeight="1">
      <c r="D841" s="234"/>
      <c r="E841" s="234"/>
      <c r="F841" s="234"/>
      <c r="G841" s="234"/>
    </row>
    <row r="842" spans="4:7" ht="13.5" customHeight="1">
      <c r="D842" s="234"/>
      <c r="E842" s="234"/>
      <c r="F842" s="234"/>
      <c r="G842" s="234"/>
    </row>
    <row r="843" spans="4:7" ht="13.5" customHeight="1">
      <c r="D843" s="234"/>
      <c r="E843" s="234"/>
      <c r="F843" s="234"/>
      <c r="G843" s="234"/>
    </row>
    <row r="844" spans="4:7" ht="13.5" customHeight="1">
      <c r="D844" s="234"/>
      <c r="E844" s="234"/>
      <c r="F844" s="234"/>
      <c r="G844" s="234"/>
    </row>
    <row r="845" spans="4:7" ht="13.5" customHeight="1">
      <c r="D845" s="234"/>
      <c r="E845" s="234"/>
      <c r="F845" s="234"/>
      <c r="G845" s="234"/>
    </row>
    <row r="846" spans="4:7" ht="13.5" customHeight="1">
      <c r="D846" s="234"/>
      <c r="E846" s="234"/>
      <c r="F846" s="234"/>
      <c r="G846" s="234"/>
    </row>
    <row r="847" spans="4:7" ht="13.5" customHeight="1">
      <c r="D847" s="234"/>
      <c r="E847" s="234"/>
      <c r="F847" s="234"/>
      <c r="G847" s="234"/>
    </row>
    <row r="848" spans="4:7" ht="13.5" customHeight="1">
      <c r="D848" s="234"/>
      <c r="E848" s="234"/>
      <c r="F848" s="234"/>
      <c r="G848" s="234"/>
    </row>
    <row r="849" spans="4:7" ht="13.5" customHeight="1">
      <c r="D849" s="234"/>
      <c r="E849" s="234"/>
      <c r="F849" s="234"/>
      <c r="G849" s="234"/>
    </row>
    <row r="850" spans="4:7" ht="13.5" customHeight="1">
      <c r="D850" s="234"/>
      <c r="E850" s="234"/>
      <c r="F850" s="234"/>
      <c r="G850" s="234"/>
    </row>
    <row r="851" spans="4:7" ht="13.5" customHeight="1">
      <c r="D851" s="234"/>
      <c r="E851" s="234"/>
      <c r="F851" s="234"/>
      <c r="G851" s="234"/>
    </row>
    <row r="852" spans="4:7" ht="13.5" customHeight="1">
      <c r="D852" s="234"/>
      <c r="E852" s="234"/>
      <c r="F852" s="234"/>
      <c r="G852" s="234"/>
    </row>
    <row r="853" spans="4:7" ht="13.5" customHeight="1">
      <c r="D853" s="234"/>
      <c r="E853" s="234"/>
      <c r="F853" s="234"/>
      <c r="G853" s="234"/>
    </row>
    <row r="854" spans="4:7" ht="13.5" customHeight="1">
      <c r="D854" s="234"/>
      <c r="E854" s="234"/>
      <c r="F854" s="234"/>
      <c r="G854" s="234"/>
    </row>
    <row r="855" spans="4:7" ht="13.5" customHeight="1">
      <c r="D855" s="234"/>
      <c r="E855" s="234"/>
      <c r="F855" s="234"/>
      <c r="G855" s="234"/>
    </row>
    <row r="856" spans="4:7" ht="13.5" customHeight="1">
      <c r="D856" s="234"/>
      <c r="E856" s="234"/>
      <c r="F856" s="234"/>
      <c r="G856" s="234"/>
    </row>
    <row r="857" spans="4:7" ht="13.5" customHeight="1">
      <c r="D857" s="234"/>
      <c r="E857" s="234"/>
      <c r="F857" s="234"/>
      <c r="G857" s="234"/>
    </row>
    <row r="858" spans="4:7" ht="13.5" customHeight="1">
      <c r="D858" s="234"/>
      <c r="E858" s="234"/>
      <c r="F858" s="234"/>
      <c r="G858" s="234"/>
    </row>
    <row r="859" spans="4:7" ht="13.5" customHeight="1">
      <c r="D859" s="234"/>
      <c r="E859" s="234"/>
      <c r="F859" s="234"/>
      <c r="G859" s="234"/>
    </row>
    <row r="860" spans="4:7" ht="13.5" customHeight="1">
      <c r="D860" s="234"/>
      <c r="E860" s="234"/>
      <c r="F860" s="234"/>
      <c r="G860" s="234"/>
    </row>
    <row r="861" spans="4:7" ht="13.5" customHeight="1">
      <c r="D861" s="234"/>
      <c r="E861" s="234"/>
      <c r="F861" s="234"/>
      <c r="G861" s="234"/>
    </row>
    <row r="862" spans="4:7" ht="13.5" customHeight="1">
      <c r="D862" s="234"/>
      <c r="E862" s="234"/>
      <c r="F862" s="234"/>
      <c r="G862" s="234"/>
    </row>
    <row r="863" spans="4:7" ht="13.5" customHeight="1">
      <c r="D863" s="234"/>
      <c r="E863" s="234"/>
      <c r="F863" s="234"/>
      <c r="G863" s="234"/>
    </row>
    <row r="864" spans="4:7" ht="13.5" customHeight="1">
      <c r="D864" s="234"/>
      <c r="E864" s="234"/>
      <c r="F864" s="234"/>
      <c r="G864" s="234"/>
    </row>
    <row r="865" spans="4:7" ht="13.5" customHeight="1">
      <c r="D865" s="234"/>
      <c r="E865" s="234"/>
      <c r="F865" s="234"/>
      <c r="G865" s="234"/>
    </row>
    <row r="866" spans="4:7" ht="13.5" customHeight="1">
      <c r="D866" s="234"/>
      <c r="E866" s="234"/>
      <c r="F866" s="234"/>
      <c r="G866" s="234"/>
    </row>
    <row r="867" spans="4:7" ht="13.5" customHeight="1">
      <c r="D867" s="234"/>
      <c r="E867" s="234"/>
      <c r="F867" s="234"/>
      <c r="G867" s="234"/>
    </row>
    <row r="868" spans="4:7" ht="13.5" customHeight="1">
      <c r="D868" s="234"/>
      <c r="E868" s="234"/>
      <c r="F868" s="234"/>
      <c r="G868" s="234"/>
    </row>
    <row r="869" spans="4:7" ht="13.5" customHeight="1">
      <c r="D869" s="234"/>
      <c r="E869" s="234"/>
      <c r="F869" s="234"/>
      <c r="G869" s="234"/>
    </row>
    <row r="870" spans="4:7" ht="13.5" customHeight="1">
      <c r="D870" s="234"/>
      <c r="E870" s="234"/>
      <c r="F870" s="234"/>
      <c r="G870" s="234"/>
    </row>
    <row r="871" spans="4:7" ht="13.5" customHeight="1">
      <c r="D871" s="234"/>
      <c r="E871" s="234"/>
      <c r="F871" s="234"/>
      <c r="G871" s="234"/>
    </row>
    <row r="872" spans="4:7" ht="13.5" customHeight="1">
      <c r="D872" s="234"/>
      <c r="E872" s="234"/>
      <c r="F872" s="234"/>
      <c r="G872" s="234"/>
    </row>
    <row r="873" spans="4:7" ht="13.5" customHeight="1">
      <c r="D873" s="234"/>
      <c r="E873" s="234"/>
      <c r="F873" s="234"/>
      <c r="G873" s="234"/>
    </row>
    <row r="874" spans="4:7" ht="13.5" customHeight="1">
      <c r="D874" s="234"/>
      <c r="E874" s="234"/>
      <c r="F874" s="234"/>
      <c r="G874" s="234"/>
    </row>
    <row r="875" spans="4:7" ht="13.5" customHeight="1">
      <c r="D875" s="234"/>
      <c r="E875" s="234"/>
      <c r="F875" s="234"/>
      <c r="G875" s="234"/>
    </row>
    <row r="876" spans="4:7" ht="13.5" customHeight="1">
      <c r="D876" s="234"/>
      <c r="E876" s="234"/>
      <c r="F876" s="234"/>
      <c r="G876" s="234"/>
    </row>
    <row r="877" spans="4:7" ht="13.5" customHeight="1">
      <c r="D877" s="234"/>
      <c r="E877" s="234"/>
      <c r="F877" s="234"/>
      <c r="G877" s="234"/>
    </row>
    <row r="878" spans="4:7" ht="13.5" customHeight="1">
      <c r="D878" s="234"/>
      <c r="E878" s="234"/>
      <c r="F878" s="234"/>
      <c r="G878" s="234"/>
    </row>
    <row r="879" spans="4:7" ht="13.5" customHeight="1">
      <c r="D879" s="234"/>
      <c r="E879" s="234"/>
      <c r="F879" s="234"/>
      <c r="G879" s="234"/>
    </row>
    <row r="880" spans="4:7" ht="13.5" customHeight="1">
      <c r="D880" s="234"/>
      <c r="E880" s="234"/>
      <c r="F880" s="234"/>
      <c r="G880" s="234"/>
    </row>
    <row r="881" spans="4:7" ht="13.5" customHeight="1">
      <c r="D881" s="234"/>
      <c r="E881" s="234"/>
      <c r="F881" s="234"/>
      <c r="G881" s="234"/>
    </row>
    <row r="882" spans="4:7" ht="13.5" customHeight="1">
      <c r="D882" s="234"/>
      <c r="E882" s="234"/>
      <c r="F882" s="234"/>
      <c r="G882" s="234"/>
    </row>
    <row r="883" spans="4:7" ht="13.5" customHeight="1">
      <c r="D883" s="234"/>
      <c r="E883" s="234"/>
      <c r="F883" s="234"/>
      <c r="G883" s="234"/>
    </row>
    <row r="884" spans="4:7" ht="13.5" customHeight="1">
      <c r="D884" s="234"/>
      <c r="E884" s="234"/>
      <c r="F884" s="234"/>
      <c r="G884" s="234"/>
    </row>
    <row r="885" spans="4:7" ht="13.5" customHeight="1">
      <c r="D885" s="234"/>
      <c r="E885" s="234"/>
      <c r="F885" s="234"/>
      <c r="G885" s="234"/>
    </row>
    <row r="886" spans="4:7" ht="13.5" customHeight="1">
      <c r="D886" s="234"/>
      <c r="E886" s="234"/>
      <c r="F886" s="234"/>
      <c r="G886" s="234"/>
    </row>
    <row r="887" spans="4:7" ht="13.5" customHeight="1">
      <c r="D887" s="234"/>
      <c r="E887" s="234"/>
      <c r="F887" s="234"/>
      <c r="G887" s="234"/>
    </row>
    <row r="888" spans="4:7" ht="13.5" customHeight="1">
      <c r="D888" s="234"/>
      <c r="E888" s="234"/>
      <c r="F888" s="234"/>
      <c r="G888" s="234"/>
    </row>
    <row r="889" spans="4:7" ht="13.5" customHeight="1">
      <c r="D889" s="234"/>
      <c r="E889" s="234"/>
      <c r="F889" s="234"/>
      <c r="G889" s="234"/>
    </row>
    <row r="890" spans="4:7" ht="13.5" customHeight="1">
      <c r="D890" s="234"/>
      <c r="E890" s="234"/>
      <c r="F890" s="234"/>
      <c r="G890" s="234"/>
    </row>
    <row r="891" spans="4:7" ht="13.5" customHeight="1">
      <c r="D891" s="234"/>
      <c r="E891" s="234"/>
      <c r="F891" s="234"/>
      <c r="G891" s="234"/>
    </row>
    <row r="892" spans="4:7" ht="13.5" customHeight="1">
      <c r="D892" s="234"/>
      <c r="E892" s="234"/>
      <c r="F892" s="234"/>
      <c r="G892" s="234"/>
    </row>
    <row r="893" spans="4:7" ht="13.5" customHeight="1">
      <c r="D893" s="234"/>
      <c r="E893" s="234"/>
      <c r="F893" s="234"/>
      <c r="G893" s="234"/>
    </row>
    <row r="894" spans="4:7" ht="13.5" customHeight="1">
      <c r="D894" s="234"/>
      <c r="E894" s="234"/>
      <c r="F894" s="234"/>
      <c r="G894" s="234"/>
    </row>
    <row r="895" spans="4:7" ht="13.5" customHeight="1">
      <c r="D895" s="234"/>
      <c r="E895" s="234"/>
      <c r="F895" s="234"/>
      <c r="G895" s="234"/>
    </row>
    <row r="896" spans="4:7" ht="13.5" customHeight="1">
      <c r="D896" s="234"/>
      <c r="E896" s="234"/>
      <c r="F896" s="234"/>
      <c r="G896" s="234"/>
    </row>
    <row r="897" spans="4:7" ht="13.5" customHeight="1">
      <c r="D897" s="234"/>
      <c r="E897" s="234"/>
      <c r="F897" s="234"/>
      <c r="G897" s="234"/>
    </row>
    <row r="898" spans="4:7" ht="13.5" customHeight="1">
      <c r="D898" s="234"/>
      <c r="E898" s="234"/>
      <c r="F898" s="234"/>
      <c r="G898" s="234"/>
    </row>
    <row r="899" spans="4:7" ht="13.5" customHeight="1">
      <c r="D899" s="234"/>
      <c r="E899" s="234"/>
      <c r="F899" s="234"/>
      <c r="G899" s="234"/>
    </row>
    <row r="900" spans="4:7" ht="13.5" customHeight="1">
      <c r="D900" s="234"/>
      <c r="E900" s="234"/>
      <c r="F900" s="234"/>
      <c r="G900" s="234"/>
    </row>
    <row r="901" spans="4:7" ht="13.5" customHeight="1">
      <c r="D901" s="234"/>
      <c r="E901" s="234"/>
      <c r="F901" s="234"/>
      <c r="G901" s="234"/>
    </row>
    <row r="902" spans="4:7" ht="13.5" customHeight="1">
      <c r="D902" s="234"/>
      <c r="E902" s="234"/>
      <c r="F902" s="234"/>
      <c r="G902" s="234"/>
    </row>
    <row r="903" spans="4:7" ht="13.5" customHeight="1">
      <c r="D903" s="234"/>
      <c r="E903" s="234"/>
      <c r="F903" s="234"/>
      <c r="G903" s="234"/>
    </row>
    <row r="904" spans="4:7" ht="13.5" customHeight="1">
      <c r="D904" s="234"/>
      <c r="E904" s="234"/>
      <c r="F904" s="234"/>
      <c r="G904" s="234"/>
    </row>
    <row r="905" spans="4:7" ht="13.5" customHeight="1">
      <c r="D905" s="234"/>
      <c r="E905" s="234"/>
      <c r="F905" s="234"/>
      <c r="G905" s="234"/>
    </row>
    <row r="906" spans="4:7" ht="13.5" customHeight="1">
      <c r="D906" s="234"/>
      <c r="E906" s="234"/>
      <c r="F906" s="234"/>
      <c r="G906" s="234"/>
    </row>
    <row r="907" spans="4:7" ht="13.5" customHeight="1">
      <c r="D907" s="234"/>
      <c r="E907" s="234"/>
      <c r="F907" s="234"/>
      <c r="G907" s="234"/>
    </row>
    <row r="908" spans="4:7" ht="13.5" customHeight="1">
      <c r="D908" s="234"/>
      <c r="E908" s="234"/>
      <c r="F908" s="234"/>
      <c r="G908" s="234"/>
    </row>
    <row r="909" spans="4:7" ht="13.5" customHeight="1">
      <c r="D909" s="234"/>
      <c r="E909" s="234"/>
      <c r="F909" s="234"/>
      <c r="G909" s="234"/>
    </row>
    <row r="910" spans="4:7" ht="13.5" customHeight="1">
      <c r="D910" s="234"/>
      <c r="E910" s="234"/>
      <c r="F910" s="234"/>
      <c r="G910" s="234"/>
    </row>
    <row r="911" spans="4:7" ht="13.5" customHeight="1">
      <c r="D911" s="234"/>
      <c r="E911" s="234"/>
      <c r="F911" s="234"/>
      <c r="G911" s="234"/>
    </row>
    <row r="912" spans="4:7" ht="13.5" customHeight="1">
      <c r="D912" s="234"/>
      <c r="E912" s="234"/>
      <c r="F912" s="234"/>
      <c r="G912" s="234"/>
    </row>
    <row r="913" spans="4:7" ht="13.5" customHeight="1">
      <c r="D913" s="234"/>
      <c r="E913" s="234"/>
      <c r="F913" s="234"/>
      <c r="G913" s="234"/>
    </row>
    <row r="914" spans="4:7" ht="13.5" customHeight="1">
      <c r="D914" s="234"/>
      <c r="E914" s="234"/>
      <c r="F914" s="234"/>
      <c r="G914" s="234"/>
    </row>
    <row r="915" spans="4:7" ht="13.5" customHeight="1">
      <c r="D915" s="234"/>
      <c r="E915" s="234"/>
      <c r="F915" s="234"/>
      <c r="G915" s="234"/>
    </row>
    <row r="916" spans="4:7" ht="13.5" customHeight="1">
      <c r="D916" s="234"/>
      <c r="E916" s="234"/>
      <c r="F916" s="234"/>
      <c r="G916" s="234"/>
    </row>
    <row r="917" spans="4:7" ht="13.5" customHeight="1">
      <c r="D917" s="234"/>
      <c r="E917" s="234"/>
      <c r="F917" s="234"/>
      <c r="G917" s="234"/>
    </row>
    <row r="918" spans="4:7" ht="13.5" customHeight="1">
      <c r="D918" s="234"/>
      <c r="E918" s="234"/>
      <c r="F918" s="234"/>
      <c r="G918" s="234"/>
    </row>
    <row r="919" spans="4:7" ht="13.5" customHeight="1">
      <c r="D919" s="234"/>
      <c r="E919" s="234"/>
      <c r="F919" s="234"/>
      <c r="G919" s="234"/>
    </row>
    <row r="920" spans="4:7" ht="13.5" customHeight="1">
      <c r="D920" s="234"/>
      <c r="E920" s="234"/>
      <c r="F920" s="234"/>
      <c r="G920" s="234"/>
    </row>
    <row r="921" spans="4:7" ht="13.5" customHeight="1">
      <c r="D921" s="234"/>
      <c r="E921" s="234"/>
      <c r="F921" s="234"/>
      <c r="G921" s="234"/>
    </row>
    <row r="922" spans="4:7" ht="13.5" customHeight="1">
      <c r="D922" s="234"/>
      <c r="E922" s="234"/>
      <c r="F922" s="234"/>
      <c r="G922" s="234"/>
    </row>
    <row r="923" spans="4:7" ht="13.5" customHeight="1">
      <c r="D923" s="234"/>
      <c r="E923" s="234"/>
      <c r="F923" s="234"/>
      <c r="G923" s="234"/>
    </row>
    <row r="924" spans="4:7" ht="13.5" customHeight="1">
      <c r="D924" s="234"/>
      <c r="E924" s="234"/>
      <c r="F924" s="234"/>
      <c r="G924" s="234"/>
    </row>
    <row r="925" spans="4:7" ht="13.5" customHeight="1">
      <c r="D925" s="234"/>
      <c r="E925" s="234"/>
      <c r="F925" s="234"/>
      <c r="G925" s="234"/>
    </row>
    <row r="926" spans="4:7" ht="13.5" customHeight="1">
      <c r="D926" s="234"/>
      <c r="E926" s="234"/>
      <c r="F926" s="234"/>
      <c r="G926" s="234"/>
    </row>
    <row r="927" spans="4:7" ht="13.5" customHeight="1">
      <c r="D927" s="234"/>
      <c r="E927" s="234"/>
      <c r="F927" s="234"/>
      <c r="G927" s="234"/>
    </row>
    <row r="928" spans="4:7" ht="13.5" customHeight="1">
      <c r="D928" s="234"/>
      <c r="E928" s="234"/>
      <c r="F928" s="234"/>
      <c r="G928" s="234"/>
    </row>
    <row r="929" spans="4:7" ht="13.5" customHeight="1">
      <c r="D929" s="234"/>
      <c r="E929" s="234"/>
      <c r="F929" s="234"/>
      <c r="G929" s="234"/>
    </row>
    <row r="930" spans="4:7" ht="13.5" customHeight="1">
      <c r="D930" s="234"/>
      <c r="E930" s="234"/>
      <c r="F930" s="234"/>
      <c r="G930" s="234"/>
    </row>
    <row r="931" spans="4:7" ht="13.5" customHeight="1">
      <c r="D931" s="234"/>
      <c r="E931" s="234"/>
      <c r="F931" s="234"/>
      <c r="G931" s="234"/>
    </row>
    <row r="932" spans="4:7" ht="13.5" customHeight="1">
      <c r="D932" s="234"/>
      <c r="E932" s="234"/>
      <c r="F932" s="234"/>
      <c r="G932" s="234"/>
    </row>
    <row r="933" spans="4:7" ht="13.5" customHeight="1">
      <c r="D933" s="234"/>
      <c r="E933" s="234"/>
      <c r="F933" s="234"/>
      <c r="G933" s="234"/>
    </row>
    <row r="934" spans="4:7" ht="13.5" customHeight="1">
      <c r="D934" s="234"/>
      <c r="E934" s="234"/>
      <c r="F934" s="234"/>
      <c r="G934" s="234"/>
    </row>
    <row r="935" spans="4:7" ht="13.5" customHeight="1">
      <c r="D935" s="234"/>
      <c r="E935" s="234"/>
      <c r="F935" s="234"/>
      <c r="G935" s="234"/>
    </row>
    <row r="936" spans="4:7" ht="13.5" customHeight="1">
      <c r="D936" s="234"/>
      <c r="E936" s="234"/>
      <c r="F936" s="234"/>
      <c r="G936" s="234"/>
    </row>
    <row r="937" spans="4:7" ht="13.5" customHeight="1">
      <c r="D937" s="234"/>
      <c r="E937" s="234"/>
      <c r="F937" s="234"/>
      <c r="G937" s="234"/>
    </row>
    <row r="938" spans="4:7" ht="13.5" customHeight="1">
      <c r="D938" s="234"/>
      <c r="E938" s="234"/>
      <c r="F938" s="234"/>
      <c r="G938" s="234"/>
    </row>
    <row r="939" spans="4:7" ht="13.5" customHeight="1">
      <c r="D939" s="234"/>
      <c r="E939" s="234"/>
      <c r="F939" s="234"/>
      <c r="G939" s="234"/>
    </row>
    <row r="940" spans="4:7" ht="13.5" customHeight="1">
      <c r="D940" s="234"/>
      <c r="E940" s="234"/>
      <c r="F940" s="234"/>
      <c r="G940" s="234"/>
    </row>
    <row r="941" spans="4:7" ht="13.5" customHeight="1">
      <c r="D941" s="234"/>
      <c r="E941" s="234"/>
      <c r="F941" s="234"/>
      <c r="G941" s="234"/>
    </row>
    <row r="942" spans="4:7" ht="13.5" customHeight="1">
      <c r="D942" s="234"/>
      <c r="E942" s="234"/>
      <c r="F942" s="234"/>
      <c r="G942" s="234"/>
    </row>
    <row r="943" spans="4:7" ht="13.5" customHeight="1">
      <c r="D943" s="234"/>
      <c r="E943" s="234"/>
      <c r="F943" s="234"/>
      <c r="G943" s="234"/>
    </row>
    <row r="944" spans="4:7" ht="13.5" customHeight="1">
      <c r="D944" s="234"/>
      <c r="E944" s="234"/>
      <c r="F944" s="234"/>
      <c r="G944" s="234"/>
    </row>
    <row r="945" spans="4:7" ht="13.5" customHeight="1">
      <c r="D945" s="234"/>
      <c r="E945" s="234"/>
      <c r="F945" s="234"/>
      <c r="G945" s="234"/>
    </row>
    <row r="946" spans="4:7" ht="13.5" customHeight="1">
      <c r="D946" s="234"/>
      <c r="E946" s="234"/>
      <c r="F946" s="234"/>
      <c r="G946" s="234"/>
    </row>
    <row r="947" spans="4:7" ht="13.5" customHeight="1">
      <c r="D947" s="234"/>
      <c r="E947" s="234"/>
      <c r="F947" s="234"/>
      <c r="G947" s="234"/>
    </row>
    <row r="948" spans="4:7" ht="13.5" customHeight="1">
      <c r="D948" s="234"/>
      <c r="E948" s="234"/>
      <c r="F948" s="234"/>
      <c r="G948" s="234"/>
    </row>
    <row r="949" spans="4:7" ht="13.5" customHeight="1">
      <c r="D949" s="234"/>
      <c r="E949" s="234"/>
      <c r="F949" s="234"/>
      <c r="G949" s="234"/>
    </row>
    <row r="950" spans="4:7" ht="13.5" customHeight="1">
      <c r="D950" s="234"/>
      <c r="E950" s="234"/>
      <c r="F950" s="234"/>
      <c r="G950" s="234"/>
    </row>
    <row r="951" spans="4:7" ht="13.5" customHeight="1">
      <c r="D951" s="234"/>
      <c r="E951" s="234"/>
      <c r="F951" s="234"/>
      <c r="G951" s="234"/>
    </row>
    <row r="952" spans="4:7" ht="13.5" customHeight="1">
      <c r="D952" s="234"/>
      <c r="E952" s="234"/>
      <c r="F952" s="234"/>
      <c r="G952" s="234"/>
    </row>
    <row r="953" spans="4:7" ht="13.5" customHeight="1">
      <c r="D953" s="234"/>
      <c r="E953" s="234"/>
      <c r="F953" s="234"/>
      <c r="G953" s="234"/>
    </row>
    <row r="954" spans="4:7" ht="13.5" customHeight="1">
      <c r="D954" s="234"/>
      <c r="E954" s="234"/>
      <c r="F954" s="234"/>
      <c r="G954" s="234"/>
    </row>
    <row r="955" spans="4:7" ht="13.5" customHeight="1">
      <c r="D955" s="234"/>
      <c r="E955" s="234"/>
      <c r="F955" s="234"/>
      <c r="G955" s="234"/>
    </row>
    <row r="956" spans="4:7" ht="13.5" customHeight="1">
      <c r="D956" s="234"/>
      <c r="E956" s="234"/>
      <c r="F956" s="234"/>
      <c r="G956" s="234"/>
    </row>
    <row r="957" spans="4:7" ht="13.5" customHeight="1">
      <c r="D957" s="234"/>
      <c r="E957" s="234"/>
      <c r="F957" s="234"/>
      <c r="G957" s="234"/>
    </row>
    <row r="958" spans="4:7" ht="13.5" customHeight="1">
      <c r="D958" s="234"/>
      <c r="E958" s="234"/>
      <c r="F958" s="234"/>
      <c r="G958" s="234"/>
    </row>
    <row r="959" spans="4:7" ht="13.5" customHeight="1">
      <c r="D959" s="234"/>
      <c r="E959" s="234"/>
      <c r="F959" s="234"/>
      <c r="G959" s="234"/>
    </row>
    <row r="960" spans="4:7" ht="13.5" customHeight="1">
      <c r="D960" s="234"/>
      <c r="E960" s="234"/>
      <c r="F960" s="234"/>
      <c r="G960" s="234"/>
    </row>
    <row r="961" spans="4:7" ht="13.5" customHeight="1">
      <c r="D961" s="234"/>
      <c r="E961" s="234"/>
      <c r="F961" s="234"/>
      <c r="G961" s="234"/>
    </row>
    <row r="962" spans="4:7" ht="13.5" customHeight="1">
      <c r="D962" s="234"/>
      <c r="E962" s="234"/>
      <c r="F962" s="234"/>
      <c r="G962" s="234"/>
    </row>
    <row r="963" spans="4:7" ht="13.5" customHeight="1">
      <c r="D963" s="234"/>
      <c r="E963" s="234"/>
      <c r="F963" s="234"/>
      <c r="G963" s="234"/>
    </row>
    <row r="964" spans="4:7" ht="13.5" customHeight="1">
      <c r="D964" s="234"/>
      <c r="E964" s="234"/>
      <c r="F964" s="234"/>
      <c r="G964" s="234"/>
    </row>
    <row r="965" spans="4:7" ht="13.5" customHeight="1">
      <c r="D965" s="234"/>
      <c r="E965" s="234"/>
      <c r="F965" s="234"/>
      <c r="G965" s="234"/>
    </row>
    <row r="966" spans="4:7" ht="13.5" customHeight="1">
      <c r="D966" s="234"/>
      <c r="E966" s="234"/>
      <c r="F966" s="234"/>
      <c r="G966" s="234"/>
    </row>
    <row r="967" spans="4:7" ht="13.5" customHeight="1">
      <c r="D967" s="234"/>
      <c r="E967" s="234"/>
      <c r="F967" s="234"/>
      <c r="G967" s="234"/>
    </row>
    <row r="968" spans="4:7" ht="13.5" customHeight="1">
      <c r="D968" s="234"/>
      <c r="E968" s="234"/>
      <c r="F968" s="234"/>
      <c r="G968" s="234"/>
    </row>
    <row r="969" spans="4:7" ht="13.5" customHeight="1">
      <c r="D969" s="234"/>
      <c r="E969" s="234"/>
      <c r="F969" s="234"/>
      <c r="G969" s="234"/>
    </row>
    <row r="970" spans="4:7" ht="13.5" customHeight="1">
      <c r="D970" s="234"/>
      <c r="E970" s="234"/>
      <c r="F970" s="234"/>
      <c r="G970" s="234"/>
    </row>
    <row r="971" spans="4:7" ht="13.5" customHeight="1">
      <c r="D971" s="234"/>
      <c r="E971" s="234"/>
      <c r="F971" s="234"/>
      <c r="G971" s="234"/>
    </row>
    <row r="972" spans="4:7" ht="13.5" customHeight="1">
      <c r="D972" s="234"/>
      <c r="E972" s="234"/>
      <c r="F972" s="234"/>
      <c r="G972" s="234"/>
    </row>
    <row r="973" spans="4:7" ht="13.5" customHeight="1">
      <c r="D973" s="234"/>
      <c r="E973" s="234"/>
      <c r="F973" s="234"/>
      <c r="G973" s="234"/>
    </row>
    <row r="974" spans="4:7" ht="13.5" customHeight="1">
      <c r="D974" s="234"/>
      <c r="E974" s="234"/>
      <c r="F974" s="234"/>
      <c r="G974" s="234"/>
    </row>
    <row r="975" spans="4:7" ht="13.5" customHeight="1">
      <c r="D975" s="234"/>
      <c r="E975" s="234"/>
      <c r="F975" s="234"/>
      <c r="G975" s="234"/>
    </row>
    <row r="976" spans="4:7" ht="13.5" customHeight="1">
      <c r="D976" s="234"/>
      <c r="E976" s="234"/>
      <c r="F976" s="234"/>
      <c r="G976" s="234"/>
    </row>
    <row r="977" spans="4:7" ht="13.5" customHeight="1">
      <c r="D977" s="234"/>
      <c r="E977" s="234"/>
      <c r="F977" s="234"/>
      <c r="G977" s="234"/>
    </row>
    <row r="978" spans="4:7" ht="13.5" customHeight="1">
      <c r="D978" s="234"/>
      <c r="E978" s="234"/>
      <c r="F978" s="234"/>
      <c r="G978" s="234"/>
    </row>
    <row r="979" spans="4:7" ht="13.5" customHeight="1">
      <c r="D979" s="234"/>
      <c r="E979" s="234"/>
      <c r="F979" s="234"/>
      <c r="G979" s="234"/>
    </row>
    <row r="980" spans="4:7" ht="13.5" customHeight="1">
      <c r="D980" s="234"/>
      <c r="E980" s="234"/>
      <c r="F980" s="234"/>
      <c r="G980" s="234"/>
    </row>
    <row r="981" spans="4:7" ht="13.5" customHeight="1">
      <c r="D981" s="234"/>
      <c r="E981" s="234"/>
      <c r="F981" s="234"/>
      <c r="G981" s="234"/>
    </row>
    <row r="982" spans="4:7" ht="13.5" customHeight="1">
      <c r="D982" s="234"/>
      <c r="E982" s="234"/>
      <c r="F982" s="234"/>
      <c r="G982" s="234"/>
    </row>
    <row r="983" spans="4:7" ht="13.5" customHeight="1">
      <c r="D983" s="234"/>
      <c r="E983" s="234"/>
      <c r="F983" s="234"/>
      <c r="G983" s="234"/>
    </row>
  </sheetData>
  <mergeCells count="1">
    <mergeCell ref="A1:I1"/>
  </mergeCells>
  <pageMargins left="0.70866141732283472" right="0.70866141732283472" top="0.74803149606299213" bottom="0.74803149606299213" header="0" footer="0"/>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3D705-3E29-4050-B35E-F0046C1B31DB}">
  <dimension ref="A1:O225"/>
  <sheetViews>
    <sheetView zoomScale="110" zoomScaleNormal="110" workbookViewId="0">
      <pane xSplit="3" ySplit="3" topLeftCell="D143" activePane="bottomRight" state="frozen"/>
      <selection pane="topRight" activeCell="D1" sqref="D1"/>
      <selection pane="bottomLeft" activeCell="A4" sqref="A4"/>
      <selection pane="bottomRight" activeCell="D141" sqref="D141"/>
    </sheetView>
  </sheetViews>
  <sheetFormatPr defaultColWidth="8.88671875" defaultRowHeight="13.2"/>
  <cols>
    <col min="1" max="1" width="7.33203125" style="263" bestFit="1" customWidth="1"/>
    <col min="2" max="2" width="32.5546875" style="263" customWidth="1"/>
    <col min="3" max="3" width="5.6640625" style="263" bestFit="1" customWidth="1"/>
    <col min="4" max="4" width="14.5546875" style="263" bestFit="1" customWidth="1"/>
    <col min="5" max="5" width="11.6640625" style="263" customWidth="1"/>
    <col min="6" max="6" width="18" style="263" bestFit="1" customWidth="1"/>
    <col min="7" max="7" width="6.33203125" style="263" customWidth="1"/>
    <col min="8" max="8" width="9.88671875" style="263" customWidth="1"/>
    <col min="9" max="9" width="12.6640625" style="263" bestFit="1" customWidth="1"/>
    <col min="10" max="10" width="13.88671875" style="263" customWidth="1"/>
    <col min="11" max="11" width="8.88671875" style="263" customWidth="1"/>
    <col min="12" max="12" width="11.5546875" style="279" customWidth="1"/>
    <col min="13" max="13" width="9" style="279" customWidth="1"/>
    <col min="14" max="14" width="28.6640625" style="272" bestFit="1" customWidth="1"/>
    <col min="15" max="15" width="22.88671875" style="272" bestFit="1" customWidth="1"/>
    <col min="16" max="16384" width="8.88671875" style="263"/>
  </cols>
  <sheetData>
    <row r="1" spans="1:15">
      <c r="A1" s="1083" t="s">
        <v>564</v>
      </c>
      <c r="B1" s="1083"/>
      <c r="C1" s="1083"/>
      <c r="D1" s="1083"/>
      <c r="E1" s="1083"/>
      <c r="F1" s="1083"/>
      <c r="G1" s="1083"/>
      <c r="H1" s="1083"/>
      <c r="I1" s="1083"/>
      <c r="J1" s="1083"/>
      <c r="K1" s="1083"/>
      <c r="L1" s="1083"/>
      <c r="M1" s="1083"/>
    </row>
    <row r="2" spans="1:15">
      <c r="A2" s="1084" t="s">
        <v>565</v>
      </c>
      <c r="B2" s="1084" t="s">
        <v>566</v>
      </c>
      <c r="C2" s="1084" t="s">
        <v>315</v>
      </c>
      <c r="D2" s="1084" t="s">
        <v>233</v>
      </c>
      <c r="E2" s="1086" t="s">
        <v>567</v>
      </c>
      <c r="F2" s="1087" t="s">
        <v>568</v>
      </c>
      <c r="G2" s="1086" t="s">
        <v>569</v>
      </c>
      <c r="H2" s="1089" t="s">
        <v>570</v>
      </c>
      <c r="I2" s="1085"/>
      <c r="J2" s="1090" t="s">
        <v>571</v>
      </c>
      <c r="K2" s="1087" t="s">
        <v>572</v>
      </c>
      <c r="L2" s="1091" t="s">
        <v>573</v>
      </c>
      <c r="M2" s="1091" t="s">
        <v>574</v>
      </c>
    </row>
    <row r="3" spans="1:15">
      <c r="A3" s="1085"/>
      <c r="B3" s="1085"/>
      <c r="C3" s="1085"/>
      <c r="D3" s="1085"/>
      <c r="E3" s="1085"/>
      <c r="F3" s="1088"/>
      <c r="G3" s="1085"/>
      <c r="H3" s="255" t="s">
        <v>516</v>
      </c>
      <c r="I3" s="255" t="s">
        <v>575</v>
      </c>
      <c r="J3" s="1085"/>
      <c r="K3" s="1085"/>
      <c r="L3" s="1092"/>
      <c r="M3" s="1092"/>
    </row>
    <row r="4" spans="1:15">
      <c r="A4" s="256" t="s">
        <v>206</v>
      </c>
      <c r="B4" s="256" t="s">
        <v>576</v>
      </c>
      <c r="C4" s="264"/>
      <c r="D4" s="256"/>
      <c r="E4" s="257"/>
      <c r="F4" s="257"/>
      <c r="G4" s="257"/>
      <c r="H4" s="258"/>
      <c r="I4" s="258"/>
      <c r="J4" s="258"/>
      <c r="K4" s="257"/>
      <c r="L4" s="274"/>
      <c r="M4" s="274"/>
    </row>
    <row r="5" spans="1:15">
      <c r="A5" s="264">
        <v>1</v>
      </c>
      <c r="B5" s="265" t="s">
        <v>577</v>
      </c>
      <c r="C5" s="259" t="s">
        <v>327</v>
      </c>
      <c r="D5" s="264">
        <v>1</v>
      </c>
      <c r="E5" s="260">
        <f>'Flat Sizes'!D158</f>
        <v>59.78</v>
      </c>
      <c r="F5" s="260">
        <f>'Flat Sizes'!G158</f>
        <v>95.94</v>
      </c>
      <c r="G5" s="260">
        <v>2</v>
      </c>
      <c r="H5" s="266">
        <f>D5*E5</f>
        <v>59.78</v>
      </c>
      <c r="I5" s="266">
        <f>F5*G5*D5</f>
        <v>191.88</v>
      </c>
      <c r="J5" s="266">
        <f>E5*0.3*D5</f>
        <v>17.934000000000001</v>
      </c>
      <c r="K5" s="260">
        <v>1</v>
      </c>
      <c r="L5" s="275">
        <f>SUM(H5:I5)*K5</f>
        <v>251.66</v>
      </c>
      <c r="M5" s="275">
        <f>J5*K5</f>
        <v>17.934000000000001</v>
      </c>
      <c r="N5" s="273" t="s">
        <v>578</v>
      </c>
      <c r="O5" s="273" t="s">
        <v>579</v>
      </c>
    </row>
    <row r="6" spans="1:15">
      <c r="A6" s="256" t="str">
        <f>+CHAR(CODE(A4)+1)</f>
        <v>B</v>
      </c>
      <c r="B6" s="256" t="s">
        <v>580</v>
      </c>
      <c r="C6" s="256"/>
      <c r="D6" s="256"/>
      <c r="E6" s="257"/>
      <c r="F6" s="257"/>
      <c r="G6" s="257"/>
      <c r="H6" s="258"/>
      <c r="I6" s="258"/>
      <c r="J6" s="258"/>
      <c r="K6" s="257"/>
      <c r="L6" s="274"/>
      <c r="M6" s="274"/>
    </row>
    <row r="7" spans="1:15">
      <c r="A7" s="268">
        <v>1</v>
      </c>
      <c r="B7" s="269" t="str">
        <f>'Flat Sizes'!B4</f>
        <v>Flat 1A</v>
      </c>
      <c r="C7" s="268"/>
      <c r="D7" s="268"/>
      <c r="E7" s="268"/>
      <c r="F7" s="268"/>
      <c r="G7" s="268"/>
      <c r="H7" s="268"/>
      <c r="I7" s="268"/>
      <c r="J7" s="268"/>
      <c r="K7" s="268"/>
      <c r="L7" s="276"/>
      <c r="M7" s="276"/>
    </row>
    <row r="8" spans="1:15">
      <c r="A8" s="267"/>
      <c r="B8" s="267" t="str">
        <f>'Flat Sizes'!B8</f>
        <v>M. Toilet</v>
      </c>
      <c r="C8" s="267" t="s">
        <v>327</v>
      </c>
      <c r="D8" s="267">
        <v>1</v>
      </c>
      <c r="E8" s="267">
        <f>'Flat Sizes'!D8</f>
        <v>3.46</v>
      </c>
      <c r="F8" s="267">
        <f>'Flat Sizes'!G8</f>
        <v>7.91</v>
      </c>
      <c r="G8" s="267">
        <v>1.2</v>
      </c>
      <c r="H8" s="266">
        <f>D8*E8</f>
        <v>3.46</v>
      </c>
      <c r="I8" s="266">
        <f>F8*G8*D8</f>
        <v>9.4919999999999991</v>
      </c>
      <c r="J8" s="266">
        <f>E8*0.3*D8</f>
        <v>1.038</v>
      </c>
      <c r="K8" s="260">
        <f>'Flat Sizes'!H4</f>
        <v>10</v>
      </c>
      <c r="L8" s="275">
        <f>SUM(H8:I8)*K8</f>
        <v>129.51999999999998</v>
      </c>
      <c r="M8" s="275">
        <f>J8*K8</f>
        <v>10.38</v>
      </c>
      <c r="N8" s="273" t="s">
        <v>581</v>
      </c>
      <c r="O8" s="273" t="s">
        <v>582</v>
      </c>
    </row>
    <row r="9" spans="1:15">
      <c r="A9" s="267"/>
      <c r="B9" s="267" t="str">
        <f>'Flat Sizes'!B9</f>
        <v>C. Toilet</v>
      </c>
      <c r="C9" s="267" t="s">
        <v>327</v>
      </c>
      <c r="D9" s="267">
        <v>1</v>
      </c>
      <c r="E9" s="267">
        <f>'Flat Sizes'!D9</f>
        <v>3.35</v>
      </c>
      <c r="F9" s="267">
        <f>'Flat Sizes'!G9</f>
        <v>7.76</v>
      </c>
      <c r="G9" s="267">
        <v>1.2</v>
      </c>
      <c r="H9" s="266">
        <f>D9*E9</f>
        <v>3.35</v>
      </c>
      <c r="I9" s="266">
        <f>F9*G9*D9</f>
        <v>9.3119999999999994</v>
      </c>
      <c r="J9" s="266">
        <f>E9*0.3*D9</f>
        <v>1.0049999999999999</v>
      </c>
      <c r="K9" s="260">
        <f>'Flat Sizes'!H4</f>
        <v>10</v>
      </c>
      <c r="L9" s="275">
        <f>SUM(H9:I9)*K9</f>
        <v>126.61999999999999</v>
      </c>
      <c r="M9" s="275">
        <f>J9*K9</f>
        <v>10.049999999999999</v>
      </c>
      <c r="N9" s="273" t="s">
        <v>581</v>
      </c>
      <c r="O9" s="273" t="s">
        <v>582</v>
      </c>
    </row>
    <row r="10" spans="1:15">
      <c r="A10" s="268">
        <v>2</v>
      </c>
      <c r="B10" s="269" t="str">
        <f>'Flat Sizes'!B11</f>
        <v>Flat 1B,
2BHK</v>
      </c>
      <c r="C10" s="268"/>
      <c r="D10" s="268"/>
      <c r="E10" s="268"/>
      <c r="F10" s="268"/>
      <c r="G10" s="268"/>
      <c r="H10" s="268"/>
      <c r="I10" s="268"/>
      <c r="J10" s="268"/>
      <c r="K10" s="268"/>
      <c r="L10" s="276"/>
      <c r="M10" s="276"/>
    </row>
    <row r="11" spans="1:15">
      <c r="A11" s="267"/>
      <c r="B11" s="267" t="str">
        <f>'Flat Sizes'!B14</f>
        <v>M. Toilet</v>
      </c>
      <c r="C11" s="267" t="s">
        <v>327</v>
      </c>
      <c r="D11" s="267">
        <v>1</v>
      </c>
      <c r="E11" s="267">
        <f>'Flat Sizes'!D14</f>
        <v>3.46</v>
      </c>
      <c r="F11" s="267">
        <f>'Flat Sizes'!G14</f>
        <v>7.92</v>
      </c>
      <c r="G11" s="267">
        <v>1.2</v>
      </c>
      <c r="H11" s="266">
        <f t="shared" ref="H11:H15" si="0">D11*E11</f>
        <v>3.46</v>
      </c>
      <c r="I11" s="266">
        <f t="shared" ref="I11:I15" si="1">F11*G11*D11</f>
        <v>9.5039999999999996</v>
      </c>
      <c r="J11" s="266">
        <f t="shared" ref="J11:J15" si="2">E11*0.3*D11</f>
        <v>1.038</v>
      </c>
      <c r="K11" s="267">
        <f>'Flat Sizes'!$H$11</f>
        <v>18</v>
      </c>
      <c r="L11" s="275">
        <f t="shared" ref="L11:L15" si="3">SUM(H11:I11)*K11</f>
        <v>233.35199999999998</v>
      </c>
      <c r="M11" s="275">
        <f t="shared" ref="M11:M15" si="4">J11*K11</f>
        <v>18.684000000000001</v>
      </c>
      <c r="N11" s="273" t="s">
        <v>581</v>
      </c>
      <c r="O11" s="273" t="s">
        <v>582</v>
      </c>
    </row>
    <row r="12" spans="1:15">
      <c r="A12" s="267"/>
      <c r="B12" s="267" t="str">
        <f>'Flat Sizes'!B16</f>
        <v>C. Toilet</v>
      </c>
      <c r="C12" s="267" t="s">
        <v>327</v>
      </c>
      <c r="D12" s="267">
        <v>1</v>
      </c>
      <c r="E12" s="267">
        <f>'Flat Sizes'!D16</f>
        <v>3.35</v>
      </c>
      <c r="F12" s="267">
        <f>'Flat Sizes'!G16</f>
        <v>7.76</v>
      </c>
      <c r="G12" s="267">
        <v>1.2</v>
      </c>
      <c r="H12" s="266">
        <f t="shared" si="0"/>
        <v>3.35</v>
      </c>
      <c r="I12" s="266">
        <f t="shared" si="1"/>
        <v>9.3119999999999994</v>
      </c>
      <c r="J12" s="266">
        <f t="shared" si="2"/>
        <v>1.0049999999999999</v>
      </c>
      <c r="K12" s="267">
        <f>'Flat Sizes'!$H$11</f>
        <v>18</v>
      </c>
      <c r="L12" s="275">
        <f t="shared" si="3"/>
        <v>227.916</v>
      </c>
      <c r="M12" s="275">
        <f t="shared" si="4"/>
        <v>18.089999999999996</v>
      </c>
      <c r="N12" s="273" t="s">
        <v>581</v>
      </c>
      <c r="O12" s="273" t="s">
        <v>582</v>
      </c>
    </row>
    <row r="13" spans="1:15">
      <c r="A13" s="267"/>
      <c r="B13" s="267" t="str">
        <f>'Flat Sizes'!B17</f>
        <v>Kitchen</v>
      </c>
      <c r="C13" s="267" t="s">
        <v>327</v>
      </c>
      <c r="D13" s="267">
        <v>1</v>
      </c>
      <c r="E13" s="267">
        <f>(0.6*2.5)</f>
        <v>1.5</v>
      </c>
      <c r="F13" s="267">
        <f>(2.5+0.6)*2</f>
        <v>6.2</v>
      </c>
      <c r="G13" s="267">
        <v>1.2</v>
      </c>
      <c r="H13" s="266">
        <f t="shared" si="0"/>
        <v>1.5</v>
      </c>
      <c r="I13" s="266">
        <f t="shared" si="1"/>
        <v>7.4399999999999995</v>
      </c>
      <c r="J13" s="266">
        <f t="shared" si="2"/>
        <v>0.44999999999999996</v>
      </c>
      <c r="K13" s="267">
        <f>'Flat Sizes'!$H$11</f>
        <v>18</v>
      </c>
      <c r="L13" s="275">
        <f t="shared" si="3"/>
        <v>160.91999999999999</v>
      </c>
      <c r="M13" s="275">
        <f t="shared" si="4"/>
        <v>8.1</v>
      </c>
      <c r="N13" s="273" t="s">
        <v>583</v>
      </c>
      <c r="O13" s="273" t="s">
        <v>584</v>
      </c>
    </row>
    <row r="14" spans="1:15">
      <c r="A14" s="267"/>
      <c r="B14" s="267" t="str">
        <f>'Flat Sizes'!B18</f>
        <v>Utility</v>
      </c>
      <c r="C14" s="267" t="s">
        <v>327</v>
      </c>
      <c r="D14" s="267">
        <v>1</v>
      </c>
      <c r="E14" s="267">
        <f>'Flat Sizes'!D18</f>
        <v>2.61</v>
      </c>
      <c r="F14" s="267">
        <f>'Flat Sizes'!G18</f>
        <v>6.71</v>
      </c>
      <c r="G14" s="267">
        <v>1.2</v>
      </c>
      <c r="H14" s="266">
        <f t="shared" si="0"/>
        <v>2.61</v>
      </c>
      <c r="I14" s="266">
        <f t="shared" si="1"/>
        <v>8.0519999999999996</v>
      </c>
      <c r="J14" s="266">
        <f t="shared" si="2"/>
        <v>0.78299999999999992</v>
      </c>
      <c r="K14" s="267">
        <f>'Flat Sizes'!$H$11</f>
        <v>18</v>
      </c>
      <c r="L14" s="275">
        <f t="shared" si="3"/>
        <v>191.916</v>
      </c>
      <c r="M14" s="275">
        <f t="shared" si="4"/>
        <v>14.093999999999998</v>
      </c>
      <c r="N14" s="273" t="s">
        <v>585</v>
      </c>
      <c r="O14" s="273" t="s">
        <v>586</v>
      </c>
    </row>
    <row r="15" spans="1:15">
      <c r="A15" s="267"/>
      <c r="B15" s="267" t="str">
        <f>'Flat Sizes'!B19</f>
        <v>Balcony</v>
      </c>
      <c r="C15" s="267" t="s">
        <v>327</v>
      </c>
      <c r="D15" s="267">
        <v>1</v>
      </c>
      <c r="E15" s="267">
        <f>'Flat Sizes'!D19</f>
        <v>2.6</v>
      </c>
      <c r="F15" s="267">
        <f>'Flat Sizes'!G19</f>
        <v>6.7</v>
      </c>
      <c r="G15" s="267">
        <v>1.2</v>
      </c>
      <c r="H15" s="266">
        <f t="shared" si="0"/>
        <v>2.6</v>
      </c>
      <c r="I15" s="266">
        <f t="shared" si="1"/>
        <v>8.0399999999999991</v>
      </c>
      <c r="J15" s="266">
        <f t="shared" si="2"/>
        <v>0.78</v>
      </c>
      <c r="K15" s="267">
        <f>'Flat Sizes'!$H$11</f>
        <v>18</v>
      </c>
      <c r="L15" s="275">
        <f t="shared" si="3"/>
        <v>191.51999999999998</v>
      </c>
      <c r="M15" s="275">
        <f t="shared" si="4"/>
        <v>14.040000000000001</v>
      </c>
      <c r="N15" s="273" t="s">
        <v>587</v>
      </c>
      <c r="O15" s="273" t="s">
        <v>588</v>
      </c>
    </row>
    <row r="16" spans="1:15">
      <c r="A16" s="268">
        <v>3</v>
      </c>
      <c r="B16" s="269" t="str">
        <f>'Flat Sizes'!B21</f>
        <v>Flat 2A</v>
      </c>
      <c r="C16" s="268"/>
      <c r="D16" s="268"/>
      <c r="E16" s="268"/>
      <c r="F16" s="268"/>
      <c r="G16" s="268"/>
      <c r="H16" s="268"/>
      <c r="I16" s="268"/>
      <c r="J16" s="268"/>
      <c r="K16" s="268"/>
      <c r="L16" s="276"/>
      <c r="M16" s="276"/>
    </row>
    <row r="17" spans="1:15">
      <c r="A17" s="267"/>
      <c r="B17" s="267" t="str">
        <f>'Flat Sizes'!B25</f>
        <v>M. Toilet</v>
      </c>
      <c r="C17" s="267" t="s">
        <v>327</v>
      </c>
      <c r="D17" s="267">
        <v>1</v>
      </c>
      <c r="E17" s="267">
        <f>'Flat Sizes'!D25</f>
        <v>2.57</v>
      </c>
      <c r="F17" s="267">
        <f>'Flat Sizes'!G25</f>
        <v>6.75</v>
      </c>
      <c r="G17" s="267">
        <v>1.2</v>
      </c>
      <c r="H17" s="266">
        <f t="shared" ref="H17" si="5">D17*E17</f>
        <v>2.57</v>
      </c>
      <c r="I17" s="266">
        <f t="shared" ref="I17" si="6">F17*G17*D17</f>
        <v>8.1</v>
      </c>
      <c r="J17" s="266">
        <f t="shared" ref="J17" si="7">E17*0.3*D17</f>
        <v>0.77099999999999991</v>
      </c>
      <c r="K17" s="267">
        <f>'Flat Sizes'!H21</f>
        <v>10</v>
      </c>
      <c r="L17" s="275">
        <f t="shared" ref="L17:L18" si="8">SUM(H17:I17)*K17</f>
        <v>106.7</v>
      </c>
      <c r="M17" s="275">
        <f t="shared" ref="M17:M18" si="9">J17*K17</f>
        <v>7.7099999999999991</v>
      </c>
      <c r="N17" s="273" t="s">
        <v>581</v>
      </c>
      <c r="O17" s="273" t="s">
        <v>582</v>
      </c>
    </row>
    <row r="18" spans="1:15">
      <c r="A18" s="267"/>
      <c r="B18" s="267" t="str">
        <f>'Flat Sizes'!B26</f>
        <v>C. Toilet</v>
      </c>
      <c r="C18" s="267" t="s">
        <v>327</v>
      </c>
      <c r="D18" s="267">
        <v>1</v>
      </c>
      <c r="E18" s="267">
        <f>'Flat Sizes'!D26</f>
        <v>2.87</v>
      </c>
      <c r="F18" s="267">
        <f>'Flat Sizes'!G26</f>
        <v>7.05</v>
      </c>
      <c r="G18" s="267">
        <v>1.2</v>
      </c>
      <c r="H18" s="266">
        <f t="shared" ref="H18" si="10">D18*E18</f>
        <v>2.87</v>
      </c>
      <c r="I18" s="266">
        <f t="shared" ref="I18" si="11">F18*G18*D18</f>
        <v>8.4599999999999991</v>
      </c>
      <c r="J18" s="266">
        <f t="shared" ref="J18" si="12">E18*0.3*D18</f>
        <v>0.86099999999999999</v>
      </c>
      <c r="K18" s="267">
        <f>'Flat Sizes'!H21</f>
        <v>10</v>
      </c>
      <c r="L18" s="275">
        <f t="shared" si="8"/>
        <v>113.29999999999998</v>
      </c>
      <c r="M18" s="275">
        <f t="shared" si="9"/>
        <v>8.61</v>
      </c>
      <c r="N18" s="273" t="s">
        <v>581</v>
      </c>
      <c r="O18" s="273" t="s">
        <v>582</v>
      </c>
    </row>
    <row r="19" spans="1:15">
      <c r="A19" s="268">
        <v>4</v>
      </c>
      <c r="B19" s="269" t="str">
        <f>'Flat Sizes'!B28</f>
        <v>Flat 2B,
2BHK</v>
      </c>
      <c r="C19" s="268"/>
      <c r="D19" s="268"/>
      <c r="E19" s="268"/>
      <c r="F19" s="268"/>
      <c r="G19" s="268"/>
      <c r="H19" s="268"/>
      <c r="I19" s="268"/>
      <c r="J19" s="268"/>
      <c r="K19" s="268"/>
      <c r="L19" s="276"/>
      <c r="M19" s="276"/>
    </row>
    <row r="20" spans="1:15">
      <c r="A20" s="267"/>
      <c r="B20" s="267" t="str">
        <f>'Flat Sizes'!B31</f>
        <v>M. Toilet</v>
      </c>
      <c r="C20" s="267" t="s">
        <v>327</v>
      </c>
      <c r="D20" s="267">
        <v>1</v>
      </c>
      <c r="E20" s="267">
        <f>'Flat Sizes'!D31</f>
        <v>3.39</v>
      </c>
      <c r="F20" s="267">
        <f>'Flat Sizes'!G31</f>
        <v>7.94</v>
      </c>
      <c r="G20" s="267">
        <v>1.2</v>
      </c>
      <c r="H20" s="266">
        <f t="shared" ref="H20:H24" si="13">D20*E20</f>
        <v>3.39</v>
      </c>
      <c r="I20" s="266">
        <f t="shared" ref="I20:I24" si="14">F20*G20*D20</f>
        <v>9.5280000000000005</v>
      </c>
      <c r="J20" s="266">
        <f t="shared" ref="J20:J24" si="15">E20*0.3*D20</f>
        <v>1.0169999999999999</v>
      </c>
      <c r="K20" s="267">
        <f>'Flat Sizes'!$H$28</f>
        <v>18</v>
      </c>
      <c r="L20" s="275">
        <f t="shared" ref="L20" si="16">SUM(H20:I20)*K20</f>
        <v>232.52400000000003</v>
      </c>
      <c r="M20" s="275">
        <f t="shared" ref="M20" si="17">J20*K20</f>
        <v>18.305999999999997</v>
      </c>
      <c r="N20" s="273" t="s">
        <v>581</v>
      </c>
      <c r="O20" s="273" t="s">
        <v>582</v>
      </c>
    </row>
    <row r="21" spans="1:15">
      <c r="A21" s="267"/>
      <c r="B21" s="267" t="str">
        <f>'Flat Sizes'!B33</f>
        <v>C. Toilet</v>
      </c>
      <c r="C21" s="267" t="s">
        <v>327</v>
      </c>
      <c r="D21" s="267">
        <v>1</v>
      </c>
      <c r="E21" s="267">
        <f>'Flat Sizes'!D33</f>
        <v>3.47</v>
      </c>
      <c r="F21" s="267">
        <f>'Flat Sizes'!G33</f>
        <v>7.94</v>
      </c>
      <c r="G21" s="267">
        <v>1.2</v>
      </c>
      <c r="H21" s="266">
        <f t="shared" si="13"/>
        <v>3.47</v>
      </c>
      <c r="I21" s="266">
        <f t="shared" si="14"/>
        <v>9.5280000000000005</v>
      </c>
      <c r="J21" s="266">
        <f t="shared" si="15"/>
        <v>1.0409999999999999</v>
      </c>
      <c r="K21" s="267">
        <f>'Flat Sizes'!$H$28</f>
        <v>18</v>
      </c>
      <c r="L21" s="275">
        <f t="shared" ref="L21:L24" si="18">SUM(H21:I21)*K21</f>
        <v>233.96400000000003</v>
      </c>
      <c r="M21" s="275">
        <f t="shared" ref="M21:M24" si="19">J21*K21</f>
        <v>18.738</v>
      </c>
      <c r="N21" s="273" t="s">
        <v>581</v>
      </c>
      <c r="O21" s="273" t="s">
        <v>582</v>
      </c>
    </row>
    <row r="22" spans="1:15">
      <c r="A22" s="267"/>
      <c r="B22" s="267" t="str">
        <f>'Flat Sizes'!B34</f>
        <v>Kitchen</v>
      </c>
      <c r="C22" s="267" t="s">
        <v>327</v>
      </c>
      <c r="D22" s="267">
        <v>1</v>
      </c>
      <c r="E22" s="267">
        <f>(0.6*2.5)</f>
        <v>1.5</v>
      </c>
      <c r="F22" s="267">
        <f>(2.5+0.6)*2</f>
        <v>6.2</v>
      </c>
      <c r="G22" s="267">
        <v>1.2</v>
      </c>
      <c r="H22" s="266">
        <f t="shared" si="13"/>
        <v>1.5</v>
      </c>
      <c r="I22" s="266">
        <f t="shared" si="14"/>
        <v>7.4399999999999995</v>
      </c>
      <c r="J22" s="266">
        <f t="shared" si="15"/>
        <v>0.44999999999999996</v>
      </c>
      <c r="K22" s="267">
        <f>'Flat Sizes'!$H$28</f>
        <v>18</v>
      </c>
      <c r="L22" s="275">
        <f t="shared" si="18"/>
        <v>160.91999999999999</v>
      </c>
      <c r="M22" s="275">
        <f t="shared" si="19"/>
        <v>8.1</v>
      </c>
      <c r="N22" s="273" t="s">
        <v>583</v>
      </c>
      <c r="O22" s="273" t="s">
        <v>584</v>
      </c>
    </row>
    <row r="23" spans="1:15">
      <c r="A23" s="267"/>
      <c r="B23" s="267" t="str">
        <f>'Flat Sizes'!B35</f>
        <v>Utility</v>
      </c>
      <c r="C23" s="267" t="s">
        <v>327</v>
      </c>
      <c r="D23" s="267">
        <v>1</v>
      </c>
      <c r="E23" s="267">
        <f>'Flat Sizes'!D35</f>
        <v>2.27</v>
      </c>
      <c r="F23" s="267">
        <f>'Flat Sizes'!G35</f>
        <v>6.1</v>
      </c>
      <c r="G23" s="267">
        <v>1.2</v>
      </c>
      <c r="H23" s="266">
        <f t="shared" si="13"/>
        <v>2.27</v>
      </c>
      <c r="I23" s="266">
        <f t="shared" si="14"/>
        <v>7.3199999999999994</v>
      </c>
      <c r="J23" s="266">
        <f t="shared" si="15"/>
        <v>0.68099999999999994</v>
      </c>
      <c r="K23" s="267">
        <f>'Flat Sizes'!$H$28</f>
        <v>18</v>
      </c>
      <c r="L23" s="275">
        <f t="shared" si="18"/>
        <v>172.62</v>
      </c>
      <c r="M23" s="275">
        <f t="shared" si="19"/>
        <v>12.257999999999999</v>
      </c>
      <c r="N23" s="273" t="s">
        <v>585</v>
      </c>
      <c r="O23" s="273" t="s">
        <v>586</v>
      </c>
    </row>
    <row r="24" spans="1:15">
      <c r="A24" s="267"/>
      <c r="B24" s="267" t="str">
        <f>'Flat Sizes'!B36</f>
        <v>Balcony</v>
      </c>
      <c r="C24" s="267" t="s">
        <v>327</v>
      </c>
      <c r="D24" s="267">
        <v>1</v>
      </c>
      <c r="E24" s="267">
        <f>'Flat Sizes'!D36</f>
        <v>2.6</v>
      </c>
      <c r="F24" s="267">
        <f>'Flat Sizes'!G36</f>
        <v>6.7</v>
      </c>
      <c r="G24" s="267">
        <v>1.2</v>
      </c>
      <c r="H24" s="266">
        <f t="shared" si="13"/>
        <v>2.6</v>
      </c>
      <c r="I24" s="266">
        <f t="shared" si="14"/>
        <v>8.0399999999999991</v>
      </c>
      <c r="J24" s="266">
        <f t="shared" si="15"/>
        <v>0.78</v>
      </c>
      <c r="K24" s="267">
        <f>'Flat Sizes'!$H$28</f>
        <v>18</v>
      </c>
      <c r="L24" s="275">
        <f t="shared" si="18"/>
        <v>191.51999999999998</v>
      </c>
      <c r="M24" s="275">
        <f t="shared" si="19"/>
        <v>14.040000000000001</v>
      </c>
      <c r="N24" s="273" t="s">
        <v>587</v>
      </c>
      <c r="O24" s="273" t="s">
        <v>588</v>
      </c>
    </row>
    <row r="25" spans="1:15">
      <c r="A25" s="268">
        <v>5</v>
      </c>
      <c r="B25" s="269" t="str">
        <f>'Flat Sizes'!B38</f>
        <v>Flat 3A,
2BHK</v>
      </c>
      <c r="C25" s="268"/>
      <c r="D25" s="268"/>
      <c r="E25" s="268"/>
      <c r="F25" s="268"/>
      <c r="G25" s="268"/>
      <c r="H25" s="268"/>
      <c r="I25" s="268"/>
      <c r="J25" s="268"/>
      <c r="K25" s="268"/>
      <c r="L25" s="276"/>
      <c r="M25" s="276"/>
    </row>
    <row r="26" spans="1:15">
      <c r="A26" s="267"/>
      <c r="B26" s="267" t="str">
        <f>'Flat Sizes'!B41</f>
        <v>M. Toilet</v>
      </c>
      <c r="C26" s="267" t="s">
        <v>327</v>
      </c>
      <c r="D26" s="267">
        <v>1</v>
      </c>
      <c r="E26" s="267">
        <f>'Flat Sizes'!D41</f>
        <v>3.9</v>
      </c>
      <c r="F26" s="267">
        <f>'Flat Sizes'!G41</f>
        <v>8.27</v>
      </c>
      <c r="G26" s="267">
        <v>1.2</v>
      </c>
      <c r="H26" s="266">
        <f t="shared" ref="H26:H30" si="20">D26*E26</f>
        <v>3.9</v>
      </c>
      <c r="I26" s="266">
        <f t="shared" ref="I26:I30" si="21">F26*G26*D26</f>
        <v>9.9239999999999995</v>
      </c>
      <c r="J26" s="266">
        <f t="shared" ref="J26:J30" si="22">E26*0.3*D26</f>
        <v>1.17</v>
      </c>
      <c r="K26" s="267">
        <f>'Flat Sizes'!$H$38</f>
        <v>3</v>
      </c>
      <c r="L26" s="275">
        <f t="shared" ref="L26:L30" si="23">SUM(H26:I26)*K26</f>
        <v>41.472000000000001</v>
      </c>
      <c r="M26" s="275">
        <f t="shared" ref="M26:M30" si="24">J26*K26</f>
        <v>3.51</v>
      </c>
      <c r="N26" s="273" t="s">
        <v>581</v>
      </c>
      <c r="O26" s="273" t="s">
        <v>582</v>
      </c>
    </row>
    <row r="27" spans="1:15">
      <c r="A27" s="267"/>
      <c r="B27" s="267" t="str">
        <f>'Flat Sizes'!B43</f>
        <v>M. Toilet</v>
      </c>
      <c r="C27" s="267" t="s">
        <v>327</v>
      </c>
      <c r="D27" s="267">
        <v>1</v>
      </c>
      <c r="E27" s="267">
        <f>'Flat Sizes'!D43</f>
        <v>3.83</v>
      </c>
      <c r="F27" s="267">
        <f>'Flat Sizes'!G43</f>
        <v>8.2200000000000006</v>
      </c>
      <c r="G27" s="267">
        <v>1.2</v>
      </c>
      <c r="H27" s="266">
        <f t="shared" si="20"/>
        <v>3.83</v>
      </c>
      <c r="I27" s="266">
        <f t="shared" si="21"/>
        <v>9.8640000000000008</v>
      </c>
      <c r="J27" s="266">
        <f t="shared" si="22"/>
        <v>1.149</v>
      </c>
      <c r="K27" s="267">
        <f>'Flat Sizes'!$H$38</f>
        <v>3</v>
      </c>
      <c r="L27" s="275">
        <f t="shared" si="23"/>
        <v>41.082000000000001</v>
      </c>
      <c r="M27" s="275">
        <f t="shared" si="24"/>
        <v>3.4470000000000001</v>
      </c>
      <c r="N27" s="273" t="s">
        <v>581</v>
      </c>
      <c r="O27" s="273" t="s">
        <v>582</v>
      </c>
    </row>
    <row r="28" spans="1:15">
      <c r="A28" s="267"/>
      <c r="B28" s="267" t="str">
        <f>'Flat Sizes'!B44</f>
        <v>Kitchen</v>
      </c>
      <c r="C28" s="267" t="s">
        <v>327</v>
      </c>
      <c r="D28" s="267">
        <v>1</v>
      </c>
      <c r="E28" s="267">
        <f>E23</f>
        <v>2.27</v>
      </c>
      <c r="F28" s="267">
        <f>F22</f>
        <v>6.2</v>
      </c>
      <c r="G28" s="267">
        <v>1.2</v>
      </c>
      <c r="H28" s="266">
        <f t="shared" si="20"/>
        <v>2.27</v>
      </c>
      <c r="I28" s="266">
        <f t="shared" si="21"/>
        <v>7.4399999999999995</v>
      </c>
      <c r="J28" s="266">
        <f t="shared" si="22"/>
        <v>0.68099999999999994</v>
      </c>
      <c r="K28" s="267">
        <f>'Flat Sizes'!$H$38</f>
        <v>3</v>
      </c>
      <c r="L28" s="275">
        <f t="shared" si="23"/>
        <v>29.129999999999995</v>
      </c>
      <c r="M28" s="275">
        <f t="shared" si="24"/>
        <v>2.0429999999999997</v>
      </c>
      <c r="N28" s="273" t="s">
        <v>583</v>
      </c>
      <c r="O28" s="273" t="s">
        <v>584</v>
      </c>
    </row>
    <row r="29" spans="1:15">
      <c r="A29" s="267"/>
      <c r="B29" s="267" t="str">
        <f>'Flat Sizes'!B45</f>
        <v>Utility</v>
      </c>
      <c r="C29" s="267" t="s">
        <v>327</v>
      </c>
      <c r="D29" s="267">
        <v>1</v>
      </c>
      <c r="E29" s="267">
        <f>'Flat Sizes'!D45</f>
        <v>2.75</v>
      </c>
      <c r="F29" s="267">
        <f>'Flat Sizes'!G45</f>
        <v>7.05</v>
      </c>
      <c r="G29" s="267">
        <v>1.2</v>
      </c>
      <c r="H29" s="266">
        <f t="shared" si="20"/>
        <v>2.75</v>
      </c>
      <c r="I29" s="266">
        <f t="shared" si="21"/>
        <v>8.4599999999999991</v>
      </c>
      <c r="J29" s="266">
        <f t="shared" si="22"/>
        <v>0.82499999999999996</v>
      </c>
      <c r="K29" s="267">
        <f>'Flat Sizes'!$H$38</f>
        <v>3</v>
      </c>
      <c r="L29" s="275">
        <f t="shared" si="23"/>
        <v>33.629999999999995</v>
      </c>
      <c r="M29" s="275">
        <f t="shared" si="24"/>
        <v>2.4749999999999996</v>
      </c>
      <c r="N29" s="273" t="s">
        <v>585</v>
      </c>
      <c r="O29" s="273" t="s">
        <v>586</v>
      </c>
    </row>
    <row r="30" spans="1:15">
      <c r="A30" s="267"/>
      <c r="B30" s="267" t="str">
        <f>'Flat Sizes'!B46</f>
        <v>Balcony</v>
      </c>
      <c r="C30" s="267" t="s">
        <v>327</v>
      </c>
      <c r="D30" s="267">
        <v>1</v>
      </c>
      <c r="E30" s="267">
        <f>'Flat Sizes'!D46</f>
        <v>2.8</v>
      </c>
      <c r="F30" s="267">
        <f>'Flat Sizes'!G46</f>
        <v>7.01</v>
      </c>
      <c r="G30" s="267">
        <v>1.2</v>
      </c>
      <c r="H30" s="266">
        <f t="shared" si="20"/>
        <v>2.8</v>
      </c>
      <c r="I30" s="266">
        <f t="shared" si="21"/>
        <v>8.411999999999999</v>
      </c>
      <c r="J30" s="266">
        <f t="shared" si="22"/>
        <v>0.84</v>
      </c>
      <c r="K30" s="267">
        <f>'Flat Sizes'!$H$38</f>
        <v>3</v>
      </c>
      <c r="L30" s="275">
        <f t="shared" si="23"/>
        <v>33.635999999999996</v>
      </c>
      <c r="M30" s="275">
        <f t="shared" si="24"/>
        <v>2.52</v>
      </c>
      <c r="N30" s="273" t="s">
        <v>587</v>
      </c>
      <c r="O30" s="273" t="s">
        <v>588</v>
      </c>
    </row>
    <row r="31" spans="1:15">
      <c r="A31" s="268">
        <v>6</v>
      </c>
      <c r="B31" s="269" t="str">
        <f>'Flat Sizes'!B48</f>
        <v>Flat 3B,
3BHK</v>
      </c>
      <c r="C31" s="268"/>
      <c r="D31" s="268"/>
      <c r="E31" s="268"/>
      <c r="F31" s="268"/>
      <c r="G31" s="268"/>
      <c r="H31" s="268"/>
      <c r="I31" s="268"/>
      <c r="J31" s="268"/>
      <c r="K31" s="268"/>
      <c r="L31" s="276"/>
      <c r="M31" s="276"/>
    </row>
    <row r="32" spans="1:15">
      <c r="A32" s="267"/>
      <c r="B32" s="267" t="str">
        <f>'Flat Sizes'!B51</f>
        <v>M. Toilet</v>
      </c>
      <c r="C32" s="267" t="s">
        <v>327</v>
      </c>
      <c r="D32" s="267">
        <v>1</v>
      </c>
      <c r="E32" s="267">
        <f>'Flat Sizes'!D51</f>
        <v>3.9</v>
      </c>
      <c r="F32" s="267">
        <f>'Flat Sizes'!G51</f>
        <v>8.27</v>
      </c>
      <c r="G32" s="267">
        <v>1.2</v>
      </c>
      <c r="H32" s="266">
        <f t="shared" ref="H32:H37" si="25">D32*E32</f>
        <v>3.9</v>
      </c>
      <c r="I32" s="266">
        <f t="shared" ref="I32:I37" si="26">F32*G32*D32</f>
        <v>9.9239999999999995</v>
      </c>
      <c r="J32" s="266">
        <f t="shared" ref="J32:J37" si="27">E32*0.3*D32</f>
        <v>1.17</v>
      </c>
      <c r="K32" s="267">
        <f>'Flat Sizes'!$H$48</f>
        <v>27</v>
      </c>
      <c r="L32" s="275">
        <f t="shared" ref="L32" si="28">SUM(H32:I32)*K32</f>
        <v>373.24799999999999</v>
      </c>
      <c r="M32" s="275">
        <f t="shared" ref="M32" si="29">J32*K32</f>
        <v>31.589999999999996</v>
      </c>
      <c r="N32" s="273" t="s">
        <v>581</v>
      </c>
      <c r="O32" s="273" t="s">
        <v>582</v>
      </c>
    </row>
    <row r="33" spans="1:15">
      <c r="A33" s="267"/>
      <c r="B33" s="267" t="str">
        <f>'Flat Sizes'!B53</f>
        <v>M. Toilet</v>
      </c>
      <c r="C33" s="267" t="s">
        <v>327</v>
      </c>
      <c r="D33" s="267">
        <v>1</v>
      </c>
      <c r="E33" s="267">
        <f>'Flat Sizes'!D53</f>
        <v>3.82</v>
      </c>
      <c r="F33" s="267">
        <f>'Flat Sizes'!G53</f>
        <v>8.2100000000000009</v>
      </c>
      <c r="G33" s="267">
        <v>1.2</v>
      </c>
      <c r="H33" s="266">
        <f t="shared" si="25"/>
        <v>3.82</v>
      </c>
      <c r="I33" s="266">
        <f t="shared" si="26"/>
        <v>9.8520000000000003</v>
      </c>
      <c r="J33" s="266">
        <f t="shared" si="27"/>
        <v>1.1459999999999999</v>
      </c>
      <c r="K33" s="267">
        <f>'Flat Sizes'!$H$48</f>
        <v>27</v>
      </c>
      <c r="L33" s="275">
        <f t="shared" ref="L33:L37" si="30">SUM(H33:I33)*K33</f>
        <v>369.14400000000001</v>
      </c>
      <c r="M33" s="275">
        <f t="shared" ref="M33:M37" si="31">J33*K33</f>
        <v>30.941999999999997</v>
      </c>
      <c r="N33" s="273" t="s">
        <v>581</v>
      </c>
      <c r="O33" s="273" t="s">
        <v>582</v>
      </c>
    </row>
    <row r="34" spans="1:15">
      <c r="A34" s="267"/>
      <c r="B34" s="267" t="str">
        <f>'Flat Sizes'!B55</f>
        <v>C. Toilet</v>
      </c>
      <c r="C34" s="267" t="s">
        <v>327</v>
      </c>
      <c r="D34" s="267">
        <v>1</v>
      </c>
      <c r="E34" s="267">
        <f>'Flat Sizes'!D55</f>
        <v>3.83</v>
      </c>
      <c r="F34" s="267">
        <f>'Flat Sizes'!G55</f>
        <v>8.2200000000000006</v>
      </c>
      <c r="G34" s="267">
        <v>1.2</v>
      </c>
      <c r="H34" s="266">
        <f t="shared" si="25"/>
        <v>3.83</v>
      </c>
      <c r="I34" s="266">
        <f t="shared" si="26"/>
        <v>9.8640000000000008</v>
      </c>
      <c r="J34" s="266">
        <f t="shared" si="27"/>
        <v>1.149</v>
      </c>
      <c r="K34" s="267">
        <f>'Flat Sizes'!$H$48</f>
        <v>27</v>
      </c>
      <c r="L34" s="275">
        <f t="shared" si="30"/>
        <v>369.738</v>
      </c>
      <c r="M34" s="275">
        <f t="shared" si="31"/>
        <v>31.023</v>
      </c>
      <c r="N34" s="273" t="s">
        <v>581</v>
      </c>
      <c r="O34" s="273" t="s">
        <v>582</v>
      </c>
    </row>
    <row r="35" spans="1:15">
      <c r="A35" s="267"/>
      <c r="B35" s="267" t="str">
        <f>'Flat Sizes'!B56</f>
        <v>Kitchen</v>
      </c>
      <c r="C35" s="267" t="s">
        <v>327</v>
      </c>
      <c r="D35" s="267">
        <v>1</v>
      </c>
      <c r="E35" s="267">
        <f>E28</f>
        <v>2.27</v>
      </c>
      <c r="F35" s="267">
        <f>F28</f>
        <v>6.2</v>
      </c>
      <c r="G35" s="267">
        <v>1.2</v>
      </c>
      <c r="H35" s="266">
        <f t="shared" si="25"/>
        <v>2.27</v>
      </c>
      <c r="I35" s="266">
        <f t="shared" si="26"/>
        <v>7.4399999999999995</v>
      </c>
      <c r="J35" s="266">
        <f t="shared" si="27"/>
        <v>0.68099999999999994</v>
      </c>
      <c r="K35" s="267">
        <f>'Flat Sizes'!$H$48</f>
        <v>27</v>
      </c>
      <c r="L35" s="275">
        <f t="shared" si="30"/>
        <v>262.16999999999996</v>
      </c>
      <c r="M35" s="275">
        <f t="shared" si="31"/>
        <v>18.386999999999997</v>
      </c>
      <c r="N35" s="273" t="s">
        <v>583</v>
      </c>
      <c r="O35" s="273" t="s">
        <v>584</v>
      </c>
    </row>
    <row r="36" spans="1:15">
      <c r="A36" s="267"/>
      <c r="B36" s="267" t="str">
        <f>'Flat Sizes'!B57</f>
        <v>Balcony</v>
      </c>
      <c r="C36" s="267" t="s">
        <v>327</v>
      </c>
      <c r="D36" s="267">
        <v>1</v>
      </c>
      <c r="E36" s="267">
        <f>'Flat Sizes'!D57</f>
        <v>2.8</v>
      </c>
      <c r="F36" s="267">
        <f>'Flat Sizes'!G57</f>
        <v>7.01</v>
      </c>
      <c r="G36" s="267">
        <v>1.2</v>
      </c>
      <c r="H36" s="266">
        <f t="shared" si="25"/>
        <v>2.8</v>
      </c>
      <c r="I36" s="266">
        <f t="shared" si="26"/>
        <v>8.411999999999999</v>
      </c>
      <c r="J36" s="266">
        <f t="shared" si="27"/>
        <v>0.84</v>
      </c>
      <c r="K36" s="267">
        <f>'Flat Sizes'!$H$48</f>
        <v>27</v>
      </c>
      <c r="L36" s="275">
        <f t="shared" si="30"/>
        <v>302.72399999999999</v>
      </c>
      <c r="M36" s="275">
        <f t="shared" si="31"/>
        <v>22.68</v>
      </c>
      <c r="N36" s="273" t="s">
        <v>587</v>
      </c>
      <c r="O36" s="273" t="s">
        <v>588</v>
      </c>
    </row>
    <row r="37" spans="1:15">
      <c r="A37" s="267"/>
      <c r="B37" s="267" t="str">
        <f>'Flat Sizes'!B58</f>
        <v>Utility</v>
      </c>
      <c r="C37" s="267" t="s">
        <v>327</v>
      </c>
      <c r="D37" s="267">
        <v>1</v>
      </c>
      <c r="E37" s="267">
        <f>'Flat Sizes'!D58</f>
        <v>2.82</v>
      </c>
      <c r="F37" s="267">
        <f>'Flat Sizes'!G58</f>
        <v>7.05</v>
      </c>
      <c r="G37" s="267">
        <v>1.2</v>
      </c>
      <c r="H37" s="266">
        <f t="shared" si="25"/>
        <v>2.82</v>
      </c>
      <c r="I37" s="266">
        <f t="shared" si="26"/>
        <v>8.4599999999999991</v>
      </c>
      <c r="J37" s="266">
        <f t="shared" si="27"/>
        <v>0.84599999999999997</v>
      </c>
      <c r="K37" s="267">
        <f>'Flat Sizes'!$H$48</f>
        <v>27</v>
      </c>
      <c r="L37" s="275">
        <f t="shared" si="30"/>
        <v>304.56</v>
      </c>
      <c r="M37" s="275">
        <f t="shared" si="31"/>
        <v>22.841999999999999</v>
      </c>
      <c r="N37" s="273" t="s">
        <v>585</v>
      </c>
      <c r="O37" s="273" t="s">
        <v>586</v>
      </c>
    </row>
    <row r="38" spans="1:15">
      <c r="A38" s="268">
        <v>7</v>
      </c>
      <c r="B38" s="269" t="str">
        <f>'Flat Sizes'!B60</f>
        <v>Flat 4A,
2BHK</v>
      </c>
      <c r="C38" s="268"/>
      <c r="D38" s="268"/>
      <c r="E38" s="268"/>
      <c r="F38" s="268"/>
      <c r="G38" s="268"/>
      <c r="H38" s="268"/>
      <c r="I38" s="268"/>
      <c r="J38" s="268"/>
      <c r="K38" s="268"/>
      <c r="L38" s="276"/>
      <c r="M38" s="276"/>
    </row>
    <row r="39" spans="1:15">
      <c r="A39" s="267"/>
      <c r="B39" s="267" t="str">
        <f>'Flat Sizes'!B63</f>
        <v>M. Toilet</v>
      </c>
      <c r="C39" s="267" t="s">
        <v>327</v>
      </c>
      <c r="D39" s="267">
        <v>1</v>
      </c>
      <c r="E39" s="267">
        <f>'Flat Sizes'!G63</f>
        <v>8.2100000000000009</v>
      </c>
      <c r="F39" s="267">
        <f>'Flat Sizes'!G63</f>
        <v>8.2100000000000009</v>
      </c>
      <c r="G39" s="267">
        <v>1.2</v>
      </c>
      <c r="H39" s="266">
        <f t="shared" ref="H39:H43" si="32">D39*E39</f>
        <v>8.2100000000000009</v>
      </c>
      <c r="I39" s="266">
        <f t="shared" ref="I39:I43" si="33">F39*G39*D39</f>
        <v>9.8520000000000003</v>
      </c>
      <c r="J39" s="266">
        <f t="shared" ref="J39:J43" si="34">E39*0.3*D39</f>
        <v>2.4630000000000001</v>
      </c>
      <c r="K39" s="267">
        <f>'Flat Sizes'!$H$60</f>
        <v>2</v>
      </c>
      <c r="L39" s="275">
        <f t="shared" ref="L39:L43" si="35">SUM(H39:I39)*K39</f>
        <v>36.124000000000002</v>
      </c>
      <c r="M39" s="275">
        <f t="shared" ref="M39:M43" si="36">J39*K39</f>
        <v>4.9260000000000002</v>
      </c>
      <c r="N39" s="273" t="s">
        <v>581</v>
      </c>
      <c r="O39" s="273" t="s">
        <v>582</v>
      </c>
    </row>
    <row r="40" spans="1:15">
      <c r="A40" s="267"/>
      <c r="B40" s="267" t="str">
        <f>'Flat Sizes'!B65</f>
        <v>M. Toilet</v>
      </c>
      <c r="C40" s="267" t="s">
        <v>327</v>
      </c>
      <c r="D40" s="267">
        <v>1</v>
      </c>
      <c r="E40" s="267">
        <f>'Flat Sizes'!G65</f>
        <v>8.27</v>
      </c>
      <c r="F40" s="267">
        <f>'Flat Sizes'!G65</f>
        <v>8.27</v>
      </c>
      <c r="G40" s="267">
        <v>1.2</v>
      </c>
      <c r="H40" s="266">
        <f t="shared" si="32"/>
        <v>8.27</v>
      </c>
      <c r="I40" s="266">
        <f t="shared" si="33"/>
        <v>9.9239999999999995</v>
      </c>
      <c r="J40" s="266">
        <f t="shared" si="34"/>
        <v>2.4809999999999999</v>
      </c>
      <c r="K40" s="267">
        <f>'Flat Sizes'!$H$60</f>
        <v>2</v>
      </c>
      <c r="L40" s="275">
        <f t="shared" si="35"/>
        <v>36.387999999999998</v>
      </c>
      <c r="M40" s="275">
        <f t="shared" si="36"/>
        <v>4.9619999999999997</v>
      </c>
      <c r="N40" s="273" t="s">
        <v>581</v>
      </c>
      <c r="O40" s="273" t="s">
        <v>582</v>
      </c>
    </row>
    <row r="41" spans="1:15">
      <c r="A41" s="267"/>
      <c r="B41" s="267" t="str">
        <f>'Flat Sizes'!B66</f>
        <v>Kitchen</v>
      </c>
      <c r="C41" s="267" t="s">
        <v>327</v>
      </c>
      <c r="D41" s="267">
        <v>1</v>
      </c>
      <c r="E41" s="267">
        <f>E35</f>
        <v>2.27</v>
      </c>
      <c r="F41" s="267">
        <f>F35</f>
        <v>6.2</v>
      </c>
      <c r="G41" s="267">
        <v>1.2</v>
      </c>
      <c r="H41" s="266">
        <f t="shared" si="32"/>
        <v>2.27</v>
      </c>
      <c r="I41" s="266">
        <f t="shared" si="33"/>
        <v>7.4399999999999995</v>
      </c>
      <c r="J41" s="266">
        <f t="shared" si="34"/>
        <v>0.68099999999999994</v>
      </c>
      <c r="K41" s="267">
        <f>'Flat Sizes'!$H$60</f>
        <v>2</v>
      </c>
      <c r="L41" s="275">
        <f t="shared" si="35"/>
        <v>19.419999999999998</v>
      </c>
      <c r="M41" s="275">
        <f t="shared" si="36"/>
        <v>1.3619999999999999</v>
      </c>
      <c r="N41" s="273" t="s">
        <v>583</v>
      </c>
      <c r="O41" s="273" t="s">
        <v>584</v>
      </c>
    </row>
    <row r="42" spans="1:15">
      <c r="A42" s="267"/>
      <c r="B42" s="267" t="str">
        <f>'Flat Sizes'!B67</f>
        <v>Utility</v>
      </c>
      <c r="C42" s="267" t="s">
        <v>327</v>
      </c>
      <c r="D42" s="267">
        <v>1</v>
      </c>
      <c r="E42" s="267">
        <f>'Flat Sizes'!D67</f>
        <v>2.75</v>
      </c>
      <c r="F42" s="267">
        <f>'Flat Sizes'!G67</f>
        <v>7.05</v>
      </c>
      <c r="G42" s="267">
        <v>1.2</v>
      </c>
      <c r="H42" s="266">
        <f t="shared" si="32"/>
        <v>2.75</v>
      </c>
      <c r="I42" s="266">
        <f t="shared" si="33"/>
        <v>8.4599999999999991</v>
      </c>
      <c r="J42" s="266">
        <f t="shared" si="34"/>
        <v>0.82499999999999996</v>
      </c>
      <c r="K42" s="267">
        <f>'Flat Sizes'!$H$60</f>
        <v>2</v>
      </c>
      <c r="L42" s="275">
        <f t="shared" si="35"/>
        <v>22.419999999999998</v>
      </c>
      <c r="M42" s="275">
        <f t="shared" si="36"/>
        <v>1.65</v>
      </c>
      <c r="N42" s="273" t="s">
        <v>585</v>
      </c>
      <c r="O42" s="273" t="s">
        <v>586</v>
      </c>
    </row>
    <row r="43" spans="1:15">
      <c r="A43" s="267"/>
      <c r="B43" s="267" t="str">
        <f>'Flat Sizes'!B68</f>
        <v>Balcony</v>
      </c>
      <c r="C43" s="267" t="s">
        <v>327</v>
      </c>
      <c r="D43" s="267">
        <v>1</v>
      </c>
      <c r="E43" s="267">
        <f>'Flat Sizes'!D68</f>
        <v>2.8</v>
      </c>
      <c r="F43" s="267">
        <f>'Flat Sizes'!G68</f>
        <v>7.01</v>
      </c>
      <c r="G43" s="267">
        <v>1.2</v>
      </c>
      <c r="H43" s="266">
        <f t="shared" si="32"/>
        <v>2.8</v>
      </c>
      <c r="I43" s="266">
        <f t="shared" si="33"/>
        <v>8.411999999999999</v>
      </c>
      <c r="J43" s="266">
        <f t="shared" si="34"/>
        <v>0.84</v>
      </c>
      <c r="K43" s="267">
        <f>'Flat Sizes'!$H$60</f>
        <v>2</v>
      </c>
      <c r="L43" s="275">
        <f t="shared" si="35"/>
        <v>22.423999999999999</v>
      </c>
      <c r="M43" s="275">
        <f t="shared" si="36"/>
        <v>1.68</v>
      </c>
      <c r="N43" s="273" t="s">
        <v>587</v>
      </c>
      <c r="O43" s="273" t="s">
        <v>588</v>
      </c>
    </row>
    <row r="44" spans="1:15">
      <c r="A44" s="268">
        <v>8</v>
      </c>
      <c r="B44" s="269" t="str">
        <f>'Flat Sizes'!B70</f>
        <v>Flat 4B,
3BHK</v>
      </c>
      <c r="C44" s="268"/>
      <c r="D44" s="268"/>
      <c r="E44" s="268"/>
      <c r="F44" s="268"/>
      <c r="G44" s="268"/>
      <c r="H44" s="268"/>
      <c r="I44" s="268"/>
      <c r="J44" s="268"/>
      <c r="K44" s="268"/>
      <c r="L44" s="276"/>
      <c r="M44" s="276"/>
    </row>
    <row r="45" spans="1:15">
      <c r="A45" s="267"/>
      <c r="B45" s="267" t="str">
        <f>'Flat Sizes'!B73</f>
        <v>M. Toilet</v>
      </c>
      <c r="C45" s="267" t="s">
        <v>327</v>
      </c>
      <c r="D45" s="267">
        <v>1</v>
      </c>
      <c r="E45" s="267">
        <f>'Flat Sizes'!D73</f>
        <v>3.83</v>
      </c>
      <c r="F45" s="267">
        <f>'Flat Sizes'!G73</f>
        <v>8.2200000000000006</v>
      </c>
      <c r="G45" s="267">
        <v>1.2</v>
      </c>
      <c r="H45" s="266">
        <f t="shared" ref="H45:H50" si="37">D45*E45</f>
        <v>3.83</v>
      </c>
      <c r="I45" s="266">
        <f t="shared" ref="I45:I50" si="38">F45*G45*D45</f>
        <v>9.8640000000000008</v>
      </c>
      <c r="J45" s="266">
        <f t="shared" ref="J45:J50" si="39">E45*0.3*D45</f>
        <v>1.149</v>
      </c>
      <c r="K45" s="267">
        <f>'Flat Sizes'!$H$70</f>
        <v>24</v>
      </c>
      <c r="L45" s="275">
        <f t="shared" ref="L45:L50" si="40">SUM(H45:I45)*K45</f>
        <v>328.65600000000001</v>
      </c>
      <c r="M45" s="275">
        <f t="shared" ref="M45:M50" si="41">J45*K45</f>
        <v>27.576000000000001</v>
      </c>
      <c r="N45" s="273" t="s">
        <v>581</v>
      </c>
      <c r="O45" s="273" t="s">
        <v>582</v>
      </c>
    </row>
    <row r="46" spans="1:15">
      <c r="A46" s="267"/>
      <c r="B46" s="267" t="str">
        <f>'Flat Sizes'!B75</f>
        <v>M. Toilet</v>
      </c>
      <c r="C46" s="267" t="s">
        <v>327</v>
      </c>
      <c r="D46" s="267">
        <v>1</v>
      </c>
      <c r="E46" s="267">
        <f>'Flat Sizes'!D75</f>
        <v>3.9</v>
      </c>
      <c r="F46" s="267">
        <f>'Flat Sizes'!G75</f>
        <v>8.27</v>
      </c>
      <c r="G46" s="267">
        <v>1.2</v>
      </c>
      <c r="H46" s="266">
        <f t="shared" si="37"/>
        <v>3.9</v>
      </c>
      <c r="I46" s="266">
        <f t="shared" si="38"/>
        <v>9.9239999999999995</v>
      </c>
      <c r="J46" s="266">
        <f t="shared" si="39"/>
        <v>1.17</v>
      </c>
      <c r="K46" s="267">
        <f>'Flat Sizes'!$H$70</f>
        <v>24</v>
      </c>
      <c r="L46" s="275">
        <f t="shared" si="40"/>
        <v>331.77600000000001</v>
      </c>
      <c r="M46" s="275">
        <f t="shared" si="41"/>
        <v>28.08</v>
      </c>
      <c r="N46" s="273" t="s">
        <v>581</v>
      </c>
      <c r="O46" s="273" t="s">
        <v>582</v>
      </c>
    </row>
    <row r="47" spans="1:15">
      <c r="A47" s="267"/>
      <c r="B47" s="267" t="str">
        <f>'Flat Sizes'!B77</f>
        <v>C. Toilet</v>
      </c>
      <c r="C47" s="267" t="s">
        <v>327</v>
      </c>
      <c r="D47" s="267">
        <v>1</v>
      </c>
      <c r="E47" s="267">
        <f>'Flat Sizes'!D77</f>
        <v>3.83</v>
      </c>
      <c r="F47" s="267">
        <f>'Flat Sizes'!G77</f>
        <v>8.2200000000000006</v>
      </c>
      <c r="G47" s="267">
        <v>1.2</v>
      </c>
      <c r="H47" s="266">
        <f t="shared" si="37"/>
        <v>3.83</v>
      </c>
      <c r="I47" s="266">
        <f t="shared" si="38"/>
        <v>9.8640000000000008</v>
      </c>
      <c r="J47" s="266">
        <f t="shared" si="39"/>
        <v>1.149</v>
      </c>
      <c r="K47" s="267">
        <f>'Flat Sizes'!$H$70</f>
        <v>24</v>
      </c>
      <c r="L47" s="275">
        <f t="shared" si="40"/>
        <v>328.65600000000001</v>
      </c>
      <c r="M47" s="275">
        <f t="shared" si="41"/>
        <v>27.576000000000001</v>
      </c>
      <c r="N47" s="273" t="s">
        <v>581</v>
      </c>
      <c r="O47" s="273" t="s">
        <v>582</v>
      </c>
    </row>
    <row r="48" spans="1:15">
      <c r="A48" s="267"/>
      <c r="B48" s="267" t="str">
        <f>'Flat Sizes'!B78</f>
        <v>Kitchen</v>
      </c>
      <c r="C48" s="267" t="s">
        <v>327</v>
      </c>
      <c r="D48" s="267">
        <v>1</v>
      </c>
      <c r="E48" s="267">
        <f>E41</f>
        <v>2.27</v>
      </c>
      <c r="F48" s="267">
        <f>F41</f>
        <v>6.2</v>
      </c>
      <c r="G48" s="267">
        <v>1.2</v>
      </c>
      <c r="H48" s="266">
        <f t="shared" si="37"/>
        <v>2.27</v>
      </c>
      <c r="I48" s="266">
        <f t="shared" si="38"/>
        <v>7.4399999999999995</v>
      </c>
      <c r="J48" s="266">
        <f t="shared" si="39"/>
        <v>0.68099999999999994</v>
      </c>
      <c r="K48" s="267">
        <f>'Flat Sizes'!$H$70</f>
        <v>24</v>
      </c>
      <c r="L48" s="275">
        <f t="shared" si="40"/>
        <v>233.03999999999996</v>
      </c>
      <c r="M48" s="275">
        <f t="shared" si="41"/>
        <v>16.343999999999998</v>
      </c>
      <c r="N48" s="273" t="s">
        <v>583</v>
      </c>
      <c r="O48" s="273" t="s">
        <v>584</v>
      </c>
    </row>
    <row r="49" spans="1:15">
      <c r="A49" s="267"/>
      <c r="B49" s="267" t="str">
        <f>'Flat Sizes'!B79</f>
        <v>Utility</v>
      </c>
      <c r="C49" s="267" t="s">
        <v>327</v>
      </c>
      <c r="D49" s="267">
        <v>1</v>
      </c>
      <c r="E49" s="267">
        <f>'Flat Sizes'!D79</f>
        <v>2.82</v>
      </c>
      <c r="F49" s="267">
        <f>'Flat Sizes'!G79</f>
        <v>7.05</v>
      </c>
      <c r="G49" s="267">
        <v>1.2</v>
      </c>
      <c r="H49" s="266">
        <f t="shared" si="37"/>
        <v>2.82</v>
      </c>
      <c r="I49" s="266">
        <f t="shared" si="38"/>
        <v>8.4599999999999991</v>
      </c>
      <c r="J49" s="266">
        <f t="shared" si="39"/>
        <v>0.84599999999999997</v>
      </c>
      <c r="K49" s="267">
        <f>'Flat Sizes'!$H$70</f>
        <v>24</v>
      </c>
      <c r="L49" s="275">
        <f t="shared" si="40"/>
        <v>270.71999999999997</v>
      </c>
      <c r="M49" s="275">
        <f t="shared" si="41"/>
        <v>20.303999999999998</v>
      </c>
      <c r="N49" s="273" t="s">
        <v>585</v>
      </c>
      <c r="O49" s="273" t="s">
        <v>586</v>
      </c>
    </row>
    <row r="50" spans="1:15">
      <c r="A50" s="267"/>
      <c r="B50" s="267" t="str">
        <f>'Flat Sizes'!B80</f>
        <v>Balcony</v>
      </c>
      <c r="C50" s="267" t="s">
        <v>327</v>
      </c>
      <c r="D50" s="267">
        <v>1</v>
      </c>
      <c r="E50" s="267">
        <f>'Flat Sizes'!D80</f>
        <v>2.8</v>
      </c>
      <c r="F50" s="267">
        <f>'Flat Sizes'!G80</f>
        <v>7.01</v>
      </c>
      <c r="G50" s="267">
        <v>1.2</v>
      </c>
      <c r="H50" s="266">
        <f t="shared" si="37"/>
        <v>2.8</v>
      </c>
      <c r="I50" s="266">
        <f t="shared" si="38"/>
        <v>8.411999999999999</v>
      </c>
      <c r="J50" s="266">
        <f t="shared" si="39"/>
        <v>0.84</v>
      </c>
      <c r="K50" s="267">
        <f>'Flat Sizes'!$H$70</f>
        <v>24</v>
      </c>
      <c r="L50" s="275">
        <f t="shared" si="40"/>
        <v>269.08799999999997</v>
      </c>
      <c r="M50" s="275">
        <f t="shared" si="41"/>
        <v>20.16</v>
      </c>
      <c r="N50" s="273" t="s">
        <v>587</v>
      </c>
      <c r="O50" s="273" t="s">
        <v>588</v>
      </c>
    </row>
    <row r="51" spans="1:15">
      <c r="A51" s="268">
        <v>9</v>
      </c>
      <c r="B51" s="269" t="str">
        <f>'Flat Sizes'!B82</f>
        <v>Flat 5A</v>
      </c>
      <c r="C51" s="268"/>
      <c r="D51" s="268"/>
      <c r="E51" s="268"/>
      <c r="F51" s="268"/>
      <c r="G51" s="268"/>
      <c r="H51" s="268"/>
      <c r="I51" s="268"/>
      <c r="J51" s="268"/>
      <c r="K51" s="268"/>
      <c r="L51" s="276"/>
      <c r="M51" s="276"/>
    </row>
    <row r="52" spans="1:15">
      <c r="A52" s="267"/>
      <c r="B52" s="267" t="str">
        <f>'Flat Sizes'!B86</f>
        <v>M. Toilet</v>
      </c>
      <c r="C52" s="267" t="s">
        <v>327</v>
      </c>
      <c r="D52" s="267">
        <v>1</v>
      </c>
      <c r="E52" s="267">
        <f>'Flat Sizes'!D86</f>
        <v>2.4300000000000002</v>
      </c>
      <c r="F52" s="267">
        <f>'Flat Sizes'!G86</f>
        <v>6.54</v>
      </c>
      <c r="G52" s="267">
        <v>1.2</v>
      </c>
      <c r="H52" s="266">
        <f t="shared" ref="H52" si="42">D52*E52</f>
        <v>2.4300000000000002</v>
      </c>
      <c r="I52" s="266">
        <f t="shared" ref="I52" si="43">F52*G52*D52</f>
        <v>7.8479999999999999</v>
      </c>
      <c r="J52" s="266">
        <f t="shared" ref="J52" si="44">E52*0.3*D52</f>
        <v>0.72899999999999998</v>
      </c>
      <c r="K52" s="267">
        <f>'Flat Sizes'!$H$82</f>
        <v>8</v>
      </c>
      <c r="L52" s="275">
        <f t="shared" ref="L52:L53" si="45">SUM(H52:I52)*K52</f>
        <v>82.224000000000004</v>
      </c>
      <c r="M52" s="275">
        <f t="shared" ref="M52:M53" si="46">J52*K52</f>
        <v>5.8319999999999999</v>
      </c>
      <c r="N52" s="273" t="s">
        <v>581</v>
      </c>
      <c r="O52" s="273" t="s">
        <v>582</v>
      </c>
    </row>
    <row r="53" spans="1:15">
      <c r="A53" s="267"/>
      <c r="B53" s="267" t="str">
        <f>'Flat Sizes'!B87</f>
        <v>C. Toilet</v>
      </c>
      <c r="C53" s="267" t="s">
        <v>327</v>
      </c>
      <c r="D53" s="267">
        <v>1</v>
      </c>
      <c r="E53" s="267">
        <f>'Flat Sizes'!D87</f>
        <v>3.07</v>
      </c>
      <c r="F53" s="267">
        <f>'Flat Sizes'!G87</f>
        <v>7.35</v>
      </c>
      <c r="G53" s="267">
        <v>1.2</v>
      </c>
      <c r="H53" s="266">
        <f t="shared" ref="H53" si="47">D53*E53</f>
        <v>3.07</v>
      </c>
      <c r="I53" s="266">
        <f t="shared" ref="I53" si="48">F53*G53*D53</f>
        <v>8.8199999999999985</v>
      </c>
      <c r="J53" s="266">
        <f t="shared" ref="J53" si="49">E53*0.3*D53</f>
        <v>0.92099999999999993</v>
      </c>
      <c r="K53" s="267">
        <f>'Flat Sizes'!$H$82</f>
        <v>8</v>
      </c>
      <c r="L53" s="275">
        <f t="shared" si="45"/>
        <v>95.11999999999999</v>
      </c>
      <c r="M53" s="275">
        <f t="shared" si="46"/>
        <v>7.3679999999999994</v>
      </c>
      <c r="N53" s="273" t="s">
        <v>581</v>
      </c>
      <c r="O53" s="273" t="s">
        <v>582</v>
      </c>
    </row>
    <row r="54" spans="1:15">
      <c r="A54" s="268">
        <v>10</v>
      </c>
      <c r="B54" s="269" t="str">
        <f>'Flat Sizes'!B89</f>
        <v>Flat 5B,
2BHK</v>
      </c>
      <c r="C54" s="268"/>
      <c r="D54" s="268"/>
      <c r="E54" s="268"/>
      <c r="F54" s="268"/>
      <c r="G54" s="268"/>
      <c r="H54" s="268"/>
      <c r="I54" s="268"/>
      <c r="J54" s="268"/>
      <c r="K54" s="268"/>
      <c r="L54" s="276"/>
      <c r="M54" s="276"/>
    </row>
    <row r="55" spans="1:15">
      <c r="A55" s="267"/>
      <c r="B55" s="267" t="str">
        <f>'Flat Sizes'!B92</f>
        <v>M. Toilet</v>
      </c>
      <c r="C55" s="267" t="s">
        <v>327</v>
      </c>
      <c r="D55" s="267">
        <v>1</v>
      </c>
      <c r="E55" s="267">
        <f>'Flat Sizes'!D92</f>
        <v>3.27</v>
      </c>
      <c r="F55" s="267">
        <f>'Flat Sizes'!G92</f>
        <v>7.64</v>
      </c>
      <c r="G55" s="267">
        <v>1.2</v>
      </c>
      <c r="H55" s="266">
        <f t="shared" ref="H55:H59" si="50">D55*E55</f>
        <v>3.27</v>
      </c>
      <c r="I55" s="266">
        <f t="shared" ref="I55:I59" si="51">F55*G55*D55</f>
        <v>9.1679999999999993</v>
      </c>
      <c r="J55" s="266">
        <f t="shared" ref="J55:J59" si="52">E55*0.3*D55</f>
        <v>0.98099999999999998</v>
      </c>
      <c r="K55" s="267">
        <f>'Flat Sizes'!$H$89</f>
        <v>18</v>
      </c>
      <c r="L55" s="275">
        <f t="shared" ref="L55" si="53">SUM(H55:I55)*K55</f>
        <v>223.88399999999999</v>
      </c>
      <c r="M55" s="275">
        <f t="shared" ref="M55" si="54">J55*K55</f>
        <v>17.658000000000001</v>
      </c>
      <c r="N55" s="273" t="s">
        <v>581</v>
      </c>
      <c r="O55" s="273" t="s">
        <v>582</v>
      </c>
    </row>
    <row r="56" spans="1:15">
      <c r="A56" s="267"/>
      <c r="B56" s="267" t="str">
        <f>'Flat Sizes'!B94</f>
        <v>C. Toilet</v>
      </c>
      <c r="C56" s="267" t="s">
        <v>327</v>
      </c>
      <c r="D56" s="267">
        <v>1</v>
      </c>
      <c r="E56" s="267">
        <f>'Flat Sizes'!D94</f>
        <v>3.25</v>
      </c>
      <c r="F56" s="267">
        <f>'Flat Sizes'!G94</f>
        <v>7.61</v>
      </c>
      <c r="G56" s="267">
        <v>1.2</v>
      </c>
      <c r="H56" s="266">
        <f t="shared" si="50"/>
        <v>3.25</v>
      </c>
      <c r="I56" s="266">
        <f t="shared" si="51"/>
        <v>9.1319999999999997</v>
      </c>
      <c r="J56" s="266">
        <f t="shared" si="52"/>
        <v>0.97499999999999998</v>
      </c>
      <c r="K56" s="267">
        <f>'Flat Sizes'!$H$89</f>
        <v>18</v>
      </c>
      <c r="L56" s="275">
        <f t="shared" ref="L56:L59" si="55">SUM(H56:I56)*K56</f>
        <v>222.876</v>
      </c>
      <c r="M56" s="275">
        <f t="shared" ref="M56:M59" si="56">J56*K56</f>
        <v>17.55</v>
      </c>
      <c r="N56" s="273" t="s">
        <v>581</v>
      </c>
      <c r="O56" s="273" t="s">
        <v>582</v>
      </c>
    </row>
    <row r="57" spans="1:15">
      <c r="A57" s="267"/>
      <c r="B57" s="267" t="str">
        <f>'Flat Sizes'!B95</f>
        <v>Kitchen</v>
      </c>
      <c r="C57" s="267" t="s">
        <v>327</v>
      </c>
      <c r="D57" s="267">
        <v>1</v>
      </c>
      <c r="E57" s="267">
        <f>E48</f>
        <v>2.27</v>
      </c>
      <c r="F57" s="267">
        <f>F48</f>
        <v>6.2</v>
      </c>
      <c r="G57" s="267">
        <v>1.2</v>
      </c>
      <c r="H57" s="266">
        <f t="shared" si="50"/>
        <v>2.27</v>
      </c>
      <c r="I57" s="266">
        <f t="shared" si="51"/>
        <v>7.4399999999999995</v>
      </c>
      <c r="J57" s="266">
        <f t="shared" si="52"/>
        <v>0.68099999999999994</v>
      </c>
      <c r="K57" s="267">
        <f>'Flat Sizes'!$H$89</f>
        <v>18</v>
      </c>
      <c r="L57" s="275">
        <f t="shared" si="55"/>
        <v>174.77999999999997</v>
      </c>
      <c r="M57" s="275">
        <f t="shared" si="56"/>
        <v>12.257999999999999</v>
      </c>
      <c r="N57" s="273" t="s">
        <v>583</v>
      </c>
      <c r="O57" s="273" t="s">
        <v>584</v>
      </c>
    </row>
    <row r="58" spans="1:15">
      <c r="A58" s="267"/>
      <c r="B58" s="267" t="str">
        <f>'Flat Sizes'!B96</f>
        <v>Utility</v>
      </c>
      <c r="C58" s="267" t="s">
        <v>327</v>
      </c>
      <c r="D58" s="267">
        <v>1</v>
      </c>
      <c r="E58" s="267">
        <f>'Flat Sizes'!D96</f>
        <v>1.84</v>
      </c>
      <c r="F58" s="267">
        <f>'Flat Sizes'!G96</f>
        <v>5.61</v>
      </c>
      <c r="G58" s="267">
        <v>1.2</v>
      </c>
      <c r="H58" s="266">
        <f t="shared" si="50"/>
        <v>1.84</v>
      </c>
      <c r="I58" s="266">
        <f t="shared" si="51"/>
        <v>6.7320000000000002</v>
      </c>
      <c r="J58" s="266">
        <f t="shared" si="52"/>
        <v>0.55200000000000005</v>
      </c>
      <c r="K58" s="267">
        <f>'Flat Sizes'!$H$89</f>
        <v>18</v>
      </c>
      <c r="L58" s="275">
        <f t="shared" si="55"/>
        <v>154.29600000000002</v>
      </c>
      <c r="M58" s="275">
        <f t="shared" si="56"/>
        <v>9.9359999999999999</v>
      </c>
      <c r="N58" s="273" t="s">
        <v>585</v>
      </c>
      <c r="O58" s="273" t="s">
        <v>586</v>
      </c>
    </row>
    <row r="59" spans="1:15">
      <c r="A59" s="267"/>
      <c r="B59" s="267" t="str">
        <f>'Flat Sizes'!B97</f>
        <v>Balcony</v>
      </c>
      <c r="C59" s="267" t="s">
        <v>327</v>
      </c>
      <c r="D59" s="267">
        <v>1</v>
      </c>
      <c r="E59" s="267">
        <f>'Flat Sizes'!D97</f>
        <v>2.23</v>
      </c>
      <c r="F59" s="267">
        <f>'Flat Sizes'!G97</f>
        <v>6.1</v>
      </c>
      <c r="G59" s="267">
        <v>1.2</v>
      </c>
      <c r="H59" s="266">
        <f t="shared" si="50"/>
        <v>2.23</v>
      </c>
      <c r="I59" s="266">
        <f t="shared" si="51"/>
        <v>7.3199999999999994</v>
      </c>
      <c r="J59" s="266">
        <f t="shared" si="52"/>
        <v>0.66899999999999993</v>
      </c>
      <c r="K59" s="267">
        <f>'Flat Sizes'!$H$89</f>
        <v>18</v>
      </c>
      <c r="L59" s="275">
        <f t="shared" si="55"/>
        <v>171.89999999999998</v>
      </c>
      <c r="M59" s="275">
        <f t="shared" si="56"/>
        <v>12.041999999999998</v>
      </c>
      <c r="N59" s="273" t="s">
        <v>587</v>
      </c>
      <c r="O59" s="273" t="s">
        <v>588</v>
      </c>
    </row>
    <row r="60" spans="1:15">
      <c r="A60" s="268">
        <v>11</v>
      </c>
      <c r="B60" s="269" t="str">
        <f>'Flat Sizes'!B99</f>
        <v>Flat 6,
2BHK</v>
      </c>
      <c r="C60" s="268"/>
      <c r="D60" s="268"/>
      <c r="E60" s="268"/>
      <c r="F60" s="268"/>
      <c r="G60" s="268"/>
      <c r="H60" s="268"/>
      <c r="I60" s="268"/>
      <c r="J60" s="268"/>
      <c r="K60" s="268"/>
      <c r="L60" s="276"/>
      <c r="M60" s="276"/>
    </row>
    <row r="61" spans="1:15">
      <c r="A61" s="267"/>
      <c r="B61" s="267" t="str">
        <f>'Flat Sizes'!B102</f>
        <v>M. Toilet</v>
      </c>
      <c r="C61" s="267" t="s">
        <v>327</v>
      </c>
      <c r="D61" s="267">
        <v>1</v>
      </c>
      <c r="E61" s="267">
        <f>'Flat Sizes'!D102</f>
        <v>3.27</v>
      </c>
      <c r="F61" s="267">
        <f>'Flat Sizes'!G102</f>
        <v>7.64</v>
      </c>
      <c r="G61" s="267">
        <v>1.2</v>
      </c>
      <c r="H61" s="266">
        <f t="shared" ref="H61:H65" si="57">D61*E61</f>
        <v>3.27</v>
      </c>
      <c r="I61" s="266">
        <f t="shared" ref="I61:I65" si="58">F61*G61*D61</f>
        <v>9.1679999999999993</v>
      </c>
      <c r="J61" s="266">
        <f t="shared" ref="J61:J65" si="59">E61*0.3*D61</f>
        <v>0.98099999999999998</v>
      </c>
      <c r="K61" s="267">
        <f>'Flat Sizes'!$H$99</f>
        <v>28</v>
      </c>
      <c r="L61" s="275">
        <f t="shared" ref="L61" si="60">SUM(H61:I61)*K61</f>
        <v>348.26399999999995</v>
      </c>
      <c r="M61" s="275">
        <f t="shared" ref="M61" si="61">J61*K61</f>
        <v>27.468</v>
      </c>
      <c r="N61" s="273" t="s">
        <v>581</v>
      </c>
      <c r="O61" s="273" t="s">
        <v>582</v>
      </c>
    </row>
    <row r="62" spans="1:15">
      <c r="A62" s="267"/>
      <c r="B62" s="267" t="str">
        <f>'Flat Sizes'!B104</f>
        <v>C. Toilet</v>
      </c>
      <c r="C62" s="267" t="s">
        <v>327</v>
      </c>
      <c r="D62" s="267">
        <v>1</v>
      </c>
      <c r="E62" s="267">
        <f>'Flat Sizes'!D104</f>
        <v>3.25</v>
      </c>
      <c r="F62" s="267">
        <f>'Flat Sizes'!G104</f>
        <v>7.61</v>
      </c>
      <c r="G62" s="267">
        <v>1.2</v>
      </c>
      <c r="H62" s="266">
        <f t="shared" si="57"/>
        <v>3.25</v>
      </c>
      <c r="I62" s="266">
        <f t="shared" si="58"/>
        <v>9.1319999999999997</v>
      </c>
      <c r="J62" s="266">
        <f t="shared" si="59"/>
        <v>0.97499999999999998</v>
      </c>
      <c r="K62" s="267">
        <f>'Flat Sizes'!$H$99</f>
        <v>28</v>
      </c>
      <c r="L62" s="275">
        <f t="shared" ref="L62:L65" si="62">SUM(H62:I62)*K62</f>
        <v>346.69599999999997</v>
      </c>
      <c r="M62" s="275">
        <f t="shared" ref="M62:M65" si="63">J62*K62</f>
        <v>27.3</v>
      </c>
      <c r="N62" s="273" t="s">
        <v>581</v>
      </c>
      <c r="O62" s="273" t="s">
        <v>582</v>
      </c>
    </row>
    <row r="63" spans="1:15">
      <c r="A63" s="267"/>
      <c r="B63" s="267" t="str">
        <f>'Flat Sizes'!B105</f>
        <v>Kitchen</v>
      </c>
      <c r="C63" s="267" t="s">
        <v>327</v>
      </c>
      <c r="D63" s="267">
        <v>1</v>
      </c>
      <c r="E63" s="267">
        <f>E57</f>
        <v>2.27</v>
      </c>
      <c r="F63" s="267">
        <f>F57</f>
        <v>6.2</v>
      </c>
      <c r="G63" s="267">
        <v>1.2</v>
      </c>
      <c r="H63" s="266">
        <f t="shared" si="57"/>
        <v>2.27</v>
      </c>
      <c r="I63" s="266">
        <f t="shared" si="58"/>
        <v>7.4399999999999995</v>
      </c>
      <c r="J63" s="266">
        <f t="shared" si="59"/>
        <v>0.68099999999999994</v>
      </c>
      <c r="K63" s="267">
        <f>'Flat Sizes'!$H$99</f>
        <v>28</v>
      </c>
      <c r="L63" s="275">
        <f t="shared" si="62"/>
        <v>271.88</v>
      </c>
      <c r="M63" s="275">
        <f t="shared" si="63"/>
        <v>19.067999999999998</v>
      </c>
      <c r="N63" s="273" t="s">
        <v>583</v>
      </c>
      <c r="O63" s="273" t="s">
        <v>584</v>
      </c>
    </row>
    <row r="64" spans="1:15">
      <c r="A64" s="267"/>
      <c r="B64" s="267" t="str">
        <f>'Flat Sizes'!B106</f>
        <v>Utility</v>
      </c>
      <c r="C64" s="267" t="s">
        <v>327</v>
      </c>
      <c r="D64" s="267">
        <v>1</v>
      </c>
      <c r="E64" s="267">
        <f>'Flat Sizes'!D106</f>
        <v>1.84</v>
      </c>
      <c r="F64" s="267">
        <f>'Flat Sizes'!G106</f>
        <v>5.6</v>
      </c>
      <c r="G64" s="267">
        <v>1.2</v>
      </c>
      <c r="H64" s="266">
        <f t="shared" si="57"/>
        <v>1.84</v>
      </c>
      <c r="I64" s="266">
        <f t="shared" si="58"/>
        <v>6.72</v>
      </c>
      <c r="J64" s="266">
        <f t="shared" si="59"/>
        <v>0.55200000000000005</v>
      </c>
      <c r="K64" s="267">
        <f>'Flat Sizes'!$H$99</f>
        <v>28</v>
      </c>
      <c r="L64" s="275">
        <f t="shared" si="62"/>
        <v>239.68</v>
      </c>
      <c r="M64" s="275">
        <f t="shared" si="63"/>
        <v>15.456000000000001</v>
      </c>
      <c r="N64" s="273" t="s">
        <v>585</v>
      </c>
      <c r="O64" s="273" t="s">
        <v>586</v>
      </c>
    </row>
    <row r="65" spans="1:15">
      <c r="A65" s="267"/>
      <c r="B65" s="267" t="str">
        <f>'Flat Sizes'!B107</f>
        <v>Balcony</v>
      </c>
      <c r="C65" s="267" t="s">
        <v>327</v>
      </c>
      <c r="D65" s="267">
        <v>1</v>
      </c>
      <c r="E65" s="267">
        <f>'Flat Sizes'!D107</f>
        <v>2.23</v>
      </c>
      <c r="F65" s="267">
        <f>'Flat Sizes'!G107</f>
        <v>6.1</v>
      </c>
      <c r="G65" s="267">
        <v>1.2</v>
      </c>
      <c r="H65" s="266">
        <f t="shared" si="57"/>
        <v>2.23</v>
      </c>
      <c r="I65" s="266">
        <f t="shared" si="58"/>
        <v>7.3199999999999994</v>
      </c>
      <c r="J65" s="266">
        <f t="shared" si="59"/>
        <v>0.66899999999999993</v>
      </c>
      <c r="K65" s="267">
        <f>'Flat Sizes'!$H$99</f>
        <v>28</v>
      </c>
      <c r="L65" s="275">
        <f t="shared" si="62"/>
        <v>267.39999999999998</v>
      </c>
      <c r="M65" s="275">
        <f t="shared" si="63"/>
        <v>18.731999999999999</v>
      </c>
      <c r="N65" s="273" t="s">
        <v>587</v>
      </c>
      <c r="O65" s="273" t="s">
        <v>588</v>
      </c>
    </row>
    <row r="66" spans="1:15">
      <c r="A66" s="268">
        <v>12</v>
      </c>
      <c r="B66" s="269" t="str">
        <f>'Flat Sizes'!B109</f>
        <v>Flat 7,
3BHK</v>
      </c>
      <c r="C66" s="268"/>
      <c r="D66" s="268"/>
      <c r="E66" s="268"/>
      <c r="F66" s="268"/>
      <c r="G66" s="268"/>
      <c r="H66" s="268"/>
      <c r="I66" s="268"/>
      <c r="J66" s="268"/>
      <c r="K66" s="268"/>
      <c r="L66" s="276"/>
      <c r="M66" s="276"/>
    </row>
    <row r="67" spans="1:15">
      <c r="A67" s="267"/>
      <c r="B67" s="267" t="str">
        <f>'Flat Sizes'!B112</f>
        <v>M. Toilet</v>
      </c>
      <c r="C67" s="267" t="s">
        <v>327</v>
      </c>
      <c r="D67" s="267">
        <v>1</v>
      </c>
      <c r="E67" s="267">
        <f>'Flat Sizes'!D112</f>
        <v>3.9</v>
      </c>
      <c r="F67" s="267">
        <f>'Flat Sizes'!G112</f>
        <v>8.27</v>
      </c>
      <c r="G67" s="267">
        <v>1.2</v>
      </c>
      <c r="H67" s="266">
        <f t="shared" ref="H67:H72" si="64">D67*E67</f>
        <v>3.9</v>
      </c>
      <c r="I67" s="266">
        <f t="shared" ref="I67:I72" si="65">F67*G67*D67</f>
        <v>9.9239999999999995</v>
      </c>
      <c r="J67" s="266">
        <f t="shared" ref="J67:J72" si="66">E67*0.3*D67</f>
        <v>1.17</v>
      </c>
      <c r="K67" s="267">
        <f>'Flat Sizes'!$H$109</f>
        <v>26</v>
      </c>
      <c r="L67" s="275">
        <f t="shared" ref="L67" si="67">SUM(H67:I67)*K67</f>
        <v>359.42399999999998</v>
      </c>
      <c r="M67" s="275">
        <f t="shared" ref="M67" si="68">J67*K67</f>
        <v>30.419999999999998</v>
      </c>
      <c r="N67" s="273" t="s">
        <v>581</v>
      </c>
      <c r="O67" s="273" t="s">
        <v>582</v>
      </c>
    </row>
    <row r="68" spans="1:15">
      <c r="A68" s="267"/>
      <c r="B68" s="267" t="str">
        <f>'Flat Sizes'!B114</f>
        <v>M. Toilet</v>
      </c>
      <c r="C68" s="267" t="s">
        <v>327</v>
      </c>
      <c r="D68" s="267">
        <v>1</v>
      </c>
      <c r="E68" s="267">
        <f>'Flat Sizes'!D114</f>
        <v>3.83</v>
      </c>
      <c r="F68" s="267">
        <f>'Flat Sizes'!G114</f>
        <v>8.32</v>
      </c>
      <c r="G68" s="267">
        <v>1.2</v>
      </c>
      <c r="H68" s="266">
        <f t="shared" si="64"/>
        <v>3.83</v>
      </c>
      <c r="I68" s="266">
        <f t="shared" si="65"/>
        <v>9.984</v>
      </c>
      <c r="J68" s="266">
        <f t="shared" si="66"/>
        <v>1.149</v>
      </c>
      <c r="K68" s="267">
        <f>'Flat Sizes'!$H$109</f>
        <v>26</v>
      </c>
      <c r="L68" s="275">
        <f t="shared" ref="L68:L72" si="69">SUM(H68:I68)*K68</f>
        <v>359.16399999999999</v>
      </c>
      <c r="M68" s="275">
        <f t="shared" ref="M68:M72" si="70">J68*K68</f>
        <v>29.874000000000002</v>
      </c>
      <c r="N68" s="273" t="s">
        <v>581</v>
      </c>
      <c r="O68" s="273" t="s">
        <v>582</v>
      </c>
    </row>
    <row r="69" spans="1:15">
      <c r="A69" s="267"/>
      <c r="B69" s="267" t="str">
        <f>'Flat Sizes'!B116</f>
        <v>C. Toilet</v>
      </c>
      <c r="C69" s="267" t="s">
        <v>327</v>
      </c>
      <c r="D69" s="267">
        <v>1</v>
      </c>
      <c r="E69" s="267">
        <f>'Flat Sizes'!D116</f>
        <v>3.83</v>
      </c>
      <c r="F69" s="267">
        <f>'Flat Sizes'!G116</f>
        <v>8.32</v>
      </c>
      <c r="G69" s="267">
        <v>1.2</v>
      </c>
      <c r="H69" s="266">
        <f t="shared" si="64"/>
        <v>3.83</v>
      </c>
      <c r="I69" s="266">
        <f t="shared" si="65"/>
        <v>9.984</v>
      </c>
      <c r="J69" s="266">
        <f t="shared" si="66"/>
        <v>1.149</v>
      </c>
      <c r="K69" s="267">
        <f>'Flat Sizes'!$H$109</f>
        <v>26</v>
      </c>
      <c r="L69" s="275">
        <f t="shared" si="69"/>
        <v>359.16399999999999</v>
      </c>
      <c r="M69" s="275">
        <f t="shared" si="70"/>
        <v>29.874000000000002</v>
      </c>
      <c r="N69" s="273" t="s">
        <v>581</v>
      </c>
      <c r="O69" s="273" t="s">
        <v>582</v>
      </c>
    </row>
    <row r="70" spans="1:15">
      <c r="A70" s="267"/>
      <c r="B70" s="267" t="str">
        <f>'Flat Sizes'!B117</f>
        <v>Kitchen</v>
      </c>
      <c r="C70" s="267" t="s">
        <v>327</v>
      </c>
      <c r="D70" s="267">
        <v>1</v>
      </c>
      <c r="E70" s="267">
        <f>E63</f>
        <v>2.27</v>
      </c>
      <c r="F70" s="267">
        <f>F63</f>
        <v>6.2</v>
      </c>
      <c r="G70" s="267">
        <v>1.2</v>
      </c>
      <c r="H70" s="266">
        <f t="shared" si="64"/>
        <v>2.27</v>
      </c>
      <c r="I70" s="266">
        <f t="shared" si="65"/>
        <v>7.4399999999999995</v>
      </c>
      <c r="J70" s="266">
        <f t="shared" si="66"/>
        <v>0.68099999999999994</v>
      </c>
      <c r="K70" s="267">
        <f>'Flat Sizes'!$H$109</f>
        <v>26</v>
      </c>
      <c r="L70" s="275">
        <f t="shared" si="69"/>
        <v>252.45999999999998</v>
      </c>
      <c r="M70" s="275">
        <f t="shared" si="70"/>
        <v>17.706</v>
      </c>
      <c r="N70" s="273" t="s">
        <v>583</v>
      </c>
      <c r="O70" s="273" t="s">
        <v>584</v>
      </c>
    </row>
    <row r="71" spans="1:15">
      <c r="A71" s="267"/>
      <c r="B71" s="267" t="str">
        <f>'Flat Sizes'!B118</f>
        <v>Utility</v>
      </c>
      <c r="C71" s="267" t="s">
        <v>327</v>
      </c>
      <c r="D71" s="267">
        <v>1</v>
      </c>
      <c r="E71" s="267">
        <f>'Flat Sizes'!D118</f>
        <v>2.82</v>
      </c>
      <c r="F71" s="267">
        <f>'Flat Sizes'!G118</f>
        <v>7.05</v>
      </c>
      <c r="G71" s="267">
        <v>1.2</v>
      </c>
      <c r="H71" s="266">
        <f t="shared" si="64"/>
        <v>2.82</v>
      </c>
      <c r="I71" s="266">
        <f t="shared" si="65"/>
        <v>8.4599999999999991</v>
      </c>
      <c r="J71" s="266">
        <f t="shared" si="66"/>
        <v>0.84599999999999997</v>
      </c>
      <c r="K71" s="267">
        <f>'Flat Sizes'!$H$109</f>
        <v>26</v>
      </c>
      <c r="L71" s="275">
        <f t="shared" si="69"/>
        <v>293.27999999999997</v>
      </c>
      <c r="M71" s="275">
        <f t="shared" si="70"/>
        <v>21.995999999999999</v>
      </c>
      <c r="N71" s="273" t="s">
        <v>585</v>
      </c>
      <c r="O71" s="273" t="s">
        <v>586</v>
      </c>
    </row>
    <row r="72" spans="1:15">
      <c r="A72" s="267"/>
      <c r="B72" s="267" t="str">
        <f>'Flat Sizes'!B119</f>
        <v>Balcony</v>
      </c>
      <c r="C72" s="267" t="s">
        <v>327</v>
      </c>
      <c r="D72" s="267">
        <v>1</v>
      </c>
      <c r="E72" s="267">
        <f>'Flat Sizes'!D119</f>
        <v>2.8</v>
      </c>
      <c r="F72" s="267">
        <f>'Flat Sizes'!G119</f>
        <v>7.01</v>
      </c>
      <c r="G72" s="267">
        <v>1.2</v>
      </c>
      <c r="H72" s="266">
        <f t="shared" si="64"/>
        <v>2.8</v>
      </c>
      <c r="I72" s="266">
        <f t="shared" si="65"/>
        <v>8.411999999999999</v>
      </c>
      <c r="J72" s="266">
        <f t="shared" si="66"/>
        <v>0.84</v>
      </c>
      <c r="K72" s="267">
        <f>'Flat Sizes'!$H$109</f>
        <v>26</v>
      </c>
      <c r="L72" s="275">
        <f t="shared" si="69"/>
        <v>291.512</v>
      </c>
      <c r="M72" s="275">
        <f t="shared" si="70"/>
        <v>21.84</v>
      </c>
      <c r="N72" s="273" t="s">
        <v>587</v>
      </c>
      <c r="O72" s="273" t="s">
        <v>588</v>
      </c>
    </row>
    <row r="73" spans="1:15">
      <c r="A73" s="268">
        <v>13</v>
      </c>
      <c r="B73" s="269" t="str">
        <f>'Flat Sizes'!B121</f>
        <v>Flat 8,
3BHK</v>
      </c>
      <c r="C73" s="268"/>
      <c r="D73" s="268"/>
      <c r="E73" s="268"/>
      <c r="F73" s="268"/>
      <c r="G73" s="268"/>
      <c r="H73" s="268"/>
      <c r="I73" s="268"/>
      <c r="J73" s="268"/>
      <c r="K73" s="268"/>
      <c r="L73" s="276"/>
      <c r="M73" s="276"/>
    </row>
    <row r="74" spans="1:15">
      <c r="A74" s="267"/>
      <c r="B74" s="267" t="str">
        <f>'Flat Sizes'!B124</f>
        <v>M. Toilet</v>
      </c>
      <c r="C74" s="267" t="s">
        <v>327</v>
      </c>
      <c r="D74" s="267">
        <v>1</v>
      </c>
      <c r="E74" s="267">
        <f>'Flat Sizes'!D124</f>
        <v>3.28</v>
      </c>
      <c r="F74" s="267">
        <f>'Flat Sizes'!G124</f>
        <v>8.2100000000000009</v>
      </c>
      <c r="G74" s="267">
        <v>1.2</v>
      </c>
      <c r="H74" s="266">
        <f t="shared" ref="H74" si="71">D74*E74</f>
        <v>3.28</v>
      </c>
      <c r="I74" s="266">
        <f t="shared" ref="I74" si="72">F74*G74*D74</f>
        <v>9.8520000000000003</v>
      </c>
      <c r="J74" s="266">
        <f t="shared" ref="J74" si="73">E74*0.3*D74</f>
        <v>0.98399999999999987</v>
      </c>
      <c r="K74" s="267">
        <f>'Flat Sizes'!$H$121</f>
        <v>30</v>
      </c>
      <c r="L74" s="275">
        <f t="shared" ref="L74" si="74">SUM(H74:I74)*K74</f>
        <v>393.96</v>
      </c>
      <c r="M74" s="275">
        <f t="shared" ref="M74" si="75">J74*K74</f>
        <v>29.519999999999996</v>
      </c>
      <c r="N74" s="273" t="s">
        <v>581</v>
      </c>
      <c r="O74" s="273" t="s">
        <v>582</v>
      </c>
    </row>
    <row r="75" spans="1:15">
      <c r="A75" s="267"/>
      <c r="B75" s="267" t="str">
        <f>'Flat Sizes'!B126</f>
        <v>M. Toilet</v>
      </c>
      <c r="C75" s="267" t="s">
        <v>327</v>
      </c>
      <c r="D75" s="267">
        <v>1</v>
      </c>
      <c r="E75" s="267">
        <f>'Flat Sizes'!D126</f>
        <v>3.9</v>
      </c>
      <c r="F75" s="267">
        <f>'Flat Sizes'!G126</f>
        <v>8.27</v>
      </c>
      <c r="G75" s="267">
        <v>1.2</v>
      </c>
      <c r="H75" s="266">
        <f t="shared" ref="H75:H79" si="76">D75*E75</f>
        <v>3.9</v>
      </c>
      <c r="I75" s="266">
        <f t="shared" ref="I75:I79" si="77">F75*G75*D75</f>
        <v>9.9239999999999995</v>
      </c>
      <c r="J75" s="266">
        <f t="shared" ref="J75:J79" si="78">E75*0.3*D75</f>
        <v>1.17</v>
      </c>
      <c r="K75" s="267">
        <f>'Flat Sizes'!$H$121</f>
        <v>30</v>
      </c>
      <c r="L75" s="275">
        <f t="shared" ref="L75:L79" si="79">SUM(H75:I75)*K75</f>
        <v>414.71999999999997</v>
      </c>
      <c r="M75" s="275">
        <f t="shared" ref="M75:M79" si="80">J75*K75</f>
        <v>35.099999999999994</v>
      </c>
      <c r="N75" s="273" t="s">
        <v>581</v>
      </c>
      <c r="O75" s="273" t="s">
        <v>582</v>
      </c>
    </row>
    <row r="76" spans="1:15">
      <c r="A76" s="267"/>
      <c r="B76" s="267" t="str">
        <f>'Flat Sizes'!B128</f>
        <v>C. Toilet</v>
      </c>
      <c r="C76" s="267" t="s">
        <v>327</v>
      </c>
      <c r="D76" s="267">
        <v>1</v>
      </c>
      <c r="E76" s="267">
        <f>'Flat Sizes'!D128</f>
        <v>3.83</v>
      </c>
      <c r="F76" s="267">
        <f>'Flat Sizes'!G128</f>
        <v>8.2200000000000006</v>
      </c>
      <c r="G76" s="267">
        <v>1.2</v>
      </c>
      <c r="H76" s="266">
        <f t="shared" si="76"/>
        <v>3.83</v>
      </c>
      <c r="I76" s="266">
        <f t="shared" si="77"/>
        <v>9.8640000000000008</v>
      </c>
      <c r="J76" s="266">
        <f t="shared" si="78"/>
        <v>1.149</v>
      </c>
      <c r="K76" s="267">
        <f>'Flat Sizes'!$H$121</f>
        <v>30</v>
      </c>
      <c r="L76" s="275">
        <f t="shared" si="79"/>
        <v>410.82000000000005</v>
      </c>
      <c r="M76" s="275">
        <f t="shared" si="80"/>
        <v>34.47</v>
      </c>
      <c r="N76" s="273" t="s">
        <v>581</v>
      </c>
      <c r="O76" s="273" t="s">
        <v>582</v>
      </c>
    </row>
    <row r="77" spans="1:15">
      <c r="A77" s="267"/>
      <c r="B77" s="267" t="str">
        <f>'Flat Sizes'!B129</f>
        <v>Kitchen</v>
      </c>
      <c r="C77" s="267" t="s">
        <v>327</v>
      </c>
      <c r="D77" s="267">
        <v>1</v>
      </c>
      <c r="E77" s="267">
        <f>E70</f>
        <v>2.27</v>
      </c>
      <c r="F77" s="267">
        <f>F70</f>
        <v>6.2</v>
      </c>
      <c r="G77" s="267">
        <v>1.2</v>
      </c>
      <c r="H77" s="266">
        <f t="shared" si="76"/>
        <v>2.27</v>
      </c>
      <c r="I77" s="266">
        <f t="shared" si="77"/>
        <v>7.4399999999999995</v>
      </c>
      <c r="J77" s="266">
        <f t="shared" si="78"/>
        <v>0.68099999999999994</v>
      </c>
      <c r="K77" s="267">
        <f>'Flat Sizes'!$H$121</f>
        <v>30</v>
      </c>
      <c r="L77" s="275">
        <f t="shared" si="79"/>
        <v>291.29999999999995</v>
      </c>
      <c r="M77" s="275">
        <f t="shared" si="80"/>
        <v>20.43</v>
      </c>
      <c r="N77" s="273" t="s">
        <v>583</v>
      </c>
      <c r="O77" s="273" t="s">
        <v>584</v>
      </c>
    </row>
    <row r="78" spans="1:15">
      <c r="A78" s="267"/>
      <c r="B78" s="267" t="str">
        <f>'Flat Sizes'!B130</f>
        <v>Utility</v>
      </c>
      <c r="C78" s="267" t="s">
        <v>327</v>
      </c>
      <c r="D78" s="267">
        <v>1</v>
      </c>
      <c r="E78" s="267">
        <f>'Flat Sizes'!D130</f>
        <v>2.82</v>
      </c>
      <c r="F78" s="267">
        <f>'Flat Sizes'!G130</f>
        <v>7.05</v>
      </c>
      <c r="G78" s="267">
        <v>1.2</v>
      </c>
      <c r="H78" s="266">
        <f t="shared" si="76"/>
        <v>2.82</v>
      </c>
      <c r="I78" s="266">
        <f t="shared" si="77"/>
        <v>8.4599999999999991</v>
      </c>
      <c r="J78" s="266">
        <f t="shared" si="78"/>
        <v>0.84599999999999997</v>
      </c>
      <c r="K78" s="267">
        <f>'Flat Sizes'!$H$121</f>
        <v>30</v>
      </c>
      <c r="L78" s="275">
        <f t="shared" si="79"/>
        <v>338.4</v>
      </c>
      <c r="M78" s="275">
        <f t="shared" si="80"/>
        <v>25.38</v>
      </c>
      <c r="N78" s="273" t="s">
        <v>585</v>
      </c>
      <c r="O78" s="273" t="s">
        <v>586</v>
      </c>
    </row>
    <row r="79" spans="1:15">
      <c r="A79" s="267"/>
      <c r="B79" s="267" t="str">
        <f>'Flat Sizes'!B131</f>
        <v>Balcony</v>
      </c>
      <c r="C79" s="267" t="s">
        <v>327</v>
      </c>
      <c r="D79" s="267">
        <v>1</v>
      </c>
      <c r="E79" s="267">
        <f>'Flat Sizes'!D131</f>
        <v>2.8</v>
      </c>
      <c r="F79" s="267">
        <f>'Flat Sizes'!G131</f>
        <v>7.01</v>
      </c>
      <c r="G79" s="267">
        <v>1.2</v>
      </c>
      <c r="H79" s="266">
        <f t="shared" si="76"/>
        <v>2.8</v>
      </c>
      <c r="I79" s="266">
        <f t="shared" si="77"/>
        <v>8.411999999999999</v>
      </c>
      <c r="J79" s="266">
        <f t="shared" si="78"/>
        <v>0.84</v>
      </c>
      <c r="K79" s="267">
        <f>'Flat Sizes'!$H$121</f>
        <v>30</v>
      </c>
      <c r="L79" s="275">
        <f t="shared" si="79"/>
        <v>336.36</v>
      </c>
      <c r="M79" s="275">
        <f t="shared" si="80"/>
        <v>25.2</v>
      </c>
      <c r="N79" s="273" t="s">
        <v>587</v>
      </c>
      <c r="O79" s="273" t="s">
        <v>588</v>
      </c>
    </row>
    <row r="80" spans="1:15">
      <c r="A80" s="268">
        <v>14</v>
      </c>
      <c r="B80" s="269" t="str">
        <f>'Flat Sizes'!B133</f>
        <v>Flat 9,
2BHK</v>
      </c>
      <c r="C80" s="268"/>
      <c r="D80" s="268"/>
      <c r="E80" s="268"/>
      <c r="F80" s="268"/>
      <c r="G80" s="268"/>
      <c r="H80" s="268"/>
      <c r="I80" s="268"/>
      <c r="J80" s="268"/>
      <c r="K80" s="268"/>
      <c r="L80" s="276"/>
      <c r="M80" s="276"/>
    </row>
    <row r="81" spans="1:15">
      <c r="A81" s="267"/>
      <c r="B81" s="267" t="str">
        <f>'Flat Sizes'!B136</f>
        <v>M. Toilet</v>
      </c>
      <c r="C81" s="267" t="s">
        <v>327</v>
      </c>
      <c r="D81" s="267">
        <v>1</v>
      </c>
      <c r="E81" s="267">
        <f>'Flat Sizes'!D136</f>
        <v>3.39</v>
      </c>
      <c r="F81" s="267">
        <f>'Flat Sizes'!G136</f>
        <v>7.94</v>
      </c>
      <c r="G81" s="267">
        <v>1.2</v>
      </c>
      <c r="H81" s="266">
        <f t="shared" ref="H81" si="81">D81*E81</f>
        <v>3.39</v>
      </c>
      <c r="I81" s="266">
        <f t="shared" ref="I81" si="82">F81*G81*D81</f>
        <v>9.5280000000000005</v>
      </c>
      <c r="J81" s="266">
        <f t="shared" ref="J81" si="83">E81*0.3*D81</f>
        <v>1.0169999999999999</v>
      </c>
      <c r="K81" s="267">
        <f>'Flat Sizes'!$H$133</f>
        <v>28</v>
      </c>
      <c r="L81" s="275">
        <f t="shared" ref="L81" si="84">SUM(H81:I81)*K81</f>
        <v>361.70400000000001</v>
      </c>
      <c r="M81" s="275">
        <f t="shared" ref="M81" si="85">J81*K81</f>
        <v>28.475999999999999</v>
      </c>
      <c r="N81" s="273" t="s">
        <v>581</v>
      </c>
      <c r="O81" s="273" t="s">
        <v>582</v>
      </c>
    </row>
    <row r="82" spans="1:15">
      <c r="A82" s="267"/>
      <c r="B82" s="267" t="str">
        <f>'Flat Sizes'!B138</f>
        <v>C. Toilet</v>
      </c>
      <c r="C82" s="267" t="s">
        <v>327</v>
      </c>
      <c r="D82" s="267">
        <v>1</v>
      </c>
      <c r="E82" s="267">
        <f>'Flat Sizes'!D138</f>
        <v>3.47</v>
      </c>
      <c r="F82" s="267">
        <f>'Flat Sizes'!G138</f>
        <v>7.94</v>
      </c>
      <c r="G82" s="267">
        <v>1.2</v>
      </c>
      <c r="H82" s="266">
        <f t="shared" ref="H82:H85" si="86">D82*E82</f>
        <v>3.47</v>
      </c>
      <c r="I82" s="266">
        <f t="shared" ref="I82:I85" si="87">F82*G82*D82</f>
        <v>9.5280000000000005</v>
      </c>
      <c r="J82" s="266">
        <f t="shared" ref="J82:J85" si="88">E82*0.3*D82</f>
        <v>1.0409999999999999</v>
      </c>
      <c r="K82" s="267">
        <f>'Flat Sizes'!$H$133</f>
        <v>28</v>
      </c>
      <c r="L82" s="275">
        <f t="shared" ref="L82:L85" si="89">SUM(H82:I82)*K82</f>
        <v>363.94400000000002</v>
      </c>
      <c r="M82" s="275">
        <f t="shared" ref="M82:M85" si="90">J82*K82</f>
        <v>29.147999999999996</v>
      </c>
      <c r="N82" s="273" t="s">
        <v>581</v>
      </c>
      <c r="O82" s="273" t="s">
        <v>582</v>
      </c>
    </row>
    <row r="83" spans="1:15">
      <c r="A83" s="267"/>
      <c r="B83" s="267" t="str">
        <f>'Flat Sizes'!B139</f>
        <v>Kitchen</v>
      </c>
      <c r="C83" s="267" t="s">
        <v>327</v>
      </c>
      <c r="D83" s="267">
        <v>1</v>
      </c>
      <c r="E83" s="267">
        <f>E77</f>
        <v>2.27</v>
      </c>
      <c r="F83" s="267">
        <f>F77</f>
        <v>6.2</v>
      </c>
      <c r="G83" s="267">
        <v>1.2</v>
      </c>
      <c r="H83" s="266">
        <f t="shared" si="86"/>
        <v>2.27</v>
      </c>
      <c r="I83" s="266">
        <f t="shared" si="87"/>
        <v>7.4399999999999995</v>
      </c>
      <c r="J83" s="266">
        <f t="shared" si="88"/>
        <v>0.68099999999999994</v>
      </c>
      <c r="K83" s="267">
        <f>'Flat Sizes'!$H$133</f>
        <v>28</v>
      </c>
      <c r="L83" s="275">
        <f t="shared" si="89"/>
        <v>271.88</v>
      </c>
      <c r="M83" s="275">
        <f t="shared" si="90"/>
        <v>19.067999999999998</v>
      </c>
      <c r="N83" s="273" t="s">
        <v>583</v>
      </c>
      <c r="O83" s="273" t="s">
        <v>584</v>
      </c>
    </row>
    <row r="84" spans="1:15">
      <c r="A84" s="267"/>
      <c r="B84" s="267" t="str">
        <f>'Flat Sizes'!B140</f>
        <v>Utility</v>
      </c>
      <c r="C84" s="267" t="s">
        <v>327</v>
      </c>
      <c r="D84" s="267">
        <v>1</v>
      </c>
      <c r="E84" s="267">
        <f>'Flat Sizes'!D140</f>
        <v>2.27</v>
      </c>
      <c r="F84" s="267">
        <f>'Flat Sizes'!G140</f>
        <v>6.1</v>
      </c>
      <c r="G84" s="267">
        <v>1.2</v>
      </c>
      <c r="H84" s="266">
        <f t="shared" si="86"/>
        <v>2.27</v>
      </c>
      <c r="I84" s="266">
        <f t="shared" si="87"/>
        <v>7.3199999999999994</v>
      </c>
      <c r="J84" s="266">
        <f t="shared" si="88"/>
        <v>0.68099999999999994</v>
      </c>
      <c r="K84" s="267">
        <f>'Flat Sizes'!$H$133</f>
        <v>28</v>
      </c>
      <c r="L84" s="275">
        <f t="shared" si="89"/>
        <v>268.52</v>
      </c>
      <c r="M84" s="275">
        <f t="shared" si="90"/>
        <v>19.067999999999998</v>
      </c>
      <c r="N84" s="273" t="s">
        <v>585</v>
      </c>
      <c r="O84" s="273" t="s">
        <v>586</v>
      </c>
    </row>
    <row r="85" spans="1:15">
      <c r="A85" s="267"/>
      <c r="B85" s="267" t="str">
        <f>'Flat Sizes'!B141</f>
        <v>Balcony</v>
      </c>
      <c r="C85" s="267" t="s">
        <v>327</v>
      </c>
      <c r="D85" s="267">
        <v>1</v>
      </c>
      <c r="E85" s="267">
        <f>'Flat Sizes'!D141</f>
        <v>2.6</v>
      </c>
      <c r="F85" s="267">
        <f>'Flat Sizes'!G141</f>
        <v>6.7</v>
      </c>
      <c r="G85" s="267">
        <v>1.2</v>
      </c>
      <c r="H85" s="266">
        <f t="shared" si="86"/>
        <v>2.6</v>
      </c>
      <c r="I85" s="266">
        <f t="shared" si="87"/>
        <v>8.0399999999999991</v>
      </c>
      <c r="J85" s="266">
        <f t="shared" si="88"/>
        <v>0.78</v>
      </c>
      <c r="K85" s="267">
        <f>'Flat Sizes'!$H$133</f>
        <v>28</v>
      </c>
      <c r="L85" s="275">
        <f t="shared" si="89"/>
        <v>297.91999999999996</v>
      </c>
      <c r="M85" s="275">
        <f t="shared" si="90"/>
        <v>21.84</v>
      </c>
      <c r="N85" s="273" t="s">
        <v>587</v>
      </c>
      <c r="O85" s="273" t="s">
        <v>588</v>
      </c>
    </row>
    <row r="86" spans="1:15">
      <c r="A86" s="268">
        <v>15</v>
      </c>
      <c r="B86" s="269" t="str">
        <f>'Flat Sizes'!B143</f>
        <v>Flat 10,
2BHK</v>
      </c>
      <c r="C86" s="268"/>
      <c r="D86" s="268"/>
      <c r="E86" s="268"/>
      <c r="F86" s="268"/>
      <c r="G86" s="268"/>
      <c r="H86" s="268"/>
      <c r="I86" s="268"/>
      <c r="J86" s="268"/>
      <c r="K86" s="268"/>
      <c r="L86" s="276"/>
      <c r="M86" s="276"/>
    </row>
    <row r="87" spans="1:15">
      <c r="A87" s="267"/>
      <c r="B87" s="267" t="str">
        <f>'Flat Sizes'!B146</f>
        <v>M. Toilet</v>
      </c>
      <c r="C87" s="267" t="s">
        <v>327</v>
      </c>
      <c r="D87" s="267">
        <v>1</v>
      </c>
      <c r="E87" s="267">
        <f>'Flat Sizes'!D146</f>
        <v>3.46</v>
      </c>
      <c r="F87" s="267">
        <f>'Flat Sizes'!G146</f>
        <v>7.92</v>
      </c>
      <c r="G87" s="267">
        <v>1.2</v>
      </c>
      <c r="H87" s="266">
        <f t="shared" ref="H87" si="91">D87*E87</f>
        <v>3.46</v>
      </c>
      <c r="I87" s="266">
        <f t="shared" ref="I87" si="92">F87*G87*D87</f>
        <v>9.5039999999999996</v>
      </c>
      <c r="J87" s="266">
        <f t="shared" ref="J87" si="93">E87*0.3*D87</f>
        <v>1.038</v>
      </c>
      <c r="K87" s="267">
        <f>'Flat Sizes'!$H$143</f>
        <v>28</v>
      </c>
      <c r="L87" s="275">
        <f t="shared" ref="L87:L91" si="94">SUM(H87:I87)*K87</f>
        <v>362.99199999999996</v>
      </c>
      <c r="M87" s="275">
        <f t="shared" ref="M87:M91" si="95">J87*K87</f>
        <v>29.064</v>
      </c>
      <c r="N87" s="273" t="s">
        <v>581</v>
      </c>
      <c r="O87" s="273" t="s">
        <v>582</v>
      </c>
    </row>
    <row r="88" spans="1:15">
      <c r="A88" s="267"/>
      <c r="B88" s="267" t="str">
        <f>'Flat Sizes'!B148</f>
        <v>C. Toilet</v>
      </c>
      <c r="C88" s="267" t="s">
        <v>327</v>
      </c>
      <c r="D88" s="267">
        <v>1</v>
      </c>
      <c r="E88" s="267">
        <f>'Flat Sizes'!D148</f>
        <v>3.35</v>
      </c>
      <c r="F88" s="267">
        <f>'Flat Sizes'!G148</f>
        <v>7.75</v>
      </c>
      <c r="G88" s="267">
        <v>1.2</v>
      </c>
      <c r="H88" s="266">
        <f t="shared" ref="H88:H91" si="96">D88*E88</f>
        <v>3.35</v>
      </c>
      <c r="I88" s="266">
        <f t="shared" ref="I88:I91" si="97">F88*G88*D88</f>
        <v>9.2999999999999989</v>
      </c>
      <c r="J88" s="266">
        <f t="shared" ref="J88:J91" si="98">E88*0.3*D88</f>
        <v>1.0049999999999999</v>
      </c>
      <c r="K88" s="267">
        <f>'Flat Sizes'!$H$143</f>
        <v>28</v>
      </c>
      <c r="L88" s="275">
        <f t="shared" si="94"/>
        <v>354.19999999999993</v>
      </c>
      <c r="M88" s="275">
        <f t="shared" si="95"/>
        <v>28.139999999999997</v>
      </c>
      <c r="N88" s="273" t="s">
        <v>581</v>
      </c>
      <c r="O88" s="273" t="s">
        <v>582</v>
      </c>
    </row>
    <row r="89" spans="1:15">
      <c r="A89" s="267"/>
      <c r="B89" s="267" t="str">
        <f>'Flat Sizes'!B149</f>
        <v>Kitchen</v>
      </c>
      <c r="C89" s="267" t="s">
        <v>327</v>
      </c>
      <c r="D89" s="267">
        <v>1</v>
      </c>
      <c r="E89" s="267">
        <f>E83</f>
        <v>2.27</v>
      </c>
      <c r="F89" s="267">
        <f>F83</f>
        <v>6.2</v>
      </c>
      <c r="G89" s="267">
        <v>1.2</v>
      </c>
      <c r="H89" s="266">
        <f t="shared" si="96"/>
        <v>2.27</v>
      </c>
      <c r="I89" s="266">
        <f t="shared" si="97"/>
        <v>7.4399999999999995</v>
      </c>
      <c r="J89" s="266">
        <f t="shared" si="98"/>
        <v>0.68099999999999994</v>
      </c>
      <c r="K89" s="267">
        <f>'Flat Sizes'!$H$143</f>
        <v>28</v>
      </c>
      <c r="L89" s="275">
        <f t="shared" si="94"/>
        <v>271.88</v>
      </c>
      <c r="M89" s="275">
        <f t="shared" si="95"/>
        <v>19.067999999999998</v>
      </c>
      <c r="N89" s="273" t="s">
        <v>583</v>
      </c>
      <c r="O89" s="273" t="s">
        <v>584</v>
      </c>
    </row>
    <row r="90" spans="1:15">
      <c r="A90" s="267"/>
      <c r="B90" s="267" t="str">
        <f>'Flat Sizes'!B150</f>
        <v>Utility</v>
      </c>
      <c r="C90" s="267" t="s">
        <v>327</v>
      </c>
      <c r="D90" s="267">
        <v>1</v>
      </c>
      <c r="E90" s="267">
        <f>'Flat Sizes'!D150</f>
        <v>2.61</v>
      </c>
      <c r="F90" s="267">
        <f>'Flat Sizes'!G150</f>
        <v>6.71</v>
      </c>
      <c r="G90" s="267">
        <v>1.2</v>
      </c>
      <c r="H90" s="266">
        <f t="shared" si="96"/>
        <v>2.61</v>
      </c>
      <c r="I90" s="266">
        <f t="shared" si="97"/>
        <v>8.0519999999999996</v>
      </c>
      <c r="J90" s="266">
        <f t="shared" si="98"/>
        <v>0.78299999999999992</v>
      </c>
      <c r="K90" s="267">
        <f>'Flat Sizes'!$H$143</f>
        <v>28</v>
      </c>
      <c r="L90" s="275">
        <f t="shared" si="94"/>
        <v>298.53599999999994</v>
      </c>
      <c r="M90" s="275">
        <f t="shared" si="95"/>
        <v>21.923999999999999</v>
      </c>
      <c r="N90" s="273" t="s">
        <v>585</v>
      </c>
      <c r="O90" s="273" t="s">
        <v>586</v>
      </c>
    </row>
    <row r="91" spans="1:15">
      <c r="A91" s="267"/>
      <c r="B91" s="267" t="str">
        <f>'Flat Sizes'!B151</f>
        <v>Balcony</v>
      </c>
      <c r="C91" s="267" t="s">
        <v>327</v>
      </c>
      <c r="D91" s="267">
        <v>1</v>
      </c>
      <c r="E91" s="267">
        <f>'Flat Sizes'!D151</f>
        <v>2.6</v>
      </c>
      <c r="F91" s="267">
        <f>'Flat Sizes'!G151</f>
        <v>6.7</v>
      </c>
      <c r="G91" s="267">
        <v>1.2</v>
      </c>
      <c r="H91" s="266">
        <f t="shared" si="96"/>
        <v>2.6</v>
      </c>
      <c r="I91" s="266">
        <f t="shared" si="97"/>
        <v>8.0399999999999991</v>
      </c>
      <c r="J91" s="266">
        <f t="shared" si="98"/>
        <v>0.78</v>
      </c>
      <c r="K91" s="267">
        <f>'Flat Sizes'!$H$143</f>
        <v>28</v>
      </c>
      <c r="L91" s="275">
        <f t="shared" si="94"/>
        <v>297.91999999999996</v>
      </c>
      <c r="M91" s="275">
        <f t="shared" si="95"/>
        <v>21.84</v>
      </c>
      <c r="N91" s="273" t="s">
        <v>587</v>
      </c>
      <c r="O91" s="273" t="s">
        <v>588</v>
      </c>
    </row>
    <row r="92" spans="1:15">
      <c r="A92" s="256" t="s">
        <v>222</v>
      </c>
      <c r="B92" s="256" t="s">
        <v>589</v>
      </c>
      <c r="C92" s="256"/>
      <c r="D92" s="256"/>
      <c r="E92" s="257"/>
      <c r="F92" s="257"/>
      <c r="G92" s="257"/>
      <c r="H92" s="258"/>
      <c r="I92" s="258"/>
      <c r="J92" s="258"/>
      <c r="K92" s="257"/>
      <c r="L92" s="274"/>
      <c r="M92" s="274"/>
    </row>
    <row r="93" spans="1:15">
      <c r="A93" s="267"/>
      <c r="B93" s="267" t="s">
        <v>284</v>
      </c>
      <c r="C93" s="267" t="s">
        <v>327</v>
      </c>
      <c r="D93" s="267">
        <v>1</v>
      </c>
      <c r="E93" s="267">
        <f>1446.87-363.55</f>
        <v>1083.32</v>
      </c>
      <c r="F93" s="267">
        <f>277.05+23.3+24.55+90.36+24.55+23.3</f>
        <v>463.11000000000007</v>
      </c>
      <c r="G93" s="267">
        <v>0.6</v>
      </c>
      <c r="H93" s="267"/>
      <c r="I93" s="267"/>
      <c r="J93" s="267"/>
      <c r="K93" s="267">
        <v>1</v>
      </c>
      <c r="L93" s="277">
        <f>E93*K93</f>
        <v>1083.32</v>
      </c>
      <c r="M93" s="277"/>
      <c r="N93" s="273" t="s">
        <v>126</v>
      </c>
    </row>
    <row r="94" spans="1:15">
      <c r="A94" s="267"/>
      <c r="B94" s="267" t="s">
        <v>590</v>
      </c>
      <c r="C94" s="267" t="s">
        <v>327</v>
      </c>
      <c r="D94" s="267">
        <v>1</v>
      </c>
      <c r="E94" s="267">
        <v>1357.88</v>
      </c>
      <c r="F94" s="267">
        <v>189.77</v>
      </c>
      <c r="G94" s="267">
        <v>0.6</v>
      </c>
      <c r="H94" s="267"/>
      <c r="I94" s="267"/>
      <c r="J94" s="267"/>
      <c r="K94" s="267">
        <v>1</v>
      </c>
      <c r="L94" s="277">
        <f>E94*K94</f>
        <v>1357.88</v>
      </c>
      <c r="M94" s="277"/>
      <c r="N94" s="273" t="s">
        <v>591</v>
      </c>
    </row>
    <row r="95" spans="1:15">
      <c r="A95" s="267"/>
      <c r="B95" s="267" t="s">
        <v>348</v>
      </c>
      <c r="C95" s="267" t="s">
        <v>327</v>
      </c>
      <c r="D95" s="267">
        <v>1</v>
      </c>
      <c r="E95" s="267">
        <f>107.88+12.6+12.6</f>
        <v>133.07999999999998</v>
      </c>
      <c r="F95" s="267"/>
      <c r="G95" s="267"/>
      <c r="H95" s="267"/>
      <c r="I95" s="267"/>
      <c r="J95" s="267"/>
      <c r="K95" s="267">
        <v>1</v>
      </c>
      <c r="L95" s="277">
        <f>E95*K95</f>
        <v>133.07999999999998</v>
      </c>
      <c r="M95" s="277"/>
      <c r="N95" s="273" t="s">
        <v>348</v>
      </c>
    </row>
    <row r="96" spans="1:15">
      <c r="A96" s="267"/>
      <c r="B96" s="267" t="s">
        <v>592</v>
      </c>
      <c r="C96" s="267" t="s">
        <v>327</v>
      </c>
      <c r="D96" s="267">
        <v>1</v>
      </c>
      <c r="E96" s="267">
        <f>'Measurement Sheet'!D347*2</f>
        <v>92.54</v>
      </c>
      <c r="F96" s="267"/>
      <c r="G96" s="267"/>
      <c r="H96" s="267"/>
      <c r="I96" s="267"/>
      <c r="J96" s="267"/>
      <c r="K96" s="267">
        <v>4</v>
      </c>
      <c r="L96" s="277">
        <f>E96*K96</f>
        <v>370.16</v>
      </c>
      <c r="M96" s="277"/>
      <c r="N96" s="273" t="s">
        <v>344</v>
      </c>
    </row>
    <row r="97" spans="1:15">
      <c r="A97" s="267"/>
      <c r="B97" s="267" t="s">
        <v>593</v>
      </c>
      <c r="C97" s="267" t="s">
        <v>327</v>
      </c>
      <c r="D97" s="267">
        <v>1</v>
      </c>
      <c r="E97" s="267">
        <f>'Construction Area'!R43</f>
        <v>384.84</v>
      </c>
      <c r="F97" s="267"/>
      <c r="G97" s="267"/>
      <c r="H97" s="267"/>
      <c r="I97" s="267"/>
      <c r="J97" s="267"/>
      <c r="K97" s="267">
        <v>1</v>
      </c>
      <c r="L97" s="277"/>
      <c r="M97" s="277"/>
      <c r="N97" s="273" t="s">
        <v>126</v>
      </c>
    </row>
    <row r="98" spans="1:15">
      <c r="A98" s="267"/>
      <c r="B98" s="267" t="s">
        <v>594</v>
      </c>
      <c r="C98" s="267" t="s">
        <v>327</v>
      </c>
      <c r="D98" s="267">
        <v>1</v>
      </c>
      <c r="E98" s="267">
        <f>E97</f>
        <v>384.84</v>
      </c>
      <c r="F98" s="267"/>
      <c r="G98" s="267"/>
      <c r="H98" s="267"/>
      <c r="I98" s="267"/>
      <c r="J98" s="267"/>
      <c r="K98" s="267">
        <v>1</v>
      </c>
      <c r="L98" s="277"/>
      <c r="M98" s="277"/>
      <c r="N98" s="273" t="s">
        <v>126</v>
      </c>
    </row>
    <row r="99" spans="1:15">
      <c r="A99" s="267"/>
      <c r="B99" s="267" t="s">
        <v>247</v>
      </c>
      <c r="C99" s="267" t="s">
        <v>327</v>
      </c>
      <c r="D99" s="267">
        <v>1</v>
      </c>
      <c r="E99" s="267">
        <v>234.42</v>
      </c>
      <c r="F99" s="267"/>
      <c r="G99" s="267"/>
      <c r="H99" s="267"/>
      <c r="I99" s="267"/>
      <c r="J99" s="267"/>
      <c r="K99" s="267">
        <v>4</v>
      </c>
      <c r="L99" s="277">
        <f>E99*K99</f>
        <v>937.68</v>
      </c>
      <c r="M99" s="277"/>
      <c r="N99" s="273" t="s">
        <v>595</v>
      </c>
    </row>
    <row r="100" spans="1:15">
      <c r="A100" s="256" t="s">
        <v>537</v>
      </c>
      <c r="B100" s="256" t="s">
        <v>596</v>
      </c>
      <c r="C100" s="256"/>
      <c r="D100" s="256"/>
      <c r="E100" s="257"/>
      <c r="F100" s="257"/>
      <c r="G100" s="257"/>
      <c r="H100" s="258"/>
      <c r="I100" s="258"/>
      <c r="J100" s="258"/>
      <c r="K100" s="257"/>
      <c r="L100" s="274"/>
      <c r="M100" s="274"/>
    </row>
    <row r="101" spans="1:15">
      <c r="A101" s="267"/>
      <c r="B101" s="267" t="s">
        <v>597</v>
      </c>
      <c r="C101" s="267" t="s">
        <v>327</v>
      </c>
      <c r="D101" s="267">
        <v>1</v>
      </c>
      <c r="E101" s="267">
        <f>'Construction Area'!J45</f>
        <v>2728.7499999999995</v>
      </c>
      <c r="F101" s="267">
        <f>(11.09+10.31+11+21.25+11+10.31+2.72+8.02+4.96+7.74+10.81+8.61)*29</f>
        <v>3416.7799999999997</v>
      </c>
      <c r="G101" s="267">
        <v>0.6</v>
      </c>
      <c r="H101" s="266">
        <f t="shared" ref="H101:H102" si="99">D101*E101</f>
        <v>2728.7499999999995</v>
      </c>
      <c r="I101" s="266"/>
      <c r="J101" s="266">
        <f t="shared" ref="J101" si="100">E101*0.3*D101</f>
        <v>818.62499999999989</v>
      </c>
      <c r="K101" s="267">
        <v>1</v>
      </c>
      <c r="L101" s="275">
        <f t="shared" ref="L101:L107" si="101">SUM(H101:I101)*K101</f>
        <v>2728.7499999999995</v>
      </c>
      <c r="M101" s="275"/>
      <c r="N101" s="272" t="s">
        <v>191</v>
      </c>
    </row>
    <row r="102" spans="1:15">
      <c r="A102" s="267"/>
      <c r="B102" s="267" t="s">
        <v>598</v>
      </c>
      <c r="C102" s="267" t="s">
        <v>327</v>
      </c>
      <c r="D102" s="267">
        <v>1</v>
      </c>
      <c r="E102" s="267">
        <f>'Construction Area'!G45</f>
        <v>11.99</v>
      </c>
      <c r="F102" s="267"/>
      <c r="G102" s="267"/>
      <c r="H102" s="266">
        <f t="shared" si="99"/>
        <v>11.99</v>
      </c>
      <c r="I102" s="267"/>
      <c r="J102" s="267"/>
      <c r="K102" s="267">
        <v>1</v>
      </c>
      <c r="L102" s="275">
        <f t="shared" si="101"/>
        <v>11.99</v>
      </c>
      <c r="M102" s="277"/>
      <c r="N102" s="272" t="s">
        <v>599</v>
      </c>
    </row>
    <row r="103" spans="1:15">
      <c r="A103" s="256" t="s">
        <v>539</v>
      </c>
      <c r="B103" s="256" t="s">
        <v>147</v>
      </c>
      <c r="C103" s="256"/>
      <c r="D103" s="256"/>
      <c r="E103" s="257"/>
      <c r="F103" s="257"/>
      <c r="G103" s="257"/>
      <c r="H103" s="258"/>
      <c r="I103" s="258"/>
      <c r="J103" s="258"/>
      <c r="K103" s="257"/>
      <c r="L103" s="274"/>
      <c r="M103" s="274"/>
    </row>
    <row r="104" spans="1:15">
      <c r="A104" s="267"/>
      <c r="B104" s="267" t="s">
        <v>600</v>
      </c>
      <c r="C104" s="267" t="s">
        <v>327</v>
      </c>
      <c r="D104" s="267">
        <v>1</v>
      </c>
      <c r="E104" s="267">
        <f>'Measurement Sheet'!D279+420.42</f>
        <v>2497.66</v>
      </c>
      <c r="F104" s="267">
        <f>'Measurement Sheet'!I282</f>
        <v>254.89</v>
      </c>
      <c r="G104" s="267">
        <v>6.4</v>
      </c>
      <c r="H104" s="266">
        <f t="shared" ref="H104:H107" si="102">D104*E104</f>
        <v>2497.66</v>
      </c>
      <c r="I104" s="266">
        <f>F104*G104*D104</f>
        <v>1631.296</v>
      </c>
      <c r="J104" s="266"/>
      <c r="K104" s="267">
        <v>1</v>
      </c>
      <c r="L104" s="275">
        <f t="shared" si="101"/>
        <v>4128.9560000000001</v>
      </c>
      <c r="M104" s="275"/>
      <c r="N104" s="272" t="s">
        <v>601</v>
      </c>
    </row>
    <row r="105" spans="1:15">
      <c r="A105" s="267"/>
      <c r="B105" s="267" t="s">
        <v>150</v>
      </c>
      <c r="C105" s="267" t="s">
        <v>327</v>
      </c>
      <c r="D105" s="267">
        <v>1</v>
      </c>
      <c r="E105" s="267"/>
      <c r="F105" s="267">
        <f>F104</f>
        <v>254.89</v>
      </c>
      <c r="G105" s="267">
        <v>6.4</v>
      </c>
      <c r="H105" s="266"/>
      <c r="I105" s="266">
        <f>(F105*G105*D105)+420.42</f>
        <v>2051.7159999999999</v>
      </c>
      <c r="J105" s="266"/>
      <c r="K105" s="267">
        <v>1</v>
      </c>
      <c r="L105" s="275">
        <f>(SUM(H105:I105)*K105)</f>
        <v>2051.7159999999999</v>
      </c>
      <c r="M105" s="275"/>
      <c r="N105" s="272" t="s">
        <v>150</v>
      </c>
    </row>
    <row r="106" spans="1:15">
      <c r="A106" s="256" t="s">
        <v>541</v>
      </c>
      <c r="B106" s="256" t="s">
        <v>346</v>
      </c>
      <c r="C106" s="256"/>
      <c r="D106" s="256"/>
      <c r="E106" s="257"/>
      <c r="F106" s="257"/>
      <c r="G106" s="257"/>
      <c r="H106" s="258"/>
      <c r="I106" s="258"/>
      <c r="J106" s="258"/>
      <c r="K106" s="257"/>
      <c r="L106" s="274"/>
      <c r="M106" s="274"/>
    </row>
    <row r="107" spans="1:15">
      <c r="A107" s="267"/>
      <c r="B107" s="267" t="s">
        <v>602</v>
      </c>
      <c r="C107" s="267" t="s">
        <v>327</v>
      </c>
      <c r="D107" s="267">
        <v>1</v>
      </c>
      <c r="E107" s="267">
        <f>101.3-6.42</f>
        <v>94.88</v>
      </c>
      <c r="F107" s="267"/>
      <c r="G107" s="267"/>
      <c r="H107" s="266">
        <f t="shared" si="102"/>
        <v>94.88</v>
      </c>
      <c r="I107" s="266"/>
      <c r="J107" s="266"/>
      <c r="K107" s="267">
        <v>1</v>
      </c>
      <c r="L107" s="275">
        <f t="shared" si="101"/>
        <v>94.88</v>
      </c>
      <c r="M107" s="275"/>
      <c r="N107" s="272" t="s">
        <v>346</v>
      </c>
    </row>
    <row r="108" spans="1:15">
      <c r="A108" s="256" t="s">
        <v>543</v>
      </c>
      <c r="B108" s="256" t="s">
        <v>603</v>
      </c>
      <c r="C108" s="256"/>
      <c r="D108" s="256"/>
      <c r="E108" s="257"/>
      <c r="F108" s="257"/>
      <c r="G108" s="257"/>
      <c r="H108" s="258"/>
      <c r="I108" s="258"/>
      <c r="J108" s="258"/>
      <c r="K108" s="257"/>
      <c r="L108" s="274"/>
      <c r="M108" s="274"/>
    </row>
    <row r="109" spans="1:15">
      <c r="A109" s="267"/>
      <c r="B109" s="267" t="s">
        <v>604</v>
      </c>
      <c r="C109" s="267" t="s">
        <v>327</v>
      </c>
      <c r="D109" s="267">
        <v>1</v>
      </c>
      <c r="E109" s="267">
        <v>226.88</v>
      </c>
      <c r="F109" s="267">
        <f>28.89+29.39+33.83+38.63</f>
        <v>130.74</v>
      </c>
      <c r="G109" s="267">
        <v>5.0999999999999996</v>
      </c>
      <c r="H109" s="266">
        <f t="shared" ref="H109" si="103">D109*E109</f>
        <v>226.88</v>
      </c>
      <c r="I109" s="266">
        <f t="shared" ref="I109" si="104">F109*G109*D109</f>
        <v>666.774</v>
      </c>
      <c r="J109" s="266">
        <f t="shared" ref="J109" si="105">E109*0.3*D109</f>
        <v>68.063999999999993</v>
      </c>
      <c r="K109" s="267">
        <v>1</v>
      </c>
      <c r="L109" s="275">
        <f t="shared" ref="L109" si="106">SUM(H109:I109)*K109</f>
        <v>893.654</v>
      </c>
      <c r="M109" s="275">
        <f t="shared" ref="M109:M110" si="107">J109*K109</f>
        <v>68.063999999999993</v>
      </c>
      <c r="N109" s="272" t="s">
        <v>605</v>
      </c>
      <c r="O109" s="272" t="s">
        <v>606</v>
      </c>
    </row>
    <row r="110" spans="1:15">
      <c r="A110" s="256" t="s">
        <v>545</v>
      </c>
      <c r="B110" s="256" t="s">
        <v>555</v>
      </c>
      <c r="C110" s="256" t="s">
        <v>327</v>
      </c>
      <c r="D110" s="264">
        <v>1</v>
      </c>
      <c r="E110" s="260">
        <f>'Measurement Sheet'!D352</f>
        <v>60.22</v>
      </c>
      <c r="F110" s="260">
        <f>'Measurement Sheet'!I353</f>
        <v>32.86</v>
      </c>
      <c r="G110" s="260">
        <v>1.5</v>
      </c>
      <c r="H110" s="266">
        <f t="shared" ref="H110" si="108">D110*E110</f>
        <v>60.22</v>
      </c>
      <c r="I110" s="266">
        <f t="shared" ref="I110" si="109">F110*G110*D110</f>
        <v>49.29</v>
      </c>
      <c r="J110" s="266">
        <f t="shared" ref="J110" si="110">E110*0.3*D110</f>
        <v>18.065999999999999</v>
      </c>
      <c r="K110" s="260">
        <v>1</v>
      </c>
      <c r="L110" s="278">
        <f t="shared" ref="L110" si="111">SUM(H110:I110)*K110</f>
        <v>109.50999999999999</v>
      </c>
      <c r="M110" s="278">
        <f t="shared" si="107"/>
        <v>18.065999999999999</v>
      </c>
      <c r="N110" s="272" t="s">
        <v>607</v>
      </c>
      <c r="O110" s="272" t="s">
        <v>608</v>
      </c>
    </row>
    <row r="111" spans="1:15">
      <c r="A111" s="267"/>
      <c r="B111" s="267"/>
      <c r="C111" s="267"/>
      <c r="D111" s="267"/>
      <c r="E111" s="267"/>
      <c r="F111" s="267"/>
      <c r="G111" s="267"/>
      <c r="H111" s="267"/>
      <c r="I111" s="267"/>
      <c r="J111" s="267"/>
      <c r="K111" s="282" t="s">
        <v>442</v>
      </c>
      <c r="L111" s="283">
        <f>SUM(L4:L110)</f>
        <v>30534.854000000003</v>
      </c>
      <c r="M111" s="283">
        <f>SUM(M4:M110)</f>
        <v>1361.4569999999999</v>
      </c>
    </row>
    <row r="113" spans="1:15">
      <c r="L113" s="279">
        <f>L111+M111</f>
        <v>31896.311000000002</v>
      </c>
    </row>
    <row r="114" spans="1:15">
      <c r="A114" s="1082" t="s">
        <v>609</v>
      </c>
      <c r="B114" s="1082"/>
      <c r="C114" s="1082"/>
      <c r="D114" s="1082"/>
      <c r="E114" s="1082"/>
      <c r="F114" s="1082"/>
    </row>
    <row r="115" spans="1:15">
      <c r="A115" s="280" t="s">
        <v>197</v>
      </c>
      <c r="B115" s="280" t="s">
        <v>2</v>
      </c>
      <c r="C115" s="280" t="s">
        <v>315</v>
      </c>
      <c r="D115" s="280" t="s">
        <v>562</v>
      </c>
      <c r="E115" s="280" t="s">
        <v>5</v>
      </c>
      <c r="F115" s="281" t="s">
        <v>205</v>
      </c>
      <c r="L115" s="263"/>
      <c r="M115" s="263"/>
      <c r="N115" s="271"/>
      <c r="O115" s="271"/>
    </row>
    <row r="116" spans="1:15">
      <c r="A116" s="267">
        <v>1</v>
      </c>
      <c r="B116" s="285" t="s">
        <v>578</v>
      </c>
      <c r="C116" s="267" t="s">
        <v>327</v>
      </c>
      <c r="D116" s="267">
        <f ca="1">SUMIF($N$5:$N$111,B116,$L$5:$L$110)</f>
        <v>251.66</v>
      </c>
      <c r="E116" s="287">
        <f>'Rate List - Flats'!G250</f>
        <v>1345.5</v>
      </c>
      <c r="F116" s="288">
        <f ca="1">D116*E116</f>
        <v>338608.52999999997</v>
      </c>
      <c r="H116" s="263" t="s">
        <v>342</v>
      </c>
      <c r="N116" s="273"/>
      <c r="O116" s="273"/>
    </row>
    <row r="117" spans="1:15">
      <c r="A117" s="267">
        <v>2</v>
      </c>
      <c r="B117" s="285" t="s">
        <v>581</v>
      </c>
      <c r="C117" s="267" t="s">
        <v>327</v>
      </c>
      <c r="D117" s="267">
        <f t="shared" ref="D117:D130" ca="1" si="112">SUMIF($N$5:$N$111,B117,$L$5:$L$110)</f>
        <v>8719.3359999999993</v>
      </c>
      <c r="E117" s="287">
        <f>'Rate List - Flats'!G250</f>
        <v>1345.5</v>
      </c>
      <c r="F117" s="288">
        <f t="shared" ref="F117:F140" ca="1" si="113">D117*E117</f>
        <v>11731866.588</v>
      </c>
      <c r="H117" s="263" t="s">
        <v>342</v>
      </c>
      <c r="N117" s="273"/>
      <c r="O117" s="273"/>
    </row>
    <row r="118" spans="1:15">
      <c r="A118" s="267">
        <v>3</v>
      </c>
      <c r="B118" s="285" t="s">
        <v>583</v>
      </c>
      <c r="C118" s="267" t="s">
        <v>327</v>
      </c>
      <c r="D118" s="267">
        <f t="shared" ca="1" si="112"/>
        <v>2399.7799999999997</v>
      </c>
      <c r="E118" s="287">
        <f>'Rate List - Flats'!G250</f>
        <v>1345.5</v>
      </c>
      <c r="F118" s="288">
        <f t="shared" ca="1" si="113"/>
        <v>3228903.9899999998</v>
      </c>
      <c r="H118" s="263" t="s">
        <v>342</v>
      </c>
      <c r="N118" s="273"/>
      <c r="O118" s="273"/>
    </row>
    <row r="119" spans="1:15">
      <c r="A119" s="267">
        <v>4</v>
      </c>
      <c r="B119" s="285" t="s">
        <v>585</v>
      </c>
      <c r="C119" s="267" t="s">
        <v>327</v>
      </c>
      <c r="D119" s="267">
        <f t="shared" ca="1" si="112"/>
        <v>2588.578</v>
      </c>
      <c r="E119" s="287">
        <f>'Rate List - Flats'!G250</f>
        <v>1345.5</v>
      </c>
      <c r="F119" s="288">
        <f t="shared" ca="1" si="113"/>
        <v>3482931.699</v>
      </c>
      <c r="H119" s="263" t="s">
        <v>342</v>
      </c>
      <c r="N119" s="273"/>
      <c r="O119" s="273"/>
    </row>
    <row r="120" spans="1:15">
      <c r="A120" s="267">
        <v>5</v>
      </c>
      <c r="B120" s="285" t="s">
        <v>587</v>
      </c>
      <c r="C120" s="267" t="s">
        <v>327</v>
      </c>
      <c r="D120" s="267">
        <f t="shared" ca="1" si="112"/>
        <v>2673.924</v>
      </c>
      <c r="E120" s="287">
        <f>'Rate List - Flats'!G250</f>
        <v>1345.5</v>
      </c>
      <c r="F120" s="288">
        <f t="shared" ca="1" si="113"/>
        <v>3597764.7420000001</v>
      </c>
      <c r="H120" s="263" t="s">
        <v>342</v>
      </c>
      <c r="N120" s="273"/>
      <c r="O120" s="273"/>
    </row>
    <row r="121" spans="1:15">
      <c r="A121" s="267">
        <v>6</v>
      </c>
      <c r="B121" s="285" t="s">
        <v>126</v>
      </c>
      <c r="C121" s="267" t="s">
        <v>327</v>
      </c>
      <c r="D121" s="267">
        <f t="shared" ca="1" si="112"/>
        <v>1083.32</v>
      </c>
      <c r="E121" s="287">
        <f>'Rate List - Flats'!G253</f>
        <v>2798.64</v>
      </c>
      <c r="F121" s="288">
        <f t="shared" ca="1" si="113"/>
        <v>3031822.6847999995</v>
      </c>
      <c r="H121" s="263" t="s">
        <v>126</v>
      </c>
      <c r="N121" s="273"/>
    </row>
    <row r="122" spans="1:15">
      <c r="A122" s="267">
        <v>7</v>
      </c>
      <c r="B122" s="285" t="s">
        <v>591</v>
      </c>
      <c r="C122" s="267" t="s">
        <v>327</v>
      </c>
      <c r="D122" s="267">
        <f t="shared" ca="1" si="112"/>
        <v>1357.88</v>
      </c>
      <c r="E122" s="287">
        <f>'Rate List - Flats'!G253</f>
        <v>2798.64</v>
      </c>
      <c r="F122" s="288">
        <f t="shared" ca="1" si="113"/>
        <v>3800217.2831999999</v>
      </c>
      <c r="H122" s="263" t="s">
        <v>343</v>
      </c>
      <c r="N122" s="273"/>
    </row>
    <row r="123" spans="1:15">
      <c r="A123" s="267">
        <v>8</v>
      </c>
      <c r="B123" s="285" t="s">
        <v>344</v>
      </c>
      <c r="C123" s="267" t="s">
        <v>327</v>
      </c>
      <c r="D123" s="267">
        <f t="shared" ca="1" si="112"/>
        <v>370.16</v>
      </c>
      <c r="E123" s="287">
        <f>'Rate List - Flats'!G253</f>
        <v>2798.64</v>
      </c>
      <c r="F123" s="288">
        <f t="shared" ca="1" si="113"/>
        <v>1035944.5824000001</v>
      </c>
      <c r="H123" s="263" t="s">
        <v>344</v>
      </c>
      <c r="N123" s="273"/>
    </row>
    <row r="124" spans="1:15" ht="14.4">
      <c r="A124" s="267">
        <v>9</v>
      </c>
      <c r="B124" s="285" t="s">
        <v>595</v>
      </c>
      <c r="C124" s="267" t="s">
        <v>327</v>
      </c>
      <c r="D124" s="267">
        <f t="shared" ca="1" si="112"/>
        <v>937.68</v>
      </c>
      <c r="E124" s="287">
        <f>'Rate List - Flats'!G257</f>
        <v>1345.5</v>
      </c>
      <c r="F124" s="288">
        <f t="shared" ca="1" si="113"/>
        <v>1261648.44</v>
      </c>
      <c r="H124" s="263" t="s">
        <v>342</v>
      </c>
      <c r="N124" s="273"/>
      <c r="O124"/>
    </row>
    <row r="125" spans="1:15" ht="14.4">
      <c r="A125" s="267">
        <v>10</v>
      </c>
      <c r="B125" s="286" t="s">
        <v>191</v>
      </c>
      <c r="C125" s="267" t="s">
        <v>327</v>
      </c>
      <c r="D125" s="267">
        <f t="shared" ca="1" si="112"/>
        <v>2728.7499999999995</v>
      </c>
      <c r="E125" s="287">
        <f>'Rate List - Flats'!G256</f>
        <v>1345.5</v>
      </c>
      <c r="F125" s="288">
        <f t="shared" ca="1" si="113"/>
        <v>3671533.1249999995</v>
      </c>
      <c r="H125" s="263" t="s">
        <v>191</v>
      </c>
      <c r="O125"/>
    </row>
    <row r="126" spans="1:15" ht="14.4">
      <c r="A126" s="267">
        <v>11</v>
      </c>
      <c r="B126" s="286" t="s">
        <v>599</v>
      </c>
      <c r="C126" s="267" t="s">
        <v>327</v>
      </c>
      <c r="D126" s="267">
        <f t="shared" ca="1" si="112"/>
        <v>11.99</v>
      </c>
      <c r="E126" s="287">
        <f>'Rate List - Flats'!G256</f>
        <v>1345.5</v>
      </c>
      <c r="F126" s="288">
        <f t="shared" ca="1" si="113"/>
        <v>16132.545</v>
      </c>
      <c r="H126" s="263" t="s">
        <v>342</v>
      </c>
      <c r="O126"/>
    </row>
    <row r="127" spans="1:15" ht="14.4">
      <c r="A127" s="267">
        <v>12</v>
      </c>
      <c r="B127" s="286" t="s">
        <v>601</v>
      </c>
      <c r="C127" s="267" t="s">
        <v>327</v>
      </c>
      <c r="D127" s="267">
        <f t="shared" ca="1" si="112"/>
        <v>4128.9560000000001</v>
      </c>
      <c r="E127" s="287">
        <f>'Rate List - Flats'!G258</f>
        <v>1150</v>
      </c>
      <c r="F127" s="288">
        <f t="shared" ca="1" si="113"/>
        <v>4748299.4000000004</v>
      </c>
      <c r="H127" s="263" t="s">
        <v>345</v>
      </c>
      <c r="O127"/>
    </row>
    <row r="128" spans="1:15" ht="14.4">
      <c r="A128" s="267">
        <v>13</v>
      </c>
      <c r="B128" s="286" t="s">
        <v>346</v>
      </c>
      <c r="C128" s="267" t="s">
        <v>327</v>
      </c>
      <c r="D128" s="267">
        <f t="shared" ca="1" si="112"/>
        <v>94.88</v>
      </c>
      <c r="E128" s="287">
        <f>'Rate List - Flats'!G253</f>
        <v>2798.64</v>
      </c>
      <c r="F128" s="288">
        <f t="shared" ca="1" si="113"/>
        <v>265534.9632</v>
      </c>
      <c r="H128" s="263" t="s">
        <v>346</v>
      </c>
      <c r="O128"/>
    </row>
    <row r="129" spans="1:15" ht="14.4">
      <c r="A129" s="267">
        <v>14</v>
      </c>
      <c r="B129" s="286" t="s">
        <v>605</v>
      </c>
      <c r="C129" s="267" t="s">
        <v>327</v>
      </c>
      <c r="D129" s="267">
        <f t="shared" ca="1" si="112"/>
        <v>893.654</v>
      </c>
      <c r="E129" s="287">
        <f>'Rate List - Flats'!G250</f>
        <v>1345.5</v>
      </c>
      <c r="F129" s="288">
        <f t="shared" ca="1" si="113"/>
        <v>1202411.4569999999</v>
      </c>
      <c r="H129" s="263" t="s">
        <v>342</v>
      </c>
      <c r="O129"/>
    </row>
    <row r="130" spans="1:15" ht="14.4">
      <c r="A130" s="267">
        <v>15</v>
      </c>
      <c r="B130" s="286" t="s">
        <v>607</v>
      </c>
      <c r="C130" s="267" t="s">
        <v>327</v>
      </c>
      <c r="D130" s="267">
        <f t="shared" ca="1" si="112"/>
        <v>109.50999999999999</v>
      </c>
      <c r="E130" s="287">
        <f>'Rate List - Flats'!G250</f>
        <v>1345.5</v>
      </c>
      <c r="F130" s="288">
        <f t="shared" ca="1" si="113"/>
        <v>147345.70499999999</v>
      </c>
      <c r="H130" s="263" t="s">
        <v>342</v>
      </c>
      <c r="O130"/>
    </row>
    <row r="131" spans="1:15" ht="14.4">
      <c r="A131" s="267">
        <v>16</v>
      </c>
      <c r="B131" s="285" t="s">
        <v>579</v>
      </c>
      <c r="C131" s="284" t="s">
        <v>322</v>
      </c>
      <c r="D131" s="267">
        <f>SUMIF($O$5:$O$110,B131,$M$5:$M$110)</f>
        <v>17.934000000000001</v>
      </c>
      <c r="E131" s="287">
        <f>'Rate List - Flats'!G251</f>
        <v>8500</v>
      </c>
      <c r="F131" s="288">
        <f t="shared" si="113"/>
        <v>152439</v>
      </c>
      <c r="H131" s="263" t="s">
        <v>347</v>
      </c>
      <c r="N131"/>
      <c r="O131"/>
    </row>
    <row r="132" spans="1:15" ht="14.4">
      <c r="A132" s="267">
        <v>17</v>
      </c>
      <c r="B132" s="285" t="s">
        <v>582</v>
      </c>
      <c r="C132" s="284" t="s">
        <v>322</v>
      </c>
      <c r="D132" s="267">
        <f t="shared" ref="D132:D138" si="114">SUMIF($O$5:$O$110,B132,$M$5:$M$110)</f>
        <v>711.4620000000001</v>
      </c>
      <c r="E132" s="287">
        <f>'Rate List - Flats'!G251</f>
        <v>8500</v>
      </c>
      <c r="F132" s="288">
        <f t="shared" si="113"/>
        <v>6047427.0000000009</v>
      </c>
      <c r="H132" s="263" t="s">
        <v>347</v>
      </c>
      <c r="N132"/>
      <c r="O132"/>
    </row>
    <row r="133" spans="1:15" ht="14.4">
      <c r="A133" s="267">
        <v>18</v>
      </c>
      <c r="B133" s="285" t="s">
        <v>584</v>
      </c>
      <c r="C133" s="284" t="s">
        <v>322</v>
      </c>
      <c r="D133" s="267">
        <f t="shared" si="114"/>
        <v>161.93399999999997</v>
      </c>
      <c r="E133" s="287">
        <f>'Rate List - Flats'!G251</f>
        <v>8500</v>
      </c>
      <c r="F133" s="288">
        <f t="shared" si="113"/>
        <v>1376438.9999999998</v>
      </c>
      <c r="H133" s="263" t="s">
        <v>347</v>
      </c>
      <c r="N133"/>
      <c r="O133"/>
    </row>
    <row r="134" spans="1:15" ht="14.4">
      <c r="A134" s="267">
        <v>19</v>
      </c>
      <c r="B134" s="285" t="s">
        <v>586</v>
      </c>
      <c r="C134" s="284" t="s">
        <v>322</v>
      </c>
      <c r="D134" s="267">
        <f t="shared" si="114"/>
        <v>187.38300000000001</v>
      </c>
      <c r="E134" s="287">
        <f>'Rate List - Flats'!G251</f>
        <v>8500</v>
      </c>
      <c r="F134" s="288">
        <f t="shared" si="113"/>
        <v>1592755.5</v>
      </c>
      <c r="H134" s="263" t="s">
        <v>347</v>
      </c>
      <c r="N134"/>
      <c r="O134"/>
    </row>
    <row r="135" spans="1:15" ht="14.4">
      <c r="A135" s="267">
        <v>20</v>
      </c>
      <c r="B135" s="285" t="s">
        <v>588</v>
      </c>
      <c r="C135" s="284" t="s">
        <v>322</v>
      </c>
      <c r="D135" s="267">
        <f t="shared" si="114"/>
        <v>196.614</v>
      </c>
      <c r="E135" s="287">
        <f>'Rate List - Flats'!G251</f>
        <v>8500</v>
      </c>
      <c r="F135" s="288">
        <f t="shared" si="113"/>
        <v>1671219</v>
      </c>
      <c r="H135" s="263" t="s">
        <v>347</v>
      </c>
      <c r="N135"/>
      <c r="O135"/>
    </row>
    <row r="136" spans="1:15" ht="14.4">
      <c r="A136" s="267">
        <v>21</v>
      </c>
      <c r="B136" s="286" t="s">
        <v>610</v>
      </c>
      <c r="C136" s="284" t="s">
        <v>322</v>
      </c>
      <c r="D136" s="267">
        <f t="shared" si="114"/>
        <v>0</v>
      </c>
      <c r="E136" s="287">
        <f>'Rate List - Flats'!G251</f>
        <v>8500</v>
      </c>
      <c r="F136" s="288">
        <f t="shared" si="113"/>
        <v>0</v>
      </c>
      <c r="H136" s="263" t="s">
        <v>347</v>
      </c>
      <c r="N136"/>
      <c r="O136"/>
    </row>
    <row r="137" spans="1:15" ht="14.4">
      <c r="A137" s="267">
        <v>22</v>
      </c>
      <c r="B137" s="286" t="s">
        <v>606</v>
      </c>
      <c r="C137" s="284" t="s">
        <v>322</v>
      </c>
      <c r="D137" s="267">
        <f t="shared" si="114"/>
        <v>68.063999999999993</v>
      </c>
      <c r="E137" s="287">
        <f>'Rate List - Flats'!G251</f>
        <v>8500</v>
      </c>
      <c r="F137" s="288">
        <f t="shared" si="113"/>
        <v>578543.99999999988</v>
      </c>
      <c r="H137" s="263" t="s">
        <v>347</v>
      </c>
      <c r="N137"/>
      <c r="O137"/>
    </row>
    <row r="138" spans="1:15" ht="14.4">
      <c r="A138" s="267">
        <v>23</v>
      </c>
      <c r="B138" s="286" t="s">
        <v>608</v>
      </c>
      <c r="C138" s="284" t="s">
        <v>322</v>
      </c>
      <c r="D138" s="267">
        <f t="shared" si="114"/>
        <v>18.065999999999999</v>
      </c>
      <c r="E138" s="287">
        <f>'Rate List - Flats'!G251</f>
        <v>8500</v>
      </c>
      <c r="F138" s="288">
        <f t="shared" si="113"/>
        <v>153561</v>
      </c>
      <c r="H138" s="263" t="s">
        <v>347</v>
      </c>
      <c r="N138"/>
      <c r="O138"/>
    </row>
    <row r="139" spans="1:15" ht="14.4">
      <c r="A139" s="267">
        <v>24</v>
      </c>
      <c r="B139" s="286" t="s">
        <v>348</v>
      </c>
      <c r="C139" s="284" t="s">
        <v>327</v>
      </c>
      <c r="D139" s="267">
        <f>SUMIF($N$5:$N$110,B139,$L$5:$L$110)</f>
        <v>133.07999999999998</v>
      </c>
      <c r="E139" s="287">
        <f>'Rate List - Flats'!G259</f>
        <v>800</v>
      </c>
      <c r="F139" s="288">
        <f t="shared" si="113"/>
        <v>106463.99999999999</v>
      </c>
      <c r="H139" s="263" t="s">
        <v>348</v>
      </c>
      <c r="N139"/>
      <c r="O139"/>
    </row>
    <row r="140" spans="1:15" ht="14.4">
      <c r="A140" s="267">
        <v>25</v>
      </c>
      <c r="B140" s="286" t="s">
        <v>150</v>
      </c>
      <c r="C140" s="284" t="s">
        <v>327</v>
      </c>
      <c r="D140" s="267">
        <f>SUMIF($N$5:$N$110,B140,$L$5:$L$110)</f>
        <v>2051.7159999999999</v>
      </c>
      <c r="E140" s="287">
        <f>'Rate List - Flats'!G260</f>
        <v>650</v>
      </c>
      <c r="F140" s="288">
        <f t="shared" si="113"/>
        <v>1333615.3999999999</v>
      </c>
      <c r="H140" s="263" t="s">
        <v>150</v>
      </c>
      <c r="N140"/>
      <c r="O140"/>
    </row>
    <row r="141" spans="1:15" ht="14.4">
      <c r="A141" s="282"/>
      <c r="B141" s="289" t="s">
        <v>442</v>
      </c>
      <c r="C141" s="290"/>
      <c r="D141" s="282">
        <f ca="1">SUM(D116:D140)</f>
        <v>31896.311000000005</v>
      </c>
      <c r="E141" s="291"/>
      <c r="F141" s="292">
        <f ca="1">SUM(F116:F140)</f>
        <v>54573429.634599999</v>
      </c>
      <c r="N141"/>
      <c r="O141"/>
    </row>
    <row r="142" spans="1:15" ht="14.4">
      <c r="N142"/>
      <c r="O142"/>
    </row>
    <row r="143" spans="1:15" ht="14.4">
      <c r="D143" s="263" t="b">
        <f ca="1">D141=L113</f>
        <v>1</v>
      </c>
      <c r="N143"/>
      <c r="O143"/>
    </row>
    <row r="144" spans="1:15" ht="14.4">
      <c r="N144"/>
      <c r="O144"/>
    </row>
    <row r="145" spans="1:15" ht="14.4">
      <c r="A145" s="1082" t="s">
        <v>609</v>
      </c>
      <c r="B145" s="1082"/>
      <c r="C145" s="1082"/>
      <c r="D145" s="1082"/>
      <c r="E145" s="1082"/>
      <c r="F145" s="1082"/>
      <c r="N145"/>
      <c r="O145"/>
    </row>
    <row r="146" spans="1:15" ht="14.4">
      <c r="A146" s="280" t="s">
        <v>197</v>
      </c>
      <c r="B146" s="280" t="s">
        <v>2</v>
      </c>
      <c r="C146" s="280" t="s">
        <v>315</v>
      </c>
      <c r="D146" s="280" t="s">
        <v>562</v>
      </c>
      <c r="E146" s="280" t="s">
        <v>5</v>
      </c>
      <c r="F146" s="281" t="s">
        <v>205</v>
      </c>
      <c r="N146"/>
      <c r="O146"/>
    </row>
    <row r="147" spans="1:15" ht="14.4">
      <c r="A147" s="267">
        <v>1</v>
      </c>
      <c r="B147" s="267" t="s">
        <v>342</v>
      </c>
      <c r="C147" s="267" t="s">
        <v>327</v>
      </c>
      <c r="D147" s="267">
        <f ca="1">SUMIF($H$116:$H$140,B147,$D$116:$D$140)</f>
        <v>18586.111999999997</v>
      </c>
      <c r="E147" s="287">
        <f>E116</f>
        <v>1345.5</v>
      </c>
      <c r="F147" s="288">
        <f ca="1">D147*E147</f>
        <v>25007613.695999995</v>
      </c>
      <c r="N147"/>
      <c r="O147"/>
    </row>
    <row r="148" spans="1:15" ht="14.4">
      <c r="A148" s="267">
        <v>2</v>
      </c>
      <c r="B148" s="267" t="s">
        <v>126</v>
      </c>
      <c r="C148" s="267" t="s">
        <v>327</v>
      </c>
      <c r="D148" s="267">
        <f t="shared" ref="D148:D156" ca="1" si="115">SUMIF($H$116:$H$140,B148,$D$116:$D$140)</f>
        <v>1083.32</v>
      </c>
      <c r="E148" s="287">
        <f>E121</f>
        <v>2798.64</v>
      </c>
      <c r="F148" s="288">
        <f t="shared" ref="F148:F156" ca="1" si="116">D148*E148</f>
        <v>3031822.6847999995</v>
      </c>
      <c r="N148"/>
      <c r="O148"/>
    </row>
    <row r="149" spans="1:15" ht="14.4">
      <c r="A149" s="267">
        <v>3</v>
      </c>
      <c r="B149" s="267" t="s">
        <v>343</v>
      </c>
      <c r="C149" s="267" t="s">
        <v>327</v>
      </c>
      <c r="D149" s="267">
        <f t="shared" ca="1" si="115"/>
        <v>1357.88</v>
      </c>
      <c r="E149" s="287">
        <f>E122</f>
        <v>2798.64</v>
      </c>
      <c r="F149" s="288">
        <f t="shared" ca="1" si="116"/>
        <v>3800217.2831999999</v>
      </c>
      <c r="N149"/>
      <c r="O149"/>
    </row>
    <row r="150" spans="1:15" ht="14.4">
      <c r="A150" s="267">
        <v>4</v>
      </c>
      <c r="B150" s="267" t="s">
        <v>344</v>
      </c>
      <c r="C150" s="267" t="s">
        <v>327</v>
      </c>
      <c r="D150" s="267">
        <f t="shared" ca="1" si="115"/>
        <v>370.16</v>
      </c>
      <c r="E150" s="287">
        <f>E123</f>
        <v>2798.64</v>
      </c>
      <c r="F150" s="288">
        <f t="shared" ca="1" si="116"/>
        <v>1035944.5824000001</v>
      </c>
      <c r="N150"/>
      <c r="O150"/>
    </row>
    <row r="151" spans="1:15" ht="14.4">
      <c r="A151" s="267">
        <v>5</v>
      </c>
      <c r="B151" s="267" t="s">
        <v>191</v>
      </c>
      <c r="C151" s="267" t="s">
        <v>327</v>
      </c>
      <c r="D151" s="267">
        <f t="shared" ca="1" si="115"/>
        <v>2728.7499999999995</v>
      </c>
      <c r="E151" s="287">
        <f>E125</f>
        <v>1345.5</v>
      </c>
      <c r="F151" s="288">
        <f t="shared" ca="1" si="116"/>
        <v>3671533.1249999995</v>
      </c>
      <c r="N151"/>
      <c r="O151"/>
    </row>
    <row r="152" spans="1:15" ht="14.4">
      <c r="A152" s="267">
        <v>6</v>
      </c>
      <c r="B152" s="267" t="s">
        <v>345</v>
      </c>
      <c r="C152" s="267" t="s">
        <v>327</v>
      </c>
      <c r="D152" s="267">
        <f t="shared" ca="1" si="115"/>
        <v>4128.9560000000001</v>
      </c>
      <c r="E152" s="287">
        <f>E127</f>
        <v>1150</v>
      </c>
      <c r="F152" s="288">
        <f t="shared" ca="1" si="116"/>
        <v>4748299.4000000004</v>
      </c>
      <c r="N152"/>
      <c r="O152"/>
    </row>
    <row r="153" spans="1:15" ht="14.4">
      <c r="A153" s="267">
        <v>7</v>
      </c>
      <c r="B153" s="267" t="s">
        <v>346</v>
      </c>
      <c r="C153" s="267" t="s">
        <v>327</v>
      </c>
      <c r="D153" s="267">
        <f t="shared" ca="1" si="115"/>
        <v>94.88</v>
      </c>
      <c r="E153" s="287">
        <f>E128</f>
        <v>2798.64</v>
      </c>
      <c r="F153" s="288">
        <f t="shared" ca="1" si="116"/>
        <v>265534.9632</v>
      </c>
      <c r="H153"/>
      <c r="N153"/>
      <c r="O153"/>
    </row>
    <row r="154" spans="1:15" ht="14.4">
      <c r="A154" s="267">
        <v>8</v>
      </c>
      <c r="B154" s="267" t="s">
        <v>347</v>
      </c>
      <c r="C154" s="284" t="s">
        <v>322</v>
      </c>
      <c r="D154" s="267">
        <f t="shared" si="115"/>
        <v>1361.4570000000001</v>
      </c>
      <c r="E154" s="287">
        <f>E131</f>
        <v>8500</v>
      </c>
      <c r="F154" s="288">
        <f t="shared" si="116"/>
        <v>11572384.5</v>
      </c>
      <c r="H154"/>
      <c r="I154" s="925">
        <f ca="1">F157-F141</f>
        <v>0</v>
      </c>
      <c r="N154"/>
      <c r="O154"/>
    </row>
    <row r="155" spans="1:15" ht="14.4">
      <c r="A155" s="267">
        <v>9</v>
      </c>
      <c r="B155" s="267" t="s">
        <v>348</v>
      </c>
      <c r="C155" s="284" t="s">
        <v>327</v>
      </c>
      <c r="D155" s="267">
        <f t="shared" si="115"/>
        <v>133.07999999999998</v>
      </c>
      <c r="E155" s="287">
        <f>E139</f>
        <v>800</v>
      </c>
      <c r="F155" s="288">
        <f t="shared" si="116"/>
        <v>106463.99999999999</v>
      </c>
      <c r="H155"/>
      <c r="N155"/>
      <c r="O155"/>
    </row>
    <row r="156" spans="1:15" ht="14.4">
      <c r="A156" s="267">
        <v>10</v>
      </c>
      <c r="B156" s="267" t="s">
        <v>150</v>
      </c>
      <c r="C156" s="284" t="s">
        <v>327</v>
      </c>
      <c r="D156" s="267">
        <f t="shared" si="115"/>
        <v>2051.7159999999999</v>
      </c>
      <c r="E156" s="287">
        <f>E140</f>
        <v>650</v>
      </c>
      <c r="F156" s="288">
        <f t="shared" si="116"/>
        <v>1333615.3999999999</v>
      </c>
      <c r="H156"/>
      <c r="N156"/>
      <c r="O156"/>
    </row>
    <row r="157" spans="1:15" ht="14.4">
      <c r="A157" s="282"/>
      <c r="B157" s="289" t="s">
        <v>442</v>
      </c>
      <c r="C157" s="290"/>
      <c r="D157" s="292">
        <f ca="1">SUM(D147:D156)</f>
        <v>31896.311000000002</v>
      </c>
      <c r="E157" s="291"/>
      <c r="F157" s="292">
        <f ca="1">SUM(F147:F156)</f>
        <v>54573429.634599991</v>
      </c>
      <c r="H157" s="293">
        <f ca="1">D157/'Cost Sheet Tower'!G3</f>
        <v>4.9016443661470746E-2</v>
      </c>
      <c r="N157"/>
      <c r="O157"/>
    </row>
    <row r="158" spans="1:15" ht="14.4">
      <c r="F158" s="263" t="b">
        <f ca="1">F141=F157</f>
        <v>1</v>
      </c>
      <c r="H158"/>
      <c r="N158"/>
      <c r="O158"/>
    </row>
    <row r="159" spans="1:15" ht="14.4">
      <c r="N159"/>
      <c r="O159"/>
    </row>
    <row r="160" spans="1:15" ht="14.4">
      <c r="H160"/>
      <c r="N160"/>
      <c r="O160"/>
    </row>
    <row r="161" spans="8:15" ht="14.4">
      <c r="H161"/>
      <c r="N161"/>
      <c r="O161"/>
    </row>
    <row r="162" spans="8:15" ht="14.4">
      <c r="H162"/>
      <c r="N162"/>
      <c r="O162"/>
    </row>
    <row r="163" spans="8:15" ht="14.4">
      <c r="H163"/>
      <c r="N163"/>
      <c r="O163"/>
    </row>
    <row r="164" spans="8:15" ht="14.4">
      <c r="H164"/>
      <c r="N164"/>
      <c r="O164"/>
    </row>
    <row r="165" spans="8:15" ht="14.4">
      <c r="H165" s="263" t="s">
        <v>342</v>
      </c>
      <c r="N165"/>
      <c r="O165"/>
    </row>
    <row r="166" spans="8:15" ht="14.4">
      <c r="H166" s="263" t="s">
        <v>126</v>
      </c>
      <c r="N166"/>
      <c r="O166"/>
    </row>
    <row r="167" spans="8:15" ht="14.4">
      <c r="H167" s="263" t="s">
        <v>343</v>
      </c>
      <c r="N167"/>
      <c r="O167"/>
    </row>
    <row r="168" spans="8:15" ht="14.4">
      <c r="H168" s="263" t="s">
        <v>344</v>
      </c>
      <c r="N168"/>
      <c r="O168"/>
    </row>
    <row r="169" spans="8:15" ht="14.4">
      <c r="H169" s="263" t="s">
        <v>191</v>
      </c>
      <c r="N169"/>
      <c r="O169"/>
    </row>
    <row r="170" spans="8:15" ht="14.4">
      <c r="H170" s="263" t="s">
        <v>345</v>
      </c>
      <c r="N170"/>
      <c r="O170"/>
    </row>
    <row r="171" spans="8:15" ht="14.4">
      <c r="H171" s="263" t="s">
        <v>346</v>
      </c>
      <c r="N171"/>
      <c r="O171"/>
    </row>
    <row r="172" spans="8:15" ht="14.4">
      <c r="H172" s="263" t="s">
        <v>347</v>
      </c>
      <c r="N172"/>
      <c r="O172"/>
    </row>
    <row r="173" spans="8:15" ht="14.4">
      <c r="H173" s="263" t="s">
        <v>348</v>
      </c>
      <c r="N173"/>
      <c r="O173"/>
    </row>
    <row r="174" spans="8:15" ht="14.4">
      <c r="H174" s="263" t="s">
        <v>150</v>
      </c>
      <c r="N174"/>
      <c r="O174"/>
    </row>
    <row r="175" spans="8:15" ht="14.4">
      <c r="H175"/>
      <c r="N175"/>
      <c r="O175"/>
    </row>
    <row r="176" spans="8:15" ht="14.4">
      <c r="H176"/>
      <c r="N176"/>
      <c r="O176"/>
    </row>
    <row r="177" spans="8:15" ht="14.4">
      <c r="H177"/>
      <c r="N177"/>
      <c r="O177"/>
    </row>
    <row r="178" spans="8:15" ht="14.4">
      <c r="H178"/>
      <c r="N178"/>
      <c r="O178"/>
    </row>
    <row r="179" spans="8:15" ht="14.4">
      <c r="H179"/>
      <c r="N179"/>
      <c r="O179"/>
    </row>
    <row r="180" spans="8:15" ht="14.4">
      <c r="H180"/>
      <c r="N180"/>
      <c r="O180"/>
    </row>
    <row r="181" spans="8:15" ht="14.4">
      <c r="H181"/>
      <c r="N181"/>
      <c r="O181"/>
    </row>
    <row r="182" spans="8:15" ht="14.4">
      <c r="H182"/>
      <c r="N182"/>
      <c r="O182"/>
    </row>
    <row r="183" spans="8:15" ht="14.4">
      <c r="H183"/>
      <c r="N183"/>
      <c r="O183"/>
    </row>
    <row r="184" spans="8:15" ht="14.4">
      <c r="H184"/>
      <c r="N184"/>
      <c r="O184"/>
    </row>
    <row r="185" spans="8:15" ht="14.4">
      <c r="H185"/>
      <c r="N185"/>
      <c r="O185"/>
    </row>
    <row r="186" spans="8:15" ht="14.4">
      <c r="H186"/>
      <c r="N186"/>
      <c r="O186"/>
    </row>
    <row r="187" spans="8:15" ht="14.4">
      <c r="H187"/>
      <c r="N187"/>
      <c r="O187"/>
    </row>
    <row r="188" spans="8:15" ht="14.4">
      <c r="H188"/>
      <c r="N188"/>
      <c r="O188"/>
    </row>
    <row r="189" spans="8:15" ht="14.4">
      <c r="H189"/>
      <c r="N189"/>
      <c r="O189"/>
    </row>
    <row r="190" spans="8:15" ht="14.4">
      <c r="N190"/>
      <c r="O190"/>
    </row>
    <row r="191" spans="8:15" ht="14.4">
      <c r="N191"/>
      <c r="O191"/>
    </row>
    <row r="192" spans="8:15" ht="14.4">
      <c r="N192"/>
      <c r="O192"/>
    </row>
    <row r="193" spans="14:15" ht="14.4">
      <c r="N193"/>
      <c r="O193"/>
    </row>
    <row r="194" spans="14:15" ht="14.4">
      <c r="N194"/>
      <c r="O194"/>
    </row>
    <row r="195" spans="14:15" ht="14.4">
      <c r="N195"/>
      <c r="O195"/>
    </row>
    <row r="196" spans="14:15" ht="14.4">
      <c r="N196"/>
      <c r="O196"/>
    </row>
    <row r="197" spans="14:15" ht="14.4">
      <c r="N197"/>
      <c r="O197"/>
    </row>
    <row r="198" spans="14:15" ht="14.4">
      <c r="N198"/>
      <c r="O198"/>
    </row>
    <row r="199" spans="14:15" ht="14.4">
      <c r="N199"/>
      <c r="O199"/>
    </row>
    <row r="200" spans="14:15" ht="14.4">
      <c r="N200"/>
      <c r="O200"/>
    </row>
    <row r="201" spans="14:15" ht="14.4">
      <c r="N201"/>
      <c r="O201"/>
    </row>
    <row r="202" spans="14:15" ht="14.4">
      <c r="N202"/>
      <c r="O202"/>
    </row>
    <row r="203" spans="14:15" ht="14.4">
      <c r="N203"/>
      <c r="O203"/>
    </row>
    <row r="204" spans="14:15" ht="14.4">
      <c r="N204"/>
      <c r="O204"/>
    </row>
    <row r="205" spans="14:15" ht="14.4">
      <c r="N205"/>
      <c r="O205"/>
    </row>
    <row r="206" spans="14:15" ht="14.4">
      <c r="N206"/>
      <c r="O206"/>
    </row>
    <row r="207" spans="14:15" ht="14.4">
      <c r="N207"/>
      <c r="O207"/>
    </row>
    <row r="208" spans="14:15" ht="14.4">
      <c r="N208"/>
      <c r="O208"/>
    </row>
    <row r="209" spans="14:15" ht="14.4">
      <c r="N209"/>
      <c r="O209"/>
    </row>
    <row r="210" spans="14:15" ht="14.4">
      <c r="N210"/>
      <c r="O210"/>
    </row>
    <row r="211" spans="14:15" ht="14.4">
      <c r="N211"/>
      <c r="O211"/>
    </row>
    <row r="212" spans="14:15" ht="14.4">
      <c r="N212"/>
      <c r="O212"/>
    </row>
    <row r="213" spans="14:15" ht="14.4">
      <c r="N213"/>
      <c r="O213"/>
    </row>
    <row r="214" spans="14:15" ht="14.4">
      <c r="N214"/>
      <c r="O214"/>
    </row>
    <row r="215" spans="14:15" ht="14.4">
      <c r="N215"/>
      <c r="O215"/>
    </row>
    <row r="216" spans="14:15" ht="14.4">
      <c r="N216"/>
      <c r="O216"/>
    </row>
    <row r="217" spans="14:15" ht="14.4">
      <c r="N217"/>
      <c r="O217"/>
    </row>
    <row r="218" spans="14:15" ht="14.4">
      <c r="N218"/>
      <c r="O218"/>
    </row>
    <row r="219" spans="14:15" ht="14.4">
      <c r="N219"/>
      <c r="O219"/>
    </row>
    <row r="220" spans="14:15" ht="14.4">
      <c r="N220"/>
      <c r="O220"/>
    </row>
    <row r="221" spans="14:15" ht="14.4">
      <c r="N221"/>
      <c r="O221"/>
    </row>
    <row r="222" spans="14:15" ht="14.4">
      <c r="N222"/>
      <c r="O222"/>
    </row>
    <row r="223" spans="14:15" ht="14.4">
      <c r="N223"/>
      <c r="O223"/>
    </row>
    <row r="224" spans="14:15" ht="14.4">
      <c r="N224"/>
      <c r="O224"/>
    </row>
    <row r="225" spans="14:14" ht="14.4">
      <c r="N225"/>
    </row>
  </sheetData>
  <autoFilter ref="A115:O141" xr:uid="{E293D705-3E29-4050-B35E-F0046C1B31DB}"/>
  <mergeCells count="15">
    <mergeCell ref="A114:F114"/>
    <mergeCell ref="A145:F145"/>
    <mergeCell ref="A1:M1"/>
    <mergeCell ref="A2:A3"/>
    <mergeCell ref="B2:B3"/>
    <mergeCell ref="C2:C3"/>
    <mergeCell ref="D2:D3"/>
    <mergeCell ref="E2:E3"/>
    <mergeCell ref="F2:F3"/>
    <mergeCell ref="G2:G3"/>
    <mergeCell ref="H2:I2"/>
    <mergeCell ref="J2:J3"/>
    <mergeCell ref="K2:K3"/>
    <mergeCell ref="L2:L3"/>
    <mergeCell ref="M2:M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B6C0A-40D6-4BFD-8E3A-A25D3EBE0C1D}">
  <dimension ref="A1:L13"/>
  <sheetViews>
    <sheetView workbookViewId="0">
      <selection activeCell="E12" sqref="E12"/>
    </sheetView>
  </sheetViews>
  <sheetFormatPr defaultColWidth="9.109375" defaultRowHeight="13.8"/>
  <cols>
    <col min="1" max="1" width="47.5546875" style="984" bestFit="1" customWidth="1"/>
    <col min="2" max="2" width="9.109375" style="984"/>
    <col min="3" max="3" width="20.6640625" style="984" customWidth="1"/>
    <col min="4" max="4" width="14.109375" style="984" bestFit="1" customWidth="1"/>
    <col min="5" max="5" width="20.6640625" style="984" bestFit="1" customWidth="1"/>
    <col min="6" max="6" width="9.109375" style="984"/>
    <col min="7" max="7" width="13.88671875" style="984" bestFit="1" customWidth="1"/>
    <col min="8" max="8" width="11.5546875" style="984" bestFit="1" customWidth="1"/>
    <col min="9" max="9" width="14.88671875" style="984" bestFit="1" customWidth="1"/>
    <col min="10" max="10" width="7.44140625" style="984" bestFit="1" customWidth="1"/>
    <col min="11" max="11" width="14.33203125" style="984" bestFit="1" customWidth="1"/>
    <col min="12" max="12" width="13.5546875" style="984" bestFit="1" customWidth="1"/>
    <col min="13" max="16384" width="9.109375" style="984"/>
  </cols>
  <sheetData>
    <row r="1" spans="1:12" s="982" customFormat="1">
      <c r="A1" s="1093" t="s">
        <v>611</v>
      </c>
      <c r="B1" s="1093"/>
      <c r="C1" s="1093"/>
      <c r="D1" s="1093"/>
      <c r="E1" s="1093"/>
    </row>
    <row r="2" spans="1:12">
      <c r="A2" s="991" t="s">
        <v>2</v>
      </c>
      <c r="B2" s="991" t="s">
        <v>315</v>
      </c>
      <c r="C2" s="991" t="s">
        <v>567</v>
      </c>
      <c r="D2" s="991" t="s">
        <v>5</v>
      </c>
      <c r="E2" s="991" t="s">
        <v>205</v>
      </c>
    </row>
    <row r="3" spans="1:12">
      <c r="A3" s="983" t="s">
        <v>612</v>
      </c>
      <c r="B3" s="983" t="s">
        <v>327</v>
      </c>
      <c r="C3" s="988">
        <v>1803</v>
      </c>
      <c r="D3" s="983">
        <v>7500</v>
      </c>
      <c r="E3" s="985">
        <f>C3*D3</f>
        <v>13522500</v>
      </c>
      <c r="I3" s="986"/>
      <c r="J3" s="987"/>
      <c r="K3" s="986"/>
      <c r="L3" s="986"/>
    </row>
    <row r="4" spans="1:12">
      <c r="A4" s="983" t="s">
        <v>613</v>
      </c>
      <c r="B4" s="983" t="s">
        <v>614</v>
      </c>
      <c r="C4" s="988">
        <v>602.91</v>
      </c>
      <c r="D4" s="983">
        <v>6500</v>
      </c>
      <c r="E4" s="985">
        <f>C4*D4</f>
        <v>3918915</v>
      </c>
      <c r="I4" s="986"/>
      <c r="J4" s="987"/>
      <c r="K4" s="986"/>
      <c r="L4" s="986"/>
    </row>
    <row r="5" spans="1:12">
      <c r="A5" s="983" t="s">
        <v>615</v>
      </c>
      <c r="B5" s="983" t="s">
        <v>418</v>
      </c>
      <c r="C5" s="988">
        <v>1</v>
      </c>
      <c r="D5" s="983">
        <v>1000000</v>
      </c>
      <c r="E5" s="985">
        <v>1000000</v>
      </c>
      <c r="I5" s="986"/>
      <c r="J5" s="987"/>
      <c r="K5" s="986"/>
      <c r="L5" s="986"/>
    </row>
    <row r="6" spans="1:12">
      <c r="A6" s="983" t="s">
        <v>616</v>
      </c>
      <c r="B6" s="983" t="s">
        <v>324</v>
      </c>
      <c r="C6" s="988">
        <v>2</v>
      </c>
      <c r="D6" s="983">
        <v>50000</v>
      </c>
      <c r="E6" s="985">
        <f t="shared" ref="E6" si="0">C6*D6</f>
        <v>100000</v>
      </c>
      <c r="I6" s="986"/>
      <c r="J6" s="987"/>
      <c r="K6" s="986" t="s">
        <v>617</v>
      </c>
      <c r="L6" s="986" t="s">
        <v>618</v>
      </c>
    </row>
    <row r="7" spans="1:12">
      <c r="A7" s="983" t="s">
        <v>619</v>
      </c>
      <c r="B7" s="983"/>
      <c r="C7" s="988"/>
      <c r="D7" s="983"/>
      <c r="E7" s="985"/>
      <c r="I7" s="986" t="s">
        <v>249</v>
      </c>
      <c r="J7" s="987">
        <f>989.93+382.03</f>
        <v>1371.96</v>
      </c>
      <c r="K7" s="986">
        <f>J7*60%</f>
        <v>823.17600000000004</v>
      </c>
      <c r="L7" s="986">
        <f>J7-K7</f>
        <v>548.78399999999999</v>
      </c>
    </row>
    <row r="8" spans="1:12">
      <c r="A8" s="992" t="s">
        <v>620</v>
      </c>
      <c r="B8" s="983"/>
      <c r="C8" s="988"/>
      <c r="D8" s="983"/>
      <c r="E8" s="985"/>
      <c r="I8" s="986" t="s">
        <v>255</v>
      </c>
      <c r="J8" s="987">
        <f>1357.92</f>
        <v>1357.92</v>
      </c>
      <c r="K8" s="986">
        <f t="shared" ref="K8:K9" si="1">J8*60%</f>
        <v>814.75200000000007</v>
      </c>
      <c r="L8" s="986">
        <f t="shared" ref="L8:L9" si="2">J8-K8</f>
        <v>543.16800000000001</v>
      </c>
    </row>
    <row r="9" spans="1:12">
      <c r="A9" s="989" t="s">
        <v>621</v>
      </c>
      <c r="B9" s="983" t="s">
        <v>327</v>
      </c>
      <c r="C9" s="988">
        <f>K10</f>
        <v>1652.9280000000001</v>
      </c>
      <c r="D9" s="983">
        <f>950*10.764</f>
        <v>10225.799999999999</v>
      </c>
      <c r="E9" s="985">
        <f>C9*D9</f>
        <v>16902511.1424</v>
      </c>
      <c r="I9" s="986" t="s">
        <v>245</v>
      </c>
      <c r="J9" s="987">
        <v>25</v>
      </c>
      <c r="K9" s="986">
        <f t="shared" si="1"/>
        <v>15</v>
      </c>
      <c r="L9" s="986">
        <f t="shared" si="2"/>
        <v>10</v>
      </c>
    </row>
    <row r="10" spans="1:12">
      <c r="A10" s="989" t="s">
        <v>622</v>
      </c>
      <c r="B10" s="983" t="s">
        <v>327</v>
      </c>
      <c r="C10" s="988">
        <f>L10</f>
        <v>1101.952</v>
      </c>
      <c r="D10" s="983">
        <f>750*10.764</f>
        <v>8072.9999999999991</v>
      </c>
      <c r="E10" s="985">
        <f t="shared" ref="E10:E11" si="3">C10*D10</f>
        <v>8896058.4959999993</v>
      </c>
      <c r="I10" s="986"/>
      <c r="J10" s="987"/>
      <c r="K10" s="986">
        <f>SUM(K7:K9)</f>
        <v>1652.9280000000001</v>
      </c>
      <c r="L10" s="986">
        <f>SUM(L7:L9)</f>
        <v>1101.952</v>
      </c>
    </row>
    <row r="11" spans="1:12">
      <c r="A11" s="989" t="s">
        <v>623</v>
      </c>
      <c r="B11" s="983" t="s">
        <v>91</v>
      </c>
      <c r="C11" s="988">
        <v>100</v>
      </c>
      <c r="D11" s="983">
        <f>7500</f>
        <v>7500</v>
      </c>
      <c r="E11" s="985">
        <f t="shared" si="3"/>
        <v>750000</v>
      </c>
      <c r="I11" s="986"/>
      <c r="J11" s="987"/>
      <c r="K11" s="986"/>
      <c r="L11" s="986"/>
    </row>
    <row r="12" spans="1:12">
      <c r="A12" s="983" t="s">
        <v>624</v>
      </c>
      <c r="B12" s="983" t="s">
        <v>418</v>
      </c>
      <c r="C12" s="988"/>
      <c r="D12" s="983"/>
      <c r="E12" s="985">
        <v>1500000</v>
      </c>
      <c r="F12" s="984" t="s">
        <v>625</v>
      </c>
      <c r="I12" s="986"/>
      <c r="J12" s="987"/>
      <c r="K12" s="986"/>
      <c r="L12" s="986"/>
    </row>
    <row r="13" spans="1:12">
      <c r="A13" s="1094"/>
      <c r="B13" s="1094"/>
      <c r="C13" s="1094"/>
      <c r="D13" s="1094"/>
      <c r="E13" s="990">
        <f>SUM(E3:E12)</f>
        <v>46589984.638399996</v>
      </c>
    </row>
  </sheetData>
  <mergeCells count="2">
    <mergeCell ref="A1:E1"/>
    <mergeCell ref="A13:D1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8B19-EDFF-4599-A191-A0D8D352B76D}">
  <dimension ref="A1:F29"/>
  <sheetViews>
    <sheetView topLeftCell="A8" workbookViewId="0">
      <selection activeCell="E13" sqref="E13"/>
    </sheetView>
  </sheetViews>
  <sheetFormatPr defaultRowHeight="14.4"/>
  <cols>
    <col min="1" max="1" width="3.5546875" bestFit="1" customWidth="1"/>
    <col min="2" max="2" width="30.33203125" bestFit="1" customWidth="1"/>
    <col min="3" max="3" width="8.44140625" customWidth="1"/>
    <col min="4" max="4" width="10.5546875" customWidth="1"/>
    <col min="5" max="5" width="9.109375" bestFit="1" customWidth="1"/>
    <col min="6" max="6" width="12.44140625" bestFit="1" customWidth="1"/>
  </cols>
  <sheetData>
    <row r="1" spans="1:6">
      <c r="A1" s="1095" t="s">
        <v>626</v>
      </c>
      <c r="B1" s="1095"/>
      <c r="C1" s="1095"/>
      <c r="D1" s="1095"/>
      <c r="E1" s="1095"/>
      <c r="F1" s="1095"/>
    </row>
    <row r="2" spans="1:6">
      <c r="A2" s="949" t="s">
        <v>627</v>
      </c>
      <c r="B2" s="950" t="s">
        <v>289</v>
      </c>
      <c r="C2" s="950" t="s">
        <v>315</v>
      </c>
      <c r="D2" s="951" t="s">
        <v>567</v>
      </c>
      <c r="E2" s="952" t="s">
        <v>5</v>
      </c>
      <c r="F2" s="953" t="s">
        <v>205</v>
      </c>
    </row>
    <row r="3" spans="1:6">
      <c r="A3" s="954"/>
      <c r="B3" s="955"/>
      <c r="C3" s="956"/>
      <c r="D3" s="957"/>
      <c r="E3" s="958"/>
      <c r="F3" s="959"/>
    </row>
    <row r="4" spans="1:6" ht="27">
      <c r="A4" s="960" t="s">
        <v>628</v>
      </c>
      <c r="B4" s="971" t="s">
        <v>629</v>
      </c>
      <c r="C4" s="962"/>
      <c r="D4" s="963"/>
      <c r="E4" s="964"/>
      <c r="F4" s="959"/>
    </row>
    <row r="5" spans="1:6">
      <c r="A5" s="954"/>
      <c r="B5" s="955" t="s">
        <v>630</v>
      </c>
      <c r="C5" s="956" t="s">
        <v>327</v>
      </c>
      <c r="D5" s="957">
        <v>186.29</v>
      </c>
      <c r="E5" s="958">
        <f>3000*10.764</f>
        <v>32291.999999999996</v>
      </c>
      <c r="F5" s="959">
        <f>+D5*E5</f>
        <v>6015676.6799999988</v>
      </c>
    </row>
    <row r="6" spans="1:6">
      <c r="A6" s="954"/>
      <c r="B6" s="955" t="s">
        <v>631</v>
      </c>
      <c r="C6" s="956" t="s">
        <v>418</v>
      </c>
      <c r="D6" s="957">
        <v>1</v>
      </c>
      <c r="E6" s="958">
        <v>700000</v>
      </c>
      <c r="F6" s="959">
        <f t="shared" ref="F6:F7" si="0">+D6*E6</f>
        <v>700000</v>
      </c>
    </row>
    <row r="7" spans="1:6">
      <c r="A7" s="954"/>
      <c r="B7" s="955" t="s">
        <v>386</v>
      </c>
      <c r="C7" s="956" t="s">
        <v>324</v>
      </c>
      <c r="D7" s="957">
        <v>1</v>
      </c>
      <c r="E7" s="958">
        <v>45000</v>
      </c>
      <c r="F7" s="959">
        <f t="shared" si="0"/>
        <v>45000</v>
      </c>
    </row>
    <row r="8" spans="1:6" ht="27">
      <c r="A8" s="960" t="s">
        <v>628</v>
      </c>
      <c r="B8" s="971" t="s">
        <v>632</v>
      </c>
      <c r="C8" s="962"/>
      <c r="D8" s="963"/>
      <c r="E8" s="964"/>
      <c r="F8" s="959"/>
    </row>
    <row r="9" spans="1:6">
      <c r="A9" s="954"/>
      <c r="B9" s="955" t="s">
        <v>630</v>
      </c>
      <c r="C9" s="956" t="s">
        <v>327</v>
      </c>
      <c r="D9" s="957">
        <v>191.94</v>
      </c>
      <c r="E9" s="958">
        <f>3000*10.764</f>
        <v>32291.999999999996</v>
      </c>
      <c r="F9" s="959">
        <f>+D9*E9</f>
        <v>6198126.4799999995</v>
      </c>
    </row>
    <row r="10" spans="1:6">
      <c r="A10" s="954"/>
      <c r="B10" s="955" t="s">
        <v>631</v>
      </c>
      <c r="C10" s="956" t="s">
        <v>418</v>
      </c>
      <c r="D10" s="957">
        <v>1</v>
      </c>
      <c r="E10" s="958">
        <v>1000000</v>
      </c>
      <c r="F10" s="959">
        <f t="shared" ref="F10:F11" si="1">+D10*E10</f>
        <v>1000000</v>
      </c>
    </row>
    <row r="11" spans="1:6">
      <c r="A11" s="954"/>
      <c r="B11" s="955" t="s">
        <v>386</v>
      </c>
      <c r="C11" s="956" t="s">
        <v>324</v>
      </c>
      <c r="D11" s="957">
        <v>1</v>
      </c>
      <c r="E11" s="958">
        <v>45000</v>
      </c>
      <c r="F11" s="959">
        <f t="shared" si="1"/>
        <v>45000</v>
      </c>
    </row>
    <row r="12" spans="1:6">
      <c r="A12" s="960" t="s">
        <v>628</v>
      </c>
      <c r="B12" s="961" t="s">
        <v>555</v>
      </c>
      <c r="C12" s="962"/>
      <c r="D12" s="963"/>
      <c r="E12" s="964"/>
      <c r="F12" s="959"/>
    </row>
    <row r="13" spans="1:6">
      <c r="A13" s="954"/>
      <c r="B13" s="955" t="s">
        <v>630</v>
      </c>
      <c r="C13" s="956" t="s">
        <v>327</v>
      </c>
      <c r="D13" s="957">
        <v>66.95</v>
      </c>
      <c r="E13" s="958">
        <f>3200*10.764</f>
        <v>34444.799999999996</v>
      </c>
      <c r="F13" s="959">
        <f>+D13*E13</f>
        <v>2306079.36</v>
      </c>
    </row>
    <row r="14" spans="1:6">
      <c r="A14" s="954"/>
      <c r="B14" s="955"/>
      <c r="C14" s="956"/>
      <c r="D14" s="957"/>
      <c r="E14" s="958"/>
      <c r="F14" s="959"/>
    </row>
    <row r="15" spans="1:6">
      <c r="A15" s="960" t="s">
        <v>628</v>
      </c>
      <c r="B15" s="961" t="s">
        <v>633</v>
      </c>
      <c r="C15" s="962"/>
      <c r="D15" s="963"/>
      <c r="E15" s="964"/>
      <c r="F15" s="959"/>
    </row>
    <row r="16" spans="1:6">
      <c r="A16" s="954"/>
      <c r="B16" s="955" t="s">
        <v>630</v>
      </c>
      <c r="C16" s="956" t="s">
        <v>327</v>
      </c>
      <c r="D16" s="957">
        <v>17.3</v>
      </c>
      <c r="E16" s="958">
        <f>2000*10.764</f>
        <v>21528</v>
      </c>
      <c r="F16" s="959">
        <f>+D16*E16</f>
        <v>372434.4</v>
      </c>
    </row>
    <row r="17" spans="1:6">
      <c r="A17" s="954"/>
      <c r="B17" s="955" t="s">
        <v>386</v>
      </c>
      <c r="C17" s="956" t="s">
        <v>324</v>
      </c>
      <c r="D17" s="957">
        <v>1</v>
      </c>
      <c r="E17" s="958">
        <v>45000</v>
      </c>
      <c r="F17" s="959">
        <f t="shared" ref="F17" si="2">+D17*E17</f>
        <v>45000</v>
      </c>
    </row>
    <row r="18" spans="1:6">
      <c r="A18" s="954"/>
      <c r="B18" s="955"/>
      <c r="C18" s="956"/>
      <c r="D18" s="957"/>
      <c r="E18" s="958"/>
      <c r="F18" s="959"/>
    </row>
    <row r="19" spans="1:6">
      <c r="A19" s="960" t="s">
        <v>628</v>
      </c>
      <c r="B19" s="961" t="s">
        <v>634</v>
      </c>
      <c r="C19" s="962"/>
      <c r="D19" s="963"/>
      <c r="E19" s="964"/>
      <c r="F19" s="959"/>
    </row>
    <row r="20" spans="1:6">
      <c r="A20" s="954"/>
      <c r="B20" s="955" t="s">
        <v>630</v>
      </c>
      <c r="C20" s="956" t="s">
        <v>327</v>
      </c>
      <c r="D20" s="957">
        <f>22.33+12.38</f>
        <v>34.71</v>
      </c>
      <c r="E20" s="958">
        <f>1800*10.764</f>
        <v>19375.199999999997</v>
      </c>
      <c r="F20" s="959">
        <f>+D20*E20</f>
        <v>672513.19199999992</v>
      </c>
    </row>
    <row r="21" spans="1:6">
      <c r="A21" s="960"/>
      <c r="B21" s="955" t="s">
        <v>386</v>
      </c>
      <c r="C21" s="956" t="s">
        <v>324</v>
      </c>
      <c r="D21" s="957">
        <v>1</v>
      </c>
      <c r="E21" s="958">
        <v>45000</v>
      </c>
      <c r="F21" s="959">
        <f t="shared" ref="F21" si="3">+D21*E21</f>
        <v>45000</v>
      </c>
    </row>
    <row r="22" spans="1:6">
      <c r="A22" s="954"/>
      <c r="B22" s="955"/>
      <c r="C22" s="956"/>
      <c r="D22" s="957"/>
      <c r="E22" s="958"/>
      <c r="F22" s="959"/>
    </row>
    <row r="23" spans="1:6">
      <c r="A23" s="960" t="s">
        <v>628</v>
      </c>
      <c r="B23" s="961" t="s">
        <v>635</v>
      </c>
      <c r="C23" s="962"/>
      <c r="D23" s="963"/>
      <c r="E23" s="964"/>
      <c r="F23" s="959"/>
    </row>
    <row r="24" spans="1:6">
      <c r="A24" s="954"/>
      <c r="B24" s="955" t="s">
        <v>630</v>
      </c>
      <c r="C24" s="956" t="s">
        <v>327</v>
      </c>
      <c r="D24" s="957">
        <f>82.79*2</f>
        <v>165.58</v>
      </c>
      <c r="E24" s="958">
        <f>5000*10.764</f>
        <v>53820</v>
      </c>
      <c r="F24" s="959">
        <f>+D24*E24</f>
        <v>8911515.6000000015</v>
      </c>
    </row>
    <row r="25" spans="1:6">
      <c r="A25" s="954"/>
      <c r="B25" s="955"/>
      <c r="C25" s="956"/>
      <c r="D25" s="957"/>
      <c r="E25" s="958"/>
      <c r="F25" s="959"/>
    </row>
    <row r="26" spans="1:6">
      <c r="A26" s="960" t="s">
        <v>628</v>
      </c>
      <c r="B26" s="961" t="s">
        <v>636</v>
      </c>
      <c r="C26" s="962"/>
      <c r="D26" s="963"/>
      <c r="E26" s="964"/>
      <c r="F26" s="959"/>
    </row>
    <row r="27" spans="1:6">
      <c r="A27" s="954"/>
      <c r="B27" s="955" t="s">
        <v>630</v>
      </c>
      <c r="C27" s="956" t="s">
        <v>327</v>
      </c>
      <c r="D27" s="957">
        <f>79.38+130.82</f>
        <v>210.2</v>
      </c>
      <c r="E27" s="958">
        <f>5000*10.764</f>
        <v>53820</v>
      </c>
      <c r="F27" s="959">
        <f>+D27*E27</f>
        <v>11312964</v>
      </c>
    </row>
    <row r="28" spans="1:6">
      <c r="A28" s="954"/>
      <c r="B28" s="955"/>
      <c r="C28" s="956"/>
      <c r="D28" s="957"/>
      <c r="E28" s="958"/>
      <c r="F28" s="959"/>
    </row>
    <row r="29" spans="1:6">
      <c r="A29" s="965"/>
      <c r="B29" s="966" t="s">
        <v>637</v>
      </c>
      <c r="C29" s="967"/>
      <c r="D29" s="968"/>
      <c r="E29" s="969"/>
      <c r="F29" s="970">
        <f>SUM(F3:F28)</f>
        <v>37669309.711999997</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639C9-9CF8-4AE0-BB38-58B7A9FA29B0}">
  <dimension ref="A1:L19"/>
  <sheetViews>
    <sheetView workbookViewId="0">
      <selection activeCell="H14" sqref="H14"/>
    </sheetView>
  </sheetViews>
  <sheetFormatPr defaultColWidth="9.109375" defaultRowHeight="13.8"/>
  <cols>
    <col min="1" max="1" width="9.33203125" style="1" bestFit="1" customWidth="1"/>
    <col min="2" max="2" width="26.88671875" style="1" customWidth="1"/>
    <col min="3" max="3" width="9.33203125" style="1" bestFit="1" customWidth="1"/>
    <col min="4" max="4" width="9.109375" style="1"/>
    <col min="5" max="5" width="9.33203125" style="1" bestFit="1" customWidth="1"/>
    <col min="6" max="6" width="19.88671875" style="1" bestFit="1" customWidth="1"/>
    <col min="7" max="11" width="9.109375" style="1"/>
    <col min="12" max="12" width="15" style="1" bestFit="1" customWidth="1"/>
    <col min="13" max="16384" width="9.109375" style="1"/>
  </cols>
  <sheetData>
    <row r="1" spans="1:6">
      <c r="A1" s="1096" t="s">
        <v>638</v>
      </c>
      <c r="B1" s="1096"/>
      <c r="C1" s="1096"/>
      <c r="D1" s="1096"/>
      <c r="E1" s="1096"/>
      <c r="F1" s="1096"/>
    </row>
    <row r="2" spans="1:6">
      <c r="A2" s="948" t="s">
        <v>311</v>
      </c>
      <c r="B2" s="948" t="s">
        <v>2</v>
      </c>
      <c r="C2" s="948" t="s">
        <v>562</v>
      </c>
      <c r="D2" s="948" t="s">
        <v>315</v>
      </c>
      <c r="E2" s="948" t="s">
        <v>5</v>
      </c>
      <c r="F2" s="948" t="s">
        <v>205</v>
      </c>
    </row>
    <row r="3" spans="1:6">
      <c r="A3" s="6">
        <v>1</v>
      </c>
      <c r="B3" s="943" t="s">
        <v>639</v>
      </c>
      <c r="C3" s="198">
        <f>602.91*(30/3.28)</f>
        <v>5514.4207317073169</v>
      </c>
      <c r="D3" s="198" t="s">
        <v>21</v>
      </c>
      <c r="E3" s="6">
        <f>135*10.764</f>
        <v>1453.1399999999999</v>
      </c>
      <c r="F3" s="944">
        <f t="shared" ref="F3:F11" si="0">C3*E3</f>
        <v>8013225.3420731695</v>
      </c>
    </row>
    <row r="4" spans="1:6">
      <c r="A4" s="6">
        <v>2</v>
      </c>
      <c r="B4" s="943" t="s">
        <v>640</v>
      </c>
      <c r="C4" s="6">
        <v>1</v>
      </c>
      <c r="D4" s="6" t="s">
        <v>233</v>
      </c>
      <c r="E4" s="6">
        <v>400000</v>
      </c>
      <c r="F4" s="944">
        <f t="shared" si="0"/>
        <v>400000</v>
      </c>
    </row>
    <row r="5" spans="1:6">
      <c r="A5" s="6">
        <v>3</v>
      </c>
      <c r="B5" s="943" t="s">
        <v>641</v>
      </c>
      <c r="C5" s="6">
        <v>1</v>
      </c>
      <c r="D5" s="6" t="s">
        <v>233</v>
      </c>
      <c r="E5" s="6">
        <v>135000</v>
      </c>
      <c r="F5" s="944">
        <f t="shared" si="0"/>
        <v>135000</v>
      </c>
    </row>
    <row r="6" spans="1:6">
      <c r="A6" s="6">
        <v>4</v>
      </c>
      <c r="B6" s="943" t="s">
        <v>642</v>
      </c>
      <c r="C6" s="6">
        <v>1</v>
      </c>
      <c r="D6" s="6" t="s">
        <v>233</v>
      </c>
      <c r="E6" s="6">
        <v>65000</v>
      </c>
      <c r="F6" s="944">
        <f t="shared" si="0"/>
        <v>65000</v>
      </c>
    </row>
    <row r="7" spans="1:6">
      <c r="A7" s="6">
        <v>5</v>
      </c>
      <c r="B7" s="943" t="s">
        <v>643</v>
      </c>
      <c r="C7" s="6">
        <v>36</v>
      </c>
      <c r="D7" s="6" t="s">
        <v>644</v>
      </c>
      <c r="E7" s="6">
        <v>36000</v>
      </c>
      <c r="F7" s="944">
        <f t="shared" si="0"/>
        <v>1296000</v>
      </c>
    </row>
    <row r="8" spans="1:6">
      <c r="A8" s="6">
        <v>6</v>
      </c>
      <c r="B8" s="943" t="s">
        <v>645</v>
      </c>
      <c r="C8" s="6">
        <v>1</v>
      </c>
      <c r="D8" s="6" t="s">
        <v>233</v>
      </c>
      <c r="E8" s="6">
        <v>110000</v>
      </c>
      <c r="F8" s="944">
        <f t="shared" si="0"/>
        <v>110000</v>
      </c>
    </row>
    <row r="9" spans="1:6">
      <c r="A9" s="6">
        <v>7</v>
      </c>
      <c r="B9" s="943" t="s">
        <v>646</v>
      </c>
      <c r="C9" s="6">
        <v>1</v>
      </c>
      <c r="D9" s="6" t="s">
        <v>418</v>
      </c>
      <c r="E9" s="6">
        <v>500000</v>
      </c>
      <c r="F9" s="944">
        <f>C9*E9</f>
        <v>500000</v>
      </c>
    </row>
    <row r="10" spans="1:6">
      <c r="A10" s="6">
        <v>8</v>
      </c>
      <c r="B10" s="943" t="s">
        <v>647</v>
      </c>
      <c r="C10" s="6">
        <v>36</v>
      </c>
      <c r="D10" s="6" t="s">
        <v>644</v>
      </c>
      <c r="E10" s="6">
        <v>25000</v>
      </c>
      <c r="F10" s="944">
        <f t="shared" si="0"/>
        <v>900000</v>
      </c>
    </row>
    <row r="11" spans="1:6">
      <c r="A11" s="6">
        <v>9</v>
      </c>
      <c r="B11" s="943" t="s">
        <v>648</v>
      </c>
      <c r="C11" s="6">
        <v>36</v>
      </c>
      <c r="D11" s="6" t="s">
        <v>644</v>
      </c>
      <c r="E11" s="6">
        <v>25000</v>
      </c>
      <c r="F11" s="944">
        <f t="shared" si="0"/>
        <v>900000</v>
      </c>
    </row>
    <row r="12" spans="1:6">
      <c r="A12" s="6"/>
      <c r="B12" s="943"/>
      <c r="C12" s="6"/>
      <c r="D12" s="6"/>
      <c r="E12" s="6"/>
      <c r="F12" s="944"/>
    </row>
    <row r="13" spans="1:6">
      <c r="A13" s="6"/>
      <c r="B13" s="945"/>
      <c r="C13" s="4"/>
      <c r="D13" s="4"/>
      <c r="E13" s="4" t="s">
        <v>232</v>
      </c>
      <c r="F13" s="946">
        <f>SUM(F3:F12)</f>
        <v>12319225.342073169</v>
      </c>
    </row>
    <row r="14" spans="1:6">
      <c r="B14" s="947"/>
    </row>
    <row r="15" spans="1:6">
      <c r="B15" s="947"/>
    </row>
    <row r="16" spans="1:6">
      <c r="B16" s="947"/>
    </row>
    <row r="17" spans="2:12">
      <c r="B17" s="947"/>
      <c r="L17" s="30"/>
    </row>
    <row r="18" spans="2:12">
      <c r="B18" s="947"/>
    </row>
    <row r="19" spans="2:12">
      <c r="B19" s="947"/>
    </row>
  </sheetData>
  <mergeCells count="1">
    <mergeCell ref="A1:F1"/>
  </mergeCell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EB957-E0D1-4427-8AC0-04D9061CD911}">
  <dimension ref="A1:V124"/>
  <sheetViews>
    <sheetView zoomScale="85" zoomScaleNormal="85" workbookViewId="0">
      <pane ySplit="2" topLeftCell="A90" activePane="bottomLeft" state="frozen"/>
      <selection pane="bottomLeft" activeCell="M10" sqref="M10"/>
    </sheetView>
  </sheetViews>
  <sheetFormatPr defaultRowHeight="14.4"/>
  <cols>
    <col min="1" max="1" width="7.33203125" bestFit="1" customWidth="1"/>
    <col min="2" max="2" width="47.44140625" bestFit="1" customWidth="1"/>
    <col min="3" max="3" width="11.6640625" customWidth="1"/>
    <col min="4" max="4" width="10.5546875" customWidth="1"/>
    <col min="5" max="5" width="8.88671875" bestFit="1" customWidth="1"/>
    <col min="6" max="6" width="13.88671875" bestFit="1" customWidth="1"/>
    <col min="7" max="8" width="10.33203125" customWidth="1"/>
    <col min="9" max="9" width="36.6640625" bestFit="1" customWidth="1"/>
    <col min="10" max="10" width="7.33203125" bestFit="1" customWidth="1"/>
    <col min="11" max="11" width="7.5546875" bestFit="1" customWidth="1"/>
    <col min="12" max="12" width="8.5546875" bestFit="1" customWidth="1"/>
    <col min="13" max="13" width="7.88671875" bestFit="1" customWidth="1"/>
    <col min="14" max="14" width="6.6640625" bestFit="1" customWidth="1"/>
    <col min="15" max="15" width="7.5546875" bestFit="1" customWidth="1"/>
    <col min="16" max="16" width="12.6640625" bestFit="1" customWidth="1"/>
    <col min="18" max="18" width="20.6640625" bestFit="1" customWidth="1"/>
  </cols>
  <sheetData>
    <row r="1" spans="1:22" s="461" customFormat="1" ht="13.2">
      <c r="A1" s="459"/>
      <c r="B1" s="459"/>
      <c r="C1" s="460" t="s">
        <v>649</v>
      </c>
      <c r="D1" s="460">
        <v>3.6</v>
      </c>
      <c r="E1" s="459"/>
      <c r="F1" s="459"/>
      <c r="G1" s="459"/>
      <c r="H1" s="459"/>
      <c r="I1" s="459"/>
      <c r="J1" s="459"/>
      <c r="K1" s="459"/>
      <c r="L1" s="459"/>
      <c r="M1" s="459"/>
      <c r="N1" s="459"/>
      <c r="O1" s="459"/>
      <c r="P1" s="459"/>
      <c r="Q1" s="459"/>
      <c r="R1" s="459"/>
    </row>
    <row r="2" spans="1:22" s="464" customFormat="1" ht="39.6">
      <c r="A2" s="462" t="s">
        <v>197</v>
      </c>
      <c r="B2" s="462" t="s">
        <v>289</v>
      </c>
      <c r="C2" s="462" t="s">
        <v>650</v>
      </c>
      <c r="D2" s="462" t="s">
        <v>651</v>
      </c>
      <c r="E2" s="462" t="s">
        <v>562</v>
      </c>
      <c r="F2" s="462" t="s">
        <v>230</v>
      </c>
      <c r="G2" s="462" t="s">
        <v>652</v>
      </c>
      <c r="H2" s="462" t="s">
        <v>315</v>
      </c>
      <c r="I2" s="462" t="s">
        <v>653</v>
      </c>
      <c r="J2" s="462" t="s">
        <v>654</v>
      </c>
      <c r="K2" s="462" t="s">
        <v>655</v>
      </c>
      <c r="L2" s="462" t="s">
        <v>205</v>
      </c>
      <c r="M2" s="463"/>
      <c r="N2" s="463" t="s">
        <v>656</v>
      </c>
      <c r="O2" s="463" t="s">
        <v>657</v>
      </c>
      <c r="P2" s="463" t="s">
        <v>6</v>
      </c>
      <c r="Q2" s="463"/>
      <c r="R2" s="463" t="s">
        <v>658</v>
      </c>
    </row>
    <row r="3" spans="1:22" s="474" customFormat="1" ht="13.5" customHeight="1">
      <c r="A3" s="465" t="s">
        <v>628</v>
      </c>
      <c r="B3" s="466" t="str">
        <f>'Office Sizes'!B4</f>
        <v>Office 1</v>
      </c>
      <c r="C3" s="467"/>
      <c r="D3" s="467"/>
      <c r="E3" s="467"/>
      <c r="F3" s="454"/>
      <c r="G3" s="467"/>
      <c r="H3" s="468"/>
      <c r="I3" s="469"/>
      <c r="J3" s="470"/>
      <c r="K3" s="470"/>
      <c r="L3" s="467"/>
      <c r="M3" s="471"/>
      <c r="N3" s="472">
        <v>32</v>
      </c>
      <c r="O3" s="473"/>
      <c r="P3" s="473"/>
      <c r="Q3" s="473"/>
      <c r="R3" s="473"/>
      <c r="S3" s="473"/>
      <c r="T3" s="473"/>
      <c r="U3" s="473"/>
      <c r="V3" s="473"/>
    </row>
    <row r="4" spans="1:22" s="479" customFormat="1" ht="13.5" customHeight="1">
      <c r="A4" s="475" t="s">
        <v>628</v>
      </c>
      <c r="B4" s="476" t="str">
        <f>'Office Sizes'!B5</f>
        <v>Office</v>
      </c>
      <c r="C4" s="477">
        <f>'Office Sizes'!D5</f>
        <v>33.47</v>
      </c>
      <c r="D4" s="477">
        <f>'Office Sizes'!G5</f>
        <v>19.39</v>
      </c>
      <c r="E4" s="477"/>
      <c r="F4" s="454"/>
      <c r="G4" s="477"/>
      <c r="H4" s="477"/>
      <c r="I4" s="477"/>
      <c r="J4" s="477"/>
      <c r="K4" s="477"/>
      <c r="L4" s="477"/>
      <c r="M4" s="459">
        <f>SUM(L5:L13)/C4/10.764</f>
        <v>258.7598093191383</v>
      </c>
      <c r="N4" s="478"/>
      <c r="O4" s="478"/>
      <c r="P4" s="478"/>
      <c r="Q4" s="478"/>
      <c r="R4" s="478"/>
    </row>
    <row r="5" spans="1:22" s="461" customFormat="1" ht="13.2">
      <c r="A5" s="454"/>
      <c r="B5" s="454" t="str">
        <f>'Rate List - Office'!B6</f>
        <v>Flooring</v>
      </c>
      <c r="C5" s="454"/>
      <c r="D5" s="454"/>
      <c r="E5" s="454">
        <f>C4</f>
        <v>33.47</v>
      </c>
      <c r="F5" s="454"/>
      <c r="G5" s="454">
        <f>E5+F5</f>
        <v>33.47</v>
      </c>
      <c r="H5" s="454" t="str">
        <f>'Rate List - Flats'!H6</f>
        <v>Sq M</v>
      </c>
      <c r="I5" s="454" t="str">
        <f>'Rate List - Office'!C6</f>
        <v>2'x2' Vitrified tiles</v>
      </c>
      <c r="J5" s="454">
        <f>'Rate List - Flats'!E6</f>
        <v>45</v>
      </c>
      <c r="K5" s="454">
        <f>'Rate List - Flats'!G6</f>
        <v>1340.1179999999999</v>
      </c>
      <c r="L5" s="454">
        <f>G5*K5</f>
        <v>44853.749459999999</v>
      </c>
      <c r="M5" s="459"/>
      <c r="N5" s="459"/>
      <c r="O5" s="459">
        <f>IF(I5="N.A",0,G5*$N$3)</f>
        <v>1071.04</v>
      </c>
      <c r="P5" s="459">
        <f>L5*$N$3</f>
        <v>1435319.98272</v>
      </c>
      <c r="Q5" s="459"/>
      <c r="R5" s="480" t="s">
        <v>659</v>
      </c>
    </row>
    <row r="6" spans="1:22" s="461" customFormat="1" ht="13.2">
      <c r="A6" s="454"/>
      <c r="B6" s="454" t="str">
        <f>'Rate List - Office'!B7</f>
        <v>Skirting</v>
      </c>
      <c r="C6" s="454"/>
      <c r="D6" s="454"/>
      <c r="E6" s="454">
        <f>D4</f>
        <v>19.39</v>
      </c>
      <c r="F6" s="454">
        <f>-(Doors!F130+'D&amp;W Schedule'!C23)</f>
        <v>-6.95</v>
      </c>
      <c r="G6" s="454">
        <f t="shared" ref="G6:G39" si="0">E6+F6</f>
        <v>12.440000000000001</v>
      </c>
      <c r="H6" s="454" t="str">
        <f>'Rate List - Flats'!H7</f>
        <v>RM</v>
      </c>
      <c r="I6" s="454" t="str">
        <f>'Rate List - Office'!C7</f>
        <v xml:space="preserve">2'x2' Vitrified tiles </v>
      </c>
      <c r="J6" s="454">
        <f>'Rate List - Flats'!E7</f>
        <v>45</v>
      </c>
      <c r="K6" s="454">
        <f>'Rate List - Flats'!G7</f>
        <v>391.96</v>
      </c>
      <c r="L6" s="454">
        <f t="shared" ref="L6:L39" si="1">G6*K6</f>
        <v>4875.9823999999999</v>
      </c>
      <c r="M6" s="459"/>
      <c r="N6" s="459"/>
      <c r="O6" s="459">
        <f t="shared" ref="O6:O13" si="2">IF(I6="N.A",0,G6*$N$3)</f>
        <v>398.08000000000004</v>
      </c>
      <c r="P6" s="459">
        <f t="shared" ref="P6:P13" si="3">L6*$N$3</f>
        <v>156031.4368</v>
      </c>
      <c r="Q6" s="459"/>
      <c r="R6" s="480" t="s">
        <v>660</v>
      </c>
    </row>
    <row r="7" spans="1:22" s="461" customFormat="1" ht="13.2">
      <c r="A7" s="454"/>
      <c r="B7" s="454" t="str">
        <f>'Rate List - Office'!B8</f>
        <v>Dado</v>
      </c>
      <c r="C7" s="454"/>
      <c r="D7" s="454"/>
      <c r="E7" s="454"/>
      <c r="F7" s="454"/>
      <c r="G7" s="454">
        <f t="shared" si="0"/>
        <v>0</v>
      </c>
      <c r="H7" s="454" t="str">
        <f>'Rate List - Flats'!H8</f>
        <v>Sq M</v>
      </c>
      <c r="I7" s="454" t="str">
        <f>'Rate List - Office'!C8</f>
        <v>N.A.</v>
      </c>
      <c r="J7" s="454"/>
      <c r="K7" s="454"/>
      <c r="L7" s="454">
        <f t="shared" si="1"/>
        <v>0</v>
      </c>
      <c r="M7" s="459"/>
      <c r="N7" s="459"/>
      <c r="O7" s="459">
        <f t="shared" si="2"/>
        <v>0</v>
      </c>
      <c r="P7" s="459">
        <f t="shared" si="3"/>
        <v>0</v>
      </c>
      <c r="Q7" s="459"/>
      <c r="R7" s="480"/>
    </row>
    <row r="8" spans="1:22" s="461" customFormat="1" ht="13.2">
      <c r="A8" s="454"/>
      <c r="B8" s="454" t="str">
        <f>'Rate List - Office'!B9</f>
        <v>Wall finishes plaster</v>
      </c>
      <c r="C8" s="454"/>
      <c r="D8" s="454"/>
      <c r="E8" s="454">
        <f>D4*(D1-0.15)</f>
        <v>66.895499999999998</v>
      </c>
      <c r="F8" s="454">
        <f>-(Doors!H130+Doors!H131+Doors!H132+'D&amp;W Schedule'!E23)</f>
        <v>-22.66</v>
      </c>
      <c r="G8" s="454">
        <f t="shared" si="0"/>
        <v>44.235500000000002</v>
      </c>
      <c r="H8" s="454" t="str">
        <f>'Rate List - Flats'!H9</f>
        <v>Sq M</v>
      </c>
      <c r="I8" s="454" t="str">
        <f>'Rate List - Office'!C9</f>
        <v>Gypsum Plaster</v>
      </c>
      <c r="J8" s="454">
        <f>'Rate List - Flats'!E9</f>
        <v>32</v>
      </c>
      <c r="K8" s="454">
        <f>'Rate List - Flats'!G9</f>
        <v>344.44799999999998</v>
      </c>
      <c r="L8" s="454">
        <f t="shared" si="1"/>
        <v>15236.829503999999</v>
      </c>
      <c r="M8" s="459"/>
      <c r="N8" s="459"/>
      <c r="O8" s="459">
        <f t="shared" si="2"/>
        <v>1415.5360000000001</v>
      </c>
      <c r="P8" s="459">
        <f t="shared" si="3"/>
        <v>487578.54412799998</v>
      </c>
      <c r="Q8" s="459"/>
      <c r="R8" s="480" t="s">
        <v>661</v>
      </c>
    </row>
    <row r="9" spans="1:22" s="461" customFormat="1" ht="13.2">
      <c r="A9" s="454"/>
      <c r="B9" s="454" t="str">
        <f>'Rate List - Office'!B10</f>
        <v>Ceiling plaster</v>
      </c>
      <c r="C9" s="454"/>
      <c r="D9" s="454"/>
      <c r="E9" s="454">
        <f>E5</f>
        <v>33.47</v>
      </c>
      <c r="F9" s="454"/>
      <c r="G9" s="454">
        <f t="shared" si="0"/>
        <v>33.47</v>
      </c>
      <c r="H9" s="454" t="str">
        <f>'Rate List - Flats'!H10</f>
        <v>Sq M</v>
      </c>
      <c r="I9" s="454" t="str">
        <f>'Rate List - Office'!C10</f>
        <v>Gypsum Plaster</v>
      </c>
      <c r="J9" s="454">
        <f>'Rate List - Flats'!E10</f>
        <v>32</v>
      </c>
      <c r="K9" s="454">
        <f>'Rate List - Flats'!G10</f>
        <v>344.44799999999998</v>
      </c>
      <c r="L9" s="454">
        <f t="shared" si="1"/>
        <v>11528.674559999999</v>
      </c>
      <c r="M9" s="459"/>
      <c r="N9" s="459"/>
      <c r="O9" s="459">
        <f t="shared" si="2"/>
        <v>1071.04</v>
      </c>
      <c r="P9" s="459">
        <f t="shared" si="3"/>
        <v>368917.58591999998</v>
      </c>
      <c r="Q9" s="459"/>
      <c r="R9" s="480" t="s">
        <v>662</v>
      </c>
    </row>
    <row r="10" spans="1:22" s="461" customFormat="1" ht="13.2">
      <c r="A10" s="454"/>
      <c r="B10" s="454" t="str">
        <f>'Rate List - Office'!B11</f>
        <v>False ceiling</v>
      </c>
      <c r="C10" s="454"/>
      <c r="D10" s="454"/>
      <c r="E10" s="454"/>
      <c r="F10" s="454"/>
      <c r="G10" s="454">
        <f t="shared" si="0"/>
        <v>0</v>
      </c>
      <c r="H10" s="454" t="str">
        <f>'Rate List - Flats'!H11</f>
        <v>Sq M</v>
      </c>
      <c r="I10" s="454" t="str">
        <f>'Rate List - Office'!C11</f>
        <v>N.A.</v>
      </c>
      <c r="J10" s="454"/>
      <c r="K10" s="454"/>
      <c r="L10" s="454">
        <f t="shared" si="1"/>
        <v>0</v>
      </c>
      <c r="M10" s="459"/>
      <c r="N10" s="459"/>
      <c r="O10" s="459">
        <f t="shared" si="2"/>
        <v>0</v>
      </c>
      <c r="P10" s="459">
        <f t="shared" si="3"/>
        <v>0</v>
      </c>
      <c r="Q10" s="459"/>
      <c r="R10" s="480"/>
    </row>
    <row r="11" spans="1:22" s="461" customFormat="1" ht="13.2">
      <c r="A11" s="454"/>
      <c r="B11" s="454" t="str">
        <f>'Rate List - Office'!B12</f>
        <v>Wall finishes Paint</v>
      </c>
      <c r="C11" s="454"/>
      <c r="D11" s="454"/>
      <c r="E11" s="454">
        <f>E8</f>
        <v>66.895499999999998</v>
      </c>
      <c r="F11" s="454">
        <f>F8</f>
        <v>-22.66</v>
      </c>
      <c r="G11" s="454">
        <f t="shared" si="0"/>
        <v>44.235500000000002</v>
      </c>
      <c r="H11" s="454" t="str">
        <f>'Rate List - Flats'!H12</f>
        <v>Sq M</v>
      </c>
      <c r="I11" s="454" t="str">
        <f>'Rate List - Office'!C12</f>
        <v>Plastic paint</v>
      </c>
      <c r="J11" s="454">
        <f>'Rate List - Flats'!E12</f>
        <v>20</v>
      </c>
      <c r="K11" s="454">
        <f>'Rate List - Flats'!G12</f>
        <v>215.27999999999997</v>
      </c>
      <c r="L11" s="454">
        <f t="shared" si="1"/>
        <v>9523.0184399999998</v>
      </c>
      <c r="M11" s="459"/>
      <c r="N11" s="459"/>
      <c r="O11" s="459">
        <f t="shared" si="2"/>
        <v>1415.5360000000001</v>
      </c>
      <c r="P11" s="459">
        <f t="shared" si="3"/>
        <v>304736.59007999999</v>
      </c>
      <c r="Q11" s="459"/>
      <c r="R11" s="480" t="s">
        <v>663</v>
      </c>
    </row>
    <row r="12" spans="1:22" s="461" customFormat="1" ht="13.2">
      <c r="A12" s="454"/>
      <c r="B12" s="454" t="str">
        <f>'Rate List - Office'!B13</f>
        <v>Ceiling Paint</v>
      </c>
      <c r="C12" s="454"/>
      <c r="D12" s="454"/>
      <c r="E12" s="454">
        <f>E9</f>
        <v>33.47</v>
      </c>
      <c r="F12" s="454"/>
      <c r="G12" s="454">
        <f t="shared" si="0"/>
        <v>33.47</v>
      </c>
      <c r="H12" s="454" t="str">
        <f>'Rate List - Flats'!H13</f>
        <v>Sq M</v>
      </c>
      <c r="I12" s="454" t="str">
        <f>'Rate List - Office'!C13</f>
        <v>Plastic paint</v>
      </c>
      <c r="J12" s="454">
        <f>'Rate List - Flats'!E13</f>
        <v>20</v>
      </c>
      <c r="K12" s="454">
        <f>'Rate List - Flats'!G13</f>
        <v>215.27999999999997</v>
      </c>
      <c r="L12" s="454">
        <f t="shared" si="1"/>
        <v>7205.4215999999988</v>
      </c>
      <c r="M12" s="459"/>
      <c r="N12" s="459"/>
      <c r="O12" s="459">
        <f t="shared" si="2"/>
        <v>1071.04</v>
      </c>
      <c r="P12" s="459">
        <f t="shared" si="3"/>
        <v>230573.49119999996</v>
      </c>
      <c r="Q12" s="459"/>
      <c r="R12" s="480" t="s">
        <v>664</v>
      </c>
    </row>
    <row r="13" spans="1:22" s="461" customFormat="1" ht="13.2">
      <c r="A13" s="454"/>
      <c r="B13" s="454" t="str">
        <f>'Rate List - Office'!B14</f>
        <v>Others</v>
      </c>
      <c r="C13" s="454"/>
      <c r="D13" s="454"/>
      <c r="E13" s="454"/>
      <c r="F13" s="454"/>
      <c r="G13" s="454">
        <f t="shared" si="0"/>
        <v>0</v>
      </c>
      <c r="H13" s="454" t="str">
        <f>'Rate List - Flats'!H14</f>
        <v>RM</v>
      </c>
      <c r="I13" s="454" t="str">
        <f>'Rate List - Office'!C14</f>
        <v>N.A.</v>
      </c>
      <c r="J13" s="454"/>
      <c r="K13" s="454"/>
      <c r="L13" s="454">
        <f t="shared" si="1"/>
        <v>0</v>
      </c>
      <c r="M13" s="459"/>
      <c r="N13" s="459"/>
      <c r="O13" s="459">
        <f t="shared" si="2"/>
        <v>0</v>
      </c>
      <c r="P13" s="459">
        <f t="shared" si="3"/>
        <v>0</v>
      </c>
      <c r="Q13" s="459"/>
      <c r="R13" s="480"/>
    </row>
    <row r="14" spans="1:22" s="479" customFormat="1" ht="13.5" customHeight="1">
      <c r="A14" s="475" t="s">
        <v>628</v>
      </c>
      <c r="B14" s="476" t="str">
        <f>'Office Sizes'!B6</f>
        <v>Pantry</v>
      </c>
      <c r="C14" s="477">
        <f>'Office Sizes'!D6</f>
        <v>2.0699999999999998</v>
      </c>
      <c r="D14" s="477">
        <f>'Office Sizes'!G6</f>
        <v>6.04</v>
      </c>
      <c r="E14" s="477"/>
      <c r="F14" s="454"/>
      <c r="G14" s="477"/>
      <c r="H14" s="477"/>
      <c r="I14" s="454"/>
      <c r="J14" s="477"/>
      <c r="K14" s="477"/>
      <c r="L14" s="477"/>
      <c r="M14" s="459">
        <f>SUM(L15:L24)/C14/10.764</f>
        <v>854.97595850903974</v>
      </c>
      <c r="N14" s="478"/>
      <c r="O14" s="478"/>
      <c r="P14" s="478"/>
      <c r="Q14" s="478"/>
      <c r="R14" s="478"/>
    </row>
    <row r="15" spans="1:22" s="461" customFormat="1" ht="13.2">
      <c r="A15" s="454"/>
      <c r="B15" s="454" t="str">
        <f>'Rate List - Office'!B31</f>
        <v>Flooring</v>
      </c>
      <c r="C15" s="454"/>
      <c r="D15" s="454"/>
      <c r="E15" s="454">
        <f>C14</f>
        <v>2.0699999999999998</v>
      </c>
      <c r="F15" s="454"/>
      <c r="G15" s="454">
        <f t="shared" si="0"/>
        <v>2.0699999999999998</v>
      </c>
      <c r="H15" s="454" t="str" cm="1">
        <f t="array" ref="H15:H26">'Rate List - Office'!H31:H42</f>
        <v>Sq M</v>
      </c>
      <c r="I15" s="454" t="str">
        <f>'Rate List - Office'!C31</f>
        <v>ceramic tiles/vitrified anti-skid tiles</v>
      </c>
      <c r="J15" s="481">
        <f>'Rate List - Office'!E31</f>
        <v>40</v>
      </c>
      <c r="K15" s="481">
        <f>'Rate List - Office'!G31</f>
        <v>1280.9159999999999</v>
      </c>
      <c r="L15" s="454">
        <f t="shared" si="1"/>
        <v>2651.4961199999998</v>
      </c>
      <c r="M15" s="459"/>
      <c r="N15" s="459"/>
      <c r="O15" s="459">
        <f t="shared" ref="O15" si="4">IF(I15="N.A",0,G15*$N$3)</f>
        <v>66.239999999999995</v>
      </c>
      <c r="P15" s="459">
        <f t="shared" ref="P15" si="5">L15*$N$3</f>
        <v>84847.875839999993</v>
      </c>
      <c r="Q15" s="459"/>
      <c r="R15" s="458" t="s">
        <v>659</v>
      </c>
    </row>
    <row r="16" spans="1:22" s="461" customFormat="1" ht="13.2">
      <c r="A16" s="454"/>
      <c r="B16" s="454" t="str">
        <f>'Rate List - Office'!B32</f>
        <v>Skirting</v>
      </c>
      <c r="C16" s="454"/>
      <c r="D16" s="454"/>
      <c r="E16" s="454"/>
      <c r="F16" s="454"/>
      <c r="G16" s="454">
        <f t="shared" si="0"/>
        <v>0</v>
      </c>
      <c r="H16" s="454" t="str">
        <v xml:space="preserve">RM </v>
      </c>
      <c r="I16" s="454" t="str">
        <f>'Rate List - Office'!C32</f>
        <v>N.A.</v>
      </c>
      <c r="J16" s="481">
        <f>'Rate List - Office'!E32</f>
        <v>0</v>
      </c>
      <c r="K16" s="481">
        <f>'Rate List - Office'!G32</f>
        <v>0</v>
      </c>
      <c r="L16" s="454">
        <f t="shared" si="1"/>
        <v>0</v>
      </c>
      <c r="M16" s="459"/>
      <c r="N16" s="459"/>
      <c r="O16" s="459">
        <f t="shared" ref="O16:O26" si="6">IF(I16="N.A",0,G16*$N$3)</f>
        <v>0</v>
      </c>
      <c r="P16" s="459">
        <f t="shared" ref="P16:P26" si="7">L16*$N$3</f>
        <v>0</v>
      </c>
      <c r="Q16" s="459"/>
      <c r="R16" s="458" t="s">
        <v>660</v>
      </c>
    </row>
    <row r="17" spans="1:18" s="461" customFormat="1" ht="13.2">
      <c r="A17" s="454"/>
      <c r="B17" s="454" t="str">
        <f>'Rate List - Office'!B33</f>
        <v>Dado</v>
      </c>
      <c r="C17" s="454"/>
      <c r="D17" s="454">
        <v>2.4</v>
      </c>
      <c r="E17" s="454">
        <f>E26*D17</f>
        <v>3.5999999999999996</v>
      </c>
      <c r="F17" s="454"/>
      <c r="G17" s="454">
        <f t="shared" si="0"/>
        <v>3.5999999999999996</v>
      </c>
      <c r="H17" s="454" t="str">
        <v>Sq M</v>
      </c>
      <c r="I17" s="454" t="str">
        <f>'Rate List - Office'!C33</f>
        <v>Vitrified tiles</v>
      </c>
      <c r="J17" s="481">
        <f>'Rate List - Office'!E33</f>
        <v>40</v>
      </c>
      <c r="K17" s="481">
        <f>'Rate List - Office'!G33</f>
        <v>1334.7359999999999</v>
      </c>
      <c r="L17" s="454">
        <f t="shared" si="1"/>
        <v>4805.0495999999994</v>
      </c>
      <c r="M17" s="459"/>
      <c r="N17" s="459"/>
      <c r="O17" s="459">
        <f t="shared" si="6"/>
        <v>115.19999999999999</v>
      </c>
      <c r="P17" s="459">
        <f t="shared" si="7"/>
        <v>153761.58719999998</v>
      </c>
      <c r="Q17" s="459"/>
      <c r="R17" s="458" t="s">
        <v>665</v>
      </c>
    </row>
    <row r="18" spans="1:18" s="461" customFormat="1" ht="13.2">
      <c r="A18" s="454"/>
      <c r="B18" s="454" t="str">
        <f>'Rate List - Office'!B34</f>
        <v>Wall finishes plaster</v>
      </c>
      <c r="C18" s="454"/>
      <c r="D18" s="454"/>
      <c r="E18" s="454">
        <f>D14*($D$1-0.15)</f>
        <v>20.838000000000001</v>
      </c>
      <c r="F18" s="454">
        <f>-Doors!H131-E17-'D&amp;W Schedule'!E19</f>
        <v>-5.94</v>
      </c>
      <c r="G18" s="454">
        <f t="shared" si="0"/>
        <v>14.898</v>
      </c>
      <c r="H18" s="454" t="str">
        <v>Sq M</v>
      </c>
      <c r="I18" s="454" t="str">
        <f>'Rate List - Office'!C34</f>
        <v>Gypsum Plaster</v>
      </c>
      <c r="J18" s="481">
        <f>'Rate List - Office'!E34</f>
        <v>25</v>
      </c>
      <c r="K18" s="481">
        <f>'Rate List - Office'!G34</f>
        <v>376.73999999999995</v>
      </c>
      <c r="L18" s="454">
        <f t="shared" si="1"/>
        <v>5612.6725199999992</v>
      </c>
      <c r="M18" s="459"/>
      <c r="N18" s="459"/>
      <c r="O18" s="459">
        <f t="shared" si="6"/>
        <v>476.73599999999999</v>
      </c>
      <c r="P18" s="459">
        <f t="shared" si="7"/>
        <v>179605.52063999997</v>
      </c>
      <c r="Q18" s="459"/>
      <c r="R18" s="458" t="s">
        <v>661</v>
      </c>
    </row>
    <row r="19" spans="1:18" s="461" customFormat="1" ht="13.2">
      <c r="A19" s="454"/>
      <c r="B19" s="454" t="str">
        <f>'Rate List - Office'!B35</f>
        <v>Ceiling plaster</v>
      </c>
      <c r="C19" s="454"/>
      <c r="D19" s="454"/>
      <c r="E19" s="454">
        <f>E15</f>
        <v>2.0699999999999998</v>
      </c>
      <c r="F19" s="454"/>
      <c r="G19" s="454">
        <f t="shared" si="0"/>
        <v>2.0699999999999998</v>
      </c>
      <c r="H19" s="454" t="str">
        <v>Sq M</v>
      </c>
      <c r="I19" s="454" t="str">
        <f>'Rate List - Office'!C35</f>
        <v>Gypsum Plaster</v>
      </c>
      <c r="J19" s="481">
        <f>'Rate List - Office'!E35</f>
        <v>25</v>
      </c>
      <c r="K19" s="481">
        <f>'Rate List - Office'!G35</f>
        <v>269.09999999999997</v>
      </c>
      <c r="L19" s="454">
        <f t="shared" si="1"/>
        <v>557.03699999999992</v>
      </c>
      <c r="M19" s="459"/>
      <c r="N19" s="459"/>
      <c r="O19" s="459">
        <f t="shared" si="6"/>
        <v>66.239999999999995</v>
      </c>
      <c r="P19" s="459">
        <f t="shared" si="7"/>
        <v>17825.183999999997</v>
      </c>
      <c r="Q19" s="459"/>
      <c r="R19" s="458" t="s">
        <v>662</v>
      </c>
    </row>
    <row r="20" spans="1:18" s="461" customFormat="1" ht="13.2">
      <c r="A20" s="454"/>
      <c r="B20" s="454" t="str">
        <f>'Rate List - Office'!B36</f>
        <v>False ceiling</v>
      </c>
      <c r="C20" s="454"/>
      <c r="D20" s="454"/>
      <c r="E20" s="454"/>
      <c r="F20" s="454"/>
      <c r="G20" s="454">
        <f t="shared" si="0"/>
        <v>0</v>
      </c>
      <c r="H20" s="454" t="str">
        <v>Sq M</v>
      </c>
      <c r="I20" s="454" t="str">
        <f>'Rate List - Office'!C36</f>
        <v>N.A.</v>
      </c>
      <c r="J20" s="481">
        <f>'Rate List - Office'!E36</f>
        <v>0</v>
      </c>
      <c r="K20" s="481">
        <f>'Rate List - Office'!G36</f>
        <v>0</v>
      </c>
      <c r="L20" s="454">
        <f t="shared" si="1"/>
        <v>0</v>
      </c>
      <c r="M20" s="459"/>
      <c r="N20" s="459"/>
      <c r="O20" s="459">
        <f t="shared" si="6"/>
        <v>0</v>
      </c>
      <c r="P20" s="459">
        <f t="shared" si="7"/>
        <v>0</v>
      </c>
      <c r="Q20" s="459"/>
      <c r="R20" s="458"/>
    </row>
    <row r="21" spans="1:18" s="461" customFormat="1" ht="13.2">
      <c r="A21" s="454"/>
      <c r="B21" s="454" t="str">
        <f>'Rate List - Office'!B37</f>
        <v>Wall finishes Paint</v>
      </c>
      <c r="C21" s="454"/>
      <c r="D21" s="454"/>
      <c r="E21" s="454">
        <f>E18</f>
        <v>20.838000000000001</v>
      </c>
      <c r="F21" s="454">
        <f>F18</f>
        <v>-5.94</v>
      </c>
      <c r="G21" s="454">
        <f t="shared" si="0"/>
        <v>14.898</v>
      </c>
      <c r="H21" s="454" t="str">
        <v>Sq M</v>
      </c>
      <c r="I21" s="454" t="str">
        <f>'Rate List - Office'!C37</f>
        <v>Plastic paint</v>
      </c>
      <c r="J21" s="481">
        <f>'Rate List - Office'!E37</f>
        <v>20</v>
      </c>
      <c r="K21" s="481">
        <f>'Rate List - Office'!G37</f>
        <v>215.27999999999997</v>
      </c>
      <c r="L21" s="454">
        <f t="shared" si="1"/>
        <v>3207.2414399999993</v>
      </c>
      <c r="M21" s="459"/>
      <c r="N21" s="459"/>
      <c r="O21" s="459">
        <f t="shared" si="6"/>
        <v>476.73599999999999</v>
      </c>
      <c r="P21" s="459">
        <f t="shared" si="7"/>
        <v>102631.72607999998</v>
      </c>
      <c r="Q21" s="459"/>
      <c r="R21" s="458" t="s">
        <v>663</v>
      </c>
    </row>
    <row r="22" spans="1:18" s="461" customFormat="1" ht="13.2">
      <c r="A22" s="454"/>
      <c r="B22" s="454" t="str">
        <f>'Rate List - Office'!B38</f>
        <v>Ceiling Paint</v>
      </c>
      <c r="C22" s="454"/>
      <c r="D22" s="454"/>
      <c r="E22" s="454">
        <f>E19</f>
        <v>2.0699999999999998</v>
      </c>
      <c r="F22" s="454"/>
      <c r="G22" s="454">
        <f t="shared" si="0"/>
        <v>2.0699999999999998</v>
      </c>
      <c r="H22" s="454" t="str">
        <v>Sq M</v>
      </c>
      <c r="I22" s="454" t="str">
        <f>'Rate List - Office'!C38</f>
        <v>Plastic paint</v>
      </c>
      <c r="J22" s="481">
        <f>'Rate List - Office'!E38</f>
        <v>20</v>
      </c>
      <c r="K22" s="481">
        <f>'Rate List - Office'!G38</f>
        <v>215.27999999999997</v>
      </c>
      <c r="L22" s="454">
        <f t="shared" si="1"/>
        <v>445.62959999999993</v>
      </c>
      <c r="M22" s="459"/>
      <c r="N22" s="459"/>
      <c r="O22" s="459">
        <f t="shared" si="6"/>
        <v>66.239999999999995</v>
      </c>
      <c r="P22" s="459">
        <f t="shared" si="7"/>
        <v>14260.147199999998</v>
      </c>
      <c r="Q22" s="459"/>
      <c r="R22" s="458" t="s">
        <v>664</v>
      </c>
    </row>
    <row r="23" spans="1:18" s="461" customFormat="1" ht="13.2">
      <c r="A23" s="454"/>
      <c r="B23" s="454" t="str">
        <f>'Rate List - Office'!B39</f>
        <v>Door Frames</v>
      </c>
      <c r="C23" s="454"/>
      <c r="D23" s="454"/>
      <c r="E23" s="454"/>
      <c r="F23" s="454"/>
      <c r="G23" s="454">
        <f t="shared" si="0"/>
        <v>0</v>
      </c>
      <c r="H23" s="454" t="str">
        <v>Sq M</v>
      </c>
      <c r="I23" s="454" t="str">
        <f>'Rate List - Office'!C39</f>
        <v>N.A.</v>
      </c>
      <c r="J23" s="481">
        <f>'Rate List - Office'!E39</f>
        <v>0</v>
      </c>
      <c r="K23" s="481">
        <f>'Rate List - Office'!G39</f>
        <v>0</v>
      </c>
      <c r="L23" s="454">
        <f t="shared" si="1"/>
        <v>0</v>
      </c>
      <c r="M23" s="459"/>
      <c r="N23" s="459"/>
      <c r="O23" s="459">
        <f t="shared" si="6"/>
        <v>0</v>
      </c>
      <c r="P23" s="459">
        <f t="shared" si="7"/>
        <v>0</v>
      </c>
      <c r="Q23" s="459"/>
      <c r="R23" s="458"/>
    </row>
    <row r="24" spans="1:18" s="461" customFormat="1" ht="13.2">
      <c r="A24" s="454"/>
      <c r="B24" s="454" t="str">
        <f>'Rate List - Office'!B40</f>
        <v>Window Frames - Internal</v>
      </c>
      <c r="C24" s="454"/>
      <c r="D24" s="454"/>
      <c r="E24" s="461">
        <f>Windows!F153*2+Windows!G153*2</f>
        <v>2.7</v>
      </c>
      <c r="F24" s="454"/>
      <c r="G24" s="454">
        <f t="shared" si="0"/>
        <v>2.7</v>
      </c>
      <c r="H24" s="454" t="str">
        <v>RM</v>
      </c>
      <c r="I24" s="454" t="str">
        <f>'Rate List - Office'!C40</f>
        <v>Granite Window Frame</v>
      </c>
      <c r="J24" s="481">
        <f>'Rate List - Office'!E40</f>
        <v>180</v>
      </c>
      <c r="K24" s="481">
        <f>'Rate List - Office'!G40</f>
        <v>655.92719999999997</v>
      </c>
      <c r="L24" s="454">
        <f t="shared" si="1"/>
        <v>1771.00344</v>
      </c>
      <c r="M24" s="459"/>
      <c r="N24" s="459"/>
      <c r="O24" s="459">
        <f t="shared" si="6"/>
        <v>86.4</v>
      </c>
      <c r="P24" s="459">
        <f t="shared" si="7"/>
        <v>56672.110079999999</v>
      </c>
      <c r="Q24" s="459"/>
      <c r="R24" s="480" t="s">
        <v>408</v>
      </c>
    </row>
    <row r="25" spans="1:18" s="461" customFormat="1" ht="13.2">
      <c r="A25" s="454"/>
      <c r="B25" s="454" t="str">
        <f>'Rate List - Office'!B41</f>
        <v>Window Frames - External</v>
      </c>
      <c r="C25" s="454"/>
      <c r="D25" s="454"/>
      <c r="E25" s="454">
        <f>E24</f>
        <v>2.7</v>
      </c>
      <c r="F25" s="454"/>
      <c r="G25" s="454">
        <f t="shared" si="0"/>
        <v>2.7</v>
      </c>
      <c r="H25" s="454" t="str">
        <v>RM</v>
      </c>
      <c r="I25" s="454" t="str">
        <f>'Rate List - Office'!C41</f>
        <v>Marble Window Frames with Sill</v>
      </c>
      <c r="J25" s="481">
        <f>'Rate List - Office'!E41</f>
        <v>60</v>
      </c>
      <c r="K25" s="481">
        <f>'Rate List - Office'!G41</f>
        <v>399.04239999999999</v>
      </c>
      <c r="L25" s="454">
        <f t="shared" si="1"/>
        <v>1077.4144800000001</v>
      </c>
      <c r="M25" s="459"/>
      <c r="N25" s="459"/>
      <c r="O25" s="459">
        <f t="shared" si="6"/>
        <v>86.4</v>
      </c>
      <c r="P25" s="459">
        <f t="shared" si="7"/>
        <v>34477.263360000004</v>
      </c>
      <c r="Q25" s="459"/>
      <c r="R25" s="458" t="s">
        <v>409</v>
      </c>
    </row>
    <row r="26" spans="1:18" s="461" customFormat="1" ht="13.2">
      <c r="A26" s="454"/>
      <c r="B26" s="454" t="str">
        <f>'Rate List - Office'!B42</f>
        <v>Service Platform</v>
      </c>
      <c r="C26" s="454"/>
      <c r="D26" s="454"/>
      <c r="E26" s="454">
        <v>1.5</v>
      </c>
      <c r="F26" s="454"/>
      <c r="G26" s="454">
        <f t="shared" si="0"/>
        <v>1.5</v>
      </c>
      <c r="H26" s="454" t="str">
        <v>RM</v>
      </c>
      <c r="I26" s="454" t="str">
        <f>'Rate List - Office'!C42</f>
        <v>Kitchen 1'6" Granite Main Counter</v>
      </c>
      <c r="J26" s="481">
        <f>'Rate List - Office'!E42</f>
        <v>180</v>
      </c>
      <c r="K26" s="481">
        <f>'Rate List - Office'!G42</f>
        <v>7312.7984000000006</v>
      </c>
      <c r="L26" s="454">
        <f t="shared" si="1"/>
        <v>10969.197600000001</v>
      </c>
      <c r="M26" s="459"/>
      <c r="N26" s="459"/>
      <c r="O26" s="459">
        <f t="shared" si="6"/>
        <v>48</v>
      </c>
      <c r="P26" s="459">
        <f t="shared" si="7"/>
        <v>351014.32320000004</v>
      </c>
      <c r="Q26" s="459"/>
      <c r="R26" s="458" t="s">
        <v>666</v>
      </c>
    </row>
    <row r="27" spans="1:18" s="479" customFormat="1" ht="13.5" customHeight="1">
      <c r="A27" s="475" t="s">
        <v>628</v>
      </c>
      <c r="B27" s="476" t="str">
        <f>'Office Sizes'!B7</f>
        <v>WC</v>
      </c>
      <c r="C27" s="477">
        <f>'Office Sizes'!D7</f>
        <v>2.06</v>
      </c>
      <c r="D27" s="477">
        <f>'Office Sizes'!G7</f>
        <v>5.82</v>
      </c>
      <c r="E27" s="477"/>
      <c r="F27" s="454"/>
      <c r="G27" s="477"/>
      <c r="H27" s="477"/>
      <c r="I27" s="454"/>
      <c r="J27" s="477"/>
      <c r="K27" s="477"/>
      <c r="L27" s="477"/>
      <c r="M27" s="459">
        <f>SUM(L28:L39)/C27/10.764</f>
        <v>1592.4970727668283</v>
      </c>
      <c r="N27" s="478"/>
      <c r="O27" s="478"/>
      <c r="P27" s="478"/>
      <c r="Q27" s="478"/>
      <c r="R27" s="478"/>
    </row>
    <row r="28" spans="1:18" s="461" customFormat="1" ht="13.2">
      <c r="A28" s="454"/>
      <c r="B28" s="454" t="str">
        <f>'Rate List - Office'!B17</f>
        <v>Flooring</v>
      </c>
      <c r="C28" s="454"/>
      <c r="D28" s="454"/>
      <c r="E28" s="454">
        <f>C27</f>
        <v>2.06</v>
      </c>
      <c r="F28" s="454"/>
      <c r="G28" s="454">
        <f t="shared" si="0"/>
        <v>2.06</v>
      </c>
      <c r="H28" s="454" t="str">
        <f>'Rate List - Office'!H17</f>
        <v>Sq M</v>
      </c>
      <c r="I28" s="454" t="str">
        <f>'Rate List - Office'!C17</f>
        <v>Ceramic tiles/vitrified anti-skid tiles</v>
      </c>
      <c r="J28" s="481">
        <f>'Rate List - Office'!E17</f>
        <v>40</v>
      </c>
      <c r="K28" s="481">
        <f>'Rate List - Office'!G17</f>
        <v>1280.9159999999999</v>
      </c>
      <c r="L28" s="454">
        <f t="shared" si="1"/>
        <v>2638.68696</v>
      </c>
      <c r="M28" s="459"/>
      <c r="N28" s="459"/>
      <c r="O28" s="459">
        <f t="shared" ref="O28" si="8">IF(I28="N.A",0,G28*$N$3)</f>
        <v>65.92</v>
      </c>
      <c r="P28" s="459">
        <f t="shared" ref="P28" si="9">L28*$N$3</f>
        <v>84437.98272</v>
      </c>
      <c r="Q28" s="459"/>
      <c r="R28" s="480" t="s">
        <v>667</v>
      </c>
    </row>
    <row r="29" spans="1:18" s="461" customFormat="1" ht="13.2">
      <c r="A29" s="454"/>
      <c r="B29" s="454" t="str">
        <f>'Rate List - Office'!B18</f>
        <v>Skirting</v>
      </c>
      <c r="C29" s="454"/>
      <c r="D29" s="454"/>
      <c r="E29" s="454"/>
      <c r="F29" s="454"/>
      <c r="G29" s="454">
        <f t="shared" si="0"/>
        <v>0</v>
      </c>
      <c r="H29" s="454" t="str">
        <f>'Rate List - Office'!H18</f>
        <v xml:space="preserve">RM </v>
      </c>
      <c r="I29" s="454" t="str">
        <f>'Rate List - Office'!C18</f>
        <v>N.A.</v>
      </c>
      <c r="J29" s="481">
        <f>'Rate List - Office'!E18</f>
        <v>0</v>
      </c>
      <c r="K29" s="481">
        <f>'Rate List - Office'!G18</f>
        <v>0</v>
      </c>
      <c r="L29" s="454">
        <f t="shared" si="1"/>
        <v>0</v>
      </c>
      <c r="M29" s="459"/>
      <c r="N29" s="459"/>
      <c r="O29" s="459">
        <f t="shared" ref="O29:O39" si="10">IF(I29="N.A",0,G29*$N$3)</f>
        <v>0</v>
      </c>
      <c r="P29" s="459">
        <f t="shared" ref="P29:P39" si="11">L29*$N$3</f>
        <v>0</v>
      </c>
      <c r="Q29" s="459"/>
      <c r="R29" s="480"/>
    </row>
    <row r="30" spans="1:18" s="461" customFormat="1" ht="13.2">
      <c r="A30" s="454"/>
      <c r="B30" s="454" t="str">
        <f>'Rate List - Office'!B19</f>
        <v>Dado</v>
      </c>
      <c r="C30" s="454"/>
      <c r="D30" s="454">
        <f>2.4</f>
        <v>2.4</v>
      </c>
      <c r="E30" s="454">
        <f>D27*D30</f>
        <v>13.968</v>
      </c>
      <c r="F30" s="454">
        <f>-Windows!$H$153-Doors!$H$132</f>
        <v>-2.0250000000000004</v>
      </c>
      <c r="G30" s="454">
        <f t="shared" si="0"/>
        <v>11.943</v>
      </c>
      <c r="H30" s="454" t="str">
        <f>'Rate List - Office'!H19</f>
        <v>Sq M</v>
      </c>
      <c r="I30" s="454" t="str">
        <f>'Rate List - Office'!C19</f>
        <v>Vitrified tiles</v>
      </c>
      <c r="J30" s="481">
        <f>'Rate List - Office'!E19</f>
        <v>40</v>
      </c>
      <c r="K30" s="481">
        <f>'Rate List - Office'!G19</f>
        <v>1356.2639999999999</v>
      </c>
      <c r="L30" s="454">
        <f t="shared" si="1"/>
        <v>16197.860951999999</v>
      </c>
      <c r="M30" s="459"/>
      <c r="N30" s="459"/>
      <c r="O30" s="459">
        <f t="shared" si="10"/>
        <v>382.17599999999999</v>
      </c>
      <c r="P30" s="459">
        <f t="shared" si="11"/>
        <v>518331.55046399997</v>
      </c>
      <c r="Q30" s="459"/>
      <c r="R30" s="480" t="s">
        <v>668</v>
      </c>
    </row>
    <row r="31" spans="1:18" s="461" customFormat="1" ht="13.2">
      <c r="A31" s="454"/>
      <c r="B31" s="454" t="str">
        <f>'Rate List - Office'!B20</f>
        <v>Wall finishes plaster</v>
      </c>
      <c r="C31" s="454"/>
      <c r="D31" s="454">
        <f>D1-D30</f>
        <v>1.2000000000000002</v>
      </c>
      <c r="E31" s="454">
        <f>D27*D31</f>
        <v>6.9840000000000018</v>
      </c>
      <c r="F31" s="454"/>
      <c r="G31" s="454">
        <f t="shared" si="0"/>
        <v>6.9840000000000018</v>
      </c>
      <c r="H31" s="454" t="str">
        <f>'Rate List - Office'!H20</f>
        <v>Sq M</v>
      </c>
      <c r="I31" s="454" t="str">
        <f>'Rate List - Office'!C20</f>
        <v>Gypsum Plaster</v>
      </c>
      <c r="J31" s="481">
        <f>'Rate List - Office'!E20</f>
        <v>25</v>
      </c>
      <c r="K31" s="481">
        <f>'Rate List - Office'!G20</f>
        <v>269.09999999999997</v>
      </c>
      <c r="L31" s="454">
        <f t="shared" si="1"/>
        <v>1879.3944000000001</v>
      </c>
      <c r="M31" s="459"/>
      <c r="N31" s="459"/>
      <c r="O31" s="459">
        <f t="shared" si="10"/>
        <v>223.48800000000006</v>
      </c>
      <c r="P31" s="459">
        <f t="shared" si="11"/>
        <v>60140.620800000004</v>
      </c>
      <c r="Q31" s="459"/>
      <c r="R31" s="480" t="s">
        <v>661</v>
      </c>
    </row>
    <row r="32" spans="1:18" s="461" customFormat="1" ht="13.2">
      <c r="A32" s="454"/>
      <c r="B32" s="454" t="str">
        <f>'Rate List - Office'!B21</f>
        <v>Ceiling plaster</v>
      </c>
      <c r="C32" s="454"/>
      <c r="D32" s="454"/>
      <c r="E32" s="454">
        <f>E28</f>
        <v>2.06</v>
      </c>
      <c r="F32" s="454"/>
      <c r="G32" s="454">
        <f t="shared" si="0"/>
        <v>2.06</v>
      </c>
      <c r="H32" s="454" t="str">
        <f>'Rate List - Office'!H21</f>
        <v>Sq M</v>
      </c>
      <c r="I32" s="454" t="str">
        <f>'Rate List - Office'!C21</f>
        <v>Gypsum Plaster</v>
      </c>
      <c r="J32" s="481">
        <f>'Rate List - Office'!E21</f>
        <v>25</v>
      </c>
      <c r="K32" s="481">
        <f>'Rate List - Office'!G21</f>
        <v>269.09999999999997</v>
      </c>
      <c r="L32" s="454">
        <f t="shared" si="1"/>
        <v>554.34599999999989</v>
      </c>
      <c r="M32" s="459"/>
      <c r="N32" s="459"/>
      <c r="O32" s="459">
        <f t="shared" si="10"/>
        <v>65.92</v>
      </c>
      <c r="P32" s="459">
        <f t="shared" si="11"/>
        <v>17739.071999999996</v>
      </c>
      <c r="Q32" s="459"/>
      <c r="R32" s="480" t="s">
        <v>662</v>
      </c>
    </row>
    <row r="33" spans="1:22" s="461" customFormat="1" ht="13.2">
      <c r="A33" s="454"/>
      <c r="B33" s="454" t="str">
        <f>'Rate List - Office'!B22</f>
        <v>False ceiling</v>
      </c>
      <c r="C33" s="454"/>
      <c r="D33" s="454"/>
      <c r="E33" s="454"/>
      <c r="F33" s="454"/>
      <c r="G33" s="454">
        <f t="shared" si="0"/>
        <v>0</v>
      </c>
      <c r="H33" s="454" t="str">
        <f>'Rate List - Office'!H22</f>
        <v>Sq M</v>
      </c>
      <c r="I33" s="454" t="str">
        <f>'Rate List - Office'!C22</f>
        <v>N.A.</v>
      </c>
      <c r="J33" s="481">
        <f>'Rate List - Office'!E22</f>
        <v>0</v>
      </c>
      <c r="K33" s="481">
        <f>'Rate List - Office'!G22</f>
        <v>0</v>
      </c>
      <c r="L33" s="454">
        <f t="shared" si="1"/>
        <v>0</v>
      </c>
      <c r="M33" s="459"/>
      <c r="N33" s="459"/>
      <c r="O33" s="459">
        <f t="shared" si="10"/>
        <v>0</v>
      </c>
      <c r="P33" s="459">
        <f t="shared" si="11"/>
        <v>0</v>
      </c>
      <c r="Q33" s="459"/>
      <c r="R33" s="480"/>
    </row>
    <row r="34" spans="1:22" s="461" customFormat="1" ht="13.2">
      <c r="A34" s="454"/>
      <c r="B34" s="454" t="str">
        <f>'Rate List - Office'!B23</f>
        <v>Wall finishes Paint</v>
      </c>
      <c r="C34" s="454"/>
      <c r="D34" s="454"/>
      <c r="E34" s="454">
        <f>E31</f>
        <v>6.9840000000000018</v>
      </c>
      <c r="F34" s="454"/>
      <c r="G34" s="454">
        <f t="shared" si="0"/>
        <v>6.9840000000000018</v>
      </c>
      <c r="H34" s="454" t="str">
        <f>'Rate List - Office'!H23</f>
        <v>Sq M</v>
      </c>
      <c r="I34" s="454" t="str">
        <f>'Rate List - Office'!C23</f>
        <v>Plastic paint</v>
      </c>
      <c r="J34" s="481">
        <f>'Rate List - Office'!E23</f>
        <v>25</v>
      </c>
      <c r="K34" s="481">
        <f>'Rate List - Office'!G23</f>
        <v>269.09999999999997</v>
      </c>
      <c r="L34" s="454">
        <f t="shared" si="1"/>
        <v>1879.3944000000001</v>
      </c>
      <c r="M34" s="459"/>
      <c r="N34" s="459"/>
      <c r="O34" s="459">
        <f t="shared" si="10"/>
        <v>223.48800000000006</v>
      </c>
      <c r="P34" s="459">
        <f t="shared" si="11"/>
        <v>60140.620800000004</v>
      </c>
      <c r="Q34" s="459"/>
      <c r="R34" s="480" t="s">
        <v>663</v>
      </c>
    </row>
    <row r="35" spans="1:22" s="461" customFormat="1" ht="13.2">
      <c r="A35" s="454"/>
      <c r="B35" s="454" t="str">
        <f>'Rate List - Office'!B24</f>
        <v>Ceiling Paint</v>
      </c>
      <c r="C35" s="454"/>
      <c r="D35" s="454"/>
      <c r="E35" s="454">
        <f>E32</f>
        <v>2.06</v>
      </c>
      <c r="F35" s="454"/>
      <c r="G35" s="454">
        <f t="shared" si="0"/>
        <v>2.06</v>
      </c>
      <c r="H35" s="454" t="str">
        <f>'Rate List - Office'!H24</f>
        <v>Sq M</v>
      </c>
      <c r="I35" s="454" t="str">
        <f>'Rate List - Office'!C24</f>
        <v>Plastic paint</v>
      </c>
      <c r="J35" s="481">
        <f>'Rate List - Office'!E24</f>
        <v>25</v>
      </c>
      <c r="K35" s="481">
        <f>'Rate List - Office'!G24</f>
        <v>269.09999999999997</v>
      </c>
      <c r="L35" s="454">
        <f t="shared" si="1"/>
        <v>554.34599999999989</v>
      </c>
      <c r="M35" s="459"/>
      <c r="N35" s="459"/>
      <c r="O35" s="459">
        <f t="shared" si="10"/>
        <v>65.92</v>
      </c>
      <c r="P35" s="459">
        <f t="shared" si="11"/>
        <v>17739.071999999996</v>
      </c>
      <c r="Q35" s="459"/>
      <c r="R35" s="480" t="s">
        <v>664</v>
      </c>
    </row>
    <row r="36" spans="1:22" s="461" customFormat="1" ht="13.2">
      <c r="A36" s="454"/>
      <c r="B36" s="454" t="str">
        <f>'Rate List - Office'!B25</f>
        <v>Door Frames</v>
      </c>
      <c r="C36" s="454"/>
      <c r="D36" s="454"/>
      <c r="E36" s="454">
        <f>Doors!$F$132*4+Doors!$G$132*4</f>
        <v>11.4</v>
      </c>
      <c r="F36" s="454"/>
      <c r="G36" s="454">
        <f t="shared" si="0"/>
        <v>11.4</v>
      </c>
      <c r="H36" s="454" t="str">
        <f>'Rate List - Office'!H25</f>
        <v>RM</v>
      </c>
      <c r="I36" s="454" t="str">
        <f>'Rate List - Office'!C25</f>
        <v>Granite Frames</v>
      </c>
      <c r="J36" s="481">
        <f>'Rate List - Office'!E25</f>
        <v>180</v>
      </c>
      <c r="K36" s="481">
        <f>'Rate List - Office'!G25</f>
        <v>655.92719999999997</v>
      </c>
      <c r="L36" s="454">
        <f t="shared" si="1"/>
        <v>7477.5700799999995</v>
      </c>
      <c r="M36" s="459"/>
      <c r="N36" s="459"/>
      <c r="O36" s="459">
        <f t="shared" si="10"/>
        <v>364.8</v>
      </c>
      <c r="P36" s="459">
        <f t="shared" si="11"/>
        <v>239282.24255999998</v>
      </c>
      <c r="Q36" s="459"/>
      <c r="R36" s="480" t="s">
        <v>669</v>
      </c>
    </row>
    <row r="37" spans="1:22" s="461" customFormat="1" ht="13.2">
      <c r="A37" s="454"/>
      <c r="B37" s="454" t="str">
        <f>'Rate List - Office'!B26</f>
        <v>Window Frames - Internal</v>
      </c>
      <c r="C37" s="454"/>
      <c r="D37" s="454"/>
      <c r="E37" s="454">
        <f>$E$24</f>
        <v>2.7</v>
      </c>
      <c r="F37" s="454"/>
      <c r="G37" s="454">
        <f t="shared" si="0"/>
        <v>2.7</v>
      </c>
      <c r="H37" s="454" t="str">
        <f>'Rate List - Office'!H26</f>
        <v>RM</v>
      </c>
      <c r="I37" s="454" t="str">
        <f>'Rate List - Office'!C26</f>
        <v>Granite Window Frame</v>
      </c>
      <c r="J37" s="481">
        <f>'Rate List - Office'!E26</f>
        <v>180</v>
      </c>
      <c r="K37" s="481">
        <f>'Rate List - Office'!G26</f>
        <v>655.92719999999997</v>
      </c>
      <c r="L37" s="454">
        <f t="shared" si="1"/>
        <v>1771.00344</v>
      </c>
      <c r="M37" s="459"/>
      <c r="N37" s="459"/>
      <c r="O37" s="459">
        <f t="shared" si="10"/>
        <v>86.4</v>
      </c>
      <c r="P37" s="459">
        <f t="shared" si="11"/>
        <v>56672.110079999999</v>
      </c>
      <c r="Q37" s="459"/>
      <c r="R37" s="480" t="s">
        <v>408</v>
      </c>
    </row>
    <row r="38" spans="1:22" s="461" customFormat="1" ht="13.2">
      <c r="A38" s="454"/>
      <c r="B38" s="454" t="str">
        <f>'Rate List - Office'!B27</f>
        <v>Window Frames - External</v>
      </c>
      <c r="C38" s="454"/>
      <c r="D38" s="454"/>
      <c r="E38" s="454">
        <f>E25</f>
        <v>2.7</v>
      </c>
      <c r="F38" s="454"/>
      <c r="G38" s="454">
        <f t="shared" si="0"/>
        <v>2.7</v>
      </c>
      <c r="H38" s="454" t="str">
        <f>'Rate List - Office'!H27</f>
        <v>RM</v>
      </c>
      <c r="I38" s="454" t="str">
        <f>'Rate List - Office'!C27</f>
        <v>Marble Window Frames with Sill</v>
      </c>
      <c r="J38" s="481">
        <f>'Rate List - Office'!E27</f>
        <v>60</v>
      </c>
      <c r="K38" s="481">
        <f>'Rate List - Office'!G27</f>
        <v>399.04239999999999</v>
      </c>
      <c r="L38" s="454">
        <f t="shared" si="1"/>
        <v>1077.4144800000001</v>
      </c>
      <c r="M38" s="459"/>
      <c r="N38" s="459"/>
      <c r="O38" s="459">
        <f t="shared" si="10"/>
        <v>86.4</v>
      </c>
      <c r="P38" s="459">
        <f t="shared" si="11"/>
        <v>34477.263360000004</v>
      </c>
      <c r="Q38" s="459"/>
      <c r="R38" s="480" t="s">
        <v>409</v>
      </c>
    </row>
    <row r="39" spans="1:22" s="461" customFormat="1" ht="13.2">
      <c r="A39" s="454"/>
      <c r="B39" s="454" t="str">
        <f>'Rate List - Office'!B28</f>
        <v>Others - Counter</v>
      </c>
      <c r="C39" s="454"/>
      <c r="D39" s="454"/>
      <c r="E39" s="454">
        <f>0.45*0.45</f>
        <v>0.20250000000000001</v>
      </c>
      <c r="F39" s="454"/>
      <c r="G39" s="454">
        <f t="shared" si="0"/>
        <v>0.20250000000000001</v>
      </c>
      <c r="H39" s="454" t="str">
        <f>'Rate List - Office'!H28</f>
        <v>Sq M</v>
      </c>
      <c r="I39" s="454" t="str">
        <f>'Rate List - Office'!C28</f>
        <v>Basin Counter 1'6" - Granite Basin Counter</v>
      </c>
      <c r="J39" s="481">
        <f>'Rate List - Office'!E28</f>
        <v>180</v>
      </c>
      <c r="K39" s="481">
        <f>'Rate List - Office'!G28</f>
        <v>6329.6720000000005</v>
      </c>
      <c r="L39" s="454">
        <f t="shared" si="1"/>
        <v>1281.7585800000002</v>
      </c>
      <c r="M39" s="459"/>
      <c r="N39" s="459"/>
      <c r="O39" s="459">
        <f t="shared" si="10"/>
        <v>6.48</v>
      </c>
      <c r="P39" s="459">
        <f t="shared" si="11"/>
        <v>41016.274560000005</v>
      </c>
      <c r="Q39" s="459"/>
      <c r="R39" s="480" t="s">
        <v>670</v>
      </c>
    </row>
    <row r="40" spans="1:22" s="461" customFormat="1" ht="13.2">
      <c r="A40" s="454"/>
      <c r="B40" s="454"/>
      <c r="C40" s="454"/>
      <c r="D40" s="454"/>
      <c r="E40" s="454"/>
      <c r="F40" s="454"/>
      <c r="G40" s="454"/>
      <c r="H40" s="454"/>
      <c r="I40" s="454"/>
      <c r="J40" s="481"/>
      <c r="K40" s="481"/>
      <c r="L40" s="454"/>
      <c r="M40" s="459"/>
      <c r="N40" s="459"/>
      <c r="O40" s="459"/>
      <c r="P40" s="459"/>
      <c r="Q40" s="459"/>
      <c r="R40" s="480"/>
    </row>
    <row r="41" spans="1:22" s="474" customFormat="1" ht="13.5" customHeight="1">
      <c r="A41" s="465" t="s">
        <v>628</v>
      </c>
      <c r="B41" s="466" t="str">
        <f>'Office Sizes'!B44</f>
        <v>Common Area</v>
      </c>
      <c r="C41" s="467"/>
      <c r="D41" s="467"/>
      <c r="E41" s="467"/>
      <c r="F41" s="454"/>
      <c r="G41" s="467"/>
      <c r="H41" s="468"/>
      <c r="I41" s="469"/>
      <c r="J41" s="470"/>
      <c r="K41" s="470"/>
      <c r="L41" s="467"/>
      <c r="M41" s="471"/>
      <c r="N41" s="928">
        <f>4*2</f>
        <v>8</v>
      </c>
      <c r="O41" s="473"/>
      <c r="P41" s="473"/>
      <c r="Q41" s="473"/>
      <c r="R41" s="473"/>
      <c r="S41" s="473"/>
      <c r="T41" s="473"/>
      <c r="U41" s="473"/>
      <c r="V41" s="473"/>
    </row>
    <row r="42" spans="1:22" s="479" customFormat="1" ht="13.5" customHeight="1">
      <c r="A42" s="475" t="s">
        <v>628</v>
      </c>
      <c r="B42" s="476" t="str">
        <f>'Office Sizes'!B45</f>
        <v>Lobby</v>
      </c>
      <c r="C42" s="477">
        <f>'Office Sizes'!D45</f>
        <v>13.58</v>
      </c>
      <c r="D42" s="477">
        <f>'Office Sizes'!G45</f>
        <v>18.239999999999998</v>
      </c>
      <c r="E42" s="477"/>
      <c r="F42" s="454"/>
      <c r="G42" s="477"/>
      <c r="H42" s="477"/>
      <c r="I42" s="454"/>
      <c r="J42" s="477"/>
      <c r="K42" s="477"/>
      <c r="L42" s="477"/>
      <c r="M42" s="459"/>
      <c r="O42" s="478"/>
      <c r="P42" s="478"/>
      <c r="Q42" s="478"/>
      <c r="R42" s="478"/>
    </row>
    <row r="43" spans="1:22" s="461" customFormat="1" ht="13.2">
      <c r="A43" s="454"/>
      <c r="B43" s="454" t="str">
        <f>'Rate List - Office'!B70</f>
        <v>Flooring</v>
      </c>
      <c r="C43" s="454"/>
      <c r="D43" s="454"/>
      <c r="E43" s="454">
        <f>C42</f>
        <v>13.58</v>
      </c>
      <c r="F43" s="454"/>
      <c r="G43" s="454">
        <f t="shared" ref="G43:G74" si="12">E43+F43</f>
        <v>13.58</v>
      </c>
      <c r="H43" s="454" t="str" cm="1">
        <f t="array" ref="H43:H51">'Rate List - Office'!H70:H78</f>
        <v>Sq M</v>
      </c>
      <c r="I43" s="454" t="str" cm="1">
        <f t="array" ref="I43:I51">'Rate List - Office'!C70:C78</f>
        <v>Vitrified Tiles</v>
      </c>
      <c r="J43" s="481" cm="1">
        <f t="array" ref="J43:J51">'Rate List - Office'!E70:E78</f>
        <v>55</v>
      </c>
      <c r="K43" s="481" cm="1">
        <f t="array" ref="K43:K51">'Rate List - Office'!G70:G78</f>
        <v>1619.982</v>
      </c>
      <c r="L43" s="454">
        <f t="shared" ref="L43:L74" si="13">G43*K43</f>
        <v>21999.35556</v>
      </c>
      <c r="M43" s="459"/>
      <c r="N43" s="459"/>
      <c r="O43" s="459">
        <f>IF(I43="N.A",0,G43*$N$41)</f>
        <v>108.64</v>
      </c>
      <c r="P43" s="459">
        <f>L43*$N$41</f>
        <v>175994.84448</v>
      </c>
      <c r="Q43" s="459"/>
      <c r="R43" s="458" t="s">
        <v>671</v>
      </c>
    </row>
    <row r="44" spans="1:22" s="461" customFormat="1" ht="13.2">
      <c r="A44" s="454"/>
      <c r="B44" s="454" t="str">
        <f>'Rate List - Office'!B71</f>
        <v>Skirting</v>
      </c>
      <c r="C44" s="454"/>
      <c r="D44" s="454"/>
      <c r="E44" s="454">
        <f>D42</f>
        <v>18.239999999999998</v>
      </c>
      <c r="F44" s="454"/>
      <c r="G44" s="454">
        <f t="shared" si="12"/>
        <v>18.239999999999998</v>
      </c>
      <c r="H44" s="454" t="str">
        <v xml:space="preserve">R M </v>
      </c>
      <c r="I44" s="454" t="str">
        <v>Vitrified Tiles</v>
      </c>
      <c r="J44" s="481">
        <v>55</v>
      </c>
      <c r="K44" s="481">
        <v>493.64</v>
      </c>
      <c r="L44" s="454">
        <f t="shared" si="13"/>
        <v>9003.9935999999998</v>
      </c>
      <c r="M44" s="459"/>
      <c r="N44" s="459"/>
      <c r="O44" s="459">
        <f t="shared" ref="O44:O51" si="14">IF(I44="N.A",0,G44*$N$41)</f>
        <v>145.91999999999999</v>
      </c>
      <c r="P44" s="459">
        <f t="shared" ref="P44:P51" si="15">L44*$N$41</f>
        <v>72031.948799999998</v>
      </c>
      <c r="Q44" s="459"/>
      <c r="R44" s="458"/>
    </row>
    <row r="45" spans="1:22" s="461" customFormat="1" ht="13.2">
      <c r="A45" s="454"/>
      <c r="B45" s="454" t="str">
        <f>'Rate List - Office'!B72</f>
        <v>Dado</v>
      </c>
      <c r="C45" s="454"/>
      <c r="D45" s="454"/>
      <c r="E45" s="454"/>
      <c r="F45" s="454"/>
      <c r="G45" s="454">
        <f t="shared" si="12"/>
        <v>0</v>
      </c>
      <c r="H45" s="454" t="str">
        <v>Sq M</v>
      </c>
      <c r="I45" s="454" t="str">
        <v>N.A.</v>
      </c>
      <c r="J45" s="481">
        <v>70</v>
      </c>
      <c r="K45" s="481">
        <v>1851.4079999999999</v>
      </c>
      <c r="L45" s="454">
        <f t="shared" si="13"/>
        <v>0</v>
      </c>
      <c r="M45" s="459"/>
      <c r="N45" s="459"/>
      <c r="O45" s="459">
        <f t="shared" si="14"/>
        <v>0</v>
      </c>
      <c r="P45" s="459">
        <f t="shared" si="15"/>
        <v>0</v>
      </c>
      <c r="Q45" s="459"/>
      <c r="R45" s="458" t="s">
        <v>672</v>
      </c>
    </row>
    <row r="46" spans="1:22" s="461" customFormat="1" ht="13.2">
      <c r="A46" s="454"/>
      <c r="B46" s="454" t="str">
        <f>'Rate List - Office'!B73</f>
        <v>Wall finishes plaster</v>
      </c>
      <c r="C46" s="454"/>
      <c r="D46" s="454"/>
      <c r="E46" s="454"/>
      <c r="F46" s="454"/>
      <c r="G46" s="454">
        <f t="shared" si="12"/>
        <v>0</v>
      </c>
      <c r="H46" s="454" t="str">
        <v>Sq M</v>
      </c>
      <c r="I46" s="454" t="str">
        <v>Gypsum Plaster</v>
      </c>
      <c r="J46" s="481">
        <v>40</v>
      </c>
      <c r="K46" s="481">
        <v>473.61599999999999</v>
      </c>
      <c r="L46" s="454">
        <f t="shared" si="13"/>
        <v>0</v>
      </c>
      <c r="M46" s="459"/>
      <c r="N46" s="459"/>
      <c r="O46" s="459">
        <f t="shared" si="14"/>
        <v>0</v>
      </c>
      <c r="P46" s="459">
        <f t="shared" si="15"/>
        <v>0</v>
      </c>
      <c r="Q46" s="459"/>
      <c r="R46" s="458"/>
    </row>
    <row r="47" spans="1:22" s="461" customFormat="1" ht="13.2">
      <c r="A47" s="454"/>
      <c r="B47" s="454" t="str">
        <f>'Rate List - Office'!B74</f>
        <v>Ceiling plaster</v>
      </c>
      <c r="C47" s="454"/>
      <c r="D47" s="454"/>
      <c r="E47" s="454">
        <f>D42*(D1-0.15)</f>
        <v>62.927999999999997</v>
      </c>
      <c r="F47" s="454">
        <f>-1.2-1</f>
        <v>-2.2000000000000002</v>
      </c>
      <c r="G47" s="454">
        <f t="shared" si="12"/>
        <v>60.727999999999994</v>
      </c>
      <c r="H47" s="454" t="str">
        <v>Sq M</v>
      </c>
      <c r="I47" s="454" t="str">
        <v>Gypsum Plaster</v>
      </c>
      <c r="J47" s="481">
        <v>40</v>
      </c>
      <c r="K47" s="481">
        <v>473.61599999999999</v>
      </c>
      <c r="L47" s="454">
        <f t="shared" si="13"/>
        <v>28761.752447999996</v>
      </c>
      <c r="M47" s="459"/>
      <c r="N47" s="459"/>
      <c r="O47" s="459">
        <f t="shared" si="14"/>
        <v>485.82399999999996</v>
      </c>
      <c r="P47" s="459">
        <f t="shared" si="15"/>
        <v>230094.01958399997</v>
      </c>
      <c r="Q47" s="459"/>
      <c r="R47" s="458"/>
    </row>
    <row r="48" spans="1:22" s="461" customFormat="1" ht="13.2">
      <c r="A48" s="454"/>
      <c r="B48" s="454" t="str">
        <f>'Rate List - Office'!B75</f>
        <v>False celing</v>
      </c>
      <c r="C48" s="454"/>
      <c r="D48" s="454"/>
      <c r="E48" s="454">
        <f>C42</f>
        <v>13.58</v>
      </c>
      <c r="F48" s="454"/>
      <c r="G48" s="454">
        <f t="shared" si="12"/>
        <v>13.58</v>
      </c>
      <c r="H48" s="454" t="str">
        <v>Sq M</v>
      </c>
      <c r="I48" s="454" t="str">
        <v>Gypsum false ceiling with cove</v>
      </c>
      <c r="J48" s="481">
        <v>135</v>
      </c>
      <c r="K48" s="481">
        <v>1598.454</v>
      </c>
      <c r="L48" s="454">
        <f t="shared" si="13"/>
        <v>21707.00532</v>
      </c>
      <c r="M48" s="459"/>
      <c r="N48" s="459"/>
      <c r="O48" s="459">
        <f t="shared" si="14"/>
        <v>108.64</v>
      </c>
      <c r="P48" s="459">
        <f t="shared" si="15"/>
        <v>173656.04256</v>
      </c>
      <c r="Q48" s="459"/>
      <c r="R48" s="458" t="s">
        <v>673</v>
      </c>
    </row>
    <row r="49" spans="1:18" s="461" customFormat="1" ht="13.2">
      <c r="A49" s="454"/>
      <c r="B49" s="454" t="str">
        <f>'Rate List - Office'!B76</f>
        <v>Wall finishes Paint</v>
      </c>
      <c r="C49" s="454"/>
      <c r="D49" s="454"/>
      <c r="E49" s="454">
        <f>D42*(D1-0.15)</f>
        <v>62.927999999999997</v>
      </c>
      <c r="F49" s="454">
        <f>F47</f>
        <v>-2.2000000000000002</v>
      </c>
      <c r="G49" s="454">
        <f t="shared" si="12"/>
        <v>60.727999999999994</v>
      </c>
      <c r="H49" s="454" t="str">
        <v>Sq M</v>
      </c>
      <c r="I49" s="454" t="str">
        <v>Plastic paint</v>
      </c>
      <c r="J49" s="481">
        <v>25</v>
      </c>
      <c r="K49" s="481">
        <v>296.01000000000005</v>
      </c>
      <c r="L49" s="454">
        <f t="shared" si="13"/>
        <v>17976.095280000001</v>
      </c>
      <c r="M49" s="459"/>
      <c r="N49" s="459"/>
      <c r="O49" s="459">
        <f t="shared" si="14"/>
        <v>485.82399999999996</v>
      </c>
      <c r="P49" s="459">
        <f t="shared" si="15"/>
        <v>143808.76224000001</v>
      </c>
      <c r="Q49" s="459"/>
      <c r="R49" s="458"/>
    </row>
    <row r="50" spans="1:18" s="461" customFormat="1" ht="13.2">
      <c r="A50" s="454"/>
      <c r="B50" s="454" t="str">
        <f>'Rate List - Office'!B77</f>
        <v>Ceiling Paint</v>
      </c>
      <c r="C50" s="454"/>
      <c r="D50" s="454"/>
      <c r="E50" s="454">
        <f>E43</f>
        <v>13.58</v>
      </c>
      <c r="F50" s="454"/>
      <c r="G50" s="454">
        <f t="shared" si="12"/>
        <v>13.58</v>
      </c>
      <c r="H50" s="454" t="str">
        <v>Sq M</v>
      </c>
      <c r="I50" s="454" t="str">
        <v>Plastic paint</v>
      </c>
      <c r="J50" s="481">
        <v>16</v>
      </c>
      <c r="K50" s="481">
        <v>189.44640000000001</v>
      </c>
      <c r="L50" s="454">
        <f t="shared" si="13"/>
        <v>2572.682112</v>
      </c>
      <c r="M50" s="459"/>
      <c r="N50" s="459"/>
      <c r="O50" s="459">
        <f t="shared" si="14"/>
        <v>108.64</v>
      </c>
      <c r="P50" s="459">
        <f t="shared" si="15"/>
        <v>20581.456896</v>
      </c>
      <c r="Q50" s="459"/>
      <c r="R50" s="458" t="s">
        <v>664</v>
      </c>
    </row>
    <row r="51" spans="1:18" s="461" customFormat="1" ht="13.2">
      <c r="A51" s="454"/>
      <c r="B51" s="454" t="str">
        <f>'Rate List - Office'!B78</f>
        <v>Architrave</v>
      </c>
      <c r="C51" s="454"/>
      <c r="D51" s="454"/>
      <c r="E51" s="454">
        <f>2.4+1+2.4</f>
        <v>5.8</v>
      </c>
      <c r="F51" s="454"/>
      <c r="G51" s="454">
        <f t="shared" si="12"/>
        <v>5.8</v>
      </c>
      <c r="H51" s="454" t="str">
        <v>RM</v>
      </c>
      <c r="I51" s="454" t="str">
        <v>Granite</v>
      </c>
      <c r="J51" s="481">
        <v>230</v>
      </c>
      <c r="K51" s="481">
        <v>3043.84</v>
      </c>
      <c r="L51" s="454">
        <f t="shared" si="13"/>
        <v>17654.272000000001</v>
      </c>
      <c r="M51" s="459"/>
      <c r="N51" s="459"/>
      <c r="O51" s="459">
        <f t="shared" si="14"/>
        <v>46.4</v>
      </c>
      <c r="P51" s="459">
        <f t="shared" si="15"/>
        <v>141234.17600000001</v>
      </c>
      <c r="Q51" s="459"/>
      <c r="R51" s="458" t="s">
        <v>412</v>
      </c>
    </row>
    <row r="52" spans="1:18" s="479" customFormat="1" ht="13.5" customHeight="1">
      <c r="A52" s="475" t="s">
        <v>628</v>
      </c>
      <c r="B52" s="476" t="str">
        <f>'Office Sizes'!B46</f>
        <v>Lifts</v>
      </c>
      <c r="C52" s="477">
        <f>'Office Sizes'!D46</f>
        <v>3.62</v>
      </c>
      <c r="D52" s="477">
        <f>'Office Sizes'!G46</f>
        <v>7.63</v>
      </c>
      <c r="E52" s="477"/>
      <c r="F52" s="454"/>
      <c r="G52" s="477"/>
      <c r="H52" s="477"/>
      <c r="I52" s="454"/>
      <c r="J52" s="477"/>
      <c r="K52" s="477"/>
      <c r="L52" s="477"/>
      <c r="M52" s="459"/>
      <c r="N52" s="928">
        <f>4*4</f>
        <v>16</v>
      </c>
      <c r="O52" s="478"/>
      <c r="P52" s="478"/>
      <c r="Q52" s="478"/>
      <c r="R52" s="478"/>
    </row>
    <row r="53" spans="1:18" s="461" customFormat="1" ht="13.2">
      <c r="A53" s="454"/>
      <c r="B53" s="454" t="str" cm="1">
        <f t="array" ref="B53:B61">'Rate List - Office'!B45:B53</f>
        <v>Flooring</v>
      </c>
      <c r="C53" s="454"/>
      <c r="D53" s="454"/>
      <c r="E53" s="454"/>
      <c r="F53" s="454"/>
      <c r="G53" s="454">
        <f t="shared" si="12"/>
        <v>0</v>
      </c>
      <c r="H53" s="454" t="str" cm="1">
        <f t="array" ref="H53:H61">'Rate List - Office'!H45:H53</f>
        <v>Sq M</v>
      </c>
      <c r="I53" s="454" t="str" cm="1">
        <f t="array" ref="I53:I61">'Rate List - Office'!C45:C53</f>
        <v>N.A.</v>
      </c>
      <c r="J53" s="481" cm="1">
        <f t="array" ref="J53:J61">'Rate List - Office'!E45:E53</f>
        <v>0</v>
      </c>
      <c r="K53" s="481" cm="1">
        <f t="array" ref="K53:K61">'Rate List - Office'!G45:G53</f>
        <v>0</v>
      </c>
      <c r="L53" s="454">
        <f t="shared" si="13"/>
        <v>0</v>
      </c>
      <c r="M53" s="459"/>
      <c r="N53" s="459"/>
      <c r="O53" s="459">
        <f t="shared" ref="O53:O61" si="16">IF(I53="N.A",0,G53*$N$41)</f>
        <v>0</v>
      </c>
      <c r="P53" s="459">
        <f t="shared" ref="P53:P61" si="17">L53*$N$41</f>
        <v>0</v>
      </c>
      <c r="Q53" s="459"/>
      <c r="R53" s="459"/>
    </row>
    <row r="54" spans="1:18" s="461" customFormat="1" ht="13.2">
      <c r="A54" s="454"/>
      <c r="B54" s="454" t="str">
        <v>Skirting</v>
      </c>
      <c r="C54" s="454"/>
      <c r="D54" s="454"/>
      <c r="E54" s="454"/>
      <c r="F54" s="454"/>
      <c r="G54" s="454">
        <f t="shared" si="12"/>
        <v>0</v>
      </c>
      <c r="H54" s="454" t="str">
        <v xml:space="preserve">R M </v>
      </c>
      <c r="I54" s="454" t="str">
        <v>N.A.</v>
      </c>
      <c r="J54" s="481">
        <v>0</v>
      </c>
      <c r="K54" s="481">
        <v>0</v>
      </c>
      <c r="L54" s="454">
        <f t="shared" si="13"/>
        <v>0</v>
      </c>
      <c r="M54" s="459"/>
      <c r="N54" s="459"/>
      <c r="O54" s="459">
        <f t="shared" si="16"/>
        <v>0</v>
      </c>
      <c r="P54" s="459">
        <f t="shared" si="17"/>
        <v>0</v>
      </c>
      <c r="Q54" s="459"/>
      <c r="R54" s="459"/>
    </row>
    <row r="55" spans="1:18" s="461" customFormat="1" ht="13.2">
      <c r="A55" s="454"/>
      <c r="B55" s="454" t="str">
        <v>Dado</v>
      </c>
      <c r="C55" s="454"/>
      <c r="D55" s="454"/>
      <c r="E55" s="454"/>
      <c r="F55" s="454"/>
      <c r="G55" s="454">
        <f t="shared" si="12"/>
        <v>0</v>
      </c>
      <c r="H55" s="454" t="str">
        <v>Sq M</v>
      </c>
      <c r="I55" s="454" t="str">
        <v>N.A.</v>
      </c>
      <c r="J55" s="481">
        <v>0</v>
      </c>
      <c r="K55" s="481">
        <v>0</v>
      </c>
      <c r="L55" s="454">
        <f t="shared" si="13"/>
        <v>0</v>
      </c>
      <c r="M55" s="459"/>
      <c r="N55" s="459"/>
      <c r="O55" s="459">
        <f t="shared" si="16"/>
        <v>0</v>
      </c>
      <c r="P55" s="459">
        <f t="shared" si="17"/>
        <v>0</v>
      </c>
      <c r="Q55" s="459"/>
      <c r="R55" s="459"/>
    </row>
    <row r="56" spans="1:18" s="461" customFormat="1" ht="13.2">
      <c r="A56" s="454"/>
      <c r="B56" s="454" t="str">
        <v>Wall finishes plaster</v>
      </c>
      <c r="C56" s="454"/>
      <c r="D56" s="454"/>
      <c r="E56" s="454"/>
      <c r="F56" s="454"/>
      <c r="G56" s="454">
        <f t="shared" si="12"/>
        <v>0</v>
      </c>
      <c r="H56" s="454" t="str">
        <v>Sq M</v>
      </c>
      <c r="I56" s="454" t="str">
        <v>N.A.</v>
      </c>
      <c r="J56" s="481">
        <v>0</v>
      </c>
      <c r="K56" s="481">
        <v>0</v>
      </c>
      <c r="L56" s="454">
        <f t="shared" si="13"/>
        <v>0</v>
      </c>
      <c r="M56" s="459"/>
      <c r="N56" s="459"/>
      <c r="O56" s="459">
        <f t="shared" si="16"/>
        <v>0</v>
      </c>
      <c r="P56" s="459">
        <f t="shared" si="17"/>
        <v>0</v>
      </c>
      <c r="Q56" s="459"/>
      <c r="R56" s="459"/>
    </row>
    <row r="57" spans="1:18" s="461" customFormat="1" ht="13.2">
      <c r="A57" s="454"/>
      <c r="B57" s="454" t="str">
        <v>Ceiling plaster</v>
      </c>
      <c r="C57" s="454"/>
      <c r="D57" s="454"/>
      <c r="E57" s="454"/>
      <c r="F57" s="454"/>
      <c r="G57" s="454">
        <f t="shared" si="12"/>
        <v>0</v>
      </c>
      <c r="H57" s="454" t="str">
        <v>Sq M</v>
      </c>
      <c r="I57" s="454" t="str">
        <v>N.A.</v>
      </c>
      <c r="J57" s="481">
        <v>0</v>
      </c>
      <c r="K57" s="481">
        <v>0</v>
      </c>
      <c r="L57" s="454">
        <f t="shared" si="13"/>
        <v>0</v>
      </c>
      <c r="M57" s="459"/>
      <c r="N57" s="459"/>
      <c r="O57" s="459">
        <f t="shared" si="16"/>
        <v>0</v>
      </c>
      <c r="P57" s="459">
        <f t="shared" si="17"/>
        <v>0</v>
      </c>
      <c r="Q57" s="459"/>
      <c r="R57" s="459"/>
    </row>
    <row r="58" spans="1:18" s="461" customFormat="1" ht="13.2">
      <c r="A58" s="454"/>
      <c r="B58" s="454" t="str">
        <v>False ceiling</v>
      </c>
      <c r="C58" s="454"/>
      <c r="D58" s="454"/>
      <c r="E58" s="454"/>
      <c r="F58" s="454"/>
      <c r="G58" s="454">
        <f t="shared" si="12"/>
        <v>0</v>
      </c>
      <c r="H58" s="454" t="str">
        <v>Sq M</v>
      </c>
      <c r="I58" s="454" t="str">
        <v>N.A.</v>
      </c>
      <c r="J58" s="481">
        <v>0</v>
      </c>
      <c r="K58" s="481">
        <v>0</v>
      </c>
      <c r="L58" s="454">
        <f t="shared" si="13"/>
        <v>0</v>
      </c>
      <c r="M58" s="459"/>
      <c r="N58" s="459"/>
      <c r="O58" s="459">
        <f t="shared" si="16"/>
        <v>0</v>
      </c>
      <c r="P58" s="459">
        <f t="shared" si="17"/>
        <v>0</v>
      </c>
      <c r="Q58" s="459"/>
      <c r="R58" s="459"/>
    </row>
    <row r="59" spans="1:18" s="461" customFormat="1" ht="13.2">
      <c r="A59" s="454"/>
      <c r="B59" s="454" t="str">
        <v>Wall finishes Paint</v>
      </c>
      <c r="C59" s="454"/>
      <c r="D59" s="454"/>
      <c r="E59" s="454">
        <f>D52*D1*4</f>
        <v>109.872</v>
      </c>
      <c r="F59" s="454">
        <f>-1*D1*4</f>
        <v>-14.4</v>
      </c>
      <c r="G59" s="454">
        <f t="shared" si="12"/>
        <v>95.471999999999994</v>
      </c>
      <c r="H59" s="454" t="str">
        <v>Sq M</v>
      </c>
      <c r="I59" s="454" t="str">
        <v xml:space="preserve">Cement Paint </v>
      </c>
      <c r="J59" s="481">
        <v>16</v>
      </c>
      <c r="K59" s="481">
        <v>172.22399999999999</v>
      </c>
      <c r="L59" s="454">
        <f t="shared" si="13"/>
        <v>16442.569727999999</v>
      </c>
      <c r="M59" s="459"/>
      <c r="N59" s="459"/>
      <c r="O59" s="459">
        <f t="shared" si="16"/>
        <v>763.77599999999995</v>
      </c>
      <c r="P59" s="459">
        <f t="shared" si="17"/>
        <v>131540.55782399999</v>
      </c>
      <c r="Q59" s="459"/>
      <c r="R59" s="458" t="s">
        <v>674</v>
      </c>
    </row>
    <row r="60" spans="1:18" s="461" customFormat="1" ht="13.2">
      <c r="A60" s="454"/>
      <c r="B60" s="454" t="str">
        <v>Ceiling Paint</v>
      </c>
      <c r="C60" s="454"/>
      <c r="D60" s="454"/>
      <c r="E60" s="454"/>
      <c r="F60" s="454"/>
      <c r="G60" s="454">
        <f t="shared" si="12"/>
        <v>0</v>
      </c>
      <c r="H60" s="454" t="str">
        <v>Sq M</v>
      </c>
      <c r="I60" s="454" t="str">
        <v>N.A.</v>
      </c>
      <c r="J60" s="481">
        <v>0</v>
      </c>
      <c r="K60" s="481">
        <v>0</v>
      </c>
      <c r="L60" s="454">
        <f t="shared" si="13"/>
        <v>0</v>
      </c>
      <c r="M60" s="459"/>
      <c r="N60" s="459"/>
      <c r="O60" s="459">
        <f t="shared" si="16"/>
        <v>0</v>
      </c>
      <c r="P60" s="459">
        <f t="shared" si="17"/>
        <v>0</v>
      </c>
      <c r="Q60" s="459"/>
      <c r="R60" s="459"/>
    </row>
    <row r="61" spans="1:18" s="461" customFormat="1" ht="13.2">
      <c r="A61" s="454"/>
      <c r="B61" s="454" t="str">
        <v>Architrave</v>
      </c>
      <c r="C61" s="454"/>
      <c r="D61" s="454"/>
      <c r="E61" s="454"/>
      <c r="F61" s="454"/>
      <c r="G61" s="454">
        <f t="shared" si="12"/>
        <v>0</v>
      </c>
      <c r="H61" s="454" t="str">
        <v>Sq M</v>
      </c>
      <c r="I61" s="454" t="str">
        <v>N.A.</v>
      </c>
      <c r="J61" s="481">
        <v>0</v>
      </c>
      <c r="K61" s="481">
        <v>0</v>
      </c>
      <c r="L61" s="454">
        <f t="shared" si="13"/>
        <v>0</v>
      </c>
      <c r="M61" s="459"/>
      <c r="N61" s="459"/>
      <c r="O61" s="459">
        <f t="shared" si="16"/>
        <v>0</v>
      </c>
      <c r="P61" s="459">
        <f t="shared" si="17"/>
        <v>0</v>
      </c>
      <c r="Q61" s="459"/>
      <c r="R61" s="459"/>
    </row>
    <row r="62" spans="1:18" s="479" customFormat="1" ht="13.5" customHeight="1">
      <c r="A62" s="475" t="s">
        <v>628</v>
      </c>
      <c r="B62" s="476" t="str">
        <f>'Office Sizes'!B47</f>
        <v>Staircase</v>
      </c>
      <c r="C62" s="477">
        <f>'Office Sizes'!D47</f>
        <v>13.81</v>
      </c>
      <c r="D62" s="477">
        <f>'Office Sizes'!G47</f>
        <v>14.9</v>
      </c>
      <c r="E62" s="477"/>
      <c r="F62" s="454"/>
      <c r="G62" s="477"/>
      <c r="H62" s="477"/>
      <c r="I62" s="454"/>
      <c r="J62" s="477"/>
      <c r="K62" s="477"/>
      <c r="L62" s="477"/>
      <c r="M62" s="459"/>
      <c r="N62" s="928"/>
      <c r="O62" s="478"/>
      <c r="P62" s="478"/>
      <c r="Q62" s="478"/>
      <c r="R62" s="478"/>
    </row>
    <row r="63" spans="1:18" s="461" customFormat="1" ht="13.2">
      <c r="A63" s="454"/>
      <c r="B63" s="454" t="str">
        <f>'Rate List - Office'!B56</f>
        <v>Flooring</v>
      </c>
      <c r="C63" s="454"/>
      <c r="D63" s="454"/>
      <c r="E63" s="456">
        <v>18.96</v>
      </c>
      <c r="F63" s="454"/>
      <c r="G63" s="454">
        <f t="shared" si="12"/>
        <v>18.96</v>
      </c>
      <c r="H63" s="454" t="str" cm="1">
        <f t="array" ref="H63:H74">'Rate List - Office'!H56:H67</f>
        <v>Sq M</v>
      </c>
      <c r="I63" s="454" t="str" cm="1">
        <f t="array" ref="I63:I74">'Rate List - Office'!C56:C67</f>
        <v>Kota Flooring</v>
      </c>
      <c r="J63" s="481" cm="1">
        <f t="array" ref="J63:J74">'Rate List - Office'!E56:E67</f>
        <v>60</v>
      </c>
      <c r="K63" s="481" cm="1">
        <f t="array" ref="K63:K74">'Rate List - Office'!G56:G67</f>
        <v>1625.3639999999998</v>
      </c>
      <c r="L63" s="454">
        <f t="shared" si="13"/>
        <v>30816.901439999998</v>
      </c>
      <c r="M63" s="459"/>
      <c r="N63" s="459">
        <f>4*4</f>
        <v>16</v>
      </c>
      <c r="O63" s="459">
        <f>IF(I63="N.A",0,G63*$N$63)</f>
        <v>303.36</v>
      </c>
      <c r="P63" s="459">
        <f>L63*$N$63</f>
        <v>493070.42303999997</v>
      </c>
      <c r="Q63" s="459"/>
      <c r="R63" s="458" t="s">
        <v>675</v>
      </c>
    </row>
    <row r="64" spans="1:18" s="461" customFormat="1" ht="13.2">
      <c r="A64" s="454"/>
      <c r="B64" s="454" t="str">
        <f>'Rate List - Office'!B57</f>
        <v>Skirting</v>
      </c>
      <c r="C64" s="454"/>
      <c r="D64" s="454"/>
      <c r="E64" s="456">
        <f>D62</f>
        <v>14.9</v>
      </c>
      <c r="F64" s="454">
        <f>-1.2*2</f>
        <v>-2.4</v>
      </c>
      <c r="G64" s="454">
        <f t="shared" si="12"/>
        <v>12.5</v>
      </c>
      <c r="H64" s="454" t="str">
        <v xml:space="preserve">RM </v>
      </c>
      <c r="I64" s="454" t="str">
        <v>Kota Skirting</v>
      </c>
      <c r="J64" s="481">
        <v>60</v>
      </c>
      <c r="K64" s="481">
        <v>446.08</v>
      </c>
      <c r="L64" s="454">
        <f t="shared" si="13"/>
        <v>5576</v>
      </c>
      <c r="M64" s="459"/>
      <c r="N64" s="459"/>
      <c r="O64" s="459">
        <f t="shared" ref="O64:O74" si="18">IF(I64="N.A",0,G64*$N$41)</f>
        <v>100</v>
      </c>
      <c r="P64" s="459">
        <f t="shared" ref="P64:P74" si="19">L64*$N$41</f>
        <v>44608</v>
      </c>
      <c r="Q64" s="459"/>
      <c r="R64" s="458" t="s">
        <v>676</v>
      </c>
    </row>
    <row r="65" spans="1:18" s="461" customFormat="1" ht="13.2">
      <c r="A65" s="454"/>
      <c r="B65" s="454" t="str">
        <f>'Rate List - Office'!B58</f>
        <v>Dado</v>
      </c>
      <c r="C65" s="454"/>
      <c r="D65" s="454"/>
      <c r="E65" s="456"/>
      <c r="F65" s="454"/>
      <c r="G65" s="454">
        <f t="shared" si="12"/>
        <v>0</v>
      </c>
      <c r="H65" s="454" t="str">
        <v>RM</v>
      </c>
      <c r="I65" s="454" t="str">
        <v>N.A.</v>
      </c>
      <c r="J65" s="481">
        <v>0</v>
      </c>
      <c r="K65" s="481">
        <v>0</v>
      </c>
      <c r="L65" s="454">
        <f t="shared" si="13"/>
        <v>0</v>
      </c>
      <c r="M65" s="459"/>
      <c r="N65" s="459"/>
      <c r="O65" s="459">
        <f t="shared" si="18"/>
        <v>0</v>
      </c>
      <c r="P65" s="459">
        <f t="shared" si="19"/>
        <v>0</v>
      </c>
      <c r="Q65" s="459"/>
      <c r="R65" s="458" t="s">
        <v>677</v>
      </c>
    </row>
    <row r="66" spans="1:18" s="461" customFormat="1" ht="13.2">
      <c r="A66" s="454"/>
      <c r="B66" s="454" t="str">
        <f>'Rate List - Office'!B59</f>
        <v>Wall finishes plaster</v>
      </c>
      <c r="C66" s="454"/>
      <c r="D66" s="454"/>
      <c r="E66" s="456">
        <f>D62*(D1-0.15)</f>
        <v>51.405000000000001</v>
      </c>
      <c r="F66" s="454">
        <f>F64*2.4</f>
        <v>-5.76</v>
      </c>
      <c r="G66" s="454">
        <f t="shared" si="12"/>
        <v>45.645000000000003</v>
      </c>
      <c r="H66" s="454" t="str">
        <v>Sq M</v>
      </c>
      <c r="I66" s="454" t="str">
        <v>Cement Plaster</v>
      </c>
      <c r="J66" s="481">
        <v>53</v>
      </c>
      <c r="K66" s="481">
        <v>570.49199999999996</v>
      </c>
      <c r="L66" s="454">
        <f t="shared" si="13"/>
        <v>26040.107339999999</v>
      </c>
      <c r="M66" s="459"/>
      <c r="N66" s="459"/>
      <c r="O66" s="459">
        <f t="shared" si="18"/>
        <v>365.16</v>
      </c>
      <c r="P66" s="459">
        <f t="shared" si="19"/>
        <v>208320.85871999999</v>
      </c>
      <c r="Q66" s="459"/>
      <c r="R66" s="458" t="s">
        <v>678</v>
      </c>
    </row>
    <row r="67" spans="1:18" s="461" customFormat="1" ht="13.2">
      <c r="A67" s="454"/>
      <c r="B67" s="454" t="str">
        <f>'Rate List - Office'!B60</f>
        <v>Ceiling plaster</v>
      </c>
      <c r="C67" s="454"/>
      <c r="D67" s="454"/>
      <c r="E67" s="456"/>
      <c r="F67" s="454"/>
      <c r="G67" s="454">
        <f t="shared" si="12"/>
        <v>0</v>
      </c>
      <c r="H67" s="454" t="str">
        <v>Sq M</v>
      </c>
      <c r="I67" s="454" t="str">
        <v>N.A.</v>
      </c>
      <c r="J67" s="481">
        <v>53</v>
      </c>
      <c r="K67" s="481">
        <v>570.49199999999996</v>
      </c>
      <c r="L67" s="454">
        <f t="shared" si="13"/>
        <v>0</v>
      </c>
      <c r="M67" s="459"/>
      <c r="N67" s="459"/>
      <c r="O67" s="459">
        <f t="shared" si="18"/>
        <v>0</v>
      </c>
      <c r="P67" s="459">
        <f t="shared" si="19"/>
        <v>0</v>
      </c>
      <c r="Q67" s="459"/>
      <c r="R67" s="458" t="s">
        <v>679</v>
      </c>
    </row>
    <row r="68" spans="1:18" s="461" customFormat="1" ht="13.2">
      <c r="A68" s="454"/>
      <c r="B68" s="454" t="str">
        <f>'Rate List - Office'!B61</f>
        <v>False ceiling</v>
      </c>
      <c r="C68" s="454"/>
      <c r="D68" s="454"/>
      <c r="E68" s="456"/>
      <c r="F68" s="454"/>
      <c r="G68" s="454">
        <f t="shared" si="12"/>
        <v>0</v>
      </c>
      <c r="H68" s="454" t="str">
        <v>Sq M</v>
      </c>
      <c r="I68" s="454" t="str">
        <v>N.A.</v>
      </c>
      <c r="J68" s="481">
        <v>0</v>
      </c>
      <c r="K68" s="481">
        <v>0</v>
      </c>
      <c r="L68" s="454">
        <f t="shared" si="13"/>
        <v>0</v>
      </c>
      <c r="M68" s="459"/>
      <c r="N68" s="459"/>
      <c r="O68" s="459">
        <f t="shared" si="18"/>
        <v>0</v>
      </c>
      <c r="P68" s="459">
        <f t="shared" si="19"/>
        <v>0</v>
      </c>
      <c r="Q68" s="459"/>
      <c r="R68" s="458" t="s">
        <v>673</v>
      </c>
    </row>
    <row r="69" spans="1:18" s="461" customFormat="1" ht="13.2">
      <c r="A69" s="454"/>
      <c r="B69" s="454" t="str">
        <f>'Rate List - Office'!B62</f>
        <v>Wall finishes Paint</v>
      </c>
      <c r="C69" s="454"/>
      <c r="D69" s="454"/>
      <c r="E69" s="456">
        <f>E66</f>
        <v>51.405000000000001</v>
      </c>
      <c r="F69" s="454">
        <f>F66</f>
        <v>-5.76</v>
      </c>
      <c r="G69" s="454">
        <f t="shared" si="12"/>
        <v>45.645000000000003</v>
      </c>
      <c r="H69" s="454" t="str">
        <v>Sq M</v>
      </c>
      <c r="I69" s="454" t="str">
        <v>Cement Paint</v>
      </c>
      <c r="J69" s="481">
        <v>18</v>
      </c>
      <c r="K69" s="481">
        <v>193.75199999999998</v>
      </c>
      <c r="L69" s="454">
        <f t="shared" si="13"/>
        <v>8843.8100400000003</v>
      </c>
      <c r="M69" s="459"/>
      <c r="N69" s="459"/>
      <c r="O69" s="459">
        <f t="shared" si="18"/>
        <v>365.16</v>
      </c>
      <c r="P69" s="459">
        <f t="shared" si="19"/>
        <v>70750.480320000002</v>
      </c>
      <c r="Q69" s="459"/>
      <c r="R69" s="458" t="s">
        <v>674</v>
      </c>
    </row>
    <row r="70" spans="1:18" s="461" customFormat="1" ht="13.2">
      <c r="A70" s="454"/>
      <c r="B70" s="454" t="str">
        <f>'Rate List - Office'!B63</f>
        <v>Ceiling Paint</v>
      </c>
      <c r="C70" s="454"/>
      <c r="D70" s="454"/>
      <c r="E70" s="456">
        <f>D62</f>
        <v>14.9</v>
      </c>
      <c r="F70" s="454"/>
      <c r="G70" s="454">
        <f t="shared" si="12"/>
        <v>14.9</v>
      </c>
      <c r="H70" s="454" t="str">
        <v>Sq M</v>
      </c>
      <c r="I70" s="454" t="str">
        <v>Cement Paint</v>
      </c>
      <c r="J70" s="481">
        <v>18</v>
      </c>
      <c r="K70" s="481">
        <v>193.75199999999998</v>
      </c>
      <c r="L70" s="454">
        <f t="shared" si="13"/>
        <v>2886.9047999999998</v>
      </c>
      <c r="M70" s="459"/>
      <c r="N70" s="459"/>
      <c r="O70" s="459">
        <f t="shared" si="18"/>
        <v>119.2</v>
      </c>
      <c r="P70" s="459">
        <f t="shared" si="19"/>
        <v>23095.238399999998</v>
      </c>
      <c r="Q70" s="459"/>
      <c r="R70" s="458" t="s">
        <v>680</v>
      </c>
    </row>
    <row r="71" spans="1:18" s="461" customFormat="1" ht="13.2">
      <c r="A71" s="454"/>
      <c r="B71" s="454" t="str">
        <f>'Rate List - Office'!B64</f>
        <v>Staircase Steps</v>
      </c>
      <c r="C71" s="454"/>
      <c r="D71" s="454"/>
      <c r="E71" s="456"/>
      <c r="F71" s="454"/>
      <c r="G71" s="454">
        <f t="shared" si="12"/>
        <v>0</v>
      </c>
      <c r="H71" s="454" t="str">
        <v xml:space="preserve">RM </v>
      </c>
      <c r="I71" s="454" t="str">
        <v>N.A.</v>
      </c>
      <c r="J71" s="481">
        <v>0</v>
      </c>
      <c r="K71" s="481">
        <v>0</v>
      </c>
      <c r="L71" s="454">
        <f t="shared" si="13"/>
        <v>0</v>
      </c>
      <c r="M71" s="459"/>
      <c r="N71" s="459"/>
      <c r="O71" s="459">
        <f t="shared" si="18"/>
        <v>0</v>
      </c>
      <c r="P71" s="459">
        <f t="shared" si="19"/>
        <v>0</v>
      </c>
      <c r="Q71" s="459"/>
      <c r="R71" s="458"/>
    </row>
    <row r="72" spans="1:18" s="461" customFormat="1" ht="13.2">
      <c r="A72" s="454"/>
      <c r="B72" s="454" t="str">
        <f>'Rate List - Office'!B65</f>
        <v xml:space="preserve">             - Railing</v>
      </c>
      <c r="C72" s="454"/>
      <c r="D72" s="454"/>
      <c r="E72" s="456">
        <f>(2.95+2.95+0.56+0.56)</f>
        <v>7.0200000000000014</v>
      </c>
      <c r="F72" s="454"/>
      <c r="G72" s="454">
        <f t="shared" si="12"/>
        <v>7.0200000000000014</v>
      </c>
      <c r="H72" s="454" t="str">
        <v>RM</v>
      </c>
      <c r="I72" s="454" t="str">
        <v>MS Railing</v>
      </c>
      <c r="J72" s="481">
        <v>0</v>
      </c>
      <c r="K72" s="481">
        <v>1967.9999999999998</v>
      </c>
      <c r="L72" s="454">
        <f t="shared" si="13"/>
        <v>13815.36</v>
      </c>
      <c r="M72" s="459"/>
      <c r="N72" s="459"/>
      <c r="O72" s="459">
        <f t="shared" si="18"/>
        <v>56.160000000000011</v>
      </c>
      <c r="P72" s="459">
        <f t="shared" si="19"/>
        <v>110522.88</v>
      </c>
      <c r="Q72" s="459"/>
      <c r="R72" s="458" t="s">
        <v>681</v>
      </c>
    </row>
    <row r="73" spans="1:18" s="461" customFormat="1" ht="13.2">
      <c r="A73" s="454"/>
      <c r="B73" s="454" t="str">
        <f>'Rate List - Office'!B66</f>
        <v xml:space="preserve">             - Tread</v>
      </c>
      <c r="C73" s="454"/>
      <c r="D73" s="454"/>
      <c r="E73" s="456">
        <f>(24*0.25*2)</f>
        <v>12</v>
      </c>
      <c r="F73" s="454"/>
      <c r="G73" s="454">
        <f t="shared" si="12"/>
        <v>12</v>
      </c>
      <c r="H73" s="454" t="str">
        <v>Sq M</v>
      </c>
      <c r="I73" s="454" t="str">
        <v>Kota Flooring</v>
      </c>
      <c r="J73" s="481">
        <v>75</v>
      </c>
      <c r="K73" s="481">
        <v>1560.78</v>
      </c>
      <c r="L73" s="454">
        <f t="shared" si="13"/>
        <v>18729.36</v>
      </c>
      <c r="M73" s="459"/>
      <c r="N73" s="459"/>
      <c r="O73" s="459">
        <f t="shared" si="18"/>
        <v>96</v>
      </c>
      <c r="P73" s="459">
        <f t="shared" si="19"/>
        <v>149834.88</v>
      </c>
      <c r="Q73" s="459"/>
      <c r="R73" s="458" t="s">
        <v>682</v>
      </c>
    </row>
    <row r="74" spans="1:18" s="461" customFormat="1" ht="13.2">
      <c r="A74" s="454"/>
      <c r="B74" s="454" t="str">
        <f>'Rate List - Office'!B67</f>
        <v xml:space="preserve">             - Riser</v>
      </c>
      <c r="C74" s="454"/>
      <c r="D74" s="454"/>
      <c r="E74" s="456">
        <f>24*0.165*2</f>
        <v>7.92</v>
      </c>
      <c r="F74" s="454"/>
      <c r="G74" s="454">
        <f t="shared" si="12"/>
        <v>7.92</v>
      </c>
      <c r="H74" s="454" t="str">
        <v>Sq M</v>
      </c>
      <c r="I74" s="454" t="str">
        <v>Kota Flooring</v>
      </c>
      <c r="J74" s="481">
        <v>75</v>
      </c>
      <c r="K74" s="481">
        <v>1560.78</v>
      </c>
      <c r="L74" s="454">
        <f t="shared" si="13"/>
        <v>12361.3776</v>
      </c>
      <c r="M74" s="459"/>
      <c r="N74" s="459"/>
      <c r="O74" s="459">
        <f t="shared" si="18"/>
        <v>63.36</v>
      </c>
      <c r="P74" s="459">
        <f t="shared" si="19"/>
        <v>98891.020799999998</v>
      </c>
      <c r="Q74" s="459"/>
      <c r="R74" s="458" t="s">
        <v>683</v>
      </c>
    </row>
    <row r="77" spans="1:18" s="464" customFormat="1" ht="13.2">
      <c r="A77" s="462" t="s">
        <v>197</v>
      </c>
      <c r="B77" s="462" t="s">
        <v>2</v>
      </c>
      <c r="C77" s="462" t="s">
        <v>315</v>
      </c>
      <c r="D77" s="462" t="s">
        <v>562</v>
      </c>
      <c r="E77" s="462" t="s">
        <v>5</v>
      </c>
      <c r="F77" s="462" t="s">
        <v>205</v>
      </c>
      <c r="G77" s="462"/>
      <c r="H77" s="462"/>
      <c r="I77" s="462" t="s">
        <v>658</v>
      </c>
      <c r="J77" s="463"/>
      <c r="K77" s="463"/>
      <c r="L77" s="463"/>
      <c r="M77" s="463"/>
      <c r="N77" s="463"/>
      <c r="O77" s="463"/>
    </row>
    <row r="78" spans="1:18">
      <c r="A78" s="551">
        <v>1</v>
      </c>
      <c r="B78" s="453" t="s">
        <v>443</v>
      </c>
      <c r="C78" s="571"/>
      <c r="D78" s="571">
        <f>SUMIF($R$3:$R$74,I78,$O$3:$O$74)</f>
        <v>1137.28</v>
      </c>
      <c r="E78" s="942">
        <f>F78/D78</f>
        <v>1336.6698249859314</v>
      </c>
      <c r="F78" s="929">
        <f>SUMIF($R$3:$R$74,I78,$P$3:$P$74)</f>
        <v>1520167.8585600001</v>
      </c>
      <c r="G78" s="571"/>
      <c r="H78" s="571"/>
      <c r="I78" s="552" t="s">
        <v>659</v>
      </c>
    </row>
    <row r="79" spans="1:18">
      <c r="A79" s="551">
        <v>2</v>
      </c>
      <c r="B79" s="453" t="s">
        <v>444</v>
      </c>
      <c r="C79" s="571"/>
      <c r="D79" s="571">
        <f t="shared" ref="D79:D105" si="20">SUMIF($R$3:$R$74,I79,$O$3:$O$74)</f>
        <v>398.08000000000004</v>
      </c>
      <c r="E79" s="942">
        <f t="shared" ref="E79:E105" si="21">F79/D79</f>
        <v>391.95999999999992</v>
      </c>
      <c r="F79" s="929">
        <f t="shared" ref="F79:F105" si="22">SUMIF($R$3:$R$74,I79,$P$3:$P$74)</f>
        <v>156031.4368</v>
      </c>
      <c r="G79" s="571"/>
      <c r="H79" s="571"/>
      <c r="I79" s="552" t="s">
        <v>660</v>
      </c>
    </row>
    <row r="80" spans="1:18">
      <c r="A80" s="551">
        <v>3</v>
      </c>
      <c r="B80" s="453" t="s">
        <v>350</v>
      </c>
      <c r="C80" s="571"/>
      <c r="D80" s="571">
        <f t="shared" si="20"/>
        <v>2115.7600000000002</v>
      </c>
      <c r="E80" s="942">
        <f t="shared" si="21"/>
        <v>343.76521229629066</v>
      </c>
      <c r="F80" s="929">
        <f t="shared" si="22"/>
        <v>727324.68556799996</v>
      </c>
      <c r="G80" s="571"/>
      <c r="H80" s="571"/>
      <c r="I80" s="552" t="s">
        <v>661</v>
      </c>
    </row>
    <row r="81" spans="1:9">
      <c r="A81" s="551">
        <v>4</v>
      </c>
      <c r="B81" s="453" t="s">
        <v>351</v>
      </c>
      <c r="C81" s="571"/>
      <c r="D81" s="571">
        <f t="shared" si="20"/>
        <v>1203.2</v>
      </c>
      <c r="E81" s="942">
        <f t="shared" si="21"/>
        <v>336.17174361702126</v>
      </c>
      <c r="F81" s="929">
        <f t="shared" si="22"/>
        <v>404481.84191999998</v>
      </c>
      <c r="G81" s="571"/>
      <c r="H81" s="571"/>
      <c r="I81" s="552" t="s">
        <v>662</v>
      </c>
    </row>
    <row r="82" spans="1:9">
      <c r="A82" s="551">
        <v>5</v>
      </c>
      <c r="B82" s="453" t="s">
        <v>378</v>
      </c>
      <c r="C82" s="571"/>
      <c r="D82" s="571">
        <f t="shared" si="20"/>
        <v>2115.7600000000002</v>
      </c>
      <c r="E82" s="942">
        <f t="shared" si="21"/>
        <v>220.96501349869547</v>
      </c>
      <c r="F82" s="929">
        <f t="shared" si="22"/>
        <v>467508.93695999996</v>
      </c>
      <c r="G82" s="571"/>
      <c r="H82" s="571"/>
      <c r="I82" s="552" t="s">
        <v>663</v>
      </c>
    </row>
    <row r="83" spans="1:9">
      <c r="A83" s="551">
        <v>6</v>
      </c>
      <c r="B83" s="453" t="s">
        <v>379</v>
      </c>
      <c r="C83" s="571"/>
      <c r="D83" s="571">
        <f t="shared" si="20"/>
        <v>1311.8400000000001</v>
      </c>
      <c r="E83" s="942">
        <f t="shared" si="21"/>
        <v>215.84504763995608</v>
      </c>
      <c r="F83" s="929">
        <f t="shared" si="22"/>
        <v>283154.167296</v>
      </c>
      <c r="G83" s="571"/>
      <c r="H83" s="571"/>
      <c r="I83" s="552" t="s">
        <v>664</v>
      </c>
    </row>
    <row r="84" spans="1:9">
      <c r="A84" s="551">
        <v>7</v>
      </c>
      <c r="B84" s="453" t="s">
        <v>445</v>
      </c>
      <c r="C84" s="571"/>
      <c r="D84" s="571">
        <f t="shared" si="20"/>
        <v>115.19999999999999</v>
      </c>
      <c r="E84" s="942">
        <f t="shared" si="21"/>
        <v>1334.7359999999999</v>
      </c>
      <c r="F84" s="929">
        <f t="shared" si="22"/>
        <v>153761.58719999998</v>
      </c>
      <c r="G84" s="571"/>
      <c r="H84" s="571"/>
      <c r="I84" s="553" t="s">
        <v>665</v>
      </c>
    </row>
    <row r="85" spans="1:9">
      <c r="A85" s="551">
        <v>8</v>
      </c>
      <c r="B85" s="453" t="s">
        <v>408</v>
      </c>
      <c r="C85" s="571"/>
      <c r="D85" s="571">
        <f t="shared" si="20"/>
        <v>172.8</v>
      </c>
      <c r="E85" s="942">
        <f t="shared" si="21"/>
        <v>655.92719999999997</v>
      </c>
      <c r="F85" s="929">
        <f t="shared" si="22"/>
        <v>113344.22016</v>
      </c>
      <c r="G85" s="571"/>
      <c r="H85" s="571"/>
      <c r="I85" s="552" t="s">
        <v>408</v>
      </c>
    </row>
    <row r="86" spans="1:9">
      <c r="A86" s="551">
        <v>9</v>
      </c>
      <c r="B86" s="453" t="s">
        <v>409</v>
      </c>
      <c r="C86" s="571"/>
      <c r="D86" s="571">
        <f t="shared" si="20"/>
        <v>172.8</v>
      </c>
      <c r="E86" s="942">
        <f t="shared" si="21"/>
        <v>399.04240000000004</v>
      </c>
      <c r="F86" s="929">
        <f t="shared" si="22"/>
        <v>68954.526720000009</v>
      </c>
      <c r="G86" s="571"/>
      <c r="H86" s="571"/>
      <c r="I86" s="553" t="s">
        <v>409</v>
      </c>
    </row>
    <row r="87" spans="1:9">
      <c r="A87" s="551">
        <v>10</v>
      </c>
      <c r="B87" s="453" t="s">
        <v>411</v>
      </c>
      <c r="C87" s="571"/>
      <c r="D87" s="571">
        <f t="shared" si="20"/>
        <v>48</v>
      </c>
      <c r="E87" s="942">
        <f t="shared" si="21"/>
        <v>7312.7984000000006</v>
      </c>
      <c r="F87" s="929">
        <f t="shared" si="22"/>
        <v>351014.32320000004</v>
      </c>
      <c r="G87" s="571"/>
      <c r="H87" s="571"/>
      <c r="I87" s="553" t="s">
        <v>666</v>
      </c>
    </row>
    <row r="88" spans="1:9">
      <c r="A88" s="551">
        <v>11</v>
      </c>
      <c r="B88" s="453" t="s">
        <v>359</v>
      </c>
      <c r="C88" s="571"/>
      <c r="D88" s="571">
        <f t="shared" si="20"/>
        <v>65.92</v>
      </c>
      <c r="E88" s="942">
        <f t="shared" si="21"/>
        <v>1280.9159999999999</v>
      </c>
      <c r="F88" s="929">
        <f t="shared" si="22"/>
        <v>84437.98272</v>
      </c>
      <c r="G88" s="571"/>
      <c r="H88" s="571"/>
      <c r="I88" s="552" t="s">
        <v>667</v>
      </c>
    </row>
    <row r="89" spans="1:9">
      <c r="A89" s="551">
        <v>12</v>
      </c>
      <c r="B89" s="453" t="s">
        <v>360</v>
      </c>
      <c r="C89" s="571"/>
      <c r="D89" s="571">
        <f t="shared" si="20"/>
        <v>382.17599999999999</v>
      </c>
      <c r="E89" s="942">
        <f t="shared" si="21"/>
        <v>1356.2639999999999</v>
      </c>
      <c r="F89" s="929">
        <f t="shared" si="22"/>
        <v>518331.55046399997</v>
      </c>
      <c r="G89" s="571"/>
      <c r="H89" s="571"/>
      <c r="I89" s="552" t="s">
        <v>668</v>
      </c>
    </row>
    <row r="90" spans="1:9">
      <c r="A90" s="551">
        <v>13</v>
      </c>
      <c r="B90" s="453" t="s">
        <v>407</v>
      </c>
      <c r="C90" s="571"/>
      <c r="D90" s="571">
        <f t="shared" si="20"/>
        <v>364.8</v>
      </c>
      <c r="E90" s="942">
        <f t="shared" si="21"/>
        <v>655.92719999999997</v>
      </c>
      <c r="F90" s="929">
        <f t="shared" si="22"/>
        <v>239282.24255999998</v>
      </c>
      <c r="G90" s="571"/>
      <c r="H90" s="571"/>
      <c r="I90" s="552" t="s">
        <v>669</v>
      </c>
    </row>
    <row r="91" spans="1:9">
      <c r="A91" s="551">
        <v>14</v>
      </c>
      <c r="B91" s="453" t="s">
        <v>406</v>
      </c>
      <c r="C91" s="571"/>
      <c r="D91" s="571">
        <f t="shared" si="20"/>
        <v>6.48</v>
      </c>
      <c r="E91" s="942">
        <f t="shared" si="21"/>
        <v>6329.6720000000005</v>
      </c>
      <c r="F91" s="929">
        <f t="shared" si="22"/>
        <v>41016.274560000005</v>
      </c>
      <c r="G91" s="571"/>
      <c r="H91" s="571"/>
      <c r="I91" s="552" t="s">
        <v>670</v>
      </c>
    </row>
    <row r="92" spans="1:9">
      <c r="A92" s="551">
        <v>15</v>
      </c>
      <c r="B92" s="453" t="s">
        <v>369</v>
      </c>
      <c r="C92" s="571"/>
      <c r="D92" s="571">
        <f t="shared" si="20"/>
        <v>108.64</v>
      </c>
      <c r="E92" s="942">
        <f t="shared" si="21"/>
        <v>1619.982</v>
      </c>
      <c r="F92" s="929">
        <f t="shared" si="22"/>
        <v>175994.84448</v>
      </c>
      <c r="G92" s="571"/>
      <c r="H92" s="571"/>
      <c r="I92" s="553" t="s">
        <v>671</v>
      </c>
    </row>
    <row r="93" spans="1:9">
      <c r="A93" s="551">
        <v>16</v>
      </c>
      <c r="B93" s="453" t="s">
        <v>370</v>
      </c>
      <c r="C93" s="571"/>
      <c r="D93" s="571">
        <f t="shared" si="20"/>
        <v>0</v>
      </c>
      <c r="E93" s="942"/>
      <c r="F93" s="929">
        <f t="shared" si="22"/>
        <v>0</v>
      </c>
      <c r="G93" s="571"/>
      <c r="H93" s="571"/>
      <c r="I93" s="553" t="s">
        <v>672</v>
      </c>
    </row>
    <row r="94" spans="1:9">
      <c r="A94" s="551">
        <v>17</v>
      </c>
      <c r="B94" s="453" t="s">
        <v>416</v>
      </c>
      <c r="C94" s="571"/>
      <c r="D94" s="571">
        <f t="shared" si="20"/>
        <v>108.64</v>
      </c>
      <c r="E94" s="942">
        <f t="shared" si="21"/>
        <v>1598.454</v>
      </c>
      <c r="F94" s="929">
        <f t="shared" si="22"/>
        <v>173656.04256</v>
      </c>
      <c r="G94" s="571"/>
      <c r="H94" s="571"/>
      <c r="I94" s="553" t="s">
        <v>673</v>
      </c>
    </row>
    <row r="95" spans="1:9">
      <c r="A95" s="551">
        <v>18</v>
      </c>
      <c r="B95" s="453" t="s">
        <v>412</v>
      </c>
      <c r="C95" s="571"/>
      <c r="D95" s="571">
        <f t="shared" si="20"/>
        <v>46.4</v>
      </c>
      <c r="E95" s="942">
        <f t="shared" si="21"/>
        <v>3043.84</v>
      </c>
      <c r="F95" s="929">
        <f t="shared" si="22"/>
        <v>141234.17600000001</v>
      </c>
      <c r="G95" s="571"/>
      <c r="H95" s="571"/>
      <c r="I95" s="553" t="s">
        <v>412</v>
      </c>
    </row>
    <row r="96" spans="1:9">
      <c r="A96" s="551">
        <v>19</v>
      </c>
      <c r="B96" s="453" t="s">
        <v>380</v>
      </c>
      <c r="C96" s="571"/>
      <c r="D96" s="571">
        <f t="shared" si="20"/>
        <v>1128.9359999999999</v>
      </c>
      <c r="E96" s="942">
        <f t="shared" si="21"/>
        <v>179.18733935670403</v>
      </c>
      <c r="F96" s="929">
        <f t="shared" si="22"/>
        <v>202291.03814399999</v>
      </c>
      <c r="G96" s="571"/>
      <c r="H96" s="571"/>
      <c r="I96" s="553" t="s">
        <v>674</v>
      </c>
    </row>
    <row r="97" spans="1:15">
      <c r="A97" s="551">
        <v>20</v>
      </c>
      <c r="B97" s="453" t="s">
        <v>372</v>
      </c>
      <c r="C97" s="571"/>
      <c r="D97" s="571">
        <f t="shared" si="20"/>
        <v>303.36</v>
      </c>
      <c r="E97" s="942">
        <f t="shared" si="21"/>
        <v>1625.3639999999998</v>
      </c>
      <c r="F97" s="929">
        <f t="shared" si="22"/>
        <v>493070.42303999997</v>
      </c>
      <c r="G97" s="571"/>
      <c r="H97" s="571"/>
      <c r="I97" s="553" t="s">
        <v>675</v>
      </c>
    </row>
    <row r="98" spans="1:15">
      <c r="A98" s="551">
        <v>21</v>
      </c>
      <c r="B98" s="453" t="s">
        <v>373</v>
      </c>
      <c r="C98" s="571"/>
      <c r="D98" s="571">
        <f t="shared" si="20"/>
        <v>100</v>
      </c>
      <c r="E98" s="942">
        <f t="shared" si="21"/>
        <v>446.08</v>
      </c>
      <c r="F98" s="929">
        <f t="shared" si="22"/>
        <v>44608</v>
      </c>
      <c r="G98" s="571"/>
      <c r="H98" s="571"/>
      <c r="I98" s="553" t="s">
        <v>676</v>
      </c>
    </row>
    <row r="99" spans="1:15">
      <c r="A99" s="551">
        <v>22</v>
      </c>
      <c r="B99" s="453" t="s">
        <v>374</v>
      </c>
      <c r="C99" s="571"/>
      <c r="D99" s="571">
        <f t="shared" si="20"/>
        <v>0</v>
      </c>
      <c r="E99" s="942"/>
      <c r="F99" s="929">
        <f t="shared" si="22"/>
        <v>0</v>
      </c>
      <c r="G99" s="571"/>
      <c r="H99" s="571"/>
      <c r="I99" s="553" t="s">
        <v>677</v>
      </c>
    </row>
    <row r="100" spans="1:15">
      <c r="A100" s="551">
        <v>23</v>
      </c>
      <c r="B100" s="453" t="s">
        <v>337</v>
      </c>
      <c r="C100" s="571"/>
      <c r="D100" s="571">
        <f t="shared" si="20"/>
        <v>365.16</v>
      </c>
      <c r="E100" s="942">
        <f t="shared" si="21"/>
        <v>570.49199999999996</v>
      </c>
      <c r="F100" s="929">
        <f t="shared" si="22"/>
        <v>208320.85871999999</v>
      </c>
      <c r="G100" s="571"/>
      <c r="H100" s="571"/>
      <c r="I100" s="553" t="s">
        <v>678</v>
      </c>
    </row>
    <row r="101" spans="1:15">
      <c r="A101" s="551">
        <v>24</v>
      </c>
      <c r="B101" s="453" t="s">
        <v>338</v>
      </c>
      <c r="C101" s="571"/>
      <c r="D101" s="571">
        <f t="shared" si="20"/>
        <v>0</v>
      </c>
      <c r="E101" s="942"/>
      <c r="F101" s="929">
        <f t="shared" si="22"/>
        <v>0</v>
      </c>
      <c r="G101" s="571"/>
      <c r="H101" s="571"/>
      <c r="I101" s="553" t="s">
        <v>679</v>
      </c>
    </row>
    <row r="102" spans="1:15">
      <c r="A102" s="551">
        <v>25</v>
      </c>
      <c r="B102" s="453" t="s">
        <v>381</v>
      </c>
      <c r="C102" s="571"/>
      <c r="D102" s="571">
        <f t="shared" si="20"/>
        <v>119.2</v>
      </c>
      <c r="E102" s="942">
        <f t="shared" si="21"/>
        <v>193.75199999999998</v>
      </c>
      <c r="F102" s="929">
        <f t="shared" si="22"/>
        <v>23095.238399999998</v>
      </c>
      <c r="G102" s="571"/>
      <c r="H102" s="571"/>
      <c r="I102" s="553" t="s">
        <v>680</v>
      </c>
    </row>
    <row r="103" spans="1:15">
      <c r="A103" s="551">
        <v>26</v>
      </c>
      <c r="B103" s="453" t="s">
        <v>404</v>
      </c>
      <c r="C103" s="571"/>
      <c r="D103" s="571">
        <f t="shared" si="20"/>
        <v>56.160000000000011</v>
      </c>
      <c r="E103" s="942">
        <f t="shared" si="21"/>
        <v>1967.9999999999998</v>
      </c>
      <c r="F103" s="929">
        <f t="shared" si="22"/>
        <v>110522.88</v>
      </c>
      <c r="G103" s="571"/>
      <c r="H103" s="571"/>
      <c r="I103" s="553" t="s">
        <v>681</v>
      </c>
    </row>
    <row r="104" spans="1:15">
      <c r="A104" s="551">
        <v>27</v>
      </c>
      <c r="B104" s="453" t="s">
        <v>375</v>
      </c>
      <c r="C104" s="571"/>
      <c r="D104" s="571">
        <f t="shared" si="20"/>
        <v>96</v>
      </c>
      <c r="E104" s="942">
        <f t="shared" si="21"/>
        <v>1560.78</v>
      </c>
      <c r="F104" s="929">
        <f t="shared" si="22"/>
        <v>149834.88</v>
      </c>
      <c r="G104" s="571"/>
      <c r="H104" s="571"/>
      <c r="I104" s="553" t="s">
        <v>682</v>
      </c>
    </row>
    <row r="105" spans="1:15">
      <c r="A105" s="551">
        <v>28</v>
      </c>
      <c r="B105" s="453" t="s">
        <v>376</v>
      </c>
      <c r="C105" s="571"/>
      <c r="D105" s="571">
        <f t="shared" si="20"/>
        <v>63.36</v>
      </c>
      <c r="E105" s="942">
        <f t="shared" si="21"/>
        <v>1560.78</v>
      </c>
      <c r="F105" s="929">
        <f t="shared" si="22"/>
        <v>98891.020799999998</v>
      </c>
      <c r="G105" s="571"/>
      <c r="H105" s="571"/>
      <c r="I105" s="553" t="s">
        <v>683</v>
      </c>
    </row>
    <row r="106" spans="1:15" s="461" customFormat="1">
      <c r="A106" s="551">
        <v>29</v>
      </c>
      <c r="B106" s="453" t="s">
        <v>339</v>
      </c>
      <c r="C106" s="486"/>
      <c r="D106" s="486">
        <f>D84</f>
        <v>115.19999999999999</v>
      </c>
      <c r="E106" s="486">
        <f>'Rate List - Flats'!G263</f>
        <v>588.95764199999996</v>
      </c>
      <c r="F106" s="929">
        <f>D106*E106</f>
        <v>67847.920358399992</v>
      </c>
      <c r="G106" s="486"/>
      <c r="H106" s="486"/>
      <c r="I106" s="553" t="s">
        <v>684</v>
      </c>
      <c r="J106"/>
      <c r="K106" s="459"/>
      <c r="L106" s="459"/>
      <c r="M106" s="459"/>
      <c r="N106" s="459"/>
      <c r="O106" s="459"/>
    </row>
    <row r="107" spans="1:15">
      <c r="F107" s="626"/>
    </row>
    <row r="109" spans="1:15">
      <c r="F109" s="626"/>
    </row>
    <row r="112" spans="1:15">
      <c r="B112" s="453" t="s">
        <v>443</v>
      </c>
    </row>
    <row r="113" spans="2:2">
      <c r="B113" s="453" t="s">
        <v>444</v>
      </c>
    </row>
    <row r="114" spans="2:2">
      <c r="B114" s="453" t="s">
        <v>445</v>
      </c>
    </row>
    <row r="115" spans="2:2">
      <c r="B115" s="453" t="s">
        <v>359</v>
      </c>
    </row>
    <row r="116" spans="2:2">
      <c r="B116" s="453" t="s">
        <v>360</v>
      </c>
    </row>
    <row r="117" spans="2:2">
      <c r="B117" s="453" t="s">
        <v>369</v>
      </c>
    </row>
    <row r="118" spans="2:2">
      <c r="B118" s="453" t="s">
        <v>370</v>
      </c>
    </row>
    <row r="119" spans="2:2">
      <c r="B119" s="453" t="s">
        <v>372</v>
      </c>
    </row>
    <row r="120" spans="2:2">
      <c r="B120" s="453" t="s">
        <v>373</v>
      </c>
    </row>
    <row r="121" spans="2:2">
      <c r="B121" s="453" t="s">
        <v>374</v>
      </c>
    </row>
    <row r="122" spans="2:2">
      <c r="B122" s="453" t="s">
        <v>375</v>
      </c>
    </row>
    <row r="123" spans="2:2">
      <c r="B123" s="453" t="s">
        <v>376</v>
      </c>
    </row>
    <row r="124" spans="2:2">
      <c r="B124" s="453" t="s">
        <v>339</v>
      </c>
    </row>
  </sheetData>
  <autoFilter ref="R1:R124" xr:uid="{39BEB957-E0D1-4427-8AC0-04D9061CD91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75B61-1B0D-47EF-9CE5-8579957A9F34}">
  <dimension ref="A1:X831"/>
  <sheetViews>
    <sheetView zoomScale="85" zoomScaleNormal="85" workbookViewId="0">
      <pane xSplit="1" ySplit="3" topLeftCell="B4" activePane="bottomRight" state="frozen"/>
      <selection pane="topRight" sqref="A1:G1"/>
      <selection pane="bottomLeft" sqref="A1:G1"/>
      <selection pane="bottomRight" activeCell="F32" sqref="F32"/>
    </sheetView>
  </sheetViews>
  <sheetFormatPr defaultColWidth="14.44140625" defaultRowHeight="15" customHeight="1"/>
  <cols>
    <col min="1" max="1" width="10.33203125" style="133" customWidth="1"/>
    <col min="2" max="2" width="38.5546875" style="133" customWidth="1"/>
    <col min="3" max="3" width="36.88671875" style="133" customWidth="1"/>
    <col min="4" max="4" width="10.5546875" style="173" customWidth="1"/>
    <col min="5" max="7" width="16.44140625" style="173" customWidth="1"/>
    <col min="8" max="8" width="9.109375" style="173" customWidth="1"/>
    <col min="9" max="9" width="16.33203125" style="133" bestFit="1" customWidth="1"/>
    <col min="10" max="10" width="12.109375" style="133" customWidth="1"/>
    <col min="11" max="11" width="12.88671875" style="133" customWidth="1"/>
    <col min="12" max="12" width="14.33203125" style="133" bestFit="1" customWidth="1"/>
    <col min="13" max="20" width="8.6640625" style="133" customWidth="1"/>
    <col min="21" max="21" width="22.44140625" style="133" customWidth="1"/>
    <col min="22" max="24" width="8.6640625" style="133" customWidth="1"/>
    <col min="25" max="16384" width="14.44140625" style="133"/>
  </cols>
  <sheetData>
    <row r="1" spans="1:24" ht="13.5" customHeight="1">
      <c r="A1" s="129"/>
      <c r="B1" s="130"/>
      <c r="C1" s="131"/>
      <c r="D1" s="132"/>
      <c r="E1" s="132"/>
      <c r="F1" s="132"/>
      <c r="G1" s="132"/>
      <c r="H1" s="132"/>
      <c r="I1" s="131"/>
      <c r="J1" s="131"/>
      <c r="K1" s="131"/>
      <c r="L1" s="131"/>
      <c r="M1" s="131"/>
      <c r="N1" s="131"/>
      <c r="O1" s="131"/>
      <c r="P1" s="131"/>
      <c r="Q1" s="131"/>
      <c r="R1" s="131"/>
      <c r="S1" s="131"/>
      <c r="T1" s="131"/>
      <c r="U1" s="131"/>
      <c r="V1" s="131"/>
      <c r="W1" s="131"/>
      <c r="X1" s="131"/>
    </row>
    <row r="2" spans="1:24" ht="13.5" customHeight="1">
      <c r="A2" s="1097" t="s">
        <v>685</v>
      </c>
      <c r="B2" s="1097"/>
      <c r="C2" s="1097"/>
      <c r="D2" s="1097"/>
      <c r="E2" s="1097"/>
      <c r="F2" s="1097"/>
      <c r="G2" s="1097"/>
      <c r="H2" s="1097"/>
      <c r="I2" s="131"/>
      <c r="J2" s="131"/>
      <c r="K2" s="131"/>
      <c r="L2" s="131"/>
      <c r="M2" s="131"/>
      <c r="N2" s="131"/>
      <c r="O2" s="131"/>
      <c r="P2" s="131"/>
      <c r="Q2" s="131"/>
      <c r="R2" s="131"/>
      <c r="S2" s="131"/>
      <c r="T2" s="131"/>
      <c r="U2" s="131"/>
      <c r="V2" s="131"/>
      <c r="W2" s="131"/>
      <c r="X2" s="131"/>
    </row>
    <row r="3" spans="1:24" ht="41.4">
      <c r="A3" s="134" t="s">
        <v>288</v>
      </c>
      <c r="B3" s="134" t="s">
        <v>686</v>
      </c>
      <c r="C3" s="134" t="s">
        <v>687</v>
      </c>
      <c r="D3" s="135" t="s">
        <v>688</v>
      </c>
      <c r="E3" s="135" t="s">
        <v>689</v>
      </c>
      <c r="F3" s="136" t="s">
        <v>690</v>
      </c>
      <c r="G3" s="136" t="s">
        <v>691</v>
      </c>
      <c r="H3" s="135" t="s">
        <v>315</v>
      </c>
      <c r="I3" s="132"/>
      <c r="J3" s="132"/>
      <c r="K3" s="132"/>
      <c r="L3" s="132"/>
      <c r="M3" s="132"/>
      <c r="N3" s="132"/>
      <c r="O3" s="132"/>
      <c r="P3" s="132"/>
      <c r="Q3" s="132"/>
      <c r="R3" s="132"/>
      <c r="S3" s="132"/>
      <c r="T3" s="132"/>
      <c r="U3" s="132"/>
      <c r="V3" s="132"/>
      <c r="W3" s="132"/>
      <c r="X3" s="132"/>
    </row>
    <row r="4" spans="1:24" ht="13.5" customHeight="1">
      <c r="A4" s="137" t="s">
        <v>206</v>
      </c>
      <c r="B4" s="138" t="s">
        <v>692</v>
      </c>
      <c r="C4" s="139"/>
      <c r="D4" s="139"/>
      <c r="E4" s="140"/>
      <c r="F4" s="140"/>
      <c r="G4" s="140"/>
      <c r="H4" s="141"/>
      <c r="I4" s="132"/>
      <c r="J4" s="132"/>
      <c r="K4" s="132"/>
      <c r="L4" s="132"/>
      <c r="M4" s="132"/>
      <c r="N4" s="132"/>
      <c r="O4" s="132"/>
      <c r="P4" s="132"/>
      <c r="Q4" s="132"/>
      <c r="R4" s="132"/>
      <c r="S4" s="132"/>
      <c r="T4" s="132"/>
      <c r="U4" s="132"/>
      <c r="V4" s="132"/>
      <c r="W4" s="132"/>
      <c r="X4" s="132"/>
    </row>
    <row r="5" spans="1:24" ht="13.5" customHeight="1">
      <c r="A5" s="142" t="s">
        <v>628</v>
      </c>
      <c r="B5" s="143" t="s">
        <v>509</v>
      </c>
      <c r="C5" s="144"/>
      <c r="D5" s="141"/>
      <c r="E5" s="141"/>
      <c r="F5" s="145"/>
      <c r="G5" s="141"/>
      <c r="H5" s="141"/>
      <c r="I5" s="131"/>
      <c r="J5" s="131"/>
      <c r="K5" s="131"/>
      <c r="L5" s="131"/>
      <c r="M5" s="131"/>
      <c r="N5" s="131"/>
      <c r="O5" s="131"/>
      <c r="P5" s="131"/>
      <c r="Q5" s="131"/>
      <c r="R5" s="131"/>
      <c r="S5" s="131"/>
      <c r="T5" s="131"/>
      <c r="U5" s="131"/>
      <c r="V5" s="131"/>
      <c r="W5" s="131"/>
      <c r="X5" s="131"/>
    </row>
    <row r="6" spans="1:24" ht="13.5" customHeight="1">
      <c r="A6" s="141"/>
      <c r="B6" s="146" t="s">
        <v>355</v>
      </c>
      <c r="C6" s="147" t="s">
        <v>693</v>
      </c>
      <c r="D6" s="148" t="s">
        <v>694</v>
      </c>
      <c r="E6" s="149">
        <v>40</v>
      </c>
      <c r="F6" s="145">
        <v>75</v>
      </c>
      <c r="G6" s="145">
        <f>+(E6*1.1+F6)*10.764</f>
        <v>1280.9159999999999</v>
      </c>
      <c r="H6" s="141" t="s">
        <v>327</v>
      </c>
      <c r="I6" s="131"/>
      <c r="J6" s="131"/>
      <c r="K6" s="131"/>
      <c r="L6" s="131"/>
      <c r="M6" s="131"/>
      <c r="N6" s="131"/>
      <c r="O6" s="131"/>
      <c r="P6" s="131"/>
      <c r="Q6" s="131"/>
      <c r="R6" s="131"/>
      <c r="S6" s="131"/>
      <c r="T6" s="131"/>
      <c r="U6" s="131"/>
      <c r="V6" s="131"/>
      <c r="W6" s="131"/>
      <c r="X6" s="131"/>
    </row>
    <row r="7" spans="1:24" ht="13.5" customHeight="1">
      <c r="A7" s="141"/>
      <c r="B7" s="146" t="s">
        <v>695</v>
      </c>
      <c r="C7" s="147" t="s">
        <v>696</v>
      </c>
      <c r="D7" s="148" t="s">
        <v>697</v>
      </c>
      <c r="E7" s="149">
        <v>40</v>
      </c>
      <c r="F7" s="145">
        <v>70</v>
      </c>
      <c r="G7" s="145">
        <f>(E7*1.1+F7)*3.28</f>
        <v>373.91999999999996</v>
      </c>
      <c r="H7" s="141" t="s">
        <v>358</v>
      </c>
      <c r="I7" s="131"/>
      <c r="J7" s="131"/>
      <c r="K7" s="131"/>
      <c r="L7" s="131"/>
      <c r="M7" s="131"/>
      <c r="N7" s="131"/>
      <c r="O7" s="131"/>
      <c r="P7" s="131"/>
      <c r="Q7" s="131"/>
      <c r="R7" s="131"/>
      <c r="S7" s="131"/>
      <c r="T7" s="131"/>
      <c r="U7" s="131"/>
      <c r="V7" s="131"/>
      <c r="W7" s="131"/>
      <c r="X7" s="131"/>
    </row>
    <row r="8" spans="1:24" ht="13.5" customHeight="1">
      <c r="A8" s="141"/>
      <c r="B8" s="146" t="s">
        <v>698</v>
      </c>
      <c r="C8" s="146" t="s">
        <v>699</v>
      </c>
      <c r="D8" s="150" t="s">
        <v>694</v>
      </c>
      <c r="E8" s="149"/>
      <c r="F8" s="145"/>
      <c r="G8" s="145"/>
      <c r="H8" s="141" t="s">
        <v>327</v>
      </c>
      <c r="I8" s="131"/>
      <c r="J8" s="131"/>
      <c r="K8" s="131"/>
      <c r="L8" s="131"/>
      <c r="M8" s="131"/>
      <c r="N8" s="131"/>
      <c r="O8" s="131"/>
      <c r="P8" s="131"/>
      <c r="Q8" s="131"/>
      <c r="R8" s="131"/>
      <c r="S8" s="131"/>
      <c r="T8" s="131"/>
      <c r="U8" s="131"/>
      <c r="V8" s="131"/>
      <c r="W8" s="131"/>
      <c r="X8" s="131"/>
    </row>
    <row r="9" spans="1:24" ht="13.5" customHeight="1">
      <c r="A9" s="141"/>
      <c r="B9" s="146" t="s">
        <v>700</v>
      </c>
      <c r="C9" s="151" t="s">
        <v>701</v>
      </c>
      <c r="D9" s="148" t="s">
        <v>694</v>
      </c>
      <c r="E9" s="149">
        <v>25</v>
      </c>
      <c r="F9" s="145"/>
      <c r="G9" s="145">
        <f t="shared" ref="G9" si="0">+E9*10.764</f>
        <v>269.09999999999997</v>
      </c>
      <c r="H9" s="141" t="s">
        <v>327</v>
      </c>
      <c r="I9" s="131"/>
      <c r="J9" s="131"/>
      <c r="K9" s="131"/>
      <c r="L9" s="131"/>
      <c r="M9" s="131"/>
      <c r="N9" s="131"/>
      <c r="O9" s="131"/>
      <c r="P9" s="131"/>
      <c r="Q9" s="131"/>
      <c r="R9" s="131"/>
    </row>
    <row r="10" spans="1:24" ht="13.8">
      <c r="A10" s="141"/>
      <c r="B10" s="146" t="s">
        <v>702</v>
      </c>
      <c r="C10" s="146" t="s">
        <v>701</v>
      </c>
      <c r="D10" s="148" t="s">
        <v>694</v>
      </c>
      <c r="E10" s="149">
        <v>25</v>
      </c>
      <c r="F10" s="145"/>
      <c r="G10" s="145">
        <f>+E10*10.764</f>
        <v>269.09999999999997</v>
      </c>
      <c r="H10" s="141" t="s">
        <v>327</v>
      </c>
      <c r="I10" s="131"/>
      <c r="J10" s="131"/>
      <c r="K10" s="131"/>
      <c r="L10" s="131"/>
      <c r="M10" s="131"/>
      <c r="N10" s="131"/>
      <c r="O10" s="131"/>
      <c r="P10" s="131"/>
      <c r="Q10" s="131"/>
      <c r="R10" s="131"/>
    </row>
    <row r="11" spans="1:24" ht="13.5" customHeight="1">
      <c r="A11" s="141"/>
      <c r="B11" s="151" t="s">
        <v>703</v>
      </c>
      <c r="C11" s="146" t="s">
        <v>699</v>
      </c>
      <c r="D11" s="148" t="s">
        <v>694</v>
      </c>
      <c r="E11" s="149"/>
      <c r="F11" s="145"/>
      <c r="G11" s="145"/>
      <c r="H11" s="141" t="s">
        <v>327</v>
      </c>
      <c r="I11" s="131"/>
      <c r="J11" s="131"/>
      <c r="K11" s="131"/>
      <c r="L11" s="131"/>
      <c r="M11" s="131"/>
      <c r="N11" s="131"/>
      <c r="O11" s="131"/>
      <c r="P11" s="131"/>
      <c r="Q11" s="131"/>
      <c r="R11" s="131"/>
    </row>
    <row r="12" spans="1:24" ht="13.5" customHeight="1">
      <c r="A12" s="141"/>
      <c r="B12" s="146" t="s">
        <v>704</v>
      </c>
      <c r="C12" s="146" t="s">
        <v>705</v>
      </c>
      <c r="D12" s="148" t="s">
        <v>694</v>
      </c>
      <c r="E12" s="149">
        <v>20</v>
      </c>
      <c r="F12" s="145"/>
      <c r="G12" s="145">
        <f>+E12*10.764</f>
        <v>215.27999999999997</v>
      </c>
      <c r="H12" s="141" t="s">
        <v>327</v>
      </c>
      <c r="I12" s="131"/>
      <c r="J12" s="131"/>
      <c r="K12" s="131"/>
      <c r="L12" s="131"/>
      <c r="M12" s="131"/>
      <c r="N12" s="131"/>
      <c r="O12" s="131"/>
      <c r="P12" s="131"/>
      <c r="Q12" s="131"/>
      <c r="R12" s="131"/>
    </row>
    <row r="13" spans="1:24" ht="13.5" customHeight="1">
      <c r="A13" s="141"/>
      <c r="B13" s="146" t="s">
        <v>706</v>
      </c>
      <c r="C13" s="146" t="str">
        <f>+C12</f>
        <v>Plastic paint</v>
      </c>
      <c r="D13" s="148" t="s">
        <v>694</v>
      </c>
      <c r="E13" s="149">
        <v>20</v>
      </c>
      <c r="F13" s="145"/>
      <c r="G13" s="145">
        <f t="shared" ref="G13" si="1">+E13*10.764</f>
        <v>215.27999999999997</v>
      </c>
      <c r="H13" s="141" t="s">
        <v>327</v>
      </c>
      <c r="I13" s="131"/>
      <c r="J13" s="131"/>
      <c r="K13" s="131"/>
      <c r="L13" s="131"/>
      <c r="M13" s="131"/>
      <c r="N13" s="131"/>
      <c r="O13" s="131"/>
      <c r="P13" s="131"/>
      <c r="Q13" s="131"/>
      <c r="R13" s="131"/>
    </row>
    <row r="14" spans="1:24" ht="13.5" customHeight="1">
      <c r="A14" s="141"/>
      <c r="B14" s="146" t="s">
        <v>707</v>
      </c>
      <c r="C14" s="146" t="s">
        <v>699</v>
      </c>
      <c r="D14" s="150" t="s">
        <v>708</v>
      </c>
      <c r="E14" s="149" t="s">
        <v>708</v>
      </c>
      <c r="F14" s="145"/>
      <c r="G14" s="145" t="s">
        <v>708</v>
      </c>
      <c r="H14" s="141" t="s">
        <v>708</v>
      </c>
      <c r="I14" s="131"/>
      <c r="J14" s="131"/>
      <c r="K14" s="131"/>
      <c r="L14" s="131"/>
      <c r="M14" s="131"/>
      <c r="N14" s="131"/>
      <c r="O14" s="131"/>
      <c r="P14" s="131"/>
      <c r="Q14" s="131"/>
      <c r="R14" s="131"/>
    </row>
    <row r="15" spans="1:24" ht="13.5" customHeight="1">
      <c r="A15" s="141"/>
      <c r="B15" s="144"/>
      <c r="C15" s="144"/>
      <c r="D15" s="141"/>
      <c r="E15" s="152"/>
      <c r="F15" s="145"/>
      <c r="G15" s="145"/>
      <c r="H15" s="141"/>
      <c r="I15" s="131"/>
      <c r="J15" s="131"/>
      <c r="K15" s="131"/>
      <c r="L15" s="131"/>
      <c r="M15" s="131"/>
      <c r="N15" s="131"/>
      <c r="O15" s="131"/>
      <c r="P15" s="131"/>
      <c r="Q15" s="131"/>
      <c r="R15" s="131"/>
    </row>
    <row r="16" spans="1:24" ht="13.5" customHeight="1">
      <c r="A16" s="142" t="s">
        <v>628</v>
      </c>
      <c r="B16" s="143" t="s">
        <v>709</v>
      </c>
      <c r="C16" s="144"/>
      <c r="D16" s="141"/>
      <c r="E16" s="152"/>
      <c r="F16" s="145"/>
      <c r="G16" s="145"/>
      <c r="H16" s="141"/>
      <c r="I16" s="131"/>
      <c r="J16" s="131"/>
      <c r="K16" s="131"/>
      <c r="L16" s="131"/>
      <c r="M16" s="131"/>
      <c r="N16" s="131"/>
      <c r="O16" s="131"/>
      <c r="P16" s="131"/>
      <c r="Q16" s="131"/>
      <c r="R16" s="131"/>
      <c r="S16" s="131"/>
      <c r="T16" s="131"/>
      <c r="U16" s="131"/>
      <c r="V16" s="131"/>
      <c r="W16" s="131"/>
      <c r="X16" s="131"/>
    </row>
    <row r="17" spans="1:24" ht="13.5" customHeight="1">
      <c r="A17" s="141"/>
      <c r="B17" s="146" t="s">
        <v>355</v>
      </c>
      <c r="C17" s="146" t="s">
        <v>710</v>
      </c>
      <c r="D17" s="148" t="s">
        <v>694</v>
      </c>
      <c r="E17" s="149">
        <v>40</v>
      </c>
      <c r="F17" s="145">
        <v>75</v>
      </c>
      <c r="G17" s="145">
        <f>+(E17*1.1+F17)*10.764</f>
        <v>1280.9159999999999</v>
      </c>
      <c r="H17" s="141" t="s">
        <v>327</v>
      </c>
      <c r="I17" s="131"/>
      <c r="J17" s="131"/>
      <c r="K17" s="131"/>
      <c r="L17" s="131"/>
      <c r="M17" s="131"/>
      <c r="N17" s="131"/>
      <c r="O17" s="131"/>
      <c r="P17" s="131"/>
      <c r="Q17" s="131"/>
      <c r="R17" s="131"/>
      <c r="S17" s="131"/>
      <c r="T17" s="131"/>
      <c r="U17" s="131"/>
      <c r="V17" s="131"/>
      <c r="W17" s="131"/>
      <c r="X17" s="131"/>
    </row>
    <row r="18" spans="1:24" ht="13.5" customHeight="1">
      <c r="A18" s="141"/>
      <c r="B18" s="146" t="s">
        <v>695</v>
      </c>
      <c r="C18" s="146" t="s">
        <v>699</v>
      </c>
      <c r="D18" s="148" t="s">
        <v>697</v>
      </c>
      <c r="E18" s="149"/>
      <c r="F18" s="145"/>
      <c r="G18" s="145"/>
      <c r="H18" s="141" t="s">
        <v>711</v>
      </c>
      <c r="I18" s="131"/>
      <c r="J18" s="131"/>
      <c r="K18" s="131"/>
      <c r="L18" s="131"/>
      <c r="M18" s="131"/>
      <c r="N18" s="131"/>
      <c r="O18" s="131"/>
      <c r="P18" s="131"/>
      <c r="Q18" s="131"/>
      <c r="R18" s="131"/>
      <c r="S18" s="131"/>
      <c r="T18" s="131"/>
      <c r="U18" s="131"/>
      <c r="V18" s="131"/>
      <c r="W18" s="131"/>
      <c r="X18" s="131"/>
    </row>
    <row r="19" spans="1:24" ht="13.5" customHeight="1">
      <c r="A19" s="141"/>
      <c r="B19" s="146" t="s">
        <v>698</v>
      </c>
      <c r="C19" s="146" t="s">
        <v>712</v>
      </c>
      <c r="D19" s="148" t="s">
        <v>694</v>
      </c>
      <c r="E19" s="149">
        <v>40</v>
      </c>
      <c r="F19" s="145">
        <v>80</v>
      </c>
      <c r="G19" s="145">
        <f>+(E19*1.15+F19)*10.764</f>
        <v>1356.2639999999999</v>
      </c>
      <c r="H19" s="141" t="s">
        <v>327</v>
      </c>
      <c r="I19" s="131"/>
      <c r="J19" s="131"/>
      <c r="K19" s="131"/>
      <c r="L19" s="131"/>
      <c r="M19" s="131"/>
      <c r="N19" s="131"/>
      <c r="O19" s="131"/>
      <c r="P19" s="131"/>
      <c r="Q19" s="131"/>
      <c r="R19" s="131"/>
      <c r="S19" s="131"/>
      <c r="T19" s="131"/>
      <c r="U19" s="131"/>
      <c r="V19" s="131"/>
      <c r="W19" s="131"/>
      <c r="X19" s="131"/>
    </row>
    <row r="20" spans="1:24" ht="13.5" customHeight="1">
      <c r="A20" s="141"/>
      <c r="B20" s="146" t="s">
        <v>700</v>
      </c>
      <c r="C20" s="146" t="s">
        <v>701</v>
      </c>
      <c r="D20" s="148" t="s">
        <v>694</v>
      </c>
      <c r="E20" s="149">
        <f>$E$9</f>
        <v>25</v>
      </c>
      <c r="F20" s="145"/>
      <c r="G20" s="145">
        <f t="shared" ref="G20" si="2">+E20*10.764</f>
        <v>269.09999999999997</v>
      </c>
      <c r="H20" s="141" t="s">
        <v>327</v>
      </c>
      <c r="I20" s="131"/>
      <c r="J20" s="131"/>
      <c r="K20" s="131"/>
      <c r="L20" s="131"/>
      <c r="M20" s="131"/>
      <c r="N20" s="131"/>
      <c r="O20" s="131"/>
      <c r="P20" s="131"/>
      <c r="Q20" s="131"/>
      <c r="R20" s="131"/>
      <c r="S20" s="131"/>
      <c r="T20" s="131"/>
      <c r="U20" s="131"/>
      <c r="V20" s="131"/>
      <c r="W20" s="131"/>
      <c r="X20" s="131"/>
    </row>
    <row r="21" spans="1:24" ht="13.5" customHeight="1">
      <c r="A21" s="141"/>
      <c r="B21" s="146" t="s">
        <v>702</v>
      </c>
      <c r="C21" s="146" t="s">
        <v>701</v>
      </c>
      <c r="D21" s="148" t="s">
        <v>694</v>
      </c>
      <c r="E21" s="149">
        <f>$E$10</f>
        <v>25</v>
      </c>
      <c r="F21" s="145"/>
      <c r="G21" s="145">
        <f>+E21*10.764</f>
        <v>269.09999999999997</v>
      </c>
      <c r="H21" s="141" t="s">
        <v>327</v>
      </c>
      <c r="I21" s="131"/>
      <c r="J21" s="131"/>
      <c r="K21" s="131"/>
      <c r="L21" s="131"/>
      <c r="M21" s="131"/>
      <c r="N21" s="131"/>
      <c r="O21" s="131"/>
      <c r="P21" s="131"/>
      <c r="Q21" s="131"/>
      <c r="R21" s="131"/>
      <c r="S21" s="131"/>
      <c r="T21" s="131"/>
      <c r="U21" s="131"/>
      <c r="V21" s="131"/>
      <c r="W21" s="131"/>
      <c r="X21" s="131"/>
    </row>
    <row r="22" spans="1:24" ht="13.5" customHeight="1">
      <c r="A22" s="141"/>
      <c r="B22" s="151" t="s">
        <v>703</v>
      </c>
      <c r="C22" s="146" t="s">
        <v>699</v>
      </c>
      <c r="D22" s="148" t="s">
        <v>694</v>
      </c>
      <c r="E22" s="153"/>
      <c r="F22" s="145"/>
      <c r="G22" s="145"/>
      <c r="H22" s="141" t="s">
        <v>327</v>
      </c>
      <c r="I22" s="131"/>
      <c r="J22" s="131"/>
      <c r="K22" s="131"/>
      <c r="L22" s="131"/>
      <c r="M22" s="131"/>
      <c r="N22" s="131"/>
      <c r="O22" s="131"/>
      <c r="P22" s="131"/>
      <c r="Q22" s="131"/>
      <c r="R22" s="131"/>
      <c r="S22" s="131"/>
      <c r="T22" s="131"/>
      <c r="U22" s="131"/>
      <c r="V22" s="131"/>
      <c r="W22" s="131"/>
      <c r="X22" s="131"/>
    </row>
    <row r="23" spans="1:24" ht="13.5" customHeight="1">
      <c r="A23" s="141"/>
      <c r="B23" s="146" t="s">
        <v>704</v>
      </c>
      <c r="C23" s="146" t="str">
        <f>+C12</f>
        <v>Plastic paint</v>
      </c>
      <c r="D23" s="148" t="s">
        <v>694</v>
      </c>
      <c r="E23" s="149">
        <v>25</v>
      </c>
      <c r="F23" s="145"/>
      <c r="G23" s="145">
        <f t="shared" ref="G23:G24" si="3">+E23*10.764</f>
        <v>269.09999999999997</v>
      </c>
      <c r="H23" s="141" t="s">
        <v>327</v>
      </c>
      <c r="I23" s="131"/>
      <c r="J23" s="131"/>
      <c r="K23" s="131"/>
      <c r="L23" s="131"/>
      <c r="M23" s="131"/>
      <c r="N23" s="131"/>
      <c r="O23" s="131"/>
      <c r="P23" s="131"/>
      <c r="Q23" s="131"/>
      <c r="R23" s="131"/>
      <c r="S23" s="131"/>
      <c r="T23" s="131"/>
      <c r="U23" s="131"/>
      <c r="V23" s="131"/>
      <c r="W23" s="131"/>
      <c r="X23" s="131"/>
    </row>
    <row r="24" spans="1:24" ht="13.5" customHeight="1">
      <c r="A24" s="141"/>
      <c r="B24" s="146" t="s">
        <v>706</v>
      </c>
      <c r="C24" s="146" t="str">
        <f>+C13</f>
        <v>Plastic paint</v>
      </c>
      <c r="D24" s="148" t="s">
        <v>694</v>
      </c>
      <c r="E24" s="149">
        <v>25</v>
      </c>
      <c r="F24" s="145"/>
      <c r="G24" s="145">
        <f t="shared" si="3"/>
        <v>269.09999999999997</v>
      </c>
      <c r="H24" s="141" t="s">
        <v>327</v>
      </c>
      <c r="I24" s="131"/>
      <c r="J24" s="131"/>
      <c r="K24" s="131"/>
      <c r="L24" s="131"/>
      <c r="M24" s="131"/>
      <c r="N24" s="131"/>
      <c r="O24" s="131"/>
      <c r="P24" s="131"/>
      <c r="Q24" s="131"/>
      <c r="R24" s="131"/>
      <c r="S24" s="131"/>
      <c r="T24" s="131"/>
      <c r="U24" s="131"/>
      <c r="V24" s="131"/>
      <c r="W24" s="131"/>
      <c r="X24" s="131"/>
    </row>
    <row r="25" spans="1:24" ht="13.5" customHeight="1">
      <c r="A25" s="141"/>
      <c r="B25" s="146" t="s">
        <v>713</v>
      </c>
      <c r="C25" s="146" t="s">
        <v>714</v>
      </c>
      <c r="D25" s="150" t="s">
        <v>697</v>
      </c>
      <c r="E25" s="149">
        <v>180</v>
      </c>
      <c r="F25" s="145">
        <v>135</v>
      </c>
      <c r="G25" s="145">
        <f>(E25*(0.1*1*1.1*10.764))+(F25*3.28)</f>
        <v>655.92719999999997</v>
      </c>
      <c r="H25" s="141" t="s">
        <v>358</v>
      </c>
      <c r="I25" s="131"/>
      <c r="J25" s="131"/>
      <c r="K25" s="131"/>
      <c r="L25" s="131"/>
      <c r="M25" s="131"/>
      <c r="N25" s="131"/>
      <c r="O25" s="131"/>
      <c r="P25" s="131"/>
      <c r="Q25" s="131"/>
      <c r="R25" s="131"/>
      <c r="S25" s="131"/>
      <c r="T25" s="131"/>
      <c r="U25" s="131"/>
      <c r="V25" s="131"/>
      <c r="W25" s="131"/>
      <c r="X25" s="131"/>
    </row>
    <row r="26" spans="1:24" ht="13.5" customHeight="1">
      <c r="A26" s="141"/>
      <c r="B26" s="146" t="s">
        <v>715</v>
      </c>
      <c r="C26" s="146" t="s">
        <v>408</v>
      </c>
      <c r="D26" s="150" t="s">
        <v>697</v>
      </c>
      <c r="E26" s="149">
        <f>E25</f>
        <v>180</v>
      </c>
      <c r="F26" s="145">
        <v>135</v>
      </c>
      <c r="G26" s="145">
        <f>(E26*(0.1*1*1.1*10.764))+(F26*3.28)</f>
        <v>655.92719999999997</v>
      </c>
      <c r="H26" s="141" t="s">
        <v>358</v>
      </c>
      <c r="I26" s="131"/>
      <c r="J26" s="131"/>
      <c r="K26" s="131"/>
      <c r="L26" s="131"/>
      <c r="M26" s="131"/>
      <c r="N26" s="131"/>
      <c r="O26" s="131"/>
      <c r="P26" s="131"/>
      <c r="Q26" s="131"/>
      <c r="R26" s="131"/>
      <c r="S26" s="131"/>
      <c r="T26" s="131"/>
      <c r="U26" s="131"/>
      <c r="V26" s="131"/>
      <c r="W26" s="131"/>
      <c r="X26" s="131"/>
    </row>
    <row r="27" spans="1:24" ht="13.5" customHeight="1">
      <c r="A27" s="141"/>
      <c r="B27" s="146" t="s">
        <v>716</v>
      </c>
      <c r="C27" s="146" t="s">
        <v>717</v>
      </c>
      <c r="D27" s="150" t="s">
        <v>697</v>
      </c>
      <c r="E27" s="149">
        <f>60</f>
        <v>60</v>
      </c>
      <c r="F27" s="145">
        <v>100</v>
      </c>
      <c r="G27" s="145">
        <f>(E27*(0.1*1*1.1*10.764))+(F27*3.28)</f>
        <v>399.04239999999999</v>
      </c>
      <c r="H27" s="141" t="s">
        <v>358</v>
      </c>
      <c r="I27" s="131"/>
      <c r="J27" s="131"/>
      <c r="K27" s="131"/>
      <c r="L27" s="131"/>
      <c r="M27" s="131"/>
      <c r="N27" s="131"/>
      <c r="O27" s="131"/>
      <c r="P27" s="131"/>
      <c r="Q27" s="131"/>
      <c r="R27" s="131"/>
      <c r="S27" s="131"/>
      <c r="T27" s="131"/>
      <c r="U27" s="131"/>
      <c r="V27" s="131"/>
      <c r="W27" s="131"/>
      <c r="X27" s="131"/>
    </row>
    <row r="28" spans="1:24" ht="13.5" customHeight="1">
      <c r="A28" s="141"/>
      <c r="B28" s="146" t="s">
        <v>718</v>
      </c>
      <c r="C28" s="146" t="s">
        <v>719</v>
      </c>
      <c r="D28" s="148" t="s">
        <v>694</v>
      </c>
      <c r="E28" s="154">
        <f>E26</f>
        <v>180</v>
      </c>
      <c r="F28" s="145">
        <v>800</v>
      </c>
      <c r="G28" s="145">
        <f>(E28*1.1*10.764)+(F28*1.6*3.28)</f>
        <v>6329.6720000000005</v>
      </c>
      <c r="H28" s="141" t="s">
        <v>327</v>
      </c>
      <c r="I28" s="131"/>
      <c r="J28" s="131"/>
      <c r="K28" s="131"/>
      <c r="L28" s="131"/>
      <c r="M28" s="131"/>
      <c r="N28" s="131"/>
      <c r="O28" s="131"/>
      <c r="P28" s="131"/>
      <c r="Q28" s="131"/>
      <c r="R28" s="131"/>
      <c r="S28" s="131"/>
      <c r="T28" s="131"/>
      <c r="U28" s="131"/>
      <c r="V28" s="131"/>
      <c r="W28" s="131"/>
      <c r="X28" s="131"/>
    </row>
    <row r="29" spans="1:24" ht="13.5" customHeight="1">
      <c r="A29" s="141"/>
      <c r="B29" s="146"/>
      <c r="C29" s="146"/>
      <c r="D29" s="150"/>
      <c r="E29" s="149"/>
      <c r="F29" s="145"/>
      <c r="G29" s="145"/>
      <c r="H29" s="141"/>
      <c r="I29" s="131"/>
      <c r="J29" s="131"/>
      <c r="K29" s="131"/>
      <c r="L29" s="131"/>
      <c r="M29" s="131"/>
      <c r="N29" s="131"/>
      <c r="O29" s="131"/>
      <c r="P29" s="131"/>
      <c r="Q29" s="131"/>
      <c r="R29" s="131"/>
      <c r="S29" s="131"/>
      <c r="T29" s="131"/>
      <c r="U29" s="131"/>
      <c r="V29" s="131"/>
      <c r="W29" s="131"/>
      <c r="X29" s="131"/>
    </row>
    <row r="30" spans="1:24" ht="13.5" customHeight="1">
      <c r="A30" s="142" t="s">
        <v>628</v>
      </c>
      <c r="B30" s="143" t="s">
        <v>510</v>
      </c>
      <c r="C30" s="144"/>
      <c r="D30" s="141"/>
      <c r="E30" s="152"/>
      <c r="F30" s="145"/>
      <c r="G30" s="145"/>
      <c r="H30" s="141"/>
      <c r="I30" s="131"/>
      <c r="J30" s="131"/>
      <c r="K30" s="131"/>
      <c r="L30" s="131"/>
      <c r="M30" s="131"/>
      <c r="N30" s="131"/>
      <c r="O30" s="131"/>
      <c r="P30" s="131"/>
      <c r="Q30" s="131"/>
      <c r="R30" s="131"/>
      <c r="S30" s="131"/>
      <c r="T30" s="131"/>
      <c r="U30" s="131"/>
      <c r="V30" s="131"/>
      <c r="W30" s="131"/>
      <c r="X30" s="131"/>
    </row>
    <row r="31" spans="1:24" ht="13.5" customHeight="1">
      <c r="A31" s="141"/>
      <c r="B31" s="146" t="s">
        <v>355</v>
      </c>
      <c r="C31" s="155" t="s">
        <v>720</v>
      </c>
      <c r="D31" s="148" t="s">
        <v>694</v>
      </c>
      <c r="E31" s="149">
        <f>+E6</f>
        <v>40</v>
      </c>
      <c r="F31" s="145">
        <f>+F6</f>
        <v>75</v>
      </c>
      <c r="G31" s="145">
        <f>+(E31*1.1+F31)*10.764</f>
        <v>1280.9159999999999</v>
      </c>
      <c r="H31" s="141" t="s">
        <v>327</v>
      </c>
      <c r="I31" s="131"/>
      <c r="J31" s="131"/>
      <c r="K31" s="131"/>
      <c r="L31" s="131"/>
      <c r="M31" s="131"/>
      <c r="N31" s="131"/>
      <c r="O31" s="131"/>
      <c r="P31" s="131"/>
      <c r="Q31" s="131"/>
      <c r="R31" s="131"/>
      <c r="S31" s="131"/>
      <c r="T31" s="131"/>
      <c r="U31" s="131"/>
      <c r="V31" s="131"/>
      <c r="W31" s="131"/>
      <c r="X31" s="131"/>
    </row>
    <row r="32" spans="1:24" ht="13.5" customHeight="1">
      <c r="A32" s="141"/>
      <c r="B32" s="146" t="s">
        <v>695</v>
      </c>
      <c r="C32" s="155" t="s">
        <v>699</v>
      </c>
      <c r="D32" s="150" t="s">
        <v>697</v>
      </c>
      <c r="E32" s="149"/>
      <c r="F32" s="145"/>
      <c r="G32" s="145"/>
      <c r="H32" s="141" t="s">
        <v>711</v>
      </c>
      <c r="I32" s="131"/>
      <c r="J32" s="131"/>
      <c r="K32" s="131"/>
      <c r="L32" s="131"/>
      <c r="M32" s="131"/>
      <c r="N32" s="131"/>
      <c r="O32" s="131"/>
      <c r="P32" s="131"/>
      <c r="Q32" s="131"/>
      <c r="R32" s="131"/>
      <c r="S32" s="131"/>
      <c r="T32" s="131"/>
      <c r="U32" s="131"/>
      <c r="V32" s="131"/>
      <c r="W32" s="131"/>
      <c r="X32" s="131"/>
    </row>
    <row r="33" spans="1:24" ht="13.5" customHeight="1">
      <c r="A33" s="141"/>
      <c r="B33" s="146" t="s">
        <v>698</v>
      </c>
      <c r="C33" s="155" t="s">
        <v>712</v>
      </c>
      <c r="D33" s="148" t="s">
        <v>694</v>
      </c>
      <c r="E33" s="149">
        <f>+E31</f>
        <v>40</v>
      </c>
      <c r="F33" s="145">
        <f>+F19</f>
        <v>80</v>
      </c>
      <c r="G33" s="145">
        <f>+(E33*1.1+F33)*10.764</f>
        <v>1334.7359999999999</v>
      </c>
      <c r="H33" s="141" t="s">
        <v>327</v>
      </c>
      <c r="I33" s="131"/>
      <c r="J33" s="131"/>
      <c r="K33" s="131"/>
      <c r="L33" s="131"/>
      <c r="M33" s="131"/>
      <c r="N33" s="131"/>
      <c r="O33" s="131"/>
      <c r="P33" s="131"/>
      <c r="Q33" s="131"/>
      <c r="R33" s="131"/>
      <c r="S33" s="131"/>
      <c r="T33" s="131"/>
      <c r="U33" s="131"/>
      <c r="V33" s="131"/>
      <c r="W33" s="131"/>
      <c r="X33" s="131"/>
    </row>
    <row r="34" spans="1:24" ht="13.5" customHeight="1">
      <c r="A34" s="141"/>
      <c r="B34" s="146" t="s">
        <v>700</v>
      </c>
      <c r="C34" s="155" t="s">
        <v>701</v>
      </c>
      <c r="D34" s="148" t="s">
        <v>694</v>
      </c>
      <c r="E34" s="149">
        <f>$E$9</f>
        <v>25</v>
      </c>
      <c r="F34" s="145"/>
      <c r="G34" s="145">
        <v>376.73999999999995</v>
      </c>
      <c r="H34" s="141" t="s">
        <v>327</v>
      </c>
      <c r="I34" s="131"/>
      <c r="J34" s="131"/>
      <c r="K34" s="131"/>
      <c r="L34" s="131"/>
      <c r="M34" s="131"/>
      <c r="N34" s="131"/>
      <c r="O34" s="131"/>
      <c r="P34" s="131"/>
      <c r="Q34" s="131"/>
      <c r="R34" s="131"/>
      <c r="S34" s="131"/>
      <c r="T34" s="131"/>
      <c r="U34" s="131"/>
      <c r="V34" s="131"/>
      <c r="W34" s="131"/>
      <c r="X34" s="131"/>
    </row>
    <row r="35" spans="1:24" ht="13.5" customHeight="1">
      <c r="A35" s="141"/>
      <c r="B35" s="146" t="s">
        <v>702</v>
      </c>
      <c r="C35" s="155" t="s">
        <v>701</v>
      </c>
      <c r="D35" s="148" t="s">
        <v>694</v>
      </c>
      <c r="E35" s="149">
        <f>$E$10</f>
        <v>25</v>
      </c>
      <c r="F35" s="145"/>
      <c r="G35" s="145">
        <f>+E35*10.764</f>
        <v>269.09999999999997</v>
      </c>
      <c r="H35" s="141" t="s">
        <v>327</v>
      </c>
      <c r="I35" s="131"/>
      <c r="J35" s="131"/>
      <c r="K35" s="131"/>
      <c r="L35" s="131"/>
      <c r="M35" s="131"/>
      <c r="N35" s="131"/>
      <c r="O35" s="131"/>
      <c r="P35" s="131"/>
      <c r="Q35" s="131"/>
      <c r="R35" s="131"/>
      <c r="S35" s="131"/>
      <c r="T35" s="131"/>
      <c r="U35" s="131"/>
      <c r="V35" s="131"/>
      <c r="W35" s="131"/>
      <c r="X35" s="131"/>
    </row>
    <row r="36" spans="1:24" ht="13.5" customHeight="1">
      <c r="A36" s="141"/>
      <c r="B36" s="151" t="s">
        <v>703</v>
      </c>
      <c r="C36" s="155" t="s">
        <v>699</v>
      </c>
      <c r="D36" s="148" t="s">
        <v>694</v>
      </c>
      <c r="E36" s="149"/>
      <c r="F36" s="145"/>
      <c r="G36" s="145"/>
      <c r="H36" s="141" t="s">
        <v>327</v>
      </c>
      <c r="I36" s="131"/>
      <c r="J36" s="131"/>
      <c r="K36" s="131"/>
      <c r="L36" s="131"/>
      <c r="M36" s="131"/>
      <c r="N36" s="131"/>
      <c r="O36" s="131"/>
      <c r="P36" s="131"/>
      <c r="Q36" s="131"/>
      <c r="R36" s="131"/>
      <c r="S36" s="131"/>
      <c r="T36" s="131"/>
      <c r="U36" s="131"/>
      <c r="V36" s="131"/>
      <c r="W36" s="131"/>
      <c r="X36" s="131"/>
    </row>
    <row r="37" spans="1:24" ht="13.5" customHeight="1">
      <c r="A37" s="141"/>
      <c r="B37" s="146" t="s">
        <v>704</v>
      </c>
      <c r="C37" s="155" t="s">
        <v>705</v>
      </c>
      <c r="D37" s="148" t="s">
        <v>694</v>
      </c>
      <c r="E37" s="149">
        <f>$E$12</f>
        <v>20</v>
      </c>
      <c r="F37" s="145"/>
      <c r="G37" s="145">
        <f>E37*10.764</f>
        <v>215.27999999999997</v>
      </c>
      <c r="H37" s="141" t="s">
        <v>327</v>
      </c>
      <c r="I37" s="131"/>
      <c r="J37" s="131"/>
      <c r="K37" s="131"/>
      <c r="L37" s="131"/>
      <c r="M37" s="131"/>
      <c r="N37" s="131"/>
      <c r="O37" s="131"/>
      <c r="P37" s="131"/>
      <c r="Q37" s="131"/>
      <c r="R37" s="131"/>
      <c r="S37" s="131"/>
      <c r="T37" s="131"/>
      <c r="U37" s="131"/>
      <c r="V37" s="131"/>
      <c r="W37" s="131"/>
      <c r="X37" s="131"/>
    </row>
    <row r="38" spans="1:24" ht="13.5" customHeight="1">
      <c r="A38" s="141"/>
      <c r="B38" s="146" t="s">
        <v>706</v>
      </c>
      <c r="C38" s="155" t="s">
        <v>705</v>
      </c>
      <c r="D38" s="148" t="s">
        <v>694</v>
      </c>
      <c r="E38" s="149">
        <f>E37</f>
        <v>20</v>
      </c>
      <c r="F38" s="145"/>
      <c r="G38" s="145">
        <f>E38*10.764</f>
        <v>215.27999999999997</v>
      </c>
      <c r="H38" s="141" t="s">
        <v>327</v>
      </c>
      <c r="I38" s="131"/>
      <c r="J38" s="131"/>
      <c r="K38" s="131"/>
      <c r="L38" s="131"/>
      <c r="M38" s="131"/>
      <c r="N38" s="131"/>
      <c r="O38" s="131"/>
      <c r="P38" s="131"/>
      <c r="Q38" s="131"/>
      <c r="R38" s="131"/>
      <c r="S38" s="131"/>
      <c r="T38" s="131"/>
      <c r="U38" s="131"/>
      <c r="V38" s="131"/>
      <c r="W38" s="131"/>
      <c r="X38" s="131"/>
    </row>
    <row r="39" spans="1:24" ht="13.5" customHeight="1">
      <c r="A39" s="141"/>
      <c r="B39" s="146" t="s">
        <v>713</v>
      </c>
      <c r="C39" s="146" t="s">
        <v>699</v>
      </c>
      <c r="D39" s="150" t="s">
        <v>697</v>
      </c>
      <c r="E39" s="149"/>
      <c r="F39" s="145"/>
      <c r="G39" s="145"/>
      <c r="H39" s="141" t="s">
        <v>327</v>
      </c>
      <c r="I39" s="131"/>
      <c r="J39" s="131"/>
      <c r="K39" s="131"/>
      <c r="L39" s="131"/>
      <c r="M39" s="131"/>
      <c r="N39" s="131"/>
      <c r="O39" s="131"/>
      <c r="P39" s="131"/>
      <c r="Q39" s="131"/>
      <c r="R39" s="131"/>
      <c r="S39" s="131"/>
      <c r="T39" s="131"/>
      <c r="U39" s="131"/>
      <c r="V39" s="131"/>
      <c r="W39" s="131"/>
      <c r="X39" s="131"/>
    </row>
    <row r="40" spans="1:24" ht="13.5" customHeight="1">
      <c r="A40" s="141"/>
      <c r="B40" s="146" t="s">
        <v>715</v>
      </c>
      <c r="C40" s="146" t="s">
        <v>408</v>
      </c>
      <c r="D40" s="150" t="s">
        <v>697</v>
      </c>
      <c r="E40" s="149">
        <f>+E25</f>
        <v>180</v>
      </c>
      <c r="F40" s="145">
        <v>135</v>
      </c>
      <c r="G40" s="145">
        <f>(E40*(0.1*1*1.1*10.764))+(F40*3.28)</f>
        <v>655.92719999999997</v>
      </c>
      <c r="H40" s="141" t="s">
        <v>358</v>
      </c>
      <c r="I40" s="131"/>
      <c r="J40" s="131"/>
      <c r="K40" s="131"/>
      <c r="L40" s="131"/>
      <c r="M40" s="131"/>
      <c r="N40" s="131"/>
      <c r="O40" s="131"/>
      <c r="P40" s="131"/>
      <c r="Q40" s="131"/>
      <c r="R40" s="131"/>
      <c r="S40" s="131"/>
      <c r="T40" s="131"/>
      <c r="U40" s="131"/>
      <c r="V40" s="131"/>
      <c r="W40" s="131"/>
      <c r="X40" s="131"/>
    </row>
    <row r="41" spans="1:24" ht="13.5" customHeight="1">
      <c r="A41" s="141"/>
      <c r="B41" s="146" t="s">
        <v>716</v>
      </c>
      <c r="C41" s="146" t="s">
        <v>717</v>
      </c>
      <c r="D41" s="150" t="s">
        <v>697</v>
      </c>
      <c r="E41" s="149">
        <f>60</f>
        <v>60</v>
      </c>
      <c r="F41" s="145">
        <v>100</v>
      </c>
      <c r="G41" s="145">
        <f>(E41*(0.1*1*1.1*10.764))+(F41*3.28)</f>
        <v>399.04239999999999</v>
      </c>
      <c r="H41" s="141" t="s">
        <v>358</v>
      </c>
      <c r="I41" s="131"/>
      <c r="J41" s="131"/>
      <c r="K41" s="131"/>
      <c r="L41" s="131"/>
      <c r="M41" s="131"/>
      <c r="N41" s="131"/>
      <c r="O41" s="131"/>
      <c r="P41" s="131"/>
      <c r="Q41" s="131"/>
      <c r="R41" s="131"/>
      <c r="S41" s="131"/>
      <c r="T41" s="131"/>
      <c r="U41" s="131"/>
      <c r="V41" s="131"/>
      <c r="W41" s="131"/>
      <c r="X41" s="131"/>
    </row>
    <row r="42" spans="1:24" s="162" customFormat="1" ht="13.5" customHeight="1">
      <c r="A42" s="141"/>
      <c r="B42" s="146" t="s">
        <v>666</v>
      </c>
      <c r="C42" s="155" t="s">
        <v>721</v>
      </c>
      <c r="D42" s="150" t="s">
        <v>697</v>
      </c>
      <c r="E42" s="149">
        <f>+E25</f>
        <v>180</v>
      </c>
      <c r="F42" s="145">
        <v>800</v>
      </c>
      <c r="G42" s="145">
        <f>(E42*(2.2*1.1*10.764))+(F42*3.28)</f>
        <v>7312.7984000000006</v>
      </c>
      <c r="H42" s="141" t="s">
        <v>358</v>
      </c>
      <c r="I42" s="161"/>
      <c r="J42" s="161"/>
      <c r="K42" s="161"/>
      <c r="L42" s="161"/>
      <c r="M42" s="161"/>
      <c r="N42" s="161"/>
      <c r="O42" s="161"/>
      <c r="P42" s="161"/>
      <c r="Q42" s="161"/>
      <c r="R42" s="161"/>
      <c r="S42" s="161"/>
      <c r="T42" s="161"/>
      <c r="U42" s="161"/>
      <c r="V42" s="161"/>
      <c r="W42" s="161"/>
      <c r="X42" s="161"/>
    </row>
    <row r="43" spans="1:24" ht="13.5" customHeight="1">
      <c r="A43" s="141"/>
      <c r="B43" s="146"/>
      <c r="C43" s="146"/>
      <c r="D43" s="150"/>
      <c r="E43" s="149"/>
      <c r="F43" s="145"/>
      <c r="G43" s="145"/>
      <c r="H43" s="141"/>
      <c r="I43" s="131"/>
      <c r="J43" s="131"/>
      <c r="K43" s="131"/>
      <c r="L43" s="131"/>
      <c r="M43" s="131"/>
      <c r="N43" s="131"/>
      <c r="O43" s="131"/>
      <c r="P43" s="131"/>
      <c r="Q43" s="131"/>
      <c r="R43" s="131"/>
      <c r="S43" s="131"/>
      <c r="T43" s="131"/>
      <c r="U43" s="131"/>
      <c r="V43" s="131"/>
      <c r="W43" s="131"/>
      <c r="X43" s="131"/>
    </row>
    <row r="44" spans="1:24" ht="13.5" customHeight="1">
      <c r="A44" s="142" t="s">
        <v>628</v>
      </c>
      <c r="B44" s="143" t="s">
        <v>236</v>
      </c>
      <c r="C44" s="144"/>
      <c r="D44" s="156"/>
      <c r="E44" s="141"/>
      <c r="F44" s="145"/>
      <c r="G44" s="145"/>
      <c r="H44" s="141"/>
      <c r="I44" s="131"/>
      <c r="J44" s="131"/>
      <c r="K44" s="131"/>
      <c r="L44" s="131"/>
      <c r="M44" s="131"/>
      <c r="N44" s="131"/>
      <c r="O44" s="131"/>
      <c r="P44" s="131"/>
      <c r="Q44" s="131"/>
      <c r="R44" s="131"/>
      <c r="S44" s="131"/>
      <c r="T44" s="131"/>
      <c r="U44" s="131"/>
      <c r="V44" s="131"/>
      <c r="W44" s="131"/>
      <c r="X44" s="131"/>
    </row>
    <row r="45" spans="1:24" ht="13.5" customHeight="1">
      <c r="A45" s="141"/>
      <c r="B45" s="146" t="s">
        <v>355</v>
      </c>
      <c r="C45" s="144" t="s">
        <v>699</v>
      </c>
      <c r="D45" s="148" t="s">
        <v>694</v>
      </c>
      <c r="E45" s="152"/>
      <c r="F45" s="145"/>
      <c r="G45" s="145"/>
      <c r="H45" s="148" t="s">
        <v>327</v>
      </c>
      <c r="I45" s="131"/>
      <c r="J45" s="131"/>
      <c r="K45" s="131"/>
      <c r="L45" s="131"/>
      <c r="M45" s="131"/>
      <c r="N45" s="131"/>
      <c r="O45" s="131"/>
      <c r="P45" s="131"/>
      <c r="Q45" s="131"/>
      <c r="R45" s="131"/>
      <c r="S45" s="131"/>
      <c r="T45" s="131"/>
      <c r="U45" s="131"/>
      <c r="V45" s="131"/>
      <c r="W45" s="131"/>
      <c r="X45" s="131"/>
    </row>
    <row r="46" spans="1:24" ht="13.5" customHeight="1">
      <c r="A46" s="141"/>
      <c r="B46" s="146" t="s">
        <v>695</v>
      </c>
      <c r="C46" s="146" t="s">
        <v>699</v>
      </c>
      <c r="D46" s="150" t="s">
        <v>697</v>
      </c>
      <c r="E46" s="141"/>
      <c r="F46" s="145"/>
      <c r="G46" s="145"/>
      <c r="H46" s="148" t="s">
        <v>722</v>
      </c>
      <c r="I46" s="131"/>
      <c r="J46" s="131"/>
      <c r="K46" s="131"/>
      <c r="L46" s="131"/>
      <c r="M46" s="131"/>
      <c r="N46" s="131"/>
      <c r="O46" s="131"/>
      <c r="P46" s="131"/>
      <c r="Q46" s="131"/>
      <c r="R46" s="131"/>
      <c r="S46" s="131"/>
      <c r="T46" s="131"/>
      <c r="U46" s="131"/>
      <c r="V46" s="131"/>
      <c r="W46" s="131"/>
      <c r="X46" s="131"/>
    </row>
    <row r="47" spans="1:24" ht="13.5" customHeight="1">
      <c r="A47" s="141"/>
      <c r="B47" s="146" t="s">
        <v>698</v>
      </c>
      <c r="C47" s="146" t="s">
        <v>699</v>
      </c>
      <c r="D47" s="148" t="s">
        <v>694</v>
      </c>
      <c r="E47" s="141"/>
      <c r="F47" s="145"/>
      <c r="G47" s="145"/>
      <c r="H47" s="148" t="s">
        <v>327</v>
      </c>
      <c r="I47" s="131"/>
      <c r="J47" s="131"/>
      <c r="K47" s="131"/>
      <c r="L47" s="131"/>
      <c r="M47" s="131"/>
      <c r="N47" s="131"/>
      <c r="O47" s="131"/>
      <c r="P47" s="131"/>
      <c r="Q47" s="131"/>
      <c r="R47" s="131"/>
      <c r="S47" s="131"/>
      <c r="T47" s="131"/>
      <c r="U47" s="131"/>
      <c r="V47" s="131"/>
      <c r="W47" s="131"/>
      <c r="X47" s="131"/>
    </row>
    <row r="48" spans="1:24" ht="13.5" customHeight="1">
      <c r="A48" s="141"/>
      <c r="B48" s="146" t="s">
        <v>700</v>
      </c>
      <c r="C48" s="146" t="s">
        <v>699</v>
      </c>
      <c r="D48" s="148" t="s">
        <v>694</v>
      </c>
      <c r="E48" s="149"/>
      <c r="F48" s="145"/>
      <c r="G48" s="145"/>
      <c r="H48" s="148" t="s">
        <v>327</v>
      </c>
      <c r="I48" s="131"/>
      <c r="J48" s="131"/>
      <c r="K48" s="131"/>
      <c r="L48" s="131"/>
      <c r="M48" s="131"/>
      <c r="N48" s="131"/>
      <c r="O48" s="131"/>
      <c r="P48" s="131"/>
      <c r="Q48" s="131"/>
      <c r="R48" s="131"/>
      <c r="S48" s="131"/>
      <c r="T48" s="131"/>
      <c r="U48" s="131"/>
      <c r="V48" s="131"/>
      <c r="W48" s="131"/>
      <c r="X48" s="131"/>
    </row>
    <row r="49" spans="1:24" ht="13.5" customHeight="1">
      <c r="A49" s="141"/>
      <c r="B49" s="146" t="s">
        <v>702</v>
      </c>
      <c r="C49" s="146" t="s">
        <v>699</v>
      </c>
      <c r="D49" s="148" t="s">
        <v>694</v>
      </c>
      <c r="E49" s="149"/>
      <c r="F49" s="145"/>
      <c r="G49" s="145"/>
      <c r="H49" s="148" t="s">
        <v>327</v>
      </c>
      <c r="I49" s="131"/>
      <c r="J49" s="131"/>
      <c r="K49" s="131"/>
      <c r="L49" s="131"/>
      <c r="M49" s="131"/>
      <c r="N49" s="131"/>
      <c r="O49" s="131"/>
      <c r="P49" s="131"/>
      <c r="Q49" s="131"/>
      <c r="R49" s="131"/>
      <c r="S49" s="131"/>
      <c r="T49" s="131"/>
      <c r="U49" s="131"/>
      <c r="V49" s="131"/>
      <c r="W49" s="131"/>
      <c r="X49" s="131"/>
    </row>
    <row r="50" spans="1:24" s="162" customFormat="1" ht="13.5" customHeight="1">
      <c r="A50" s="141"/>
      <c r="B50" s="151" t="s">
        <v>703</v>
      </c>
      <c r="C50" s="146" t="s">
        <v>699</v>
      </c>
      <c r="D50" s="148" t="s">
        <v>694</v>
      </c>
      <c r="E50" s="149"/>
      <c r="F50" s="145"/>
      <c r="G50" s="145"/>
      <c r="H50" s="148" t="s">
        <v>327</v>
      </c>
      <c r="I50" s="161"/>
      <c r="J50" s="161"/>
      <c r="K50" s="161"/>
      <c r="L50" s="161"/>
      <c r="M50" s="161"/>
      <c r="N50" s="161"/>
      <c r="O50" s="161"/>
      <c r="P50" s="161"/>
      <c r="Q50" s="161"/>
      <c r="R50" s="161"/>
      <c r="S50" s="161"/>
      <c r="T50" s="161"/>
      <c r="U50" s="161"/>
      <c r="V50" s="161"/>
      <c r="W50" s="161"/>
      <c r="X50" s="161"/>
    </row>
    <row r="51" spans="1:24" ht="13.5" customHeight="1">
      <c r="A51" s="141"/>
      <c r="B51" s="146" t="s">
        <v>704</v>
      </c>
      <c r="C51" s="146" t="s">
        <v>723</v>
      </c>
      <c r="D51" s="148" t="s">
        <v>694</v>
      </c>
      <c r="E51" s="149">
        <v>16</v>
      </c>
      <c r="F51" s="145"/>
      <c r="G51" s="145">
        <f>+E51*10.764</f>
        <v>172.22399999999999</v>
      </c>
      <c r="H51" s="148" t="s">
        <v>327</v>
      </c>
      <c r="I51" s="131"/>
      <c r="J51" s="131"/>
      <c r="K51" s="131"/>
      <c r="L51" s="131"/>
      <c r="M51" s="131"/>
      <c r="N51" s="131"/>
      <c r="O51" s="131"/>
      <c r="P51" s="131"/>
      <c r="Q51" s="131"/>
      <c r="R51" s="131"/>
      <c r="S51" s="131"/>
      <c r="T51" s="131"/>
      <c r="U51" s="131"/>
      <c r="V51" s="131"/>
      <c r="W51" s="131"/>
      <c r="X51" s="131"/>
    </row>
    <row r="52" spans="1:24" ht="13.5" customHeight="1">
      <c r="A52" s="141"/>
      <c r="B52" s="146" t="s">
        <v>706</v>
      </c>
      <c r="C52" s="146" t="s">
        <v>699</v>
      </c>
      <c r="D52" s="148" t="s">
        <v>694</v>
      </c>
      <c r="E52" s="149"/>
      <c r="F52" s="145"/>
      <c r="G52" s="145"/>
      <c r="H52" s="148" t="s">
        <v>327</v>
      </c>
      <c r="I52" s="131"/>
      <c r="J52" s="131"/>
      <c r="K52" s="131"/>
      <c r="L52" s="131"/>
      <c r="M52" s="131"/>
      <c r="N52" s="131"/>
      <c r="O52" s="131"/>
      <c r="P52" s="131"/>
      <c r="Q52" s="131"/>
      <c r="R52" s="131"/>
      <c r="S52" s="131"/>
      <c r="T52" s="131"/>
      <c r="U52" s="131"/>
      <c r="V52" s="131"/>
      <c r="W52" s="131"/>
      <c r="X52" s="131"/>
    </row>
    <row r="53" spans="1:24" ht="13.5" customHeight="1">
      <c r="A53" s="141"/>
      <c r="B53" s="146" t="s">
        <v>724</v>
      </c>
      <c r="C53" s="146" t="s">
        <v>699</v>
      </c>
      <c r="D53" s="150" t="s">
        <v>697</v>
      </c>
      <c r="E53" s="149"/>
      <c r="F53" s="145"/>
      <c r="G53" s="145"/>
      <c r="H53" s="148" t="s">
        <v>327</v>
      </c>
      <c r="I53" s="131"/>
      <c r="J53" s="131"/>
      <c r="K53" s="131"/>
      <c r="L53" s="131"/>
      <c r="M53" s="131"/>
      <c r="N53" s="131"/>
      <c r="O53" s="131"/>
      <c r="P53" s="131"/>
      <c r="Q53" s="131"/>
      <c r="R53" s="131"/>
      <c r="S53" s="131"/>
      <c r="T53" s="131"/>
      <c r="U53" s="131"/>
      <c r="V53" s="131"/>
      <c r="W53" s="131"/>
      <c r="X53" s="131"/>
    </row>
    <row r="54" spans="1:24" ht="13.5" customHeight="1">
      <c r="A54" s="157"/>
      <c r="B54" s="158"/>
      <c r="C54" s="158"/>
      <c r="D54" s="159"/>
      <c r="E54" s="160"/>
      <c r="F54" s="145"/>
      <c r="G54" s="145"/>
      <c r="H54" s="157"/>
      <c r="I54" s="131"/>
      <c r="J54" s="131"/>
      <c r="K54" s="131"/>
      <c r="L54" s="131"/>
      <c r="M54" s="131"/>
      <c r="N54" s="131"/>
      <c r="O54" s="131"/>
      <c r="P54" s="131"/>
      <c r="Q54" s="131"/>
      <c r="R54" s="131"/>
      <c r="S54" s="131"/>
      <c r="T54" s="131"/>
      <c r="U54" s="131"/>
      <c r="V54" s="131"/>
      <c r="W54" s="131"/>
      <c r="X54" s="131"/>
    </row>
    <row r="55" spans="1:24" ht="13.5" customHeight="1">
      <c r="A55" s="142" t="s">
        <v>628</v>
      </c>
      <c r="B55" s="143" t="s">
        <v>725</v>
      </c>
      <c r="C55" s="144"/>
      <c r="D55" s="141"/>
      <c r="E55" s="141"/>
      <c r="F55" s="145"/>
      <c r="G55" s="145"/>
      <c r="H55" s="141"/>
      <c r="I55" s="131"/>
      <c r="J55" s="131"/>
      <c r="K55" s="131"/>
      <c r="L55" s="131"/>
      <c r="M55" s="131"/>
      <c r="N55" s="131"/>
      <c r="O55" s="131"/>
      <c r="P55" s="131"/>
      <c r="Q55" s="131"/>
      <c r="R55" s="131"/>
      <c r="S55" s="131"/>
      <c r="T55" s="131"/>
      <c r="U55" s="131"/>
      <c r="V55" s="131"/>
      <c r="W55" s="131"/>
      <c r="X55" s="131"/>
    </row>
    <row r="56" spans="1:24" ht="13.5" customHeight="1">
      <c r="A56" s="141"/>
      <c r="B56" s="146" t="s">
        <v>355</v>
      </c>
      <c r="C56" s="146" t="s">
        <v>726</v>
      </c>
      <c r="D56" s="148" t="s">
        <v>694</v>
      </c>
      <c r="E56" s="149">
        <v>60</v>
      </c>
      <c r="F56" s="145">
        <v>85</v>
      </c>
      <c r="G56" s="145">
        <f>+(E56*1.1+F56)*10.764</f>
        <v>1625.3639999999998</v>
      </c>
      <c r="H56" s="141" t="s">
        <v>327</v>
      </c>
      <c r="I56" s="131"/>
      <c r="J56" s="131"/>
      <c r="K56" s="131"/>
      <c r="L56" s="131"/>
      <c r="M56" s="131"/>
      <c r="N56" s="131"/>
      <c r="O56" s="131"/>
      <c r="P56" s="131"/>
      <c r="Q56" s="131"/>
      <c r="R56" s="131"/>
      <c r="S56" s="131"/>
      <c r="T56" s="131"/>
      <c r="U56" s="131"/>
      <c r="V56" s="131"/>
      <c r="W56" s="131"/>
      <c r="X56" s="131"/>
    </row>
    <row r="57" spans="1:24" ht="13.5" customHeight="1">
      <c r="A57" s="141"/>
      <c r="B57" s="146" t="s">
        <v>695</v>
      </c>
      <c r="C57" s="146" t="s">
        <v>727</v>
      </c>
      <c r="D57" s="148" t="s">
        <v>697</v>
      </c>
      <c r="E57" s="149">
        <v>60</v>
      </c>
      <c r="F57" s="145">
        <v>70</v>
      </c>
      <c r="G57" s="145">
        <f>(E57*1.1+F57)*3.28</f>
        <v>446.08</v>
      </c>
      <c r="H57" s="141" t="s">
        <v>711</v>
      </c>
      <c r="I57" s="131"/>
      <c r="J57" s="131"/>
      <c r="K57" s="131"/>
      <c r="L57" s="131"/>
      <c r="M57" s="131"/>
      <c r="N57" s="131"/>
      <c r="O57" s="131"/>
      <c r="P57" s="131"/>
      <c r="Q57" s="131"/>
      <c r="R57" s="131"/>
      <c r="S57" s="131"/>
      <c r="T57" s="131"/>
      <c r="U57" s="131"/>
      <c r="V57" s="131"/>
      <c r="W57" s="131"/>
      <c r="X57" s="131"/>
    </row>
    <row r="58" spans="1:24" s="165" customFormat="1">
      <c r="A58" s="141"/>
      <c r="B58" s="146" t="s">
        <v>698</v>
      </c>
      <c r="C58" s="146" t="s">
        <v>699</v>
      </c>
      <c r="D58" s="156" t="s">
        <v>697</v>
      </c>
      <c r="E58" s="149"/>
      <c r="F58" s="145"/>
      <c r="G58" s="145"/>
      <c r="H58" s="141" t="s">
        <v>358</v>
      </c>
      <c r="I58" s="164"/>
      <c r="J58" s="164"/>
      <c r="K58" s="164"/>
      <c r="L58" s="164"/>
      <c r="M58" s="164"/>
      <c r="N58" s="164"/>
      <c r="O58" s="164"/>
      <c r="P58" s="164"/>
      <c r="Q58" s="164"/>
      <c r="R58" s="164"/>
      <c r="S58" s="164"/>
      <c r="T58" s="164"/>
      <c r="U58" s="164"/>
      <c r="V58" s="164"/>
      <c r="W58" s="164"/>
      <c r="X58" s="164"/>
    </row>
    <row r="59" spans="1:24" s="165" customFormat="1">
      <c r="A59" s="141"/>
      <c r="B59" s="146" t="s">
        <v>700</v>
      </c>
      <c r="C59" s="146" t="s">
        <v>728</v>
      </c>
      <c r="D59" s="148" t="s">
        <v>694</v>
      </c>
      <c r="E59" s="149">
        <v>53</v>
      </c>
      <c r="F59" s="145"/>
      <c r="G59" s="145">
        <f>E59*10.764</f>
        <v>570.49199999999996</v>
      </c>
      <c r="H59" s="141" t="s">
        <v>327</v>
      </c>
      <c r="I59" s="164"/>
      <c r="J59" s="164"/>
      <c r="K59" s="164"/>
      <c r="L59" s="164"/>
      <c r="M59" s="164"/>
      <c r="N59" s="164"/>
      <c r="O59" s="164"/>
      <c r="P59" s="164"/>
      <c r="Q59" s="164"/>
      <c r="R59" s="164"/>
      <c r="S59" s="164"/>
      <c r="T59" s="164"/>
      <c r="U59" s="164"/>
      <c r="V59" s="164"/>
      <c r="W59" s="164"/>
      <c r="X59" s="164"/>
    </row>
    <row r="60" spans="1:24" s="165" customFormat="1">
      <c r="A60" s="141"/>
      <c r="B60" s="146" t="s">
        <v>702</v>
      </c>
      <c r="C60" s="146" t="s">
        <v>699</v>
      </c>
      <c r="D60" s="156" t="s">
        <v>694</v>
      </c>
      <c r="E60" s="149">
        <v>53</v>
      </c>
      <c r="F60" s="145"/>
      <c r="G60" s="145">
        <f>E60*10.764</f>
        <v>570.49199999999996</v>
      </c>
      <c r="H60" s="141" t="s">
        <v>327</v>
      </c>
      <c r="I60" s="164"/>
      <c r="J60" s="164"/>
      <c r="K60" s="164"/>
      <c r="L60" s="164"/>
      <c r="M60" s="164"/>
      <c r="N60" s="164"/>
      <c r="O60" s="164"/>
      <c r="P60" s="164"/>
      <c r="Q60" s="164"/>
      <c r="R60" s="164"/>
      <c r="S60" s="164"/>
      <c r="T60" s="164"/>
      <c r="U60" s="164"/>
      <c r="V60" s="164"/>
      <c r="W60" s="164"/>
      <c r="X60" s="164"/>
    </row>
    <row r="61" spans="1:24" s="165" customFormat="1" ht="19.5" customHeight="1">
      <c r="A61" s="141"/>
      <c r="B61" s="146" t="s">
        <v>703</v>
      </c>
      <c r="C61" s="146" t="s">
        <v>699</v>
      </c>
      <c r="D61" s="148" t="s">
        <v>694</v>
      </c>
      <c r="E61" s="149"/>
      <c r="F61" s="145"/>
      <c r="G61" s="145"/>
      <c r="H61" s="141" t="s">
        <v>327</v>
      </c>
      <c r="I61" s="170"/>
      <c r="J61" s="164"/>
      <c r="K61" s="164"/>
      <c r="L61" s="164"/>
      <c r="M61" s="164"/>
      <c r="N61" s="164"/>
      <c r="O61" s="164"/>
      <c r="P61" s="164"/>
      <c r="Q61" s="164"/>
      <c r="R61" s="164"/>
      <c r="S61" s="164"/>
      <c r="T61" s="164"/>
      <c r="U61" s="164"/>
      <c r="V61" s="164"/>
      <c r="W61" s="164"/>
      <c r="X61" s="164"/>
    </row>
    <row r="62" spans="1:24" s="165" customFormat="1">
      <c r="A62" s="141"/>
      <c r="B62" s="146" t="s">
        <v>704</v>
      </c>
      <c r="C62" s="146" t="s">
        <v>729</v>
      </c>
      <c r="D62" s="148" t="s">
        <v>694</v>
      </c>
      <c r="E62" s="149">
        <v>18</v>
      </c>
      <c r="F62" s="145"/>
      <c r="G62" s="145">
        <f t="shared" ref="G62:G63" si="4">+E62*10.764</f>
        <v>193.75199999999998</v>
      </c>
      <c r="H62" s="141" t="s">
        <v>327</v>
      </c>
      <c r="I62" s="170"/>
      <c r="J62" s="164"/>
      <c r="K62" s="164"/>
      <c r="L62" s="164"/>
      <c r="M62" s="164"/>
      <c r="N62" s="164"/>
      <c r="O62" s="164"/>
      <c r="P62" s="164"/>
      <c r="Q62" s="164"/>
      <c r="R62" s="164"/>
      <c r="S62" s="164"/>
      <c r="T62" s="164"/>
      <c r="U62" s="164"/>
      <c r="V62" s="164"/>
      <c r="W62" s="164"/>
      <c r="X62" s="164"/>
    </row>
    <row r="63" spans="1:24" s="165" customFormat="1">
      <c r="A63" s="141"/>
      <c r="B63" s="146" t="s">
        <v>706</v>
      </c>
      <c r="C63" s="146" t="str">
        <f>+C62</f>
        <v>Cement Paint</v>
      </c>
      <c r="D63" s="148" t="s">
        <v>694</v>
      </c>
      <c r="E63" s="149">
        <v>18</v>
      </c>
      <c r="F63" s="145"/>
      <c r="G63" s="145">
        <f t="shared" si="4"/>
        <v>193.75199999999998</v>
      </c>
      <c r="H63" s="141" t="s">
        <v>327</v>
      </c>
      <c r="I63" s="170"/>
      <c r="J63" s="164"/>
      <c r="K63" s="164"/>
      <c r="L63" s="164"/>
      <c r="M63" s="164"/>
      <c r="N63" s="164"/>
      <c r="O63" s="164"/>
      <c r="P63" s="164"/>
      <c r="Q63" s="164"/>
      <c r="R63" s="164"/>
      <c r="S63" s="164"/>
      <c r="T63" s="164"/>
      <c r="U63" s="164"/>
      <c r="V63" s="164"/>
      <c r="W63" s="164"/>
      <c r="X63" s="164"/>
    </row>
    <row r="64" spans="1:24" s="165" customFormat="1">
      <c r="A64" s="141"/>
      <c r="B64" s="146" t="s">
        <v>730</v>
      </c>
      <c r="C64" s="146" t="s">
        <v>699</v>
      </c>
      <c r="D64" s="156"/>
      <c r="E64" s="149"/>
      <c r="F64" s="145"/>
      <c r="G64" s="145"/>
      <c r="H64" s="141" t="s">
        <v>711</v>
      </c>
      <c r="I64" s="170"/>
      <c r="J64" s="164"/>
      <c r="K64" s="164"/>
      <c r="L64" s="164"/>
      <c r="M64" s="164"/>
      <c r="N64" s="164"/>
      <c r="O64" s="164"/>
      <c r="P64" s="164"/>
      <c r="Q64" s="164"/>
      <c r="R64" s="164"/>
      <c r="S64" s="164"/>
      <c r="T64" s="164"/>
      <c r="U64" s="164"/>
      <c r="V64" s="164"/>
      <c r="W64" s="164"/>
      <c r="X64" s="164"/>
    </row>
    <row r="65" spans="1:24" s="165" customFormat="1">
      <c r="A65" s="141"/>
      <c r="B65" s="146" t="s">
        <v>731</v>
      </c>
      <c r="C65" s="146" t="s">
        <v>732</v>
      </c>
      <c r="D65" s="156" t="s">
        <v>697</v>
      </c>
      <c r="E65" s="149"/>
      <c r="F65" s="145">
        <f>600*3.28</f>
        <v>1967.9999999999998</v>
      </c>
      <c r="G65" s="145">
        <f t="shared" ref="G65" si="5">E65+F65</f>
        <v>1967.9999999999998</v>
      </c>
      <c r="H65" s="141" t="s">
        <v>358</v>
      </c>
      <c r="I65" s="170"/>
      <c r="J65" s="164"/>
      <c r="K65" s="164"/>
      <c r="L65" s="164"/>
      <c r="M65" s="164"/>
      <c r="N65" s="164"/>
      <c r="O65" s="164"/>
      <c r="P65" s="164"/>
      <c r="Q65" s="164"/>
      <c r="R65" s="164"/>
      <c r="S65" s="164"/>
      <c r="T65" s="164"/>
      <c r="U65" s="164"/>
      <c r="V65" s="164"/>
      <c r="W65" s="164"/>
      <c r="X65" s="164"/>
    </row>
    <row r="66" spans="1:24" s="165" customFormat="1">
      <c r="A66" s="141"/>
      <c r="B66" s="146" t="s">
        <v>733</v>
      </c>
      <c r="C66" s="146" t="s">
        <v>726</v>
      </c>
      <c r="D66" s="156" t="s">
        <v>734</v>
      </c>
      <c r="E66" s="149">
        <v>75</v>
      </c>
      <c r="F66" s="145">
        <v>70</v>
      </c>
      <c r="G66" s="145">
        <f>+(E66+F66)*10.764</f>
        <v>1560.78</v>
      </c>
      <c r="H66" s="141" t="s">
        <v>327</v>
      </c>
      <c r="I66" s="170"/>
      <c r="J66" s="164"/>
      <c r="K66" s="164"/>
      <c r="L66" s="164"/>
      <c r="M66" s="164"/>
      <c r="N66" s="164"/>
      <c r="O66" s="164"/>
      <c r="P66" s="164"/>
      <c r="Q66" s="164"/>
      <c r="R66" s="164"/>
      <c r="S66" s="164"/>
      <c r="T66" s="164"/>
      <c r="U66" s="164"/>
      <c r="V66" s="164"/>
      <c r="W66" s="164"/>
      <c r="X66" s="164"/>
    </row>
    <row r="67" spans="1:24" s="165" customFormat="1">
      <c r="A67" s="141"/>
      <c r="B67" s="146" t="s">
        <v>735</v>
      </c>
      <c r="C67" s="146" t="s">
        <v>726</v>
      </c>
      <c r="D67" s="156" t="s">
        <v>734</v>
      </c>
      <c r="E67" s="149">
        <v>75</v>
      </c>
      <c r="F67" s="145">
        <v>70</v>
      </c>
      <c r="G67" s="145">
        <f>+(E67+F67)*10.764</f>
        <v>1560.78</v>
      </c>
      <c r="H67" s="141" t="s">
        <v>327</v>
      </c>
      <c r="I67" s="164"/>
      <c r="J67" s="164"/>
      <c r="K67" s="164"/>
      <c r="L67" s="164"/>
      <c r="M67" s="164"/>
      <c r="N67" s="164"/>
      <c r="O67" s="164"/>
      <c r="P67" s="164"/>
      <c r="Q67" s="164"/>
      <c r="R67" s="164"/>
      <c r="S67" s="164"/>
      <c r="T67" s="164"/>
      <c r="U67" s="164"/>
      <c r="V67" s="164"/>
      <c r="W67" s="164"/>
      <c r="X67" s="164"/>
    </row>
    <row r="68" spans="1:24" s="165" customFormat="1">
      <c r="A68" s="141"/>
      <c r="B68" s="131"/>
      <c r="C68" s="146"/>
      <c r="D68" s="156"/>
      <c r="E68" s="149"/>
      <c r="F68" s="145"/>
      <c r="G68" s="145"/>
      <c r="H68" s="141"/>
      <c r="I68" s="164"/>
      <c r="J68" s="164"/>
      <c r="K68" s="164"/>
      <c r="L68" s="164"/>
      <c r="M68" s="164"/>
      <c r="N68" s="164"/>
      <c r="O68" s="164"/>
      <c r="P68" s="164"/>
      <c r="Q68" s="164"/>
      <c r="R68" s="164"/>
      <c r="S68" s="164"/>
      <c r="T68" s="164"/>
      <c r="U68" s="164"/>
      <c r="V68" s="164"/>
      <c r="W68" s="164"/>
      <c r="X68" s="164"/>
    </row>
    <row r="69" spans="1:24" ht="13.5" customHeight="1">
      <c r="A69" s="142" t="s">
        <v>628</v>
      </c>
      <c r="B69" s="143" t="s">
        <v>736</v>
      </c>
      <c r="C69" s="144"/>
      <c r="D69" s="156"/>
      <c r="E69" s="141"/>
      <c r="F69" s="145"/>
      <c r="G69" s="145"/>
      <c r="H69" s="141"/>
      <c r="I69" s="131"/>
      <c r="J69" s="131"/>
      <c r="K69" s="131"/>
      <c r="L69" s="131"/>
      <c r="M69" s="131"/>
      <c r="N69" s="131"/>
      <c r="O69" s="131"/>
      <c r="P69" s="131"/>
      <c r="Q69" s="131"/>
      <c r="R69" s="131"/>
      <c r="S69" s="131"/>
      <c r="T69" s="131"/>
      <c r="U69" s="131"/>
      <c r="V69" s="131"/>
      <c r="W69" s="131"/>
      <c r="X69" s="131"/>
    </row>
    <row r="70" spans="1:24" ht="13.5" customHeight="1">
      <c r="A70" s="141"/>
      <c r="B70" s="146" t="s">
        <v>355</v>
      </c>
      <c r="C70" s="155" t="s">
        <v>737</v>
      </c>
      <c r="D70" s="148" t="s">
        <v>694</v>
      </c>
      <c r="E70" s="149">
        <v>55</v>
      </c>
      <c r="F70" s="145">
        <v>90</v>
      </c>
      <c r="G70" s="145">
        <f>+(E70*1.1+F70)*10.764</f>
        <v>1619.982</v>
      </c>
      <c r="H70" s="141" t="s">
        <v>327</v>
      </c>
      <c r="I70" s="131"/>
      <c r="J70" s="131"/>
      <c r="K70" s="131"/>
      <c r="L70" s="131"/>
      <c r="M70" s="131"/>
      <c r="N70" s="131"/>
      <c r="O70" s="131"/>
      <c r="P70" s="131"/>
      <c r="Q70" s="131"/>
      <c r="R70" s="131"/>
      <c r="S70" s="131"/>
      <c r="T70" s="131"/>
      <c r="U70" s="131"/>
      <c r="V70" s="131"/>
      <c r="W70" s="131"/>
      <c r="X70" s="131"/>
    </row>
    <row r="71" spans="1:24" ht="13.5" customHeight="1">
      <c r="A71" s="141"/>
      <c r="B71" s="146" t="s">
        <v>695</v>
      </c>
      <c r="C71" s="155" t="s">
        <v>737</v>
      </c>
      <c r="D71" s="148" t="s">
        <v>697</v>
      </c>
      <c r="E71" s="149">
        <v>55</v>
      </c>
      <c r="F71" s="145">
        <v>90</v>
      </c>
      <c r="G71" s="145">
        <f>(E71*1.1+F71)*3.28</f>
        <v>493.64</v>
      </c>
      <c r="H71" s="141" t="s">
        <v>722</v>
      </c>
      <c r="I71" s="131"/>
      <c r="J71" s="131"/>
      <c r="K71" s="131"/>
      <c r="L71" s="131"/>
      <c r="M71" s="131"/>
      <c r="N71" s="131"/>
      <c r="O71" s="131"/>
      <c r="P71" s="131"/>
      <c r="Q71" s="131"/>
      <c r="R71" s="131"/>
      <c r="S71" s="131"/>
      <c r="T71" s="131"/>
      <c r="U71" s="131"/>
      <c r="V71" s="131"/>
      <c r="W71" s="131"/>
      <c r="X71" s="131"/>
    </row>
    <row r="72" spans="1:24" ht="13.5" customHeight="1">
      <c r="A72" s="141"/>
      <c r="B72" s="146" t="s">
        <v>698</v>
      </c>
      <c r="C72" s="151" t="s">
        <v>699</v>
      </c>
      <c r="D72" s="148" t="s">
        <v>694</v>
      </c>
      <c r="E72" s="141">
        <v>70</v>
      </c>
      <c r="F72" s="145">
        <v>95</v>
      </c>
      <c r="G72" s="145">
        <f t="shared" ref="G72:G77" si="6">+(E72*1.1+F72)*10.764</f>
        <v>1851.4079999999999</v>
      </c>
      <c r="H72" s="141" t="s">
        <v>327</v>
      </c>
      <c r="I72" s="131"/>
      <c r="J72" s="131"/>
      <c r="K72" s="131"/>
      <c r="L72" s="131"/>
      <c r="M72" s="131"/>
      <c r="N72" s="131"/>
      <c r="O72" s="131"/>
      <c r="P72" s="131"/>
      <c r="Q72" s="131"/>
      <c r="R72" s="131"/>
      <c r="S72" s="131"/>
      <c r="T72" s="131"/>
      <c r="U72" s="131"/>
      <c r="V72" s="131"/>
      <c r="W72" s="131"/>
      <c r="X72" s="131"/>
    </row>
    <row r="73" spans="1:24" ht="13.5" customHeight="1">
      <c r="A73" s="141"/>
      <c r="B73" s="146" t="s">
        <v>700</v>
      </c>
      <c r="C73" s="155" t="s">
        <v>701</v>
      </c>
      <c r="D73" s="148" t="s">
        <v>694</v>
      </c>
      <c r="E73" s="149">
        <v>40</v>
      </c>
      <c r="F73" s="145"/>
      <c r="G73" s="145">
        <f t="shared" si="6"/>
        <v>473.61599999999999</v>
      </c>
      <c r="H73" s="141" t="s">
        <v>327</v>
      </c>
      <c r="I73" s="131"/>
      <c r="J73" s="131"/>
      <c r="K73" s="131"/>
      <c r="L73" s="131"/>
      <c r="M73" s="131"/>
      <c r="N73" s="131"/>
      <c r="O73" s="131"/>
      <c r="P73" s="131"/>
      <c r="Q73" s="131"/>
      <c r="R73" s="131"/>
      <c r="S73" s="131"/>
      <c r="T73" s="131"/>
      <c r="U73" s="131"/>
      <c r="V73" s="131"/>
      <c r="W73" s="131"/>
      <c r="X73" s="131"/>
    </row>
    <row r="74" spans="1:24" ht="13.5" customHeight="1">
      <c r="A74" s="141"/>
      <c r="B74" s="146" t="s">
        <v>702</v>
      </c>
      <c r="C74" s="155" t="s">
        <v>701</v>
      </c>
      <c r="D74" s="148" t="s">
        <v>694</v>
      </c>
      <c r="E74" s="149">
        <v>40</v>
      </c>
      <c r="F74" s="145"/>
      <c r="G74" s="145">
        <f t="shared" si="6"/>
        <v>473.61599999999999</v>
      </c>
      <c r="H74" s="141" t="s">
        <v>327</v>
      </c>
      <c r="I74" s="131"/>
      <c r="J74" s="131"/>
      <c r="K74" s="131"/>
      <c r="L74" s="131"/>
      <c r="M74" s="131"/>
      <c r="N74" s="131"/>
      <c r="O74" s="131"/>
      <c r="P74" s="131"/>
      <c r="Q74" s="131"/>
      <c r="R74" s="131"/>
      <c r="S74" s="131"/>
      <c r="T74" s="131"/>
      <c r="U74" s="131"/>
      <c r="V74" s="131"/>
      <c r="W74" s="131"/>
      <c r="X74" s="131"/>
    </row>
    <row r="75" spans="1:24" s="162" customFormat="1" ht="13.5" customHeight="1">
      <c r="A75" s="141"/>
      <c r="B75" s="151" t="s">
        <v>738</v>
      </c>
      <c r="C75" s="146" t="s">
        <v>739</v>
      </c>
      <c r="D75" s="148" t="s">
        <v>694</v>
      </c>
      <c r="E75" s="149">
        <v>135</v>
      </c>
      <c r="F75" s="145"/>
      <c r="G75" s="145">
        <f t="shared" si="6"/>
        <v>1598.454</v>
      </c>
      <c r="H75" s="141" t="s">
        <v>327</v>
      </c>
      <c r="I75" s="161"/>
      <c r="J75" s="161"/>
      <c r="K75" s="161"/>
      <c r="L75" s="161"/>
      <c r="M75" s="161"/>
      <c r="N75" s="161"/>
      <c r="O75" s="161"/>
      <c r="P75" s="161"/>
      <c r="Q75" s="161"/>
      <c r="R75" s="161"/>
      <c r="S75" s="161"/>
      <c r="T75" s="161"/>
      <c r="U75" s="161"/>
      <c r="V75" s="161"/>
      <c r="W75" s="161"/>
      <c r="X75" s="161"/>
    </row>
    <row r="76" spans="1:24" ht="13.5" customHeight="1">
      <c r="A76" s="141"/>
      <c r="B76" s="146" t="s">
        <v>704</v>
      </c>
      <c r="C76" s="146" t="s">
        <v>705</v>
      </c>
      <c r="D76" s="148" t="s">
        <v>694</v>
      </c>
      <c r="E76" s="149">
        <v>25</v>
      </c>
      <c r="F76" s="145"/>
      <c r="G76" s="145">
        <f t="shared" si="6"/>
        <v>296.01000000000005</v>
      </c>
      <c r="H76" s="141" t="s">
        <v>327</v>
      </c>
      <c r="I76" s="131"/>
      <c r="J76" s="131"/>
      <c r="K76" s="131"/>
      <c r="L76" s="131"/>
      <c r="M76" s="131"/>
      <c r="N76" s="131"/>
      <c r="O76" s="131"/>
      <c r="P76" s="131"/>
      <c r="Q76" s="131"/>
      <c r="R76" s="131"/>
      <c r="S76" s="131"/>
      <c r="T76" s="131"/>
      <c r="U76" s="131"/>
      <c r="V76" s="131"/>
      <c r="W76" s="131"/>
      <c r="X76" s="131"/>
    </row>
    <row r="77" spans="1:24" ht="13.5" customHeight="1">
      <c r="A77" s="141"/>
      <c r="B77" s="146" t="s">
        <v>706</v>
      </c>
      <c r="C77" s="146" t="s">
        <v>705</v>
      </c>
      <c r="D77" s="148" t="s">
        <v>694</v>
      </c>
      <c r="E77" s="149">
        <f>E51</f>
        <v>16</v>
      </c>
      <c r="F77" s="145"/>
      <c r="G77" s="145">
        <f t="shared" si="6"/>
        <v>189.44640000000001</v>
      </c>
      <c r="H77" s="141" t="s">
        <v>327</v>
      </c>
      <c r="I77" s="131"/>
      <c r="J77" s="131"/>
      <c r="K77" s="131"/>
      <c r="L77" s="131"/>
      <c r="M77" s="131"/>
      <c r="N77" s="131"/>
      <c r="O77" s="131"/>
      <c r="P77" s="131"/>
      <c r="Q77" s="131"/>
      <c r="R77" s="131"/>
      <c r="S77" s="131"/>
      <c r="T77" s="131"/>
      <c r="U77" s="131"/>
      <c r="V77" s="131"/>
      <c r="W77" s="131"/>
      <c r="X77" s="131"/>
    </row>
    <row r="78" spans="1:24" ht="13.5" customHeight="1">
      <c r="A78" s="141"/>
      <c r="B78" s="146" t="s">
        <v>724</v>
      </c>
      <c r="C78" s="146" t="s">
        <v>740</v>
      </c>
      <c r="D78" s="156" t="s">
        <v>741</v>
      </c>
      <c r="E78" s="149">
        <v>230</v>
      </c>
      <c r="F78" s="145">
        <v>350</v>
      </c>
      <c r="G78" s="145">
        <f>(E78*1*1.6*3.28)+(F78*1*1.6*3.28)</f>
        <v>3043.84</v>
      </c>
      <c r="H78" s="141" t="s">
        <v>358</v>
      </c>
      <c r="I78" s="131"/>
      <c r="J78" s="131"/>
      <c r="K78" s="131"/>
      <c r="L78" s="131"/>
      <c r="M78" s="131"/>
      <c r="N78" s="131"/>
      <c r="O78" s="131"/>
      <c r="P78" s="131"/>
      <c r="Q78" s="131"/>
      <c r="R78" s="131"/>
      <c r="S78" s="131"/>
      <c r="T78" s="131"/>
      <c r="U78" s="131"/>
      <c r="V78" s="131"/>
      <c r="W78" s="131"/>
      <c r="X78" s="131"/>
    </row>
    <row r="79" spans="1:24" ht="13.5" customHeight="1">
      <c r="A79" s="132"/>
      <c r="B79" s="131"/>
      <c r="C79" s="131"/>
      <c r="D79" s="132"/>
      <c r="E79" s="132"/>
      <c r="F79" s="132"/>
      <c r="G79" s="132"/>
      <c r="H79" s="132"/>
      <c r="I79" s="131"/>
      <c r="J79" s="131"/>
      <c r="K79" s="131"/>
      <c r="L79" s="131"/>
      <c r="M79" s="131"/>
      <c r="N79" s="131"/>
      <c r="O79" s="131"/>
      <c r="P79" s="131"/>
      <c r="Q79" s="131"/>
      <c r="R79" s="131"/>
      <c r="S79" s="131"/>
      <c r="T79" s="131"/>
      <c r="U79" s="131"/>
      <c r="V79" s="131"/>
      <c r="W79" s="131"/>
      <c r="X79" s="131"/>
    </row>
    <row r="80" spans="1:24" ht="13.5" customHeight="1">
      <c r="A80" s="132"/>
      <c r="B80" s="131"/>
      <c r="C80" s="131"/>
      <c r="D80" s="132"/>
      <c r="E80" s="132"/>
      <c r="F80" s="132"/>
      <c r="G80" s="132"/>
      <c r="H80" s="132"/>
      <c r="I80" s="131"/>
      <c r="J80" s="131"/>
      <c r="K80" s="131"/>
      <c r="L80" s="131"/>
      <c r="M80" s="131"/>
      <c r="N80" s="131"/>
      <c r="O80" s="131"/>
      <c r="P80" s="131"/>
      <c r="Q80" s="131"/>
      <c r="R80" s="131"/>
      <c r="S80" s="131"/>
      <c r="T80" s="131"/>
      <c r="U80" s="131"/>
      <c r="V80" s="131"/>
      <c r="W80" s="131"/>
      <c r="X80" s="131"/>
    </row>
    <row r="81" spans="1:24" ht="13.5" customHeight="1">
      <c r="A81" s="132"/>
      <c r="B81" s="131"/>
      <c r="C81" s="131"/>
      <c r="D81" s="132"/>
      <c r="E81" s="132"/>
      <c r="F81" s="132"/>
      <c r="G81" s="132"/>
      <c r="H81" s="132"/>
      <c r="I81" s="131"/>
      <c r="J81" s="131"/>
      <c r="K81" s="131"/>
      <c r="L81" s="131"/>
      <c r="M81" s="131"/>
      <c r="N81" s="131"/>
      <c r="O81" s="131"/>
      <c r="P81" s="131"/>
      <c r="Q81" s="131"/>
      <c r="R81" s="131"/>
      <c r="S81" s="131"/>
      <c r="T81" s="131"/>
      <c r="U81" s="131"/>
      <c r="V81" s="131"/>
      <c r="W81" s="131"/>
      <c r="X81" s="131"/>
    </row>
    <row r="82" spans="1:24" ht="13.5" customHeight="1">
      <c r="A82" s="132"/>
      <c r="B82" s="131"/>
      <c r="C82" s="131"/>
      <c r="D82" s="132"/>
      <c r="E82" s="132"/>
      <c r="F82" s="132"/>
      <c r="G82" s="132"/>
      <c r="H82" s="132"/>
      <c r="I82" s="131"/>
      <c r="J82" s="131"/>
      <c r="K82" s="131"/>
      <c r="L82" s="131"/>
      <c r="M82" s="131"/>
      <c r="N82" s="131"/>
      <c r="O82" s="131"/>
      <c r="P82" s="131"/>
      <c r="Q82" s="131"/>
      <c r="R82" s="131"/>
      <c r="S82" s="131"/>
      <c r="T82" s="131"/>
      <c r="U82" s="131"/>
      <c r="V82" s="131"/>
      <c r="W82" s="131"/>
      <c r="X82" s="131"/>
    </row>
    <row r="83" spans="1:24" ht="13.5" customHeight="1">
      <c r="A83" s="132"/>
      <c r="B83" s="131"/>
      <c r="C83" s="131"/>
      <c r="D83" s="132"/>
      <c r="E83" s="132"/>
      <c r="F83" s="132"/>
      <c r="G83" s="132"/>
      <c r="H83" s="132"/>
      <c r="I83" s="131"/>
      <c r="J83" s="131"/>
      <c r="K83" s="131"/>
      <c r="L83" s="131"/>
      <c r="M83" s="131"/>
      <c r="N83" s="131"/>
      <c r="O83" s="131"/>
      <c r="P83" s="131"/>
      <c r="Q83" s="131"/>
      <c r="R83" s="131"/>
      <c r="S83" s="131"/>
      <c r="T83" s="131"/>
      <c r="U83" s="131"/>
      <c r="V83" s="131"/>
      <c r="W83" s="131"/>
      <c r="X83" s="131"/>
    </row>
    <row r="84" spans="1:24" ht="13.5" customHeight="1">
      <c r="A84" s="132"/>
      <c r="B84" s="131"/>
      <c r="C84" s="131"/>
      <c r="D84" s="132"/>
      <c r="E84" s="132"/>
      <c r="F84" s="132"/>
      <c r="G84" s="132"/>
      <c r="H84" s="132"/>
      <c r="I84" s="131"/>
      <c r="J84" s="131"/>
      <c r="K84" s="131"/>
      <c r="L84" s="131"/>
      <c r="M84" s="131"/>
      <c r="N84" s="131"/>
      <c r="O84" s="131"/>
      <c r="P84" s="131"/>
      <c r="Q84" s="131"/>
      <c r="R84" s="131"/>
      <c r="S84" s="131"/>
      <c r="T84" s="131"/>
      <c r="U84" s="131"/>
      <c r="V84" s="131"/>
      <c r="W84" s="131"/>
      <c r="X84" s="131"/>
    </row>
    <row r="85" spans="1:24" ht="13.5" customHeight="1">
      <c r="A85" s="132"/>
      <c r="B85" s="131"/>
      <c r="C85" s="131"/>
      <c r="D85" s="132"/>
      <c r="E85" s="132"/>
      <c r="F85" s="132"/>
      <c r="G85" s="132"/>
      <c r="H85" s="132"/>
      <c r="I85" s="131"/>
      <c r="J85" s="131"/>
      <c r="K85" s="131"/>
      <c r="L85" s="131"/>
      <c r="M85" s="131"/>
      <c r="N85" s="131"/>
      <c r="O85" s="131"/>
      <c r="P85" s="131"/>
      <c r="Q85" s="131"/>
      <c r="R85" s="131"/>
      <c r="S85" s="131"/>
      <c r="T85" s="131"/>
      <c r="U85" s="131"/>
      <c r="V85" s="131"/>
      <c r="W85" s="131"/>
      <c r="X85" s="131"/>
    </row>
    <row r="86" spans="1:24" ht="13.5" customHeight="1">
      <c r="A86" s="132"/>
      <c r="B86" s="131"/>
      <c r="C86" s="131"/>
      <c r="D86" s="132"/>
      <c r="E86" s="132"/>
      <c r="F86" s="132"/>
      <c r="G86" s="132"/>
      <c r="H86" s="132"/>
      <c r="I86" s="131"/>
      <c r="J86" s="131"/>
      <c r="K86" s="131"/>
      <c r="L86" s="131"/>
      <c r="M86" s="131"/>
      <c r="N86" s="131"/>
      <c r="O86" s="131"/>
      <c r="P86" s="131"/>
      <c r="Q86" s="131"/>
      <c r="R86" s="131"/>
      <c r="S86" s="131"/>
      <c r="T86" s="131"/>
      <c r="U86" s="131"/>
      <c r="V86" s="131"/>
      <c r="W86" s="131"/>
      <c r="X86" s="131"/>
    </row>
    <row r="87" spans="1:24" ht="13.5" customHeight="1">
      <c r="A87" s="132"/>
      <c r="B87" s="131"/>
      <c r="C87" s="131"/>
      <c r="D87" s="132"/>
      <c r="E87" s="132"/>
      <c r="F87" s="132"/>
      <c r="G87" s="132"/>
      <c r="H87" s="132"/>
      <c r="I87" s="131"/>
      <c r="J87" s="131"/>
      <c r="K87" s="131"/>
      <c r="L87" s="131"/>
      <c r="M87" s="131"/>
      <c r="N87" s="131"/>
      <c r="O87" s="131"/>
      <c r="P87" s="131"/>
      <c r="Q87" s="131"/>
      <c r="R87" s="131"/>
      <c r="S87" s="131"/>
      <c r="T87" s="131"/>
      <c r="U87" s="131"/>
      <c r="V87" s="131"/>
      <c r="W87" s="131"/>
      <c r="X87" s="131"/>
    </row>
    <row r="88" spans="1:24" ht="13.5" customHeight="1">
      <c r="A88" s="132"/>
      <c r="B88" s="131"/>
      <c r="C88" s="131"/>
      <c r="D88" s="132"/>
      <c r="E88" s="132"/>
      <c r="F88" s="132"/>
      <c r="G88" s="132"/>
      <c r="H88" s="132"/>
      <c r="I88" s="131"/>
      <c r="J88" s="131"/>
      <c r="K88" s="131"/>
      <c r="L88" s="131"/>
      <c r="M88" s="131"/>
      <c r="N88" s="131"/>
      <c r="O88" s="131"/>
      <c r="P88" s="131"/>
      <c r="Q88" s="131"/>
      <c r="R88" s="131"/>
      <c r="S88" s="131"/>
      <c r="T88" s="131"/>
      <c r="U88" s="131"/>
      <c r="V88" s="131"/>
      <c r="W88" s="131"/>
      <c r="X88" s="131"/>
    </row>
    <row r="89" spans="1:24" ht="13.5" customHeight="1">
      <c r="A89" s="132"/>
      <c r="B89" s="131"/>
      <c r="C89" s="131"/>
      <c r="D89" s="132"/>
      <c r="E89" s="132"/>
      <c r="F89" s="132"/>
      <c r="G89" s="132"/>
      <c r="H89" s="132"/>
      <c r="I89" s="131"/>
      <c r="J89" s="131"/>
      <c r="K89" s="131"/>
      <c r="L89" s="131"/>
      <c r="M89" s="131"/>
      <c r="N89" s="131"/>
      <c r="O89" s="131"/>
      <c r="P89" s="131"/>
      <c r="Q89" s="131"/>
      <c r="R89" s="131"/>
      <c r="S89" s="131"/>
      <c r="T89" s="131"/>
      <c r="U89" s="131"/>
      <c r="V89" s="131"/>
      <c r="W89" s="131"/>
      <c r="X89" s="131"/>
    </row>
    <row r="90" spans="1:24" ht="13.5" customHeight="1">
      <c r="A90" s="132"/>
      <c r="B90" s="131"/>
      <c r="C90" s="131"/>
      <c r="D90" s="132"/>
      <c r="E90" s="132"/>
      <c r="F90" s="132"/>
      <c r="G90" s="132"/>
      <c r="H90" s="132"/>
      <c r="I90" s="131"/>
      <c r="J90" s="131"/>
      <c r="K90" s="131"/>
      <c r="L90" s="131"/>
      <c r="M90" s="131"/>
      <c r="N90" s="131"/>
      <c r="O90" s="131"/>
      <c r="P90" s="131"/>
      <c r="Q90" s="131"/>
      <c r="R90" s="131"/>
      <c r="S90" s="131"/>
      <c r="T90" s="131"/>
      <c r="U90" s="131"/>
      <c r="V90" s="131"/>
      <c r="W90" s="131"/>
      <c r="X90" s="131"/>
    </row>
    <row r="91" spans="1:24" ht="13.5" customHeight="1">
      <c r="A91" s="132"/>
      <c r="B91" s="131"/>
      <c r="C91" s="131"/>
      <c r="D91" s="132"/>
      <c r="E91" s="132"/>
      <c r="F91" s="132"/>
      <c r="G91" s="132"/>
      <c r="H91" s="132"/>
      <c r="I91" s="131"/>
      <c r="J91" s="131"/>
      <c r="K91" s="131"/>
      <c r="L91" s="131"/>
      <c r="M91" s="131"/>
      <c r="N91" s="131"/>
      <c r="O91" s="131"/>
      <c r="P91" s="131"/>
      <c r="Q91" s="131"/>
      <c r="R91" s="131"/>
      <c r="S91" s="131"/>
      <c r="T91" s="131"/>
      <c r="U91" s="131"/>
      <c r="V91" s="131"/>
      <c r="W91" s="131"/>
      <c r="X91" s="131"/>
    </row>
    <row r="92" spans="1:24" ht="13.5" customHeight="1">
      <c r="A92" s="132"/>
      <c r="B92" s="131"/>
      <c r="C92" s="131"/>
      <c r="D92" s="132"/>
      <c r="E92" s="132"/>
      <c r="F92" s="132"/>
      <c r="G92" s="132"/>
      <c r="H92" s="132"/>
      <c r="I92" s="131"/>
      <c r="J92" s="131"/>
      <c r="K92" s="131"/>
      <c r="L92" s="131"/>
      <c r="M92" s="131"/>
      <c r="N92" s="131"/>
      <c r="O92" s="131"/>
      <c r="P92" s="131"/>
      <c r="Q92" s="131"/>
      <c r="R92" s="131"/>
      <c r="S92" s="131"/>
      <c r="T92" s="131"/>
      <c r="U92" s="131"/>
      <c r="V92" s="131"/>
      <c r="W92" s="131"/>
      <c r="X92" s="131"/>
    </row>
    <row r="93" spans="1:24" ht="13.5" customHeight="1">
      <c r="A93" s="132"/>
      <c r="B93" s="131"/>
      <c r="C93" s="131"/>
      <c r="D93" s="132"/>
      <c r="E93" s="132"/>
      <c r="F93" s="132"/>
      <c r="G93" s="132"/>
      <c r="H93" s="132"/>
      <c r="I93" s="131"/>
      <c r="J93" s="131"/>
      <c r="K93" s="131"/>
      <c r="L93" s="131"/>
      <c r="M93" s="131"/>
      <c r="N93" s="131"/>
      <c r="O93" s="131"/>
      <c r="P93" s="131"/>
      <c r="Q93" s="131"/>
      <c r="R93" s="131"/>
      <c r="S93" s="131"/>
      <c r="T93" s="131"/>
      <c r="U93" s="131"/>
      <c r="V93" s="131"/>
      <c r="W93" s="131"/>
      <c r="X93" s="131"/>
    </row>
    <row r="94" spans="1:24" ht="13.5" customHeight="1">
      <c r="A94" s="132"/>
      <c r="B94" s="131"/>
      <c r="C94" s="131"/>
      <c r="D94" s="132"/>
      <c r="E94" s="132"/>
      <c r="F94" s="132"/>
      <c r="G94" s="132"/>
      <c r="H94" s="132"/>
      <c r="I94" s="131"/>
      <c r="J94" s="131"/>
      <c r="K94" s="131"/>
      <c r="L94" s="131"/>
      <c r="M94" s="131"/>
      <c r="N94" s="131"/>
      <c r="O94" s="131"/>
      <c r="P94" s="131"/>
      <c r="Q94" s="131"/>
      <c r="R94" s="131"/>
      <c r="S94" s="131"/>
      <c r="T94" s="131"/>
      <c r="U94" s="131"/>
      <c r="V94" s="131"/>
      <c r="W94" s="131"/>
      <c r="X94" s="131"/>
    </row>
    <row r="95" spans="1:24" ht="13.5" customHeight="1">
      <c r="A95" s="132"/>
      <c r="B95" s="131"/>
      <c r="C95" s="131"/>
      <c r="D95" s="132"/>
      <c r="E95" s="132"/>
      <c r="F95" s="132"/>
      <c r="G95" s="132"/>
      <c r="H95" s="132"/>
      <c r="I95" s="131"/>
      <c r="J95" s="131"/>
      <c r="K95" s="131"/>
      <c r="L95" s="131"/>
      <c r="M95" s="131"/>
      <c r="N95" s="131"/>
      <c r="O95" s="131"/>
      <c r="P95" s="131"/>
      <c r="Q95" s="131"/>
      <c r="R95" s="131"/>
      <c r="S95" s="131"/>
      <c r="T95" s="131"/>
      <c r="U95" s="131"/>
      <c r="V95" s="131"/>
      <c r="W95" s="131"/>
      <c r="X95" s="131"/>
    </row>
    <row r="96" spans="1:24" ht="13.5" customHeight="1">
      <c r="A96" s="132"/>
      <c r="B96" s="131"/>
      <c r="C96" s="131"/>
      <c r="D96" s="132"/>
      <c r="E96" s="132"/>
      <c r="F96" s="132"/>
      <c r="G96" s="132"/>
      <c r="H96" s="132"/>
      <c r="I96" s="131"/>
      <c r="J96" s="131"/>
      <c r="K96" s="131"/>
      <c r="L96" s="131"/>
      <c r="M96" s="131"/>
      <c r="N96" s="131"/>
      <c r="O96" s="131"/>
      <c r="P96" s="131"/>
      <c r="Q96" s="131"/>
      <c r="R96" s="131"/>
      <c r="S96" s="131"/>
      <c r="T96" s="131"/>
      <c r="U96" s="131"/>
      <c r="V96" s="131"/>
      <c r="W96" s="131"/>
      <c r="X96" s="131"/>
    </row>
    <row r="97" spans="1:24" ht="13.5" customHeight="1">
      <c r="A97" s="132"/>
      <c r="B97" s="131"/>
      <c r="C97" s="131"/>
      <c r="D97" s="132"/>
      <c r="E97" s="132"/>
      <c r="F97" s="132"/>
      <c r="G97" s="132"/>
      <c r="H97" s="132"/>
      <c r="I97" s="131"/>
      <c r="J97" s="131"/>
      <c r="K97" s="131"/>
      <c r="L97" s="131"/>
      <c r="M97" s="131"/>
      <c r="N97" s="131"/>
      <c r="O97" s="131"/>
      <c r="P97" s="131"/>
      <c r="Q97" s="131"/>
      <c r="R97" s="131"/>
      <c r="S97" s="131"/>
      <c r="T97" s="131"/>
      <c r="U97" s="131"/>
      <c r="V97" s="131"/>
      <c r="W97" s="131"/>
      <c r="X97" s="131"/>
    </row>
    <row r="98" spans="1:24" ht="13.5" customHeight="1">
      <c r="A98" s="132"/>
      <c r="B98" s="131"/>
      <c r="C98" s="131"/>
      <c r="D98" s="132"/>
      <c r="E98" s="132"/>
      <c r="F98" s="132"/>
      <c r="G98" s="132"/>
      <c r="H98" s="132"/>
      <c r="I98" s="131"/>
      <c r="J98" s="131"/>
      <c r="K98" s="131"/>
      <c r="L98" s="131"/>
      <c r="M98" s="131"/>
      <c r="N98" s="131"/>
      <c r="O98" s="131"/>
      <c r="P98" s="131"/>
      <c r="Q98" s="131"/>
      <c r="R98" s="131"/>
      <c r="S98" s="131"/>
      <c r="T98" s="131"/>
      <c r="U98" s="131"/>
      <c r="V98" s="131"/>
      <c r="W98" s="131"/>
      <c r="X98" s="131"/>
    </row>
    <row r="99" spans="1:24" ht="13.5" customHeight="1">
      <c r="A99" s="132"/>
      <c r="B99" s="131"/>
      <c r="C99" s="131"/>
      <c r="D99" s="132"/>
      <c r="E99" s="132"/>
      <c r="F99" s="132"/>
      <c r="G99" s="132"/>
      <c r="H99" s="132"/>
      <c r="I99" s="131"/>
      <c r="J99" s="131"/>
      <c r="K99" s="131"/>
      <c r="L99" s="131"/>
      <c r="M99" s="131"/>
      <c r="N99" s="131"/>
      <c r="O99" s="131"/>
      <c r="P99" s="131"/>
      <c r="Q99" s="131"/>
      <c r="R99" s="131"/>
      <c r="S99" s="131"/>
      <c r="T99" s="131"/>
      <c r="U99" s="131"/>
      <c r="V99" s="131"/>
      <c r="W99" s="131"/>
      <c r="X99" s="131"/>
    </row>
    <row r="100" spans="1:24" ht="13.5" customHeight="1">
      <c r="A100" s="132"/>
      <c r="B100" s="131"/>
      <c r="C100" s="131"/>
      <c r="D100" s="132"/>
      <c r="E100" s="132"/>
      <c r="F100" s="132"/>
      <c r="G100" s="132"/>
      <c r="H100" s="132"/>
      <c r="I100" s="131"/>
      <c r="J100" s="131"/>
      <c r="K100" s="131"/>
      <c r="L100" s="131"/>
      <c r="M100" s="131"/>
      <c r="N100" s="131"/>
      <c r="O100" s="131"/>
      <c r="P100" s="131"/>
      <c r="Q100" s="131"/>
      <c r="R100" s="131"/>
      <c r="S100" s="131"/>
      <c r="T100" s="131"/>
      <c r="U100" s="131"/>
      <c r="V100" s="131"/>
      <c r="W100" s="131"/>
      <c r="X100" s="131"/>
    </row>
    <row r="101" spans="1:24" ht="13.5" customHeight="1">
      <c r="A101" s="132"/>
      <c r="B101" s="131"/>
      <c r="C101" s="131"/>
      <c r="D101" s="132"/>
      <c r="E101" s="132"/>
      <c r="F101" s="132"/>
      <c r="G101" s="132"/>
      <c r="H101" s="132"/>
      <c r="I101" s="131"/>
      <c r="J101" s="131"/>
      <c r="K101" s="131"/>
      <c r="L101" s="131"/>
      <c r="M101" s="131"/>
      <c r="N101" s="131"/>
      <c r="O101" s="131"/>
      <c r="P101" s="131"/>
      <c r="Q101" s="131"/>
      <c r="R101" s="131"/>
      <c r="S101" s="131"/>
      <c r="T101" s="131"/>
      <c r="U101" s="131"/>
      <c r="V101" s="131"/>
      <c r="W101" s="131"/>
      <c r="X101" s="131"/>
    </row>
    <row r="102" spans="1:24" ht="13.5" customHeight="1">
      <c r="A102" s="132"/>
      <c r="B102" s="131"/>
      <c r="C102" s="131"/>
      <c r="D102" s="132"/>
      <c r="E102" s="132"/>
      <c r="F102" s="132"/>
      <c r="G102" s="132"/>
      <c r="H102" s="132"/>
      <c r="I102" s="131"/>
      <c r="J102" s="131"/>
      <c r="K102" s="131"/>
      <c r="L102" s="131"/>
      <c r="M102" s="131"/>
      <c r="N102" s="131"/>
      <c r="O102" s="131"/>
      <c r="P102" s="131"/>
      <c r="Q102" s="131"/>
      <c r="R102" s="131"/>
      <c r="S102" s="131"/>
      <c r="T102" s="131"/>
      <c r="U102" s="131"/>
      <c r="V102" s="131"/>
      <c r="W102" s="131"/>
      <c r="X102" s="131"/>
    </row>
    <row r="103" spans="1:24" ht="13.5" customHeight="1">
      <c r="A103" s="132"/>
      <c r="B103" s="131"/>
      <c r="C103" s="131"/>
      <c r="D103" s="132"/>
      <c r="E103" s="132"/>
      <c r="F103" s="132"/>
      <c r="G103" s="132"/>
      <c r="H103" s="132"/>
      <c r="I103" s="131"/>
      <c r="J103" s="131"/>
      <c r="K103" s="131"/>
      <c r="L103" s="131"/>
      <c r="M103" s="131"/>
      <c r="N103" s="131"/>
      <c r="O103" s="131"/>
      <c r="P103" s="131"/>
      <c r="Q103" s="131"/>
      <c r="R103" s="131"/>
      <c r="S103" s="131"/>
      <c r="T103" s="131"/>
      <c r="U103" s="131"/>
      <c r="V103" s="131"/>
      <c r="W103" s="131"/>
      <c r="X103" s="131"/>
    </row>
    <row r="104" spans="1:24" ht="13.5" customHeight="1">
      <c r="A104" s="132"/>
      <c r="B104" s="131"/>
      <c r="C104" s="131"/>
      <c r="D104" s="132"/>
      <c r="E104" s="132"/>
      <c r="F104" s="132"/>
      <c r="G104" s="132"/>
      <c r="H104" s="132"/>
      <c r="I104" s="131"/>
      <c r="J104" s="131"/>
      <c r="K104" s="131"/>
      <c r="L104" s="131"/>
      <c r="M104" s="131"/>
      <c r="N104" s="131"/>
      <c r="O104" s="131"/>
      <c r="P104" s="131"/>
      <c r="Q104" s="131"/>
      <c r="R104" s="131"/>
      <c r="S104" s="131"/>
      <c r="T104" s="131"/>
      <c r="U104" s="131"/>
      <c r="V104" s="131"/>
      <c r="W104" s="131"/>
      <c r="X104" s="131"/>
    </row>
    <row r="105" spans="1:24" ht="13.5" customHeight="1">
      <c r="A105" s="132"/>
      <c r="B105" s="131"/>
      <c r="C105" s="131"/>
      <c r="D105" s="132"/>
      <c r="E105" s="132"/>
      <c r="F105" s="132"/>
      <c r="G105" s="132"/>
      <c r="H105" s="132"/>
      <c r="I105" s="131"/>
      <c r="J105" s="131"/>
      <c r="K105" s="131"/>
      <c r="L105" s="131"/>
      <c r="M105" s="131"/>
      <c r="N105" s="131"/>
      <c r="O105" s="131"/>
      <c r="P105" s="131"/>
      <c r="Q105" s="131"/>
      <c r="R105" s="131"/>
      <c r="S105" s="131"/>
      <c r="T105" s="131"/>
      <c r="U105" s="131"/>
      <c r="V105" s="131"/>
      <c r="W105" s="131"/>
      <c r="X105" s="131"/>
    </row>
    <row r="106" spans="1:24" ht="13.5" customHeight="1">
      <c r="A106" s="132"/>
      <c r="B106" s="131"/>
      <c r="C106" s="131"/>
      <c r="D106" s="132"/>
      <c r="E106" s="132"/>
      <c r="F106" s="132"/>
      <c r="G106" s="132"/>
      <c r="H106" s="132"/>
      <c r="I106" s="131"/>
      <c r="J106" s="131"/>
      <c r="K106" s="131"/>
      <c r="L106" s="131"/>
      <c r="M106" s="131"/>
      <c r="N106" s="131"/>
      <c r="O106" s="131"/>
      <c r="P106" s="131"/>
      <c r="Q106" s="131"/>
      <c r="R106" s="131"/>
      <c r="S106" s="131"/>
      <c r="T106" s="131"/>
      <c r="U106" s="131"/>
      <c r="V106" s="131"/>
      <c r="W106" s="131"/>
      <c r="X106" s="131"/>
    </row>
    <row r="107" spans="1:24" ht="13.5" customHeight="1">
      <c r="A107" s="132"/>
      <c r="B107" s="131"/>
      <c r="C107" s="131"/>
      <c r="D107" s="132"/>
      <c r="E107" s="132"/>
      <c r="F107" s="132"/>
      <c r="G107" s="132"/>
      <c r="H107" s="132"/>
      <c r="I107" s="131"/>
      <c r="J107" s="131"/>
      <c r="K107" s="131"/>
      <c r="L107" s="131"/>
      <c r="M107" s="131"/>
      <c r="N107" s="131"/>
      <c r="O107" s="131"/>
      <c r="P107" s="131"/>
      <c r="Q107" s="131"/>
      <c r="R107" s="131"/>
      <c r="S107" s="131"/>
      <c r="T107" s="131"/>
      <c r="U107" s="131"/>
      <c r="V107" s="131"/>
      <c r="W107" s="131"/>
      <c r="X107" s="131"/>
    </row>
    <row r="108" spans="1:24" ht="13.5" customHeight="1">
      <c r="A108" s="132"/>
      <c r="B108" s="131"/>
      <c r="C108" s="131"/>
      <c r="D108" s="132"/>
      <c r="E108" s="132"/>
      <c r="F108" s="132"/>
      <c r="G108" s="132"/>
      <c r="H108" s="132"/>
      <c r="I108" s="131"/>
      <c r="J108" s="131"/>
      <c r="K108" s="131"/>
      <c r="L108" s="131"/>
      <c r="M108" s="131"/>
      <c r="N108" s="131"/>
      <c r="O108" s="131"/>
      <c r="P108" s="131"/>
      <c r="Q108" s="131"/>
      <c r="R108" s="131"/>
      <c r="S108" s="131"/>
      <c r="T108" s="131"/>
      <c r="U108" s="131"/>
      <c r="V108" s="131"/>
      <c r="W108" s="131"/>
      <c r="X108" s="131"/>
    </row>
    <row r="109" spans="1:24" ht="13.5" customHeight="1">
      <c r="A109" s="132"/>
      <c r="B109" s="131"/>
      <c r="C109" s="131"/>
      <c r="D109" s="132"/>
      <c r="E109" s="132"/>
      <c r="F109" s="132"/>
      <c r="G109" s="132"/>
      <c r="H109" s="132"/>
      <c r="I109" s="131"/>
      <c r="J109" s="131"/>
      <c r="K109" s="131"/>
      <c r="L109" s="131"/>
      <c r="M109" s="131"/>
      <c r="N109" s="131"/>
      <c r="O109" s="131"/>
      <c r="P109" s="131"/>
      <c r="Q109" s="131"/>
      <c r="R109" s="131"/>
      <c r="S109" s="131"/>
      <c r="T109" s="131"/>
      <c r="U109" s="131"/>
      <c r="V109" s="131"/>
      <c r="W109" s="131"/>
      <c r="X109" s="131"/>
    </row>
    <row r="110" spans="1:24" ht="13.5" customHeight="1">
      <c r="A110" s="132"/>
      <c r="B110" s="131"/>
      <c r="C110" s="131"/>
      <c r="D110" s="132"/>
      <c r="E110" s="132"/>
      <c r="F110" s="132"/>
      <c r="G110" s="132"/>
      <c r="H110" s="132"/>
      <c r="I110" s="131"/>
      <c r="J110" s="131"/>
      <c r="K110" s="131"/>
      <c r="L110" s="131"/>
      <c r="M110" s="131"/>
      <c r="N110" s="131"/>
      <c r="O110" s="131"/>
      <c r="P110" s="131"/>
      <c r="Q110" s="131"/>
      <c r="R110" s="131"/>
      <c r="S110" s="131"/>
      <c r="T110" s="131"/>
      <c r="U110" s="131"/>
      <c r="V110" s="131"/>
      <c r="W110" s="131"/>
      <c r="X110" s="131"/>
    </row>
    <row r="111" spans="1:24" ht="13.5" customHeight="1">
      <c r="A111" s="132"/>
      <c r="B111" s="131"/>
      <c r="C111" s="131"/>
      <c r="D111" s="132"/>
      <c r="E111" s="132"/>
      <c r="F111" s="132"/>
      <c r="G111" s="132"/>
      <c r="H111" s="132"/>
      <c r="I111" s="131"/>
      <c r="J111" s="131"/>
      <c r="K111" s="131"/>
      <c r="L111" s="131"/>
      <c r="M111" s="131"/>
      <c r="N111" s="131"/>
      <c r="O111" s="131"/>
      <c r="P111" s="131"/>
      <c r="Q111" s="131"/>
      <c r="R111" s="131"/>
      <c r="S111" s="131"/>
      <c r="T111" s="131"/>
      <c r="U111" s="131"/>
      <c r="V111" s="131"/>
      <c r="W111" s="131"/>
      <c r="X111" s="131"/>
    </row>
    <row r="112" spans="1:24" ht="13.5" customHeight="1">
      <c r="A112" s="132"/>
      <c r="B112" s="131"/>
      <c r="C112" s="131"/>
      <c r="D112" s="132"/>
      <c r="E112" s="132"/>
      <c r="F112" s="132"/>
      <c r="G112" s="132"/>
      <c r="H112" s="132"/>
      <c r="I112" s="131"/>
      <c r="J112" s="131"/>
      <c r="K112" s="131"/>
      <c r="L112" s="131"/>
      <c r="M112" s="131"/>
      <c r="N112" s="131"/>
      <c r="O112" s="131"/>
      <c r="P112" s="131"/>
      <c r="Q112" s="131"/>
      <c r="R112" s="131"/>
      <c r="S112" s="131"/>
      <c r="T112" s="131"/>
      <c r="U112" s="131"/>
      <c r="V112" s="131"/>
      <c r="W112" s="131"/>
      <c r="X112" s="131"/>
    </row>
    <row r="113" spans="1:24" ht="13.5" customHeight="1">
      <c r="A113" s="132"/>
      <c r="B113" s="131"/>
      <c r="C113" s="131"/>
      <c r="D113" s="132"/>
      <c r="E113" s="132"/>
      <c r="F113" s="132"/>
      <c r="G113" s="132"/>
      <c r="H113" s="132"/>
      <c r="I113" s="131"/>
      <c r="J113" s="131"/>
      <c r="K113" s="131"/>
      <c r="L113" s="131"/>
      <c r="M113" s="131"/>
      <c r="N113" s="131"/>
      <c r="O113" s="131"/>
      <c r="P113" s="131"/>
      <c r="Q113" s="131"/>
      <c r="R113" s="131"/>
      <c r="S113" s="131"/>
      <c r="T113" s="131"/>
      <c r="U113" s="131"/>
      <c r="V113" s="131"/>
      <c r="W113" s="131"/>
      <c r="X113" s="131"/>
    </row>
    <row r="114" spans="1:24" ht="13.5" customHeight="1">
      <c r="A114" s="132"/>
      <c r="B114" s="131"/>
      <c r="C114" s="131"/>
      <c r="D114" s="132"/>
      <c r="E114" s="132"/>
      <c r="F114" s="132"/>
      <c r="G114" s="132"/>
      <c r="H114" s="132"/>
      <c r="I114" s="131"/>
      <c r="J114" s="131"/>
      <c r="K114" s="131"/>
      <c r="L114" s="131"/>
      <c r="M114" s="131"/>
      <c r="N114" s="131"/>
      <c r="O114" s="131"/>
      <c r="P114" s="131"/>
      <c r="Q114" s="131"/>
      <c r="R114" s="131"/>
      <c r="S114" s="131"/>
      <c r="T114" s="131"/>
      <c r="U114" s="131"/>
      <c r="V114" s="131"/>
      <c r="W114" s="131"/>
      <c r="X114" s="131"/>
    </row>
    <row r="115" spans="1:24" ht="13.5" customHeight="1">
      <c r="A115" s="132"/>
      <c r="B115" s="131"/>
      <c r="C115" s="131"/>
      <c r="D115" s="132"/>
      <c r="E115" s="132"/>
      <c r="F115" s="132"/>
      <c r="G115" s="132"/>
      <c r="H115" s="132"/>
      <c r="I115" s="131"/>
      <c r="J115" s="131"/>
      <c r="K115" s="131"/>
      <c r="L115" s="131"/>
      <c r="M115" s="131"/>
      <c r="N115" s="131"/>
      <c r="O115" s="131"/>
      <c r="P115" s="131"/>
      <c r="Q115" s="131"/>
      <c r="R115" s="131"/>
      <c r="S115" s="131"/>
      <c r="T115" s="131"/>
      <c r="U115" s="131"/>
      <c r="V115" s="131"/>
      <c r="W115" s="131"/>
      <c r="X115" s="131"/>
    </row>
    <row r="116" spans="1:24" ht="13.5" customHeight="1">
      <c r="A116" s="132"/>
      <c r="B116" s="131"/>
      <c r="C116" s="131"/>
      <c r="D116" s="132"/>
      <c r="E116" s="132"/>
      <c r="F116" s="132"/>
      <c r="G116" s="132"/>
      <c r="H116" s="132"/>
      <c r="I116" s="131"/>
      <c r="J116" s="131"/>
      <c r="K116" s="131"/>
      <c r="L116" s="131"/>
      <c r="M116" s="131"/>
      <c r="N116" s="131"/>
      <c r="O116" s="131"/>
      <c r="P116" s="131"/>
      <c r="Q116" s="131"/>
      <c r="R116" s="131"/>
      <c r="S116" s="131"/>
      <c r="T116" s="131"/>
      <c r="U116" s="131"/>
      <c r="V116" s="131"/>
      <c r="W116" s="131"/>
      <c r="X116" s="131"/>
    </row>
    <row r="117" spans="1:24" ht="13.5" customHeight="1">
      <c r="A117" s="132"/>
      <c r="B117" s="131"/>
      <c r="C117" s="131"/>
      <c r="D117" s="132"/>
      <c r="E117" s="132"/>
      <c r="F117" s="132"/>
      <c r="G117" s="132"/>
      <c r="H117" s="132"/>
      <c r="I117" s="131"/>
      <c r="J117" s="131"/>
      <c r="K117" s="131"/>
      <c r="L117" s="131"/>
      <c r="M117" s="131"/>
      <c r="N117" s="131"/>
      <c r="O117" s="131"/>
      <c r="P117" s="131"/>
      <c r="Q117" s="131"/>
      <c r="R117" s="131"/>
      <c r="S117" s="131"/>
      <c r="T117" s="131"/>
      <c r="U117" s="131"/>
      <c r="V117" s="131"/>
      <c r="W117" s="131"/>
      <c r="X117" s="131"/>
    </row>
    <row r="118" spans="1:24" ht="13.5" customHeight="1">
      <c r="A118" s="132"/>
      <c r="B118" s="131"/>
      <c r="C118" s="131"/>
      <c r="D118" s="132"/>
      <c r="E118" s="132"/>
      <c r="F118" s="132"/>
      <c r="G118" s="132"/>
      <c r="H118" s="132"/>
      <c r="I118" s="131"/>
      <c r="J118" s="131"/>
      <c r="K118" s="131"/>
      <c r="L118" s="131"/>
      <c r="M118" s="131"/>
      <c r="N118" s="131"/>
      <c r="O118" s="131"/>
      <c r="P118" s="131"/>
      <c r="Q118" s="131"/>
      <c r="R118" s="131"/>
      <c r="S118" s="131"/>
      <c r="T118" s="131"/>
      <c r="U118" s="131"/>
      <c r="V118" s="131"/>
      <c r="W118" s="131"/>
      <c r="X118" s="131"/>
    </row>
    <row r="119" spans="1:24" ht="13.5" customHeight="1">
      <c r="A119" s="132"/>
      <c r="B119" s="131"/>
      <c r="C119" s="131"/>
      <c r="D119" s="132"/>
      <c r="E119" s="132"/>
      <c r="F119" s="132"/>
      <c r="G119" s="132"/>
      <c r="H119" s="132"/>
      <c r="I119" s="131"/>
      <c r="J119" s="131"/>
      <c r="K119" s="131"/>
      <c r="L119" s="131"/>
      <c r="M119" s="131"/>
      <c r="N119" s="131"/>
      <c r="O119" s="131"/>
      <c r="P119" s="131"/>
      <c r="Q119" s="131"/>
      <c r="R119" s="131"/>
      <c r="S119" s="131"/>
      <c r="T119" s="131"/>
      <c r="U119" s="131"/>
      <c r="V119" s="131"/>
      <c r="W119" s="131"/>
      <c r="X119" s="131"/>
    </row>
    <row r="120" spans="1:24" ht="13.5" customHeight="1">
      <c r="A120" s="132"/>
      <c r="B120" s="131"/>
      <c r="C120" s="131"/>
      <c r="D120" s="132"/>
      <c r="E120" s="132"/>
      <c r="F120" s="132"/>
      <c r="G120" s="132"/>
      <c r="H120" s="132"/>
      <c r="I120" s="131"/>
      <c r="J120" s="131"/>
      <c r="K120" s="131"/>
      <c r="L120" s="131"/>
      <c r="M120" s="131"/>
      <c r="N120" s="131"/>
      <c r="O120" s="131"/>
      <c r="P120" s="131"/>
      <c r="Q120" s="131"/>
      <c r="R120" s="131"/>
      <c r="S120" s="131"/>
      <c r="T120" s="131"/>
      <c r="U120" s="131"/>
      <c r="V120" s="131"/>
      <c r="W120" s="131"/>
      <c r="X120" s="131"/>
    </row>
    <row r="121" spans="1:24" ht="13.5" customHeight="1">
      <c r="A121" s="132"/>
      <c r="B121" s="131"/>
      <c r="C121" s="131"/>
      <c r="D121" s="132"/>
      <c r="E121" s="132"/>
      <c r="F121" s="132"/>
      <c r="G121" s="132"/>
      <c r="H121" s="132"/>
      <c r="I121" s="131"/>
      <c r="J121" s="131"/>
      <c r="K121" s="131"/>
      <c r="L121" s="131"/>
      <c r="M121" s="131"/>
      <c r="N121" s="131"/>
      <c r="O121" s="131"/>
      <c r="P121" s="131"/>
      <c r="Q121" s="131"/>
      <c r="R121" s="131"/>
      <c r="S121" s="131"/>
      <c r="T121" s="131"/>
      <c r="U121" s="131"/>
      <c r="V121" s="131"/>
      <c r="W121" s="131"/>
      <c r="X121" s="131"/>
    </row>
    <row r="122" spans="1:24" ht="13.5" customHeight="1">
      <c r="A122" s="132"/>
      <c r="B122" s="131"/>
      <c r="C122" s="131"/>
      <c r="D122" s="132"/>
      <c r="E122" s="132"/>
      <c r="F122" s="132"/>
      <c r="G122" s="132"/>
      <c r="H122" s="132"/>
      <c r="I122" s="131"/>
      <c r="J122" s="131"/>
      <c r="K122" s="131"/>
      <c r="L122" s="131"/>
      <c r="M122" s="131"/>
      <c r="N122" s="131"/>
      <c r="O122" s="131"/>
      <c r="P122" s="131"/>
      <c r="Q122" s="131"/>
      <c r="R122" s="131"/>
      <c r="S122" s="131"/>
      <c r="T122" s="131"/>
      <c r="U122" s="131"/>
      <c r="V122" s="131"/>
      <c r="W122" s="131"/>
      <c r="X122" s="131"/>
    </row>
    <row r="123" spans="1:24" ht="13.5" customHeight="1">
      <c r="A123" s="132"/>
      <c r="B123" s="131"/>
      <c r="C123" s="131"/>
      <c r="D123" s="132"/>
      <c r="E123" s="132"/>
      <c r="F123" s="132"/>
      <c r="G123" s="132"/>
      <c r="H123" s="132"/>
      <c r="I123" s="131"/>
      <c r="J123" s="131"/>
      <c r="K123" s="131"/>
      <c r="L123" s="131"/>
      <c r="M123" s="131"/>
      <c r="N123" s="131"/>
      <c r="O123" s="131"/>
      <c r="P123" s="131"/>
      <c r="Q123" s="131"/>
      <c r="R123" s="131"/>
      <c r="S123" s="131"/>
      <c r="T123" s="131"/>
      <c r="U123" s="131"/>
      <c r="V123" s="131"/>
      <c r="W123" s="131"/>
      <c r="X123" s="131"/>
    </row>
    <row r="124" spans="1:24" ht="13.5" customHeight="1">
      <c r="A124" s="132"/>
      <c r="B124" s="131"/>
      <c r="C124" s="131"/>
      <c r="D124" s="132"/>
      <c r="E124" s="132"/>
      <c r="F124" s="132"/>
      <c r="G124" s="132"/>
      <c r="H124" s="132"/>
      <c r="I124" s="131"/>
      <c r="J124" s="131"/>
      <c r="K124" s="131"/>
      <c r="L124" s="131"/>
      <c r="M124" s="131"/>
      <c r="N124" s="131"/>
      <c r="O124" s="131"/>
      <c r="P124" s="131"/>
      <c r="Q124" s="131"/>
      <c r="R124" s="131"/>
      <c r="S124" s="131"/>
      <c r="T124" s="131"/>
      <c r="U124" s="131"/>
      <c r="V124" s="131"/>
      <c r="W124" s="131"/>
      <c r="X124" s="131"/>
    </row>
    <row r="125" spans="1:24" ht="13.5" customHeight="1">
      <c r="A125" s="132"/>
      <c r="B125" s="131"/>
      <c r="C125" s="131"/>
      <c r="D125" s="132"/>
      <c r="E125" s="132"/>
      <c r="F125" s="132"/>
      <c r="G125" s="132"/>
      <c r="H125" s="132"/>
      <c r="I125" s="131"/>
      <c r="J125" s="131"/>
      <c r="K125" s="131"/>
      <c r="L125" s="131"/>
      <c r="M125" s="131"/>
      <c r="N125" s="131"/>
      <c r="O125" s="131"/>
      <c r="P125" s="131"/>
      <c r="Q125" s="131"/>
      <c r="R125" s="131"/>
      <c r="S125" s="131"/>
      <c r="T125" s="131"/>
      <c r="U125" s="131"/>
      <c r="V125" s="131"/>
      <c r="W125" s="131"/>
      <c r="X125" s="131"/>
    </row>
    <row r="126" spans="1:24" ht="13.5" customHeight="1">
      <c r="A126" s="132"/>
      <c r="B126" s="131"/>
      <c r="C126" s="131"/>
      <c r="D126" s="132"/>
      <c r="E126" s="132"/>
      <c r="F126" s="132"/>
      <c r="G126" s="132"/>
      <c r="H126" s="132"/>
      <c r="I126" s="131"/>
      <c r="J126" s="131"/>
      <c r="K126" s="131"/>
      <c r="L126" s="131"/>
      <c r="M126" s="131"/>
      <c r="N126" s="131"/>
      <c r="O126" s="131"/>
      <c r="P126" s="131"/>
      <c r="Q126" s="131"/>
      <c r="R126" s="131"/>
      <c r="S126" s="131"/>
      <c r="T126" s="131"/>
      <c r="U126" s="131"/>
      <c r="V126" s="131"/>
      <c r="W126" s="131"/>
      <c r="X126" s="131"/>
    </row>
    <row r="127" spans="1:24" ht="13.5" customHeight="1">
      <c r="A127" s="132"/>
      <c r="B127" s="131"/>
      <c r="C127" s="131"/>
      <c r="D127" s="132"/>
      <c r="E127" s="132"/>
      <c r="F127" s="132"/>
      <c r="G127" s="132"/>
      <c r="H127" s="132"/>
      <c r="I127" s="131"/>
      <c r="J127" s="131"/>
      <c r="K127" s="131"/>
      <c r="L127" s="131"/>
      <c r="M127" s="131"/>
      <c r="N127" s="131"/>
      <c r="O127" s="131"/>
      <c r="P127" s="131"/>
      <c r="Q127" s="131"/>
      <c r="R127" s="131"/>
      <c r="S127" s="131"/>
      <c r="T127" s="131"/>
      <c r="U127" s="131"/>
      <c r="V127" s="131"/>
      <c r="W127" s="131"/>
      <c r="X127" s="131"/>
    </row>
    <row r="128" spans="1:24" ht="13.5" customHeight="1">
      <c r="A128" s="132"/>
      <c r="B128" s="131"/>
      <c r="C128" s="131"/>
      <c r="D128" s="132"/>
      <c r="E128" s="132"/>
      <c r="F128" s="132"/>
      <c r="G128" s="132"/>
      <c r="H128" s="132"/>
      <c r="I128" s="131"/>
      <c r="J128" s="131"/>
      <c r="K128" s="131"/>
      <c r="L128" s="131"/>
      <c r="M128" s="131"/>
      <c r="N128" s="131"/>
      <c r="O128" s="131"/>
      <c r="P128" s="131"/>
      <c r="Q128" s="131"/>
      <c r="R128" s="131"/>
      <c r="S128" s="131"/>
      <c r="T128" s="131"/>
      <c r="U128" s="131"/>
      <c r="V128" s="131"/>
      <c r="W128" s="131"/>
      <c r="X128" s="131"/>
    </row>
    <row r="129" spans="1:24" ht="13.5" customHeight="1">
      <c r="A129" s="132"/>
      <c r="B129" s="131"/>
      <c r="C129" s="131"/>
      <c r="D129" s="132"/>
      <c r="E129" s="132"/>
      <c r="F129" s="132"/>
      <c r="G129" s="132"/>
      <c r="H129" s="132"/>
      <c r="I129" s="131"/>
      <c r="J129" s="131"/>
      <c r="K129" s="131"/>
      <c r="L129" s="131"/>
      <c r="M129" s="131"/>
      <c r="N129" s="131"/>
      <c r="O129" s="131"/>
      <c r="P129" s="131"/>
      <c r="Q129" s="131"/>
      <c r="R129" s="131"/>
      <c r="S129" s="131"/>
      <c r="T129" s="131"/>
      <c r="U129" s="131"/>
      <c r="V129" s="131"/>
      <c r="W129" s="131"/>
      <c r="X129" s="131"/>
    </row>
    <row r="130" spans="1:24" ht="13.5" customHeight="1">
      <c r="A130" s="132"/>
      <c r="B130" s="131"/>
      <c r="C130" s="131"/>
      <c r="D130" s="132"/>
      <c r="E130" s="132"/>
      <c r="F130" s="132"/>
      <c r="G130" s="132"/>
      <c r="H130" s="132"/>
      <c r="I130" s="131"/>
      <c r="J130" s="131"/>
      <c r="K130" s="131"/>
      <c r="L130" s="131"/>
      <c r="M130" s="131"/>
      <c r="N130" s="131"/>
      <c r="O130" s="131"/>
      <c r="P130" s="131"/>
      <c r="Q130" s="131"/>
      <c r="R130" s="131"/>
      <c r="S130" s="131"/>
      <c r="T130" s="131"/>
      <c r="U130" s="131"/>
      <c r="V130" s="131"/>
      <c r="W130" s="131"/>
      <c r="X130" s="131"/>
    </row>
    <row r="131" spans="1:24" ht="13.5" customHeight="1">
      <c r="A131" s="132"/>
      <c r="B131" s="131"/>
      <c r="C131" s="131"/>
      <c r="D131" s="132"/>
      <c r="E131" s="132"/>
      <c r="F131" s="132"/>
      <c r="G131" s="132"/>
      <c r="H131" s="132"/>
      <c r="I131" s="131"/>
      <c r="J131" s="131"/>
      <c r="K131" s="131"/>
      <c r="L131" s="131"/>
      <c r="M131" s="131"/>
      <c r="N131" s="131"/>
      <c r="O131" s="131"/>
      <c r="P131" s="131"/>
      <c r="Q131" s="131"/>
      <c r="R131" s="131"/>
      <c r="S131" s="131"/>
      <c r="T131" s="131"/>
      <c r="U131" s="131"/>
      <c r="V131" s="131"/>
      <c r="W131" s="131"/>
      <c r="X131" s="131"/>
    </row>
    <row r="132" spans="1:24" ht="13.5" customHeight="1">
      <c r="A132" s="132"/>
      <c r="B132" s="131"/>
      <c r="C132" s="131"/>
      <c r="D132" s="132"/>
      <c r="E132" s="132"/>
      <c r="F132" s="132"/>
      <c r="G132" s="132"/>
      <c r="H132" s="132"/>
      <c r="I132" s="131"/>
      <c r="J132" s="131"/>
      <c r="K132" s="131"/>
      <c r="L132" s="131"/>
      <c r="M132" s="131"/>
      <c r="N132" s="131"/>
      <c r="O132" s="131"/>
      <c r="P132" s="131"/>
      <c r="Q132" s="131"/>
      <c r="R132" s="131"/>
      <c r="S132" s="131"/>
      <c r="T132" s="131"/>
      <c r="U132" s="131"/>
      <c r="V132" s="131"/>
      <c r="W132" s="131"/>
      <c r="X132" s="131"/>
    </row>
    <row r="133" spans="1:24" ht="13.5" customHeight="1">
      <c r="A133" s="132"/>
      <c r="B133" s="131"/>
      <c r="C133" s="131"/>
      <c r="D133" s="132"/>
      <c r="E133" s="132"/>
      <c r="F133" s="132"/>
      <c r="G133" s="132"/>
      <c r="H133" s="132"/>
      <c r="I133" s="131"/>
      <c r="J133" s="131"/>
      <c r="K133" s="131"/>
      <c r="L133" s="131"/>
      <c r="M133" s="131"/>
      <c r="N133" s="131"/>
      <c r="O133" s="131"/>
      <c r="P133" s="131"/>
      <c r="Q133" s="131"/>
      <c r="R133" s="131"/>
      <c r="S133" s="131"/>
      <c r="T133" s="131"/>
      <c r="U133" s="131"/>
      <c r="V133" s="131"/>
      <c r="W133" s="131"/>
      <c r="X133" s="131"/>
    </row>
    <row r="134" spans="1:24" ht="13.5" customHeight="1">
      <c r="A134" s="132"/>
      <c r="B134" s="131"/>
      <c r="C134" s="131"/>
      <c r="D134" s="132"/>
      <c r="E134" s="132"/>
      <c r="F134" s="132"/>
      <c r="G134" s="132"/>
      <c r="H134" s="132"/>
      <c r="I134" s="131"/>
      <c r="J134" s="131"/>
      <c r="K134" s="131"/>
      <c r="L134" s="131"/>
      <c r="M134" s="131"/>
      <c r="N134" s="131"/>
      <c r="O134" s="131"/>
      <c r="P134" s="131"/>
      <c r="Q134" s="131"/>
      <c r="R134" s="131"/>
      <c r="S134" s="131"/>
      <c r="T134" s="131"/>
      <c r="U134" s="131"/>
      <c r="V134" s="131"/>
      <c r="W134" s="131"/>
      <c r="X134" s="131"/>
    </row>
    <row r="135" spans="1:24" ht="13.5" customHeight="1">
      <c r="A135" s="132"/>
      <c r="B135" s="131"/>
      <c r="C135" s="131"/>
      <c r="D135" s="132"/>
      <c r="E135" s="132"/>
      <c r="F135" s="132"/>
      <c r="G135" s="132"/>
      <c r="H135" s="132"/>
      <c r="I135" s="131"/>
      <c r="J135" s="131"/>
      <c r="K135" s="131"/>
      <c r="L135" s="131"/>
      <c r="M135" s="131"/>
      <c r="N135" s="131"/>
      <c r="O135" s="131"/>
      <c r="P135" s="131"/>
      <c r="Q135" s="131"/>
      <c r="R135" s="131"/>
      <c r="S135" s="131"/>
      <c r="T135" s="131"/>
      <c r="U135" s="131"/>
      <c r="V135" s="131"/>
      <c r="W135" s="131"/>
      <c r="X135" s="131"/>
    </row>
    <row r="136" spans="1:24" ht="13.5" customHeight="1">
      <c r="A136" s="132"/>
      <c r="B136" s="131"/>
      <c r="C136" s="131"/>
      <c r="D136" s="132"/>
      <c r="E136" s="132"/>
      <c r="F136" s="132"/>
      <c r="G136" s="132"/>
      <c r="H136" s="132"/>
      <c r="I136" s="131"/>
      <c r="J136" s="131"/>
      <c r="K136" s="131"/>
      <c r="L136" s="131"/>
      <c r="M136" s="131"/>
      <c r="N136" s="131"/>
      <c r="O136" s="131"/>
      <c r="P136" s="131"/>
      <c r="Q136" s="131"/>
      <c r="R136" s="131"/>
      <c r="S136" s="131"/>
      <c r="T136" s="131"/>
      <c r="U136" s="131"/>
      <c r="V136" s="131"/>
      <c r="W136" s="131"/>
      <c r="X136" s="131"/>
    </row>
    <row r="137" spans="1:24" ht="13.5" customHeight="1">
      <c r="A137" s="132"/>
      <c r="B137" s="131"/>
      <c r="C137" s="131"/>
      <c r="D137" s="132"/>
      <c r="E137" s="132"/>
      <c r="F137" s="132"/>
      <c r="G137" s="132"/>
      <c r="H137" s="132"/>
      <c r="I137" s="131"/>
      <c r="J137" s="131"/>
      <c r="K137" s="131"/>
      <c r="L137" s="131"/>
      <c r="M137" s="131"/>
      <c r="N137" s="131"/>
      <c r="O137" s="131"/>
      <c r="P137" s="131"/>
      <c r="Q137" s="131"/>
      <c r="R137" s="131"/>
      <c r="S137" s="131"/>
      <c r="T137" s="131"/>
      <c r="U137" s="131"/>
      <c r="V137" s="131"/>
      <c r="W137" s="131"/>
      <c r="X137" s="131"/>
    </row>
    <row r="138" spans="1:24" ht="13.5" customHeight="1">
      <c r="A138" s="132"/>
      <c r="B138" s="131"/>
      <c r="C138" s="131"/>
      <c r="D138" s="132"/>
      <c r="E138" s="132"/>
      <c r="F138" s="132"/>
      <c r="G138" s="132"/>
      <c r="H138" s="132"/>
      <c r="I138" s="131"/>
      <c r="J138" s="131"/>
      <c r="K138" s="131"/>
      <c r="L138" s="131"/>
      <c r="M138" s="131"/>
      <c r="N138" s="131"/>
      <c r="O138" s="131"/>
      <c r="P138" s="131"/>
      <c r="Q138" s="131"/>
      <c r="R138" s="131"/>
      <c r="S138" s="131"/>
      <c r="T138" s="131"/>
      <c r="U138" s="131"/>
      <c r="V138" s="131"/>
      <c r="W138" s="131"/>
      <c r="X138" s="131"/>
    </row>
    <row r="139" spans="1:24" ht="13.5" customHeight="1">
      <c r="A139" s="132"/>
      <c r="B139" s="131"/>
      <c r="C139" s="131"/>
      <c r="D139" s="132"/>
      <c r="E139" s="132"/>
      <c r="F139" s="132"/>
      <c r="G139" s="132"/>
      <c r="H139" s="132"/>
      <c r="I139" s="131"/>
      <c r="J139" s="131"/>
      <c r="K139" s="131"/>
      <c r="L139" s="131"/>
      <c r="M139" s="131"/>
      <c r="N139" s="131"/>
      <c r="O139" s="131"/>
      <c r="P139" s="131"/>
      <c r="Q139" s="131"/>
      <c r="R139" s="131"/>
      <c r="S139" s="131"/>
      <c r="T139" s="131"/>
      <c r="U139" s="131"/>
      <c r="V139" s="131"/>
      <c r="W139" s="131"/>
      <c r="X139" s="131"/>
    </row>
    <row r="140" spans="1:24" ht="13.5" customHeight="1">
      <c r="A140" s="132"/>
      <c r="B140" s="131"/>
      <c r="C140" s="131"/>
      <c r="D140" s="132"/>
      <c r="E140" s="132"/>
      <c r="F140" s="132"/>
      <c r="G140" s="132"/>
      <c r="H140" s="132"/>
      <c r="I140" s="131"/>
      <c r="J140" s="131"/>
      <c r="K140" s="131"/>
      <c r="L140" s="131"/>
      <c r="M140" s="131"/>
      <c r="N140" s="131"/>
      <c r="O140" s="131"/>
      <c r="P140" s="131"/>
      <c r="Q140" s="131"/>
      <c r="R140" s="131"/>
      <c r="S140" s="131"/>
      <c r="T140" s="131"/>
      <c r="U140" s="131"/>
      <c r="V140" s="131"/>
      <c r="W140" s="131"/>
      <c r="X140" s="131"/>
    </row>
    <row r="141" spans="1:24" ht="13.5" customHeight="1">
      <c r="A141" s="132"/>
      <c r="B141" s="131"/>
      <c r="C141" s="131"/>
      <c r="D141" s="132"/>
      <c r="E141" s="132"/>
      <c r="F141" s="132"/>
      <c r="G141" s="132"/>
      <c r="H141" s="132"/>
      <c r="I141" s="131"/>
      <c r="J141" s="131"/>
      <c r="K141" s="131"/>
      <c r="L141" s="131"/>
      <c r="M141" s="131"/>
      <c r="N141" s="131"/>
      <c r="O141" s="131"/>
      <c r="P141" s="131"/>
      <c r="Q141" s="131"/>
      <c r="R141" s="131"/>
      <c r="S141" s="131"/>
      <c r="T141" s="131"/>
      <c r="U141" s="131"/>
      <c r="V141" s="131"/>
      <c r="W141" s="131"/>
      <c r="X141" s="131"/>
    </row>
    <row r="142" spans="1:24" ht="13.5" customHeight="1">
      <c r="A142" s="132"/>
      <c r="B142" s="131"/>
      <c r="C142" s="131"/>
      <c r="D142" s="132"/>
      <c r="E142" s="132"/>
      <c r="F142" s="132"/>
      <c r="G142" s="132"/>
      <c r="H142" s="132"/>
      <c r="I142" s="131"/>
      <c r="J142" s="131"/>
      <c r="K142" s="131"/>
      <c r="L142" s="131"/>
      <c r="M142" s="131"/>
      <c r="N142" s="131"/>
      <c r="O142" s="131"/>
      <c r="P142" s="131"/>
      <c r="Q142" s="131"/>
      <c r="R142" s="131"/>
      <c r="S142" s="131"/>
      <c r="T142" s="131"/>
      <c r="U142" s="131"/>
      <c r="V142" s="131"/>
      <c r="W142" s="131"/>
      <c r="X142" s="131"/>
    </row>
    <row r="143" spans="1:24" ht="13.5" customHeight="1">
      <c r="A143" s="132"/>
      <c r="B143" s="131"/>
      <c r="C143" s="131"/>
      <c r="D143" s="132"/>
      <c r="E143" s="132"/>
      <c r="F143" s="132"/>
      <c r="G143" s="132"/>
      <c r="H143" s="132"/>
      <c r="I143" s="131"/>
      <c r="J143" s="131"/>
      <c r="K143" s="131"/>
      <c r="L143" s="131"/>
      <c r="M143" s="131"/>
      <c r="N143" s="131"/>
      <c r="O143" s="131"/>
      <c r="P143" s="131"/>
      <c r="Q143" s="131"/>
      <c r="R143" s="131"/>
      <c r="S143" s="131"/>
      <c r="T143" s="131"/>
      <c r="U143" s="131"/>
      <c r="V143" s="131"/>
      <c r="W143" s="131"/>
      <c r="X143" s="131"/>
    </row>
    <row r="144" spans="1:24" ht="13.5" customHeight="1">
      <c r="A144" s="132"/>
      <c r="B144" s="131"/>
      <c r="C144" s="131"/>
      <c r="D144" s="132"/>
      <c r="E144" s="132"/>
      <c r="F144" s="132"/>
      <c r="G144" s="132"/>
      <c r="H144" s="132"/>
      <c r="I144" s="131"/>
      <c r="J144" s="131"/>
      <c r="K144" s="131"/>
      <c r="L144" s="131"/>
      <c r="M144" s="131"/>
      <c r="N144" s="131"/>
      <c r="O144" s="131"/>
      <c r="P144" s="131"/>
      <c r="Q144" s="131"/>
      <c r="R144" s="131"/>
      <c r="S144" s="131"/>
      <c r="T144" s="131"/>
      <c r="U144" s="131"/>
      <c r="V144" s="131"/>
      <c r="W144" s="131"/>
      <c r="X144" s="131"/>
    </row>
    <row r="145" spans="1:24" ht="13.5" customHeight="1">
      <c r="A145" s="132"/>
      <c r="B145" s="131"/>
      <c r="C145" s="131"/>
      <c r="D145" s="132"/>
      <c r="E145" s="132"/>
      <c r="F145" s="132"/>
      <c r="G145" s="132"/>
      <c r="H145" s="132"/>
      <c r="I145" s="131"/>
      <c r="J145" s="131"/>
      <c r="K145" s="131"/>
      <c r="L145" s="131"/>
      <c r="M145" s="131"/>
      <c r="N145" s="131"/>
      <c r="O145" s="131"/>
      <c r="P145" s="131"/>
      <c r="Q145" s="131"/>
      <c r="R145" s="131"/>
      <c r="S145" s="131"/>
      <c r="T145" s="131"/>
      <c r="U145" s="131"/>
      <c r="V145" s="131"/>
      <c r="W145" s="131"/>
      <c r="X145" s="131"/>
    </row>
    <row r="146" spans="1:24" ht="13.5" customHeight="1">
      <c r="A146" s="132"/>
      <c r="B146" s="131"/>
      <c r="C146" s="131"/>
      <c r="D146" s="132"/>
      <c r="E146" s="132"/>
      <c r="F146" s="132"/>
      <c r="G146" s="132"/>
      <c r="H146" s="132"/>
      <c r="I146" s="131"/>
      <c r="J146" s="131"/>
      <c r="K146" s="131"/>
      <c r="L146" s="131"/>
      <c r="M146" s="131"/>
      <c r="N146" s="131"/>
      <c r="O146" s="131"/>
      <c r="P146" s="131"/>
      <c r="Q146" s="131"/>
      <c r="R146" s="131"/>
      <c r="S146" s="131"/>
      <c r="T146" s="131"/>
      <c r="U146" s="131"/>
      <c r="V146" s="131"/>
      <c r="W146" s="131"/>
      <c r="X146" s="131"/>
    </row>
    <row r="147" spans="1:24" ht="13.5" customHeight="1">
      <c r="A147" s="132"/>
      <c r="B147" s="131"/>
      <c r="C147" s="131"/>
      <c r="D147" s="132"/>
      <c r="E147" s="132"/>
      <c r="F147" s="132"/>
      <c r="G147" s="132"/>
      <c r="H147" s="132"/>
      <c r="I147" s="131"/>
      <c r="J147" s="131"/>
      <c r="K147" s="131"/>
      <c r="L147" s="131"/>
      <c r="M147" s="131"/>
      <c r="N147" s="131"/>
      <c r="O147" s="131"/>
      <c r="P147" s="131"/>
      <c r="Q147" s="131"/>
      <c r="R147" s="131"/>
      <c r="S147" s="131"/>
      <c r="T147" s="131"/>
      <c r="U147" s="131"/>
      <c r="V147" s="131"/>
      <c r="W147" s="131"/>
      <c r="X147" s="131"/>
    </row>
    <row r="148" spans="1:24" ht="13.5" customHeight="1">
      <c r="A148" s="132"/>
      <c r="B148" s="131"/>
      <c r="C148" s="131"/>
      <c r="D148" s="132"/>
      <c r="E148" s="132"/>
      <c r="F148" s="132"/>
      <c r="G148" s="132"/>
      <c r="H148" s="132"/>
      <c r="I148" s="131"/>
      <c r="J148" s="131"/>
      <c r="K148" s="131"/>
      <c r="L148" s="131"/>
      <c r="M148" s="131"/>
      <c r="N148" s="131"/>
      <c r="O148" s="131"/>
      <c r="P148" s="131"/>
      <c r="Q148" s="131"/>
      <c r="R148" s="131"/>
      <c r="S148" s="131"/>
      <c r="T148" s="131"/>
      <c r="U148" s="131"/>
      <c r="V148" s="131"/>
      <c r="W148" s="131"/>
      <c r="X148" s="131"/>
    </row>
    <row r="149" spans="1:24" ht="13.5" customHeight="1">
      <c r="A149" s="132"/>
      <c r="B149" s="131"/>
      <c r="C149" s="131"/>
      <c r="D149" s="132"/>
      <c r="E149" s="132"/>
      <c r="F149" s="132"/>
      <c r="G149" s="132"/>
      <c r="H149" s="132"/>
      <c r="I149" s="131"/>
      <c r="J149" s="131"/>
      <c r="K149" s="131"/>
      <c r="L149" s="131"/>
      <c r="M149" s="131"/>
      <c r="N149" s="131"/>
      <c r="O149" s="131"/>
      <c r="P149" s="131"/>
      <c r="Q149" s="131"/>
      <c r="R149" s="131"/>
      <c r="S149" s="131"/>
      <c r="T149" s="131"/>
      <c r="U149" s="131"/>
      <c r="V149" s="131"/>
      <c r="W149" s="131"/>
      <c r="X149" s="131"/>
    </row>
    <row r="150" spans="1:24" ht="13.5" customHeight="1">
      <c r="A150" s="132"/>
      <c r="B150" s="131"/>
      <c r="C150" s="131"/>
      <c r="D150" s="132"/>
      <c r="E150" s="132"/>
      <c r="F150" s="132"/>
      <c r="G150" s="132"/>
      <c r="H150" s="132"/>
      <c r="I150" s="131"/>
      <c r="J150" s="131"/>
      <c r="K150" s="131"/>
      <c r="L150" s="131"/>
      <c r="M150" s="131"/>
      <c r="N150" s="131"/>
      <c r="O150" s="131"/>
      <c r="P150" s="131"/>
      <c r="Q150" s="131"/>
      <c r="R150" s="131"/>
      <c r="S150" s="131"/>
      <c r="T150" s="131"/>
      <c r="U150" s="131"/>
      <c r="V150" s="131"/>
      <c r="W150" s="131"/>
      <c r="X150" s="131"/>
    </row>
    <row r="151" spans="1:24" ht="13.5" customHeight="1">
      <c r="A151" s="132"/>
      <c r="B151" s="131"/>
      <c r="C151" s="131"/>
      <c r="D151" s="132"/>
      <c r="E151" s="132"/>
      <c r="F151" s="132"/>
      <c r="G151" s="132"/>
      <c r="H151" s="132"/>
      <c r="I151" s="131"/>
      <c r="J151" s="131"/>
      <c r="K151" s="131"/>
      <c r="L151" s="131"/>
      <c r="M151" s="131"/>
      <c r="N151" s="131"/>
      <c r="O151" s="131"/>
      <c r="P151" s="131"/>
      <c r="Q151" s="131"/>
      <c r="R151" s="131"/>
      <c r="S151" s="131"/>
      <c r="T151" s="131"/>
      <c r="U151" s="131"/>
      <c r="V151" s="131"/>
      <c r="W151" s="131"/>
      <c r="X151" s="131"/>
    </row>
    <row r="152" spans="1:24" ht="13.5" customHeight="1">
      <c r="A152" s="132"/>
      <c r="B152" s="131"/>
      <c r="C152" s="131"/>
      <c r="D152" s="132"/>
      <c r="E152" s="132"/>
      <c r="F152" s="132"/>
      <c r="G152" s="132"/>
      <c r="H152" s="132"/>
      <c r="I152" s="131"/>
      <c r="J152" s="131"/>
      <c r="K152" s="131"/>
      <c r="L152" s="131"/>
      <c r="M152" s="131"/>
      <c r="N152" s="131"/>
      <c r="O152" s="131"/>
      <c r="P152" s="131"/>
      <c r="Q152" s="131"/>
      <c r="R152" s="131"/>
      <c r="S152" s="131"/>
      <c r="T152" s="131"/>
      <c r="U152" s="131"/>
      <c r="V152" s="131"/>
      <c r="W152" s="131"/>
      <c r="X152" s="131"/>
    </row>
    <row r="153" spans="1:24" ht="13.5" customHeight="1">
      <c r="A153" s="132"/>
      <c r="B153" s="131"/>
      <c r="C153" s="131"/>
      <c r="D153" s="132"/>
      <c r="E153" s="132"/>
      <c r="F153" s="132"/>
      <c r="G153" s="132"/>
      <c r="H153" s="132"/>
      <c r="I153" s="131"/>
      <c r="J153" s="131"/>
      <c r="K153" s="131"/>
      <c r="L153" s="131"/>
      <c r="M153" s="131"/>
      <c r="N153" s="131"/>
      <c r="O153" s="131"/>
      <c r="P153" s="131"/>
      <c r="Q153" s="131"/>
      <c r="R153" s="131"/>
      <c r="S153" s="131"/>
      <c r="T153" s="131"/>
      <c r="U153" s="131"/>
      <c r="V153" s="131"/>
      <c r="W153" s="131"/>
      <c r="X153" s="131"/>
    </row>
    <row r="154" spans="1:24" ht="13.5" customHeight="1">
      <c r="A154" s="132"/>
      <c r="B154" s="131"/>
      <c r="C154" s="131"/>
      <c r="D154" s="132"/>
      <c r="E154" s="132"/>
      <c r="F154" s="132"/>
      <c r="G154" s="132"/>
      <c r="H154" s="132"/>
      <c r="I154" s="131"/>
      <c r="J154" s="131"/>
      <c r="K154" s="131"/>
      <c r="L154" s="131"/>
      <c r="M154" s="131"/>
      <c r="N154" s="131"/>
      <c r="O154" s="131"/>
      <c r="P154" s="131"/>
      <c r="Q154" s="131"/>
      <c r="R154" s="131"/>
      <c r="S154" s="131"/>
      <c r="T154" s="131"/>
      <c r="U154" s="131"/>
      <c r="V154" s="131"/>
      <c r="W154" s="131"/>
      <c r="X154" s="131"/>
    </row>
    <row r="155" spans="1:24" ht="13.5" customHeight="1">
      <c r="A155" s="132"/>
      <c r="B155" s="131"/>
      <c r="C155" s="131"/>
      <c r="D155" s="132"/>
      <c r="E155" s="132"/>
      <c r="F155" s="132"/>
      <c r="G155" s="132"/>
      <c r="H155" s="132"/>
      <c r="I155" s="131"/>
      <c r="J155" s="131"/>
      <c r="K155" s="131"/>
      <c r="L155" s="131"/>
      <c r="M155" s="131"/>
      <c r="N155" s="131"/>
      <c r="O155" s="131"/>
      <c r="P155" s="131"/>
      <c r="Q155" s="131"/>
      <c r="R155" s="131"/>
      <c r="S155" s="131"/>
      <c r="T155" s="131"/>
      <c r="U155" s="131"/>
      <c r="V155" s="131"/>
      <c r="W155" s="131"/>
      <c r="X155" s="131"/>
    </row>
    <row r="156" spans="1:24" ht="13.5" customHeight="1">
      <c r="A156" s="132"/>
      <c r="B156" s="131"/>
      <c r="C156" s="131"/>
      <c r="D156" s="132"/>
      <c r="E156" s="132"/>
      <c r="F156" s="132"/>
      <c r="G156" s="132"/>
      <c r="H156" s="132"/>
      <c r="I156" s="131"/>
      <c r="J156" s="131"/>
      <c r="K156" s="131"/>
      <c r="L156" s="131"/>
      <c r="M156" s="131"/>
      <c r="N156" s="131"/>
      <c r="O156" s="131"/>
      <c r="P156" s="131"/>
      <c r="Q156" s="131"/>
      <c r="R156" s="131"/>
      <c r="S156" s="131"/>
      <c r="T156" s="131"/>
      <c r="U156" s="131"/>
      <c r="V156" s="131"/>
      <c r="W156" s="131"/>
      <c r="X156" s="131"/>
    </row>
    <row r="157" spans="1:24" ht="13.5" customHeight="1">
      <c r="A157" s="132"/>
      <c r="B157" s="131"/>
      <c r="C157" s="131"/>
      <c r="D157" s="132"/>
      <c r="E157" s="132"/>
      <c r="F157" s="132"/>
      <c r="G157" s="132"/>
      <c r="H157" s="132"/>
      <c r="I157" s="131"/>
      <c r="J157" s="131"/>
      <c r="K157" s="131"/>
      <c r="L157" s="131"/>
      <c r="M157" s="131"/>
      <c r="N157" s="131"/>
      <c r="O157" s="131"/>
      <c r="P157" s="131"/>
      <c r="Q157" s="131"/>
      <c r="R157" s="131"/>
      <c r="S157" s="131"/>
      <c r="T157" s="131"/>
      <c r="U157" s="131"/>
      <c r="V157" s="131"/>
      <c r="W157" s="131"/>
      <c r="X157" s="131"/>
    </row>
    <row r="158" spans="1:24" ht="13.5" customHeight="1">
      <c r="A158" s="132"/>
      <c r="B158" s="131"/>
      <c r="C158" s="131"/>
      <c r="D158" s="132"/>
      <c r="E158" s="132"/>
      <c r="F158" s="132"/>
      <c r="G158" s="132"/>
      <c r="H158" s="132"/>
      <c r="I158" s="131"/>
      <c r="J158" s="131"/>
      <c r="K158" s="131"/>
      <c r="L158" s="131"/>
      <c r="M158" s="131"/>
      <c r="N158" s="131"/>
      <c r="O158" s="131"/>
      <c r="P158" s="131"/>
      <c r="Q158" s="131"/>
      <c r="R158" s="131"/>
      <c r="S158" s="131"/>
      <c r="T158" s="131"/>
      <c r="U158" s="131"/>
      <c r="V158" s="131"/>
      <c r="W158" s="131"/>
      <c r="X158" s="131"/>
    </row>
    <row r="159" spans="1:24" ht="13.5" customHeight="1">
      <c r="A159" s="132"/>
      <c r="B159" s="131"/>
      <c r="C159" s="131"/>
      <c r="D159" s="132"/>
      <c r="E159" s="132"/>
      <c r="F159" s="132"/>
      <c r="G159" s="132"/>
      <c r="H159" s="132"/>
      <c r="I159" s="131"/>
      <c r="J159" s="131"/>
      <c r="K159" s="131"/>
      <c r="L159" s="131"/>
      <c r="M159" s="131"/>
      <c r="N159" s="131"/>
      <c r="O159" s="131"/>
      <c r="P159" s="131"/>
      <c r="Q159" s="131"/>
      <c r="R159" s="131"/>
      <c r="S159" s="131"/>
      <c r="T159" s="131"/>
      <c r="U159" s="131"/>
      <c r="V159" s="131"/>
      <c r="W159" s="131"/>
      <c r="X159" s="131"/>
    </row>
    <row r="160" spans="1:24" ht="13.5" customHeight="1">
      <c r="A160" s="132"/>
      <c r="B160" s="131"/>
      <c r="C160" s="131"/>
      <c r="D160" s="132"/>
      <c r="E160" s="132"/>
      <c r="F160" s="132"/>
      <c r="G160" s="132"/>
      <c r="H160" s="132"/>
      <c r="I160" s="131"/>
      <c r="J160" s="131"/>
      <c r="K160" s="131"/>
      <c r="L160" s="131"/>
      <c r="M160" s="131"/>
      <c r="N160" s="131"/>
      <c r="O160" s="131"/>
      <c r="P160" s="131"/>
      <c r="Q160" s="131"/>
      <c r="R160" s="131"/>
      <c r="S160" s="131"/>
      <c r="T160" s="131"/>
      <c r="U160" s="131"/>
      <c r="V160" s="131"/>
      <c r="W160" s="131"/>
      <c r="X160" s="131"/>
    </row>
    <row r="161" spans="1:24" ht="13.5" customHeight="1">
      <c r="A161" s="132"/>
      <c r="B161" s="131"/>
      <c r="C161" s="131"/>
      <c r="D161" s="132"/>
      <c r="E161" s="132"/>
      <c r="F161" s="132"/>
      <c r="G161" s="132"/>
      <c r="H161" s="132"/>
      <c r="I161" s="131"/>
      <c r="J161" s="131"/>
      <c r="K161" s="131"/>
      <c r="L161" s="131"/>
      <c r="M161" s="131"/>
      <c r="N161" s="131"/>
      <c r="O161" s="131"/>
      <c r="P161" s="131"/>
      <c r="Q161" s="131"/>
      <c r="R161" s="131"/>
      <c r="S161" s="131"/>
      <c r="T161" s="131"/>
      <c r="U161" s="131"/>
      <c r="V161" s="131"/>
      <c r="W161" s="131"/>
      <c r="X161" s="131"/>
    </row>
    <row r="162" spans="1:24" ht="13.5" customHeight="1">
      <c r="A162" s="132"/>
      <c r="B162" s="131"/>
      <c r="C162" s="131"/>
      <c r="D162" s="132"/>
      <c r="E162" s="132"/>
      <c r="F162" s="132"/>
      <c r="G162" s="132"/>
      <c r="H162" s="132"/>
      <c r="I162" s="131"/>
      <c r="J162" s="131"/>
      <c r="K162" s="131"/>
      <c r="L162" s="131"/>
      <c r="M162" s="131"/>
      <c r="N162" s="131"/>
      <c r="O162" s="131"/>
      <c r="P162" s="131"/>
      <c r="Q162" s="131"/>
      <c r="R162" s="131"/>
      <c r="S162" s="131"/>
      <c r="T162" s="131"/>
      <c r="U162" s="131"/>
      <c r="V162" s="131"/>
      <c r="W162" s="131"/>
      <c r="X162" s="131"/>
    </row>
    <row r="163" spans="1:24" ht="13.5" customHeight="1">
      <c r="A163" s="132"/>
      <c r="B163" s="131"/>
      <c r="C163" s="131"/>
      <c r="D163" s="132"/>
      <c r="E163" s="132"/>
      <c r="F163" s="132"/>
      <c r="G163" s="132"/>
      <c r="H163" s="132"/>
      <c r="I163" s="131"/>
      <c r="J163" s="131"/>
      <c r="K163" s="131"/>
      <c r="L163" s="131"/>
      <c r="M163" s="131"/>
      <c r="N163" s="131"/>
      <c r="O163" s="131"/>
      <c r="P163" s="131"/>
      <c r="Q163" s="131"/>
      <c r="R163" s="131"/>
      <c r="S163" s="131"/>
      <c r="T163" s="131"/>
      <c r="U163" s="131"/>
      <c r="V163" s="131"/>
      <c r="W163" s="131"/>
      <c r="X163" s="131"/>
    </row>
    <row r="164" spans="1:24" ht="13.5" customHeight="1">
      <c r="A164" s="132"/>
      <c r="B164" s="131"/>
      <c r="C164" s="131"/>
      <c r="D164" s="132"/>
      <c r="E164" s="132"/>
      <c r="F164" s="132"/>
      <c r="G164" s="132"/>
      <c r="H164" s="132"/>
      <c r="I164" s="131"/>
      <c r="J164" s="131"/>
      <c r="K164" s="131"/>
      <c r="L164" s="131"/>
      <c r="M164" s="131"/>
      <c r="N164" s="131"/>
      <c r="O164" s="131"/>
      <c r="P164" s="131"/>
      <c r="Q164" s="131"/>
      <c r="R164" s="131"/>
      <c r="S164" s="131"/>
      <c r="T164" s="131"/>
      <c r="U164" s="131"/>
      <c r="V164" s="131"/>
      <c r="W164" s="131"/>
      <c r="X164" s="131"/>
    </row>
    <row r="165" spans="1:24" ht="13.5" customHeight="1">
      <c r="A165" s="132"/>
      <c r="B165" s="131"/>
      <c r="C165" s="131"/>
      <c r="D165" s="132"/>
      <c r="E165" s="132"/>
      <c r="F165" s="132"/>
      <c r="G165" s="132"/>
      <c r="H165" s="132"/>
      <c r="I165" s="131"/>
      <c r="J165" s="131"/>
      <c r="K165" s="131"/>
      <c r="L165" s="131"/>
      <c r="M165" s="131"/>
      <c r="N165" s="131"/>
      <c r="O165" s="131"/>
      <c r="P165" s="131"/>
      <c r="Q165" s="131"/>
      <c r="R165" s="131"/>
      <c r="S165" s="131"/>
      <c r="T165" s="131"/>
      <c r="U165" s="131"/>
      <c r="V165" s="131"/>
      <c r="W165" s="131"/>
      <c r="X165" s="131"/>
    </row>
    <row r="166" spans="1:24" ht="13.5" customHeight="1">
      <c r="A166" s="132"/>
      <c r="B166" s="131"/>
      <c r="C166" s="131"/>
      <c r="D166" s="132"/>
      <c r="E166" s="132"/>
      <c r="F166" s="132"/>
      <c r="G166" s="132"/>
      <c r="H166" s="132"/>
      <c r="I166" s="131"/>
      <c r="J166" s="131"/>
      <c r="K166" s="131"/>
      <c r="L166" s="131"/>
      <c r="M166" s="131"/>
      <c r="N166" s="131"/>
      <c r="O166" s="131"/>
      <c r="P166" s="131"/>
      <c r="Q166" s="131"/>
      <c r="R166" s="131"/>
      <c r="S166" s="131"/>
      <c r="T166" s="131"/>
      <c r="U166" s="131"/>
      <c r="V166" s="131"/>
      <c r="W166" s="131"/>
      <c r="X166" s="131"/>
    </row>
    <row r="167" spans="1:24" ht="13.5" customHeight="1">
      <c r="A167" s="132"/>
      <c r="B167" s="131"/>
      <c r="C167" s="131"/>
      <c r="D167" s="132"/>
      <c r="E167" s="132"/>
      <c r="F167" s="132"/>
      <c r="G167" s="132"/>
      <c r="H167" s="132"/>
      <c r="I167" s="131"/>
      <c r="J167" s="131"/>
      <c r="K167" s="131"/>
      <c r="L167" s="131"/>
      <c r="M167" s="131"/>
      <c r="N167" s="131"/>
      <c r="O167" s="131"/>
      <c r="P167" s="131"/>
      <c r="Q167" s="131"/>
      <c r="R167" s="131"/>
      <c r="S167" s="131"/>
      <c r="T167" s="131"/>
      <c r="U167" s="131"/>
      <c r="V167" s="131"/>
      <c r="W167" s="131"/>
      <c r="X167" s="131"/>
    </row>
    <row r="168" spans="1:24" ht="13.5" customHeight="1">
      <c r="A168" s="132"/>
      <c r="B168" s="131"/>
      <c r="C168" s="131"/>
      <c r="D168" s="132"/>
      <c r="E168" s="132"/>
      <c r="F168" s="132"/>
      <c r="G168" s="132"/>
      <c r="H168" s="132"/>
      <c r="I168" s="131"/>
      <c r="J168" s="131"/>
      <c r="K168" s="131"/>
      <c r="L168" s="131"/>
      <c r="M168" s="131"/>
      <c r="N168" s="131"/>
      <c r="O168" s="131"/>
      <c r="P168" s="131"/>
      <c r="Q168" s="131"/>
      <c r="R168" s="131"/>
      <c r="S168" s="131"/>
      <c r="T168" s="131"/>
      <c r="U168" s="131"/>
      <c r="V168" s="131"/>
      <c r="W168" s="131"/>
      <c r="X168" s="131"/>
    </row>
    <row r="169" spans="1:24" ht="13.5" customHeight="1">
      <c r="A169" s="132"/>
      <c r="B169" s="131"/>
      <c r="C169" s="131"/>
      <c r="D169" s="132"/>
      <c r="E169" s="132"/>
      <c r="F169" s="132"/>
      <c r="G169" s="132"/>
      <c r="H169" s="132"/>
      <c r="I169" s="131"/>
      <c r="J169" s="131"/>
      <c r="K169" s="131"/>
      <c r="L169" s="131"/>
      <c r="M169" s="131"/>
      <c r="N169" s="131"/>
      <c r="O169" s="131"/>
      <c r="P169" s="131"/>
      <c r="Q169" s="131"/>
      <c r="R169" s="131"/>
      <c r="S169" s="131"/>
      <c r="T169" s="131"/>
      <c r="U169" s="131"/>
      <c r="V169" s="131"/>
      <c r="W169" s="131"/>
      <c r="X169" s="131"/>
    </row>
    <row r="170" spans="1:24" ht="13.5" customHeight="1">
      <c r="A170" s="132"/>
      <c r="B170" s="131"/>
      <c r="C170" s="131"/>
      <c r="D170" s="132"/>
      <c r="E170" s="132"/>
      <c r="F170" s="132"/>
      <c r="G170" s="132"/>
      <c r="H170" s="132"/>
      <c r="I170" s="131"/>
      <c r="J170" s="131"/>
      <c r="K170" s="131"/>
      <c r="L170" s="131"/>
      <c r="M170" s="131"/>
      <c r="N170" s="131"/>
      <c r="O170" s="131"/>
      <c r="P170" s="131"/>
      <c r="Q170" s="131"/>
      <c r="R170" s="131"/>
      <c r="S170" s="131"/>
      <c r="T170" s="131"/>
      <c r="U170" s="131"/>
      <c r="V170" s="131"/>
      <c r="W170" s="131"/>
      <c r="X170" s="131"/>
    </row>
    <row r="171" spans="1:24" ht="13.5" customHeight="1">
      <c r="A171" s="132"/>
      <c r="B171" s="131"/>
      <c r="C171" s="131"/>
      <c r="D171" s="132"/>
      <c r="E171" s="132"/>
      <c r="F171" s="132"/>
      <c r="G171" s="132"/>
      <c r="H171" s="132"/>
      <c r="I171" s="131"/>
      <c r="J171" s="131"/>
      <c r="K171" s="131"/>
      <c r="L171" s="131"/>
      <c r="M171" s="131"/>
      <c r="N171" s="131"/>
      <c r="O171" s="131"/>
      <c r="P171" s="131"/>
      <c r="Q171" s="131"/>
      <c r="R171" s="131"/>
      <c r="S171" s="131"/>
      <c r="T171" s="131"/>
      <c r="U171" s="131"/>
      <c r="V171" s="131"/>
      <c r="W171" s="131"/>
      <c r="X171" s="131"/>
    </row>
    <row r="172" spans="1:24" ht="13.5" customHeight="1">
      <c r="A172" s="132"/>
      <c r="B172" s="131"/>
      <c r="C172" s="131"/>
      <c r="D172" s="132"/>
      <c r="E172" s="132"/>
      <c r="F172" s="132"/>
      <c r="G172" s="132"/>
      <c r="H172" s="132"/>
      <c r="I172" s="131"/>
      <c r="J172" s="131"/>
      <c r="K172" s="131"/>
      <c r="L172" s="131"/>
      <c r="M172" s="131"/>
      <c r="N172" s="131"/>
      <c r="O172" s="131"/>
      <c r="P172" s="131"/>
      <c r="Q172" s="131"/>
      <c r="R172" s="131"/>
      <c r="S172" s="131"/>
      <c r="T172" s="131"/>
      <c r="U172" s="131"/>
      <c r="V172" s="131"/>
      <c r="W172" s="131"/>
      <c r="X172" s="131"/>
    </row>
    <row r="173" spans="1:24" ht="13.5" customHeight="1">
      <c r="A173" s="132"/>
      <c r="B173" s="131"/>
      <c r="C173" s="131"/>
      <c r="D173" s="132"/>
      <c r="E173" s="132"/>
      <c r="F173" s="132"/>
      <c r="G173" s="132"/>
      <c r="H173" s="132"/>
      <c r="I173" s="131"/>
      <c r="J173" s="131"/>
      <c r="K173" s="131"/>
      <c r="L173" s="131"/>
      <c r="M173" s="131"/>
      <c r="N173" s="131"/>
      <c r="O173" s="131"/>
      <c r="P173" s="131"/>
      <c r="Q173" s="131"/>
      <c r="R173" s="131"/>
      <c r="S173" s="131"/>
      <c r="T173" s="131"/>
      <c r="U173" s="131"/>
      <c r="V173" s="131"/>
      <c r="W173" s="131"/>
      <c r="X173" s="131"/>
    </row>
    <row r="174" spans="1:24" ht="13.5" customHeight="1">
      <c r="A174" s="132"/>
      <c r="B174" s="131"/>
      <c r="C174" s="131"/>
      <c r="D174" s="132"/>
      <c r="E174" s="132"/>
      <c r="F174" s="132"/>
      <c r="G174" s="132"/>
      <c r="H174" s="132"/>
      <c r="I174" s="131"/>
      <c r="J174" s="131"/>
      <c r="K174" s="131"/>
      <c r="L174" s="131"/>
      <c r="M174" s="131"/>
      <c r="N174" s="131"/>
      <c r="O174" s="131"/>
      <c r="P174" s="131"/>
      <c r="Q174" s="131"/>
      <c r="R174" s="131"/>
      <c r="S174" s="131"/>
      <c r="T174" s="131"/>
      <c r="U174" s="131"/>
      <c r="V174" s="131"/>
      <c r="W174" s="131"/>
      <c r="X174" s="131"/>
    </row>
    <row r="175" spans="1:24" ht="13.5" customHeight="1">
      <c r="A175" s="132"/>
      <c r="B175" s="131"/>
      <c r="C175" s="131"/>
      <c r="D175" s="132"/>
      <c r="E175" s="132"/>
      <c r="F175" s="132"/>
      <c r="G175" s="132"/>
      <c r="H175" s="132"/>
      <c r="I175" s="131"/>
      <c r="J175" s="131"/>
      <c r="K175" s="131"/>
      <c r="L175" s="131"/>
      <c r="M175" s="131"/>
      <c r="N175" s="131"/>
      <c r="O175" s="131"/>
      <c r="P175" s="131"/>
      <c r="Q175" s="131"/>
      <c r="R175" s="131"/>
      <c r="S175" s="131"/>
      <c r="T175" s="131"/>
      <c r="U175" s="131"/>
      <c r="V175" s="131"/>
      <c r="W175" s="131"/>
      <c r="X175" s="131"/>
    </row>
    <row r="176" spans="1:24" ht="13.5" customHeight="1">
      <c r="A176" s="132"/>
      <c r="B176" s="131"/>
      <c r="C176" s="131"/>
      <c r="D176" s="132"/>
      <c r="E176" s="132"/>
      <c r="F176" s="132"/>
      <c r="G176" s="132"/>
      <c r="H176" s="132"/>
      <c r="I176" s="131"/>
      <c r="J176" s="131"/>
      <c r="K176" s="131"/>
      <c r="L176" s="131"/>
      <c r="M176" s="131"/>
      <c r="N176" s="131"/>
      <c r="O176" s="131"/>
      <c r="P176" s="131"/>
      <c r="Q176" s="131"/>
      <c r="R176" s="131"/>
      <c r="S176" s="131"/>
      <c r="T176" s="131"/>
      <c r="U176" s="131"/>
      <c r="V176" s="131"/>
      <c r="W176" s="131"/>
      <c r="X176" s="131"/>
    </row>
    <row r="177" spans="1:24" ht="13.5" customHeight="1">
      <c r="A177" s="132"/>
      <c r="B177" s="131"/>
      <c r="C177" s="131"/>
      <c r="D177" s="132"/>
      <c r="E177" s="132"/>
      <c r="F177" s="132"/>
      <c r="G177" s="132"/>
      <c r="H177" s="132"/>
      <c r="I177" s="131"/>
      <c r="J177" s="131"/>
      <c r="K177" s="131"/>
      <c r="L177" s="131"/>
      <c r="M177" s="131"/>
      <c r="N177" s="131"/>
      <c r="O177" s="131"/>
      <c r="P177" s="131"/>
      <c r="Q177" s="131"/>
      <c r="R177" s="131"/>
      <c r="S177" s="131"/>
      <c r="T177" s="131"/>
      <c r="U177" s="131"/>
      <c r="V177" s="131"/>
      <c r="W177" s="131"/>
      <c r="X177" s="131"/>
    </row>
    <row r="178" spans="1:24" ht="13.5" customHeight="1">
      <c r="A178" s="132"/>
      <c r="B178" s="131"/>
      <c r="C178" s="131"/>
      <c r="D178" s="132"/>
      <c r="E178" s="132"/>
      <c r="F178" s="132"/>
      <c r="G178" s="132"/>
      <c r="H178" s="132"/>
      <c r="I178" s="131"/>
      <c r="J178" s="131"/>
      <c r="K178" s="131"/>
      <c r="L178" s="131"/>
      <c r="M178" s="131"/>
      <c r="N178" s="131"/>
      <c r="O178" s="131"/>
      <c r="P178" s="131"/>
      <c r="Q178" s="131"/>
      <c r="R178" s="131"/>
      <c r="S178" s="131"/>
      <c r="T178" s="131"/>
      <c r="U178" s="131"/>
      <c r="V178" s="131"/>
      <c r="W178" s="131"/>
      <c r="X178" s="131"/>
    </row>
    <row r="179" spans="1:24" ht="13.5" customHeight="1">
      <c r="A179" s="132"/>
      <c r="B179" s="131"/>
      <c r="C179" s="131"/>
      <c r="D179" s="132"/>
      <c r="E179" s="132"/>
      <c r="F179" s="132"/>
      <c r="G179" s="132"/>
      <c r="H179" s="132"/>
      <c r="I179" s="131"/>
      <c r="J179" s="131"/>
      <c r="K179" s="131"/>
      <c r="L179" s="131"/>
      <c r="M179" s="131"/>
      <c r="N179" s="131"/>
      <c r="O179" s="131"/>
      <c r="P179" s="131"/>
      <c r="Q179" s="131"/>
      <c r="R179" s="131"/>
      <c r="S179" s="131"/>
      <c r="T179" s="131"/>
      <c r="U179" s="131"/>
      <c r="V179" s="131"/>
      <c r="W179" s="131"/>
      <c r="X179" s="131"/>
    </row>
    <row r="180" spans="1:24" ht="13.5" customHeight="1">
      <c r="A180" s="132"/>
      <c r="B180" s="131"/>
      <c r="C180" s="131"/>
      <c r="D180" s="132"/>
      <c r="E180" s="132"/>
      <c r="F180" s="132"/>
      <c r="G180" s="132"/>
      <c r="H180" s="132"/>
      <c r="I180" s="131"/>
      <c r="J180" s="131"/>
      <c r="K180" s="131"/>
      <c r="L180" s="131"/>
      <c r="M180" s="131"/>
      <c r="N180" s="131"/>
      <c r="O180" s="131"/>
      <c r="P180" s="131"/>
      <c r="Q180" s="131"/>
      <c r="R180" s="131"/>
      <c r="S180" s="131"/>
      <c r="T180" s="131"/>
      <c r="U180" s="131"/>
      <c r="V180" s="131"/>
      <c r="W180" s="131"/>
      <c r="X180" s="131"/>
    </row>
    <row r="181" spans="1:24" ht="13.5" customHeight="1">
      <c r="A181" s="132"/>
      <c r="B181" s="131"/>
      <c r="C181" s="131"/>
      <c r="D181" s="132"/>
      <c r="E181" s="132"/>
      <c r="F181" s="132"/>
      <c r="G181" s="132"/>
      <c r="H181" s="132"/>
      <c r="I181" s="131"/>
      <c r="J181" s="131"/>
      <c r="K181" s="131"/>
      <c r="L181" s="131"/>
      <c r="M181" s="131"/>
      <c r="N181" s="131"/>
      <c r="O181" s="131"/>
      <c r="P181" s="131"/>
      <c r="Q181" s="131"/>
      <c r="R181" s="131"/>
      <c r="S181" s="131"/>
      <c r="T181" s="131"/>
      <c r="U181" s="131"/>
      <c r="V181" s="131"/>
      <c r="W181" s="131"/>
      <c r="X181" s="131"/>
    </row>
    <row r="182" spans="1:24" ht="13.5" customHeight="1">
      <c r="A182" s="132"/>
      <c r="B182" s="131"/>
      <c r="C182" s="131"/>
      <c r="D182" s="132"/>
      <c r="E182" s="132"/>
      <c r="F182" s="132"/>
      <c r="G182" s="132"/>
      <c r="H182" s="132"/>
      <c r="I182" s="131"/>
      <c r="J182" s="131"/>
      <c r="K182" s="131"/>
      <c r="L182" s="131"/>
      <c r="M182" s="131"/>
      <c r="N182" s="131"/>
      <c r="O182" s="131"/>
      <c r="P182" s="131"/>
      <c r="Q182" s="131"/>
      <c r="R182" s="131"/>
      <c r="S182" s="131"/>
      <c r="T182" s="131"/>
      <c r="U182" s="131"/>
      <c r="V182" s="131"/>
      <c r="W182" s="131"/>
      <c r="X182" s="131"/>
    </row>
    <row r="183" spans="1:24" ht="13.5" customHeight="1">
      <c r="A183" s="132"/>
      <c r="B183" s="131"/>
      <c r="C183" s="131"/>
      <c r="D183" s="132"/>
      <c r="E183" s="132"/>
      <c r="F183" s="132"/>
      <c r="G183" s="132"/>
      <c r="H183" s="132"/>
      <c r="I183" s="131"/>
      <c r="J183" s="131"/>
      <c r="K183" s="131"/>
      <c r="L183" s="131"/>
      <c r="M183" s="131"/>
      <c r="N183" s="131"/>
      <c r="O183" s="131"/>
      <c r="P183" s="131"/>
      <c r="Q183" s="131"/>
      <c r="R183" s="131"/>
      <c r="S183" s="131"/>
      <c r="T183" s="131"/>
      <c r="U183" s="131"/>
      <c r="V183" s="131"/>
      <c r="W183" s="131"/>
      <c r="X183" s="131"/>
    </row>
    <row r="184" spans="1:24" ht="13.5" customHeight="1">
      <c r="A184" s="132"/>
      <c r="B184" s="131"/>
      <c r="C184" s="131"/>
      <c r="D184" s="132"/>
      <c r="E184" s="132"/>
      <c r="F184" s="132"/>
      <c r="G184" s="132"/>
      <c r="H184" s="132"/>
      <c r="I184" s="131"/>
      <c r="J184" s="131"/>
      <c r="K184" s="131"/>
      <c r="L184" s="131"/>
      <c r="M184" s="131"/>
      <c r="N184" s="131"/>
      <c r="O184" s="131"/>
      <c r="P184" s="131"/>
      <c r="Q184" s="131"/>
      <c r="R184" s="131"/>
      <c r="S184" s="131"/>
      <c r="T184" s="131"/>
      <c r="U184" s="131"/>
      <c r="V184" s="131"/>
      <c r="W184" s="131"/>
      <c r="X184" s="131"/>
    </row>
    <row r="185" spans="1:24" ht="13.5" customHeight="1">
      <c r="A185" s="132"/>
      <c r="B185" s="131"/>
      <c r="C185" s="131"/>
      <c r="D185" s="132"/>
      <c r="E185" s="132"/>
      <c r="F185" s="132"/>
      <c r="G185" s="132"/>
      <c r="H185" s="132"/>
      <c r="I185" s="131"/>
      <c r="J185" s="131"/>
      <c r="K185" s="131"/>
      <c r="L185" s="131"/>
      <c r="M185" s="131"/>
      <c r="N185" s="131"/>
      <c r="O185" s="131"/>
      <c r="P185" s="131"/>
      <c r="Q185" s="131"/>
      <c r="R185" s="131"/>
      <c r="S185" s="131"/>
      <c r="T185" s="131"/>
      <c r="U185" s="131"/>
      <c r="V185" s="131"/>
      <c r="W185" s="131"/>
      <c r="X185" s="131"/>
    </row>
    <row r="186" spans="1:24" ht="13.5" customHeight="1">
      <c r="A186" s="132"/>
      <c r="B186" s="131"/>
      <c r="C186" s="131"/>
      <c r="D186" s="132"/>
      <c r="E186" s="132"/>
      <c r="F186" s="132"/>
      <c r="G186" s="132"/>
      <c r="H186" s="132"/>
      <c r="I186" s="131"/>
      <c r="J186" s="131"/>
      <c r="K186" s="131"/>
      <c r="L186" s="131"/>
      <c r="M186" s="131"/>
      <c r="N186" s="131"/>
      <c r="O186" s="131"/>
      <c r="P186" s="131"/>
      <c r="Q186" s="131"/>
      <c r="R186" s="131"/>
      <c r="S186" s="131"/>
      <c r="T186" s="131"/>
      <c r="U186" s="131"/>
      <c r="V186" s="131"/>
      <c r="W186" s="131"/>
      <c r="X186" s="131"/>
    </row>
    <row r="187" spans="1:24" ht="13.5" customHeight="1">
      <c r="A187" s="132"/>
      <c r="B187" s="131"/>
      <c r="C187" s="131"/>
      <c r="D187" s="132"/>
      <c r="E187" s="132"/>
      <c r="F187" s="132"/>
      <c r="G187" s="132"/>
      <c r="H187" s="132"/>
      <c r="I187" s="131"/>
      <c r="J187" s="131"/>
      <c r="K187" s="131"/>
      <c r="L187" s="131"/>
      <c r="M187" s="131"/>
      <c r="N187" s="131"/>
      <c r="O187" s="131"/>
      <c r="P187" s="131"/>
      <c r="Q187" s="131"/>
      <c r="R187" s="131"/>
      <c r="S187" s="131"/>
      <c r="T187" s="131"/>
      <c r="U187" s="131"/>
      <c r="V187" s="131"/>
      <c r="W187" s="131"/>
      <c r="X187" s="131"/>
    </row>
    <row r="188" spans="1:24" ht="13.5" customHeight="1">
      <c r="A188" s="132"/>
      <c r="B188" s="131"/>
      <c r="C188" s="131"/>
      <c r="D188" s="132"/>
      <c r="E188" s="132"/>
      <c r="F188" s="132"/>
      <c r="G188" s="132"/>
      <c r="H188" s="132"/>
      <c r="I188" s="131"/>
      <c r="J188" s="131"/>
      <c r="K188" s="131"/>
      <c r="L188" s="131"/>
      <c r="M188" s="131"/>
      <c r="N188" s="131"/>
      <c r="O188" s="131"/>
      <c r="P188" s="131"/>
      <c r="Q188" s="131"/>
      <c r="R188" s="131"/>
      <c r="S188" s="131"/>
      <c r="T188" s="131"/>
      <c r="U188" s="131"/>
      <c r="V188" s="131"/>
      <c r="W188" s="131"/>
      <c r="X188" s="131"/>
    </row>
    <row r="189" spans="1:24" ht="13.5" customHeight="1">
      <c r="A189" s="132"/>
      <c r="B189" s="131"/>
      <c r="C189" s="131"/>
      <c r="D189" s="132"/>
      <c r="E189" s="132"/>
      <c r="F189" s="132"/>
      <c r="G189" s="132"/>
      <c r="H189" s="132"/>
      <c r="I189" s="131"/>
      <c r="J189" s="131"/>
      <c r="K189" s="131"/>
      <c r="L189" s="131"/>
      <c r="M189" s="131"/>
      <c r="N189" s="131"/>
      <c r="O189" s="131"/>
      <c r="P189" s="131"/>
      <c r="Q189" s="131"/>
      <c r="R189" s="131"/>
      <c r="S189" s="131"/>
      <c r="T189" s="131"/>
      <c r="U189" s="131"/>
      <c r="V189" s="131"/>
      <c r="W189" s="131"/>
      <c r="X189" s="131"/>
    </row>
    <row r="190" spans="1:24" ht="13.5" customHeight="1">
      <c r="A190" s="132"/>
      <c r="B190" s="131"/>
      <c r="C190" s="131"/>
      <c r="D190" s="132"/>
      <c r="E190" s="132"/>
      <c r="F190" s="132"/>
      <c r="G190" s="132"/>
      <c r="H190" s="132"/>
      <c r="I190" s="131"/>
      <c r="J190" s="131"/>
      <c r="K190" s="131"/>
      <c r="L190" s="131"/>
      <c r="M190" s="131"/>
      <c r="N190" s="131"/>
      <c r="O190" s="131"/>
      <c r="P190" s="131"/>
      <c r="Q190" s="131"/>
      <c r="R190" s="131"/>
      <c r="S190" s="131"/>
      <c r="T190" s="131"/>
      <c r="U190" s="131"/>
      <c r="V190" s="131"/>
      <c r="W190" s="131"/>
      <c r="X190" s="131"/>
    </row>
    <row r="191" spans="1:24" ht="13.5" customHeight="1">
      <c r="A191" s="132"/>
      <c r="B191" s="131"/>
      <c r="C191" s="131"/>
      <c r="D191" s="132"/>
      <c r="E191" s="132"/>
      <c r="F191" s="132"/>
      <c r="G191" s="132"/>
      <c r="H191" s="132"/>
      <c r="I191" s="131"/>
      <c r="J191" s="131"/>
      <c r="K191" s="131"/>
      <c r="L191" s="131"/>
      <c r="M191" s="131"/>
      <c r="N191" s="131"/>
      <c r="O191" s="131"/>
      <c r="P191" s="131"/>
      <c r="Q191" s="131"/>
      <c r="R191" s="131"/>
      <c r="S191" s="131"/>
      <c r="T191" s="131"/>
      <c r="U191" s="131"/>
      <c r="V191" s="131"/>
      <c r="W191" s="131"/>
      <c r="X191" s="131"/>
    </row>
    <row r="192" spans="1:24" ht="13.5" customHeight="1">
      <c r="A192" s="132"/>
      <c r="B192" s="131"/>
      <c r="C192" s="131"/>
      <c r="D192" s="132"/>
      <c r="E192" s="132"/>
      <c r="F192" s="132"/>
      <c r="G192" s="132"/>
      <c r="H192" s="132"/>
      <c r="I192" s="131"/>
      <c r="J192" s="131"/>
      <c r="K192" s="131"/>
      <c r="L192" s="131"/>
      <c r="M192" s="131"/>
      <c r="N192" s="131"/>
      <c r="O192" s="131"/>
      <c r="P192" s="131"/>
      <c r="Q192" s="131"/>
      <c r="R192" s="131"/>
      <c r="S192" s="131"/>
      <c r="T192" s="131"/>
      <c r="U192" s="131"/>
      <c r="V192" s="131"/>
      <c r="W192" s="131"/>
      <c r="X192" s="131"/>
    </row>
    <row r="193" spans="1:24" ht="13.5" customHeight="1">
      <c r="A193" s="132"/>
      <c r="B193" s="131"/>
      <c r="C193" s="131"/>
      <c r="D193" s="132"/>
      <c r="E193" s="132"/>
      <c r="F193" s="132"/>
      <c r="G193" s="132"/>
      <c r="H193" s="132"/>
      <c r="I193" s="131"/>
      <c r="J193" s="131"/>
      <c r="K193" s="131"/>
      <c r="L193" s="131"/>
      <c r="M193" s="131"/>
      <c r="N193" s="131"/>
      <c r="O193" s="131"/>
      <c r="P193" s="131"/>
      <c r="Q193" s="131"/>
      <c r="R193" s="131"/>
      <c r="S193" s="131"/>
      <c r="T193" s="131"/>
      <c r="U193" s="131"/>
      <c r="V193" s="131"/>
      <c r="W193" s="131"/>
      <c r="X193" s="131"/>
    </row>
    <row r="194" spans="1:24" ht="13.5" customHeight="1">
      <c r="A194" s="132"/>
      <c r="B194" s="131"/>
      <c r="C194" s="131"/>
      <c r="D194" s="132"/>
      <c r="E194" s="132"/>
      <c r="F194" s="132"/>
      <c r="G194" s="132"/>
      <c r="H194" s="132"/>
      <c r="I194" s="131"/>
      <c r="J194" s="131"/>
      <c r="K194" s="131"/>
      <c r="L194" s="131"/>
      <c r="M194" s="131"/>
      <c r="N194" s="131"/>
      <c r="O194" s="131"/>
      <c r="P194" s="131"/>
      <c r="Q194" s="131"/>
      <c r="R194" s="131"/>
      <c r="S194" s="131"/>
      <c r="T194" s="131"/>
      <c r="U194" s="131"/>
      <c r="V194" s="131"/>
      <c r="W194" s="131"/>
      <c r="X194" s="131"/>
    </row>
    <row r="195" spans="1:24" ht="13.5" customHeight="1">
      <c r="A195" s="132"/>
      <c r="B195" s="131"/>
      <c r="C195" s="131"/>
      <c r="D195" s="132"/>
      <c r="E195" s="132"/>
      <c r="F195" s="132"/>
      <c r="G195" s="132"/>
      <c r="H195" s="132"/>
      <c r="I195" s="131"/>
      <c r="J195" s="131"/>
      <c r="K195" s="131"/>
      <c r="L195" s="131"/>
      <c r="M195" s="131"/>
      <c r="N195" s="131"/>
      <c r="O195" s="131"/>
      <c r="P195" s="131"/>
      <c r="Q195" s="131"/>
      <c r="R195" s="131"/>
      <c r="S195" s="131"/>
      <c r="T195" s="131"/>
      <c r="U195" s="131"/>
      <c r="V195" s="131"/>
      <c r="W195" s="131"/>
      <c r="X195" s="131"/>
    </row>
    <row r="196" spans="1:24" ht="13.5" customHeight="1">
      <c r="A196" s="132"/>
      <c r="B196" s="131"/>
      <c r="C196" s="131"/>
      <c r="D196" s="132"/>
      <c r="E196" s="132"/>
      <c r="F196" s="132"/>
      <c r="G196" s="132"/>
      <c r="H196" s="132"/>
      <c r="I196" s="131"/>
      <c r="J196" s="131"/>
      <c r="K196" s="131"/>
      <c r="L196" s="131"/>
      <c r="M196" s="131"/>
      <c r="N196" s="131"/>
      <c r="O196" s="131"/>
      <c r="P196" s="131"/>
      <c r="Q196" s="131"/>
      <c r="R196" s="131"/>
      <c r="S196" s="131"/>
      <c r="T196" s="131"/>
      <c r="U196" s="131"/>
      <c r="V196" s="131"/>
      <c r="W196" s="131"/>
      <c r="X196" s="131"/>
    </row>
    <row r="197" spans="1:24" ht="13.5" customHeight="1">
      <c r="A197" s="132"/>
      <c r="B197" s="131"/>
      <c r="C197" s="131"/>
      <c r="D197" s="132"/>
      <c r="E197" s="132"/>
      <c r="F197" s="132"/>
      <c r="G197" s="132"/>
      <c r="H197" s="132"/>
      <c r="I197" s="131"/>
      <c r="J197" s="131"/>
      <c r="K197" s="131"/>
      <c r="L197" s="131"/>
      <c r="M197" s="131"/>
      <c r="N197" s="131"/>
      <c r="O197" s="131"/>
      <c r="P197" s="131"/>
      <c r="Q197" s="131"/>
      <c r="R197" s="131"/>
      <c r="S197" s="131"/>
      <c r="T197" s="131"/>
      <c r="U197" s="131"/>
      <c r="V197" s="131"/>
      <c r="W197" s="131"/>
      <c r="X197" s="131"/>
    </row>
    <row r="198" spans="1:24" ht="13.5" customHeight="1">
      <c r="A198" s="132"/>
      <c r="B198" s="131"/>
      <c r="C198" s="131"/>
      <c r="D198" s="132"/>
      <c r="E198" s="132"/>
      <c r="F198" s="132"/>
      <c r="G198" s="132"/>
      <c r="H198" s="132"/>
      <c r="I198" s="131"/>
      <c r="J198" s="131"/>
      <c r="K198" s="131"/>
      <c r="L198" s="131"/>
      <c r="M198" s="131"/>
      <c r="N198" s="131"/>
      <c r="O198" s="131"/>
      <c r="P198" s="131"/>
      <c r="Q198" s="131"/>
      <c r="R198" s="131"/>
      <c r="S198" s="131"/>
      <c r="T198" s="131"/>
      <c r="U198" s="131"/>
      <c r="V198" s="131"/>
      <c r="W198" s="131"/>
      <c r="X198" s="131"/>
    </row>
    <row r="199" spans="1:24" ht="13.5" customHeight="1">
      <c r="A199" s="132"/>
      <c r="B199" s="131"/>
      <c r="C199" s="131"/>
      <c r="D199" s="132"/>
      <c r="E199" s="132"/>
      <c r="F199" s="132"/>
      <c r="G199" s="132"/>
      <c r="H199" s="132"/>
      <c r="I199" s="131"/>
      <c r="J199" s="131"/>
      <c r="K199" s="131"/>
      <c r="L199" s="131"/>
      <c r="M199" s="131"/>
      <c r="N199" s="131"/>
      <c r="O199" s="131"/>
      <c r="P199" s="131"/>
      <c r="Q199" s="131"/>
      <c r="R199" s="131"/>
      <c r="S199" s="131"/>
      <c r="T199" s="131"/>
      <c r="U199" s="131"/>
      <c r="V199" s="131"/>
      <c r="W199" s="131"/>
      <c r="X199" s="131"/>
    </row>
    <row r="200" spans="1:24" ht="13.5" customHeight="1">
      <c r="A200" s="132"/>
      <c r="B200" s="131"/>
      <c r="C200" s="131"/>
      <c r="D200" s="132"/>
      <c r="E200" s="132"/>
      <c r="F200" s="132"/>
      <c r="G200" s="132"/>
      <c r="H200" s="132"/>
      <c r="I200" s="131"/>
      <c r="J200" s="131"/>
      <c r="K200" s="131"/>
      <c r="L200" s="131"/>
      <c r="M200" s="131"/>
      <c r="N200" s="131"/>
      <c r="O200" s="131"/>
      <c r="P200" s="131"/>
      <c r="Q200" s="131"/>
      <c r="R200" s="131"/>
      <c r="S200" s="131"/>
      <c r="T200" s="131"/>
      <c r="U200" s="131"/>
      <c r="V200" s="131"/>
      <c r="W200" s="131"/>
      <c r="X200" s="131"/>
    </row>
    <row r="201" spans="1:24" ht="13.5" customHeight="1">
      <c r="A201" s="132"/>
      <c r="B201" s="131"/>
      <c r="C201" s="131"/>
      <c r="D201" s="132"/>
      <c r="E201" s="132"/>
      <c r="F201" s="132"/>
      <c r="G201" s="132"/>
      <c r="H201" s="132"/>
      <c r="I201" s="131"/>
      <c r="J201" s="131"/>
      <c r="K201" s="131"/>
      <c r="L201" s="131"/>
      <c r="M201" s="131"/>
      <c r="N201" s="131"/>
      <c r="O201" s="131"/>
      <c r="P201" s="131"/>
      <c r="Q201" s="131"/>
      <c r="R201" s="131"/>
      <c r="S201" s="131"/>
      <c r="T201" s="131"/>
      <c r="U201" s="131"/>
      <c r="V201" s="131"/>
      <c r="W201" s="131"/>
      <c r="X201" s="131"/>
    </row>
    <row r="202" spans="1:24" ht="13.5" customHeight="1">
      <c r="A202" s="132"/>
      <c r="B202" s="131"/>
      <c r="C202" s="131"/>
      <c r="D202" s="132"/>
      <c r="E202" s="132"/>
      <c r="F202" s="132"/>
      <c r="G202" s="132"/>
      <c r="H202" s="132"/>
      <c r="I202" s="131"/>
      <c r="J202" s="131"/>
      <c r="K202" s="131"/>
      <c r="L202" s="131"/>
      <c r="M202" s="131"/>
      <c r="N202" s="131"/>
      <c r="O202" s="131"/>
      <c r="P202" s="131"/>
      <c r="Q202" s="131"/>
      <c r="R202" s="131"/>
      <c r="S202" s="131"/>
      <c r="T202" s="131"/>
      <c r="U202" s="131"/>
      <c r="V202" s="131"/>
      <c r="W202" s="131"/>
      <c r="X202" s="131"/>
    </row>
    <row r="203" spans="1:24" ht="13.5" customHeight="1">
      <c r="A203" s="132"/>
      <c r="B203" s="131"/>
      <c r="C203" s="131"/>
      <c r="D203" s="132"/>
      <c r="E203" s="132"/>
      <c r="F203" s="132"/>
      <c r="G203" s="132"/>
      <c r="H203" s="132"/>
      <c r="I203" s="131"/>
      <c r="J203" s="131"/>
      <c r="K203" s="131"/>
      <c r="L203" s="131"/>
      <c r="M203" s="131"/>
      <c r="N203" s="131"/>
      <c r="O203" s="131"/>
      <c r="P203" s="131"/>
      <c r="Q203" s="131"/>
      <c r="R203" s="131"/>
      <c r="S203" s="131"/>
      <c r="T203" s="131"/>
      <c r="U203" s="131"/>
      <c r="V203" s="131"/>
      <c r="W203" s="131"/>
      <c r="X203" s="131"/>
    </row>
    <row r="204" spans="1:24" ht="13.5" customHeight="1">
      <c r="A204" s="132"/>
      <c r="B204" s="131"/>
      <c r="C204" s="131"/>
      <c r="D204" s="132"/>
      <c r="E204" s="132"/>
      <c r="F204" s="132"/>
      <c r="G204" s="132"/>
      <c r="H204" s="132"/>
      <c r="I204" s="131"/>
      <c r="J204" s="131"/>
      <c r="K204" s="131"/>
      <c r="L204" s="131"/>
      <c r="M204" s="131"/>
      <c r="N204" s="131"/>
      <c r="O204" s="131"/>
      <c r="P204" s="131"/>
      <c r="Q204" s="131"/>
      <c r="R204" s="131"/>
      <c r="S204" s="131"/>
      <c r="T204" s="131"/>
      <c r="U204" s="131"/>
      <c r="V204" s="131"/>
      <c r="W204" s="131"/>
      <c r="X204" s="131"/>
    </row>
    <row r="205" spans="1:24" ht="13.5" customHeight="1">
      <c r="A205" s="132"/>
      <c r="B205" s="131"/>
      <c r="C205" s="131"/>
      <c r="D205" s="132"/>
      <c r="E205" s="132"/>
      <c r="F205" s="132"/>
      <c r="G205" s="132"/>
      <c r="H205" s="132"/>
      <c r="I205" s="131"/>
      <c r="J205" s="131"/>
      <c r="K205" s="131"/>
      <c r="L205" s="131"/>
      <c r="M205" s="131"/>
      <c r="N205" s="131"/>
      <c r="O205" s="131"/>
      <c r="P205" s="131"/>
      <c r="Q205" s="131"/>
      <c r="R205" s="131"/>
      <c r="S205" s="131"/>
      <c r="T205" s="131"/>
      <c r="U205" s="131"/>
      <c r="V205" s="131"/>
      <c r="W205" s="131"/>
      <c r="X205" s="131"/>
    </row>
    <row r="206" spans="1:24" ht="13.5" customHeight="1">
      <c r="A206" s="132"/>
      <c r="B206" s="131"/>
      <c r="C206" s="131"/>
      <c r="D206" s="132"/>
      <c r="E206" s="132"/>
      <c r="F206" s="132"/>
      <c r="G206" s="132"/>
      <c r="H206" s="132"/>
      <c r="I206" s="131"/>
      <c r="J206" s="131"/>
      <c r="K206" s="131"/>
      <c r="L206" s="131"/>
      <c r="M206" s="131"/>
      <c r="N206" s="131"/>
      <c r="O206" s="131"/>
      <c r="P206" s="131"/>
      <c r="Q206" s="131"/>
      <c r="R206" s="131"/>
      <c r="S206" s="131"/>
      <c r="T206" s="131"/>
      <c r="U206" s="131"/>
      <c r="V206" s="131"/>
      <c r="W206" s="131"/>
      <c r="X206" s="131"/>
    </row>
    <row r="207" spans="1:24" ht="13.5" customHeight="1">
      <c r="A207" s="132"/>
      <c r="B207" s="131"/>
      <c r="C207" s="131"/>
      <c r="D207" s="132"/>
      <c r="E207" s="132"/>
      <c r="F207" s="132"/>
      <c r="G207" s="132"/>
      <c r="H207" s="132"/>
      <c r="I207" s="131"/>
      <c r="J207" s="131"/>
      <c r="K207" s="131"/>
      <c r="L207" s="131"/>
      <c r="M207" s="131"/>
      <c r="N207" s="131"/>
      <c r="O207" s="131"/>
      <c r="P207" s="131"/>
      <c r="Q207" s="131"/>
      <c r="R207" s="131"/>
      <c r="S207" s="131"/>
      <c r="T207" s="131"/>
      <c r="U207" s="131"/>
      <c r="V207" s="131"/>
      <c r="W207" s="131"/>
      <c r="X207" s="131"/>
    </row>
    <row r="208" spans="1:24" ht="13.5" customHeight="1">
      <c r="A208" s="132"/>
      <c r="B208" s="131"/>
      <c r="C208" s="131"/>
      <c r="D208" s="132"/>
      <c r="E208" s="132"/>
      <c r="F208" s="132"/>
      <c r="G208" s="132"/>
      <c r="H208" s="132"/>
      <c r="I208" s="131"/>
      <c r="J208" s="131"/>
      <c r="K208" s="131"/>
      <c r="L208" s="131"/>
      <c r="M208" s="131"/>
      <c r="N208" s="131"/>
      <c r="O208" s="131"/>
      <c r="P208" s="131"/>
      <c r="Q208" s="131"/>
      <c r="R208" s="131"/>
      <c r="S208" s="131"/>
      <c r="T208" s="131"/>
      <c r="U208" s="131"/>
      <c r="V208" s="131"/>
      <c r="W208" s="131"/>
      <c r="X208" s="131"/>
    </row>
    <row r="209" spans="1:24" ht="13.5" customHeight="1">
      <c r="A209" s="132"/>
      <c r="B209" s="131"/>
      <c r="C209" s="131"/>
      <c r="D209" s="132"/>
      <c r="E209" s="132"/>
      <c r="F209" s="132"/>
      <c r="G209" s="132"/>
      <c r="H209" s="132"/>
      <c r="I209" s="131"/>
      <c r="J209" s="131"/>
      <c r="K209" s="131"/>
      <c r="L209" s="131"/>
      <c r="M209" s="131"/>
      <c r="N209" s="131"/>
      <c r="O209" s="131"/>
      <c r="P209" s="131"/>
      <c r="Q209" s="131"/>
      <c r="R209" s="131"/>
      <c r="S209" s="131"/>
      <c r="T209" s="131"/>
      <c r="U209" s="131"/>
      <c r="V209" s="131"/>
      <c r="W209" s="131"/>
      <c r="X209" s="131"/>
    </row>
    <row r="210" spans="1:24" ht="13.5" customHeight="1">
      <c r="A210" s="132"/>
      <c r="B210" s="131"/>
      <c r="C210" s="131"/>
      <c r="D210" s="132"/>
      <c r="E210" s="132"/>
      <c r="F210" s="132"/>
      <c r="G210" s="132"/>
      <c r="H210" s="132"/>
      <c r="I210" s="131"/>
      <c r="J210" s="131"/>
      <c r="K210" s="131"/>
      <c r="L210" s="131"/>
      <c r="M210" s="131"/>
      <c r="N210" s="131"/>
      <c r="O210" s="131"/>
      <c r="P210" s="131"/>
      <c r="Q210" s="131"/>
      <c r="R210" s="131"/>
      <c r="S210" s="131"/>
      <c r="T210" s="131"/>
      <c r="U210" s="131"/>
      <c r="V210" s="131"/>
      <c r="W210" s="131"/>
      <c r="X210" s="131"/>
    </row>
    <row r="211" spans="1:24" ht="13.5" customHeight="1">
      <c r="A211" s="132"/>
      <c r="B211" s="131"/>
      <c r="C211" s="131"/>
      <c r="D211" s="132"/>
      <c r="E211" s="132"/>
      <c r="F211" s="132"/>
      <c r="G211" s="132"/>
      <c r="H211" s="132"/>
      <c r="I211" s="131"/>
      <c r="J211" s="131"/>
      <c r="K211" s="131"/>
      <c r="L211" s="131"/>
      <c r="M211" s="131"/>
      <c r="N211" s="131"/>
      <c r="O211" s="131"/>
      <c r="P211" s="131"/>
      <c r="Q211" s="131"/>
      <c r="R211" s="131"/>
      <c r="S211" s="131"/>
      <c r="T211" s="131"/>
      <c r="U211" s="131"/>
      <c r="V211" s="131"/>
      <c r="W211" s="131"/>
      <c r="X211" s="131"/>
    </row>
    <row r="212" spans="1:24" ht="13.5" customHeight="1">
      <c r="A212" s="132"/>
      <c r="B212" s="131"/>
      <c r="C212" s="131"/>
      <c r="D212" s="132"/>
      <c r="E212" s="132"/>
      <c r="F212" s="132"/>
      <c r="G212" s="132"/>
      <c r="H212" s="132"/>
      <c r="I212" s="131"/>
      <c r="J212" s="131"/>
      <c r="K212" s="131"/>
      <c r="L212" s="131"/>
      <c r="M212" s="131"/>
      <c r="N212" s="131"/>
      <c r="O212" s="131"/>
      <c r="P212" s="131"/>
      <c r="Q212" s="131"/>
      <c r="R212" s="131"/>
      <c r="S212" s="131"/>
      <c r="T212" s="131"/>
      <c r="U212" s="131"/>
      <c r="V212" s="131"/>
      <c r="W212" s="131"/>
      <c r="X212" s="131"/>
    </row>
    <row r="213" spans="1:24" ht="13.5" customHeight="1">
      <c r="A213" s="132"/>
      <c r="B213" s="131"/>
      <c r="C213" s="131"/>
      <c r="D213" s="132"/>
      <c r="E213" s="132"/>
      <c r="F213" s="132"/>
      <c r="G213" s="132"/>
      <c r="H213" s="132"/>
      <c r="I213" s="131"/>
      <c r="J213" s="131"/>
      <c r="K213" s="131"/>
      <c r="L213" s="131"/>
      <c r="M213" s="131"/>
      <c r="N213" s="131"/>
      <c r="O213" s="131"/>
      <c r="P213" s="131"/>
      <c r="Q213" s="131"/>
      <c r="R213" s="131"/>
      <c r="S213" s="131"/>
      <c r="T213" s="131"/>
      <c r="U213" s="131"/>
      <c r="V213" s="131"/>
      <c r="W213" s="131"/>
      <c r="X213" s="131"/>
    </row>
    <row r="214" spans="1:24" ht="13.5" customHeight="1">
      <c r="A214" s="132"/>
      <c r="B214" s="131"/>
      <c r="C214" s="131"/>
      <c r="D214" s="132"/>
      <c r="E214" s="132"/>
      <c r="F214" s="132"/>
      <c r="G214" s="132"/>
      <c r="H214" s="132"/>
      <c r="I214" s="131"/>
      <c r="J214" s="131"/>
      <c r="K214" s="131"/>
      <c r="L214" s="131"/>
      <c r="M214" s="131"/>
      <c r="N214" s="131"/>
      <c r="O214" s="131"/>
      <c r="P214" s="131"/>
      <c r="Q214" s="131"/>
      <c r="R214" s="131"/>
      <c r="S214" s="131"/>
      <c r="T214" s="131"/>
      <c r="U214" s="131"/>
      <c r="V214" s="131"/>
      <c r="W214" s="131"/>
      <c r="X214" s="131"/>
    </row>
    <row r="215" spans="1:24" ht="13.5" customHeight="1">
      <c r="A215" s="132"/>
      <c r="B215" s="131"/>
      <c r="C215" s="131"/>
      <c r="D215" s="132"/>
      <c r="E215" s="132"/>
      <c r="F215" s="132"/>
      <c r="G215" s="132"/>
      <c r="H215" s="132"/>
      <c r="I215" s="131"/>
      <c r="J215" s="131"/>
      <c r="K215" s="131"/>
      <c r="L215" s="131"/>
      <c r="M215" s="131"/>
      <c r="N215" s="131"/>
      <c r="O215" s="131"/>
      <c r="P215" s="131"/>
      <c r="Q215" s="131"/>
      <c r="R215" s="131"/>
      <c r="S215" s="131"/>
      <c r="T215" s="131"/>
      <c r="U215" s="131"/>
      <c r="V215" s="131"/>
      <c r="W215" s="131"/>
      <c r="X215" s="131"/>
    </row>
    <row r="216" spans="1:24" ht="13.5" customHeight="1">
      <c r="A216" s="132"/>
      <c r="B216" s="131"/>
      <c r="C216" s="131"/>
      <c r="D216" s="132"/>
      <c r="E216" s="132"/>
      <c r="F216" s="132"/>
      <c r="G216" s="132"/>
      <c r="H216" s="132"/>
      <c r="I216" s="131"/>
      <c r="J216" s="131"/>
      <c r="K216" s="131"/>
      <c r="L216" s="131"/>
      <c r="M216" s="131"/>
      <c r="N216" s="131"/>
      <c r="O216" s="131"/>
      <c r="P216" s="131"/>
      <c r="Q216" s="131"/>
      <c r="R216" s="131"/>
      <c r="S216" s="131"/>
      <c r="T216" s="131"/>
      <c r="U216" s="131"/>
      <c r="V216" s="131"/>
      <c r="W216" s="131"/>
      <c r="X216" s="131"/>
    </row>
    <row r="217" spans="1:24" ht="13.5" customHeight="1">
      <c r="A217" s="132"/>
      <c r="B217" s="131"/>
      <c r="C217" s="131"/>
      <c r="D217" s="132"/>
      <c r="E217" s="132"/>
      <c r="F217" s="132"/>
      <c r="G217" s="132"/>
      <c r="H217" s="132"/>
      <c r="I217" s="131"/>
      <c r="J217" s="131"/>
      <c r="K217" s="131"/>
      <c r="L217" s="131"/>
      <c r="M217" s="131"/>
      <c r="N217" s="131"/>
      <c r="O217" s="131"/>
      <c r="P217" s="131"/>
      <c r="Q217" s="131"/>
      <c r="R217" s="131"/>
      <c r="S217" s="131"/>
      <c r="T217" s="131"/>
      <c r="U217" s="131"/>
      <c r="V217" s="131"/>
      <c r="W217" s="131"/>
      <c r="X217" s="131"/>
    </row>
    <row r="218" spans="1:24" ht="13.5" customHeight="1">
      <c r="A218" s="132"/>
      <c r="B218" s="131"/>
      <c r="C218" s="131"/>
      <c r="D218" s="132"/>
      <c r="E218" s="132"/>
      <c r="F218" s="132"/>
      <c r="G218" s="132"/>
      <c r="H218" s="132"/>
      <c r="I218" s="131"/>
      <c r="J218" s="131"/>
      <c r="K218" s="131"/>
      <c r="L218" s="131"/>
      <c r="M218" s="131"/>
      <c r="N218" s="131"/>
      <c r="O218" s="131"/>
      <c r="P218" s="131"/>
      <c r="Q218" s="131"/>
      <c r="R218" s="131"/>
      <c r="S218" s="131"/>
      <c r="T218" s="131"/>
      <c r="U218" s="131"/>
      <c r="V218" s="131"/>
      <c r="W218" s="131"/>
      <c r="X218" s="131"/>
    </row>
    <row r="219" spans="1:24" ht="13.5" customHeight="1">
      <c r="A219" s="132"/>
      <c r="B219" s="131"/>
      <c r="C219" s="131"/>
      <c r="D219" s="132"/>
      <c r="E219" s="132"/>
      <c r="F219" s="132"/>
      <c r="G219" s="132"/>
      <c r="H219" s="132"/>
      <c r="I219" s="131"/>
      <c r="J219" s="131"/>
      <c r="K219" s="131"/>
      <c r="L219" s="131"/>
      <c r="M219" s="131"/>
      <c r="N219" s="131"/>
      <c r="O219" s="131"/>
      <c r="P219" s="131"/>
      <c r="Q219" s="131"/>
      <c r="R219" s="131"/>
      <c r="S219" s="131"/>
      <c r="T219" s="131"/>
      <c r="U219" s="131"/>
      <c r="V219" s="131"/>
      <c r="W219" s="131"/>
      <c r="X219" s="131"/>
    </row>
    <row r="220" spans="1:24" ht="13.5" customHeight="1">
      <c r="A220" s="132"/>
      <c r="B220" s="131"/>
      <c r="C220" s="131"/>
      <c r="D220" s="132"/>
      <c r="E220" s="132"/>
      <c r="F220" s="132"/>
      <c r="G220" s="132"/>
      <c r="H220" s="132"/>
      <c r="I220" s="131"/>
      <c r="J220" s="131"/>
      <c r="K220" s="131"/>
      <c r="L220" s="131"/>
      <c r="M220" s="131"/>
      <c r="N220" s="131"/>
      <c r="O220" s="131"/>
      <c r="P220" s="131"/>
      <c r="Q220" s="131"/>
      <c r="R220" s="131"/>
      <c r="S220" s="131"/>
      <c r="T220" s="131"/>
      <c r="U220" s="131"/>
      <c r="V220" s="131"/>
      <c r="W220" s="131"/>
      <c r="X220" s="131"/>
    </row>
    <row r="221" spans="1:24" ht="13.5" customHeight="1">
      <c r="A221" s="132"/>
      <c r="B221" s="131"/>
      <c r="C221" s="131"/>
      <c r="D221" s="132"/>
      <c r="E221" s="132"/>
      <c r="F221" s="132"/>
      <c r="G221" s="132"/>
      <c r="H221" s="132"/>
      <c r="I221" s="131"/>
      <c r="J221" s="131"/>
      <c r="K221" s="131"/>
      <c r="L221" s="131"/>
      <c r="M221" s="131"/>
      <c r="N221" s="131"/>
      <c r="O221" s="131"/>
      <c r="P221" s="131"/>
      <c r="Q221" s="131"/>
      <c r="R221" s="131"/>
      <c r="S221" s="131"/>
      <c r="T221" s="131"/>
      <c r="U221" s="131"/>
      <c r="V221" s="131"/>
      <c r="W221" s="131"/>
      <c r="X221" s="131"/>
    </row>
    <row r="222" spans="1:24" ht="13.5" customHeight="1">
      <c r="A222" s="132"/>
      <c r="B222" s="131"/>
      <c r="C222" s="131"/>
      <c r="D222" s="132"/>
      <c r="E222" s="132"/>
      <c r="F222" s="132"/>
      <c r="G222" s="132"/>
      <c r="H222" s="132"/>
      <c r="I222" s="131"/>
      <c r="J222" s="131"/>
      <c r="K222" s="131"/>
      <c r="L222" s="131"/>
      <c r="M222" s="131"/>
      <c r="N222" s="131"/>
      <c r="O222" s="131"/>
      <c r="P222" s="131"/>
      <c r="Q222" s="131"/>
      <c r="R222" s="131"/>
      <c r="S222" s="131"/>
      <c r="T222" s="131"/>
      <c r="U222" s="131"/>
      <c r="V222" s="131"/>
      <c r="W222" s="131"/>
      <c r="X222" s="131"/>
    </row>
    <row r="223" spans="1:24" ht="13.5" customHeight="1">
      <c r="A223" s="132"/>
      <c r="B223" s="131"/>
      <c r="C223" s="131"/>
      <c r="D223" s="132"/>
      <c r="E223" s="132"/>
      <c r="F223" s="132"/>
      <c r="G223" s="132"/>
      <c r="H223" s="132"/>
      <c r="I223" s="131"/>
      <c r="J223" s="131"/>
      <c r="K223" s="131"/>
      <c r="L223" s="131"/>
      <c r="M223" s="131"/>
      <c r="N223" s="131"/>
      <c r="O223" s="131"/>
      <c r="P223" s="131"/>
      <c r="Q223" s="131"/>
      <c r="R223" s="131"/>
      <c r="S223" s="131"/>
      <c r="T223" s="131"/>
      <c r="U223" s="131"/>
      <c r="V223" s="131"/>
      <c r="W223" s="131"/>
      <c r="X223" s="131"/>
    </row>
    <row r="224" spans="1:24" ht="13.5" customHeight="1">
      <c r="A224" s="132"/>
      <c r="B224" s="131"/>
      <c r="C224" s="131"/>
      <c r="D224" s="132"/>
      <c r="E224" s="132"/>
      <c r="F224" s="132"/>
      <c r="G224" s="132"/>
      <c r="H224" s="132"/>
      <c r="I224" s="131"/>
      <c r="J224" s="131"/>
      <c r="K224" s="131"/>
      <c r="L224" s="131"/>
      <c r="M224" s="131"/>
      <c r="N224" s="131"/>
      <c r="O224" s="131"/>
      <c r="P224" s="131"/>
      <c r="Q224" s="131"/>
      <c r="R224" s="131"/>
      <c r="S224" s="131"/>
      <c r="T224" s="131"/>
      <c r="U224" s="131"/>
      <c r="V224" s="131"/>
      <c r="W224" s="131"/>
      <c r="X224" s="131"/>
    </row>
    <row r="225" spans="1:24" ht="13.5" customHeight="1">
      <c r="A225" s="132"/>
      <c r="B225" s="131"/>
      <c r="C225" s="131"/>
      <c r="D225" s="132"/>
      <c r="E225" s="132"/>
      <c r="F225" s="132"/>
      <c r="G225" s="132"/>
      <c r="H225" s="132"/>
      <c r="I225" s="131"/>
      <c r="J225" s="131"/>
      <c r="K225" s="131"/>
      <c r="L225" s="131"/>
      <c r="M225" s="131"/>
      <c r="N225" s="131"/>
      <c r="O225" s="131"/>
      <c r="P225" s="131"/>
      <c r="Q225" s="131"/>
      <c r="R225" s="131"/>
      <c r="S225" s="131"/>
      <c r="T225" s="131"/>
      <c r="U225" s="131"/>
      <c r="V225" s="131"/>
      <c r="W225" s="131"/>
      <c r="X225" s="131"/>
    </row>
    <row r="226" spans="1:24" ht="13.5" customHeight="1">
      <c r="A226" s="132"/>
      <c r="B226" s="131"/>
      <c r="C226" s="131"/>
      <c r="D226" s="132"/>
      <c r="E226" s="132"/>
      <c r="F226" s="132"/>
      <c r="G226" s="132"/>
      <c r="H226" s="132"/>
      <c r="I226" s="131"/>
      <c r="J226" s="131"/>
      <c r="K226" s="131"/>
      <c r="L226" s="131"/>
      <c r="M226" s="131"/>
      <c r="N226" s="131"/>
      <c r="O226" s="131"/>
      <c r="P226" s="131"/>
      <c r="Q226" s="131"/>
      <c r="R226" s="131"/>
      <c r="S226" s="131"/>
      <c r="T226" s="131"/>
      <c r="U226" s="131"/>
      <c r="V226" s="131"/>
      <c r="W226" s="131"/>
      <c r="X226" s="131"/>
    </row>
    <row r="227" spans="1:24" ht="13.5" customHeight="1">
      <c r="A227" s="132"/>
      <c r="B227" s="131"/>
      <c r="C227" s="131"/>
      <c r="D227" s="132"/>
      <c r="E227" s="132"/>
      <c r="F227" s="132"/>
      <c r="G227" s="132"/>
      <c r="H227" s="132"/>
      <c r="I227" s="131"/>
      <c r="J227" s="131"/>
      <c r="K227" s="131"/>
      <c r="L227" s="131"/>
      <c r="M227" s="131"/>
      <c r="N227" s="131"/>
      <c r="O227" s="131"/>
      <c r="P227" s="131"/>
      <c r="Q227" s="131"/>
      <c r="R227" s="131"/>
      <c r="S227" s="131"/>
      <c r="T227" s="131"/>
      <c r="U227" s="131"/>
      <c r="V227" s="131"/>
      <c r="W227" s="131"/>
      <c r="X227" s="131"/>
    </row>
    <row r="228" spans="1:24" ht="13.5" customHeight="1">
      <c r="A228" s="132"/>
      <c r="B228" s="131"/>
      <c r="C228" s="131"/>
      <c r="D228" s="132"/>
      <c r="E228" s="132"/>
      <c r="F228" s="132"/>
      <c r="G228" s="132"/>
      <c r="H228" s="132"/>
      <c r="I228" s="131"/>
      <c r="J228" s="131"/>
      <c r="K228" s="131"/>
      <c r="L228" s="131"/>
      <c r="M228" s="131"/>
      <c r="N228" s="131"/>
      <c r="O228" s="131"/>
      <c r="P228" s="131"/>
      <c r="Q228" s="131"/>
      <c r="R228" s="131"/>
      <c r="S228" s="131"/>
      <c r="T228" s="131"/>
      <c r="U228" s="131"/>
      <c r="V228" s="131"/>
      <c r="W228" s="131"/>
      <c r="X228" s="131"/>
    </row>
    <row r="229" spans="1:24" ht="13.5" customHeight="1">
      <c r="A229" s="132"/>
      <c r="B229" s="131"/>
      <c r="C229" s="131"/>
      <c r="D229" s="132"/>
      <c r="E229" s="132"/>
      <c r="F229" s="132"/>
      <c r="G229" s="132"/>
      <c r="H229" s="132"/>
      <c r="I229" s="131"/>
      <c r="J229" s="131"/>
      <c r="K229" s="131"/>
      <c r="L229" s="131"/>
      <c r="M229" s="131"/>
      <c r="N229" s="131"/>
      <c r="O229" s="131"/>
      <c r="P229" s="131"/>
      <c r="Q229" s="131"/>
      <c r="R229" s="131"/>
      <c r="S229" s="131"/>
      <c r="T229" s="131"/>
      <c r="U229" s="131"/>
      <c r="V229" s="131"/>
      <c r="W229" s="131"/>
      <c r="X229" s="131"/>
    </row>
    <row r="230" spans="1:24" ht="13.5" customHeight="1">
      <c r="A230" s="132"/>
      <c r="B230" s="131"/>
      <c r="C230" s="131"/>
      <c r="D230" s="132"/>
      <c r="E230" s="132"/>
      <c r="F230" s="132"/>
      <c r="G230" s="132"/>
      <c r="H230" s="132"/>
      <c r="I230" s="131"/>
      <c r="J230" s="131"/>
      <c r="K230" s="131"/>
      <c r="L230" s="131"/>
      <c r="M230" s="131"/>
      <c r="N230" s="131"/>
      <c r="O230" s="131"/>
      <c r="P230" s="131"/>
      <c r="Q230" s="131"/>
      <c r="R230" s="131"/>
      <c r="S230" s="131"/>
      <c r="T230" s="131"/>
      <c r="U230" s="131"/>
      <c r="V230" s="131"/>
      <c r="W230" s="131"/>
      <c r="X230" s="131"/>
    </row>
    <row r="231" spans="1:24" ht="13.5" customHeight="1">
      <c r="A231" s="132"/>
      <c r="B231" s="131"/>
      <c r="C231" s="131"/>
      <c r="D231" s="132"/>
      <c r="E231" s="132"/>
      <c r="F231" s="132"/>
      <c r="G231" s="132"/>
      <c r="H231" s="132"/>
      <c r="I231" s="131"/>
      <c r="J231" s="131"/>
      <c r="K231" s="131"/>
      <c r="L231" s="131"/>
      <c r="M231" s="131"/>
      <c r="N231" s="131"/>
      <c r="O231" s="131"/>
      <c r="P231" s="131"/>
      <c r="Q231" s="131"/>
      <c r="R231" s="131"/>
      <c r="S231" s="131"/>
      <c r="T231" s="131"/>
      <c r="U231" s="131"/>
      <c r="V231" s="131"/>
      <c r="W231" s="131"/>
      <c r="X231" s="131"/>
    </row>
    <row r="232" spans="1:24" ht="13.5" customHeight="1">
      <c r="A232" s="132"/>
      <c r="B232" s="131"/>
      <c r="C232" s="131"/>
      <c r="D232" s="132"/>
      <c r="E232" s="132"/>
      <c r="F232" s="132"/>
      <c r="G232" s="132"/>
      <c r="H232" s="132"/>
      <c r="I232" s="131"/>
      <c r="J232" s="131"/>
      <c r="K232" s="131"/>
      <c r="L232" s="131"/>
      <c r="M232" s="131"/>
      <c r="N232" s="131"/>
      <c r="O232" s="131"/>
      <c r="P232" s="131"/>
      <c r="Q232" s="131"/>
      <c r="R232" s="131"/>
      <c r="S232" s="131"/>
      <c r="T232" s="131"/>
      <c r="U232" s="131"/>
      <c r="V232" s="131"/>
      <c r="W232" s="131"/>
      <c r="X232" s="131"/>
    </row>
    <row r="233" spans="1:24" ht="13.5" customHeight="1">
      <c r="A233" s="132"/>
      <c r="B233" s="131"/>
      <c r="C233" s="131"/>
      <c r="D233" s="132"/>
      <c r="E233" s="132"/>
      <c r="F233" s="132"/>
      <c r="G233" s="132"/>
      <c r="H233" s="132"/>
      <c r="I233" s="131"/>
      <c r="J233" s="131"/>
      <c r="K233" s="131"/>
      <c r="L233" s="131"/>
      <c r="M233" s="131"/>
      <c r="N233" s="131"/>
      <c r="O233" s="131"/>
      <c r="P233" s="131"/>
      <c r="Q233" s="131"/>
      <c r="R233" s="131"/>
      <c r="S233" s="131"/>
      <c r="T233" s="131"/>
      <c r="U233" s="131"/>
      <c r="V233" s="131"/>
      <c r="W233" s="131"/>
      <c r="X233" s="131"/>
    </row>
    <row r="234" spans="1:24" ht="13.5" customHeight="1">
      <c r="A234" s="132"/>
      <c r="B234" s="131"/>
      <c r="C234" s="131"/>
      <c r="D234" s="132"/>
      <c r="E234" s="132"/>
      <c r="F234" s="132"/>
      <c r="G234" s="132"/>
      <c r="H234" s="132"/>
      <c r="I234" s="131"/>
      <c r="J234" s="131"/>
      <c r="K234" s="131"/>
      <c r="L234" s="131"/>
      <c r="M234" s="131"/>
      <c r="N234" s="131"/>
      <c r="O234" s="131"/>
      <c r="P234" s="131"/>
      <c r="Q234" s="131"/>
      <c r="R234" s="131"/>
      <c r="S234" s="131"/>
      <c r="T234" s="131"/>
      <c r="U234" s="131"/>
      <c r="V234" s="131"/>
      <c r="W234" s="131"/>
      <c r="X234" s="131"/>
    </row>
    <row r="235" spans="1:24" ht="13.5" customHeight="1">
      <c r="A235" s="132"/>
      <c r="B235" s="131"/>
      <c r="C235" s="131"/>
      <c r="D235" s="132"/>
      <c r="E235" s="132"/>
      <c r="F235" s="132"/>
      <c r="G235" s="132"/>
      <c r="H235" s="132"/>
      <c r="I235" s="131"/>
      <c r="J235" s="131"/>
      <c r="K235" s="131"/>
      <c r="L235" s="131"/>
      <c r="M235" s="131"/>
      <c r="N235" s="131"/>
      <c r="O235" s="131"/>
      <c r="P235" s="131"/>
      <c r="Q235" s="131"/>
      <c r="R235" s="131"/>
      <c r="S235" s="131"/>
      <c r="T235" s="131"/>
      <c r="U235" s="131"/>
      <c r="V235" s="131"/>
      <c r="W235" s="131"/>
      <c r="X235" s="131"/>
    </row>
    <row r="236" spans="1:24" ht="13.5" customHeight="1">
      <c r="A236" s="132"/>
      <c r="B236" s="131"/>
      <c r="C236" s="131"/>
      <c r="D236" s="132"/>
      <c r="E236" s="132"/>
      <c r="F236" s="132"/>
      <c r="G236" s="132"/>
      <c r="H236" s="132"/>
      <c r="I236" s="131"/>
      <c r="J236" s="131"/>
      <c r="K236" s="131"/>
      <c r="L236" s="131"/>
      <c r="M236" s="131"/>
      <c r="N236" s="131"/>
      <c r="O236" s="131"/>
      <c r="P236" s="131"/>
      <c r="Q236" s="131"/>
      <c r="R236" s="131"/>
      <c r="S236" s="131"/>
      <c r="T236" s="131"/>
      <c r="U236" s="131"/>
      <c r="V236" s="131"/>
      <c r="W236" s="131"/>
      <c r="X236" s="131"/>
    </row>
    <row r="237" spans="1:24" ht="13.5" customHeight="1">
      <c r="A237" s="132"/>
      <c r="B237" s="131"/>
      <c r="C237" s="131"/>
      <c r="D237" s="132"/>
      <c r="E237" s="132"/>
      <c r="F237" s="132"/>
      <c r="G237" s="132"/>
      <c r="H237" s="132"/>
      <c r="I237" s="131"/>
      <c r="J237" s="131"/>
      <c r="K237" s="131"/>
      <c r="L237" s="131"/>
      <c r="M237" s="131"/>
      <c r="N237" s="131"/>
      <c r="O237" s="131"/>
      <c r="P237" s="131"/>
      <c r="Q237" s="131"/>
      <c r="R237" s="131"/>
      <c r="S237" s="131"/>
      <c r="T237" s="131"/>
      <c r="U237" s="131"/>
      <c r="V237" s="131"/>
      <c r="W237" s="131"/>
      <c r="X237" s="131"/>
    </row>
    <row r="238" spans="1:24" ht="13.5" customHeight="1">
      <c r="A238" s="132"/>
      <c r="B238" s="131"/>
      <c r="C238" s="131"/>
      <c r="D238" s="132"/>
      <c r="E238" s="132"/>
      <c r="F238" s="132"/>
      <c r="G238" s="132"/>
      <c r="H238" s="132"/>
      <c r="I238" s="131"/>
      <c r="J238" s="131"/>
      <c r="K238" s="131"/>
      <c r="L238" s="131"/>
      <c r="M238" s="131"/>
      <c r="N238" s="131"/>
      <c r="O238" s="131"/>
      <c r="P238" s="131"/>
      <c r="Q238" s="131"/>
      <c r="R238" s="131"/>
      <c r="S238" s="131"/>
      <c r="T238" s="131"/>
      <c r="U238" s="131"/>
      <c r="V238" s="131"/>
      <c r="W238" s="131"/>
      <c r="X238" s="131"/>
    </row>
    <row r="239" spans="1:24" ht="13.5" customHeight="1">
      <c r="A239" s="132"/>
      <c r="B239" s="131"/>
      <c r="C239" s="131"/>
      <c r="D239" s="132"/>
      <c r="E239" s="132"/>
      <c r="F239" s="132"/>
      <c r="G239" s="132"/>
      <c r="H239" s="132"/>
      <c r="I239" s="131"/>
      <c r="J239" s="131"/>
      <c r="K239" s="131"/>
      <c r="L239" s="131"/>
      <c r="M239" s="131"/>
      <c r="N239" s="131"/>
      <c r="O239" s="131"/>
      <c r="P239" s="131"/>
      <c r="Q239" s="131"/>
      <c r="R239" s="131"/>
      <c r="S239" s="131"/>
      <c r="T239" s="131"/>
      <c r="U239" s="131"/>
      <c r="V239" s="131"/>
      <c r="W239" s="131"/>
      <c r="X239" s="131"/>
    </row>
    <row r="240" spans="1:24" ht="13.5" customHeight="1">
      <c r="A240" s="132"/>
      <c r="B240" s="131"/>
      <c r="C240" s="131"/>
      <c r="D240" s="132"/>
      <c r="E240" s="132"/>
      <c r="F240" s="132"/>
      <c r="G240" s="132"/>
      <c r="H240" s="132"/>
      <c r="I240" s="131"/>
      <c r="J240" s="131"/>
      <c r="K240" s="131"/>
      <c r="L240" s="131"/>
      <c r="M240" s="131"/>
      <c r="N240" s="131"/>
      <c r="O240" s="131"/>
      <c r="P240" s="131"/>
      <c r="Q240" s="131"/>
      <c r="R240" s="131"/>
      <c r="S240" s="131"/>
      <c r="T240" s="131"/>
      <c r="U240" s="131"/>
      <c r="V240" s="131"/>
      <c r="W240" s="131"/>
      <c r="X240" s="131"/>
    </row>
    <row r="241" spans="1:24" ht="13.5" customHeight="1">
      <c r="A241" s="132"/>
      <c r="B241" s="131"/>
      <c r="C241" s="131"/>
      <c r="D241" s="132"/>
      <c r="E241" s="132"/>
      <c r="F241" s="132"/>
      <c r="G241" s="132"/>
      <c r="H241" s="132"/>
      <c r="I241" s="131"/>
      <c r="J241" s="131"/>
      <c r="K241" s="131"/>
      <c r="L241" s="131"/>
      <c r="M241" s="131"/>
      <c r="N241" s="131"/>
      <c r="O241" s="131"/>
      <c r="P241" s="131"/>
      <c r="Q241" s="131"/>
      <c r="R241" s="131"/>
      <c r="S241" s="131"/>
      <c r="T241" s="131"/>
      <c r="U241" s="131"/>
      <c r="V241" s="131"/>
      <c r="W241" s="131"/>
      <c r="X241" s="131"/>
    </row>
    <row r="242" spans="1:24" ht="13.5" customHeight="1">
      <c r="A242" s="132"/>
      <c r="B242" s="131"/>
      <c r="C242" s="131"/>
      <c r="D242" s="132"/>
      <c r="E242" s="132"/>
      <c r="F242" s="132"/>
      <c r="G242" s="132"/>
      <c r="H242" s="132"/>
      <c r="I242" s="131"/>
      <c r="J242" s="131"/>
      <c r="K242" s="131"/>
      <c r="L242" s="131"/>
      <c r="M242" s="131"/>
      <c r="N242" s="131"/>
      <c r="O242" s="131"/>
      <c r="P242" s="131"/>
      <c r="Q242" s="131"/>
      <c r="R242" s="131"/>
      <c r="S242" s="131"/>
      <c r="T242" s="131"/>
      <c r="U242" s="131"/>
      <c r="V242" s="131"/>
      <c r="W242" s="131"/>
      <c r="X242" s="131"/>
    </row>
    <row r="243" spans="1:24" ht="13.5" customHeight="1">
      <c r="A243" s="132"/>
      <c r="B243" s="131"/>
      <c r="C243" s="131"/>
      <c r="D243" s="132"/>
      <c r="E243" s="132"/>
      <c r="F243" s="132"/>
      <c r="G243" s="132"/>
      <c r="H243" s="132"/>
      <c r="I243" s="131"/>
      <c r="J243" s="131"/>
      <c r="K243" s="131"/>
      <c r="L243" s="131"/>
      <c r="M243" s="131"/>
      <c r="N243" s="131"/>
      <c r="O243" s="131"/>
      <c r="P243" s="131"/>
      <c r="Q243" s="131"/>
      <c r="R243" s="131"/>
      <c r="S243" s="131"/>
      <c r="T243" s="131"/>
      <c r="U243" s="131"/>
      <c r="V243" s="131"/>
      <c r="W243" s="131"/>
      <c r="X243" s="131"/>
    </row>
    <row r="244" spans="1:24" ht="13.5" customHeight="1">
      <c r="A244" s="132"/>
      <c r="B244" s="131"/>
      <c r="C244" s="131"/>
      <c r="D244" s="132"/>
      <c r="E244" s="132"/>
      <c r="F244" s="132"/>
      <c r="G244" s="132"/>
      <c r="H244" s="132"/>
      <c r="I244" s="131"/>
      <c r="J244" s="131"/>
      <c r="K244" s="131"/>
      <c r="L244" s="131"/>
      <c r="M244" s="131"/>
      <c r="N244" s="131"/>
      <c r="O244" s="131"/>
      <c r="P244" s="131"/>
      <c r="Q244" s="131"/>
      <c r="R244" s="131"/>
      <c r="S244" s="131"/>
      <c r="T244" s="131"/>
      <c r="U244" s="131"/>
      <c r="V244" s="131"/>
      <c r="W244" s="131"/>
      <c r="X244" s="131"/>
    </row>
    <row r="245" spans="1:24" ht="13.5" customHeight="1">
      <c r="A245" s="132"/>
      <c r="B245" s="131"/>
      <c r="C245" s="131"/>
      <c r="D245" s="132"/>
      <c r="E245" s="132"/>
      <c r="F245" s="132"/>
      <c r="G245" s="132"/>
      <c r="H245" s="132"/>
      <c r="I245" s="131"/>
      <c r="J245" s="131"/>
      <c r="K245" s="131"/>
      <c r="L245" s="131"/>
      <c r="M245" s="131"/>
      <c r="N245" s="131"/>
      <c r="O245" s="131"/>
      <c r="P245" s="131"/>
      <c r="Q245" s="131"/>
      <c r="R245" s="131"/>
      <c r="S245" s="131"/>
      <c r="T245" s="131"/>
      <c r="U245" s="131"/>
      <c r="V245" s="131"/>
      <c r="W245" s="131"/>
      <c r="X245" s="131"/>
    </row>
    <row r="246" spans="1:24" ht="13.5" customHeight="1">
      <c r="A246" s="132"/>
      <c r="B246" s="131"/>
      <c r="C246" s="131"/>
      <c r="D246" s="132"/>
      <c r="E246" s="132"/>
      <c r="F246" s="132"/>
      <c r="G246" s="132"/>
      <c r="H246" s="132"/>
      <c r="I246" s="131"/>
      <c r="J246" s="131"/>
      <c r="K246" s="131"/>
      <c r="L246" s="131"/>
      <c r="M246" s="131"/>
      <c r="N246" s="131"/>
      <c r="O246" s="131"/>
      <c r="P246" s="131"/>
      <c r="Q246" s="131"/>
      <c r="R246" s="131"/>
      <c r="S246" s="131"/>
      <c r="T246" s="131"/>
      <c r="U246" s="131"/>
      <c r="V246" s="131"/>
      <c r="W246" s="131"/>
      <c r="X246" s="131"/>
    </row>
    <row r="247" spans="1:24" ht="13.5" customHeight="1">
      <c r="A247" s="132"/>
      <c r="B247" s="131"/>
      <c r="C247" s="131"/>
      <c r="D247" s="132"/>
      <c r="E247" s="132"/>
      <c r="F247" s="132"/>
      <c r="G247" s="132"/>
      <c r="H247" s="132"/>
      <c r="I247" s="131"/>
      <c r="J247" s="131"/>
      <c r="K247" s="131"/>
      <c r="L247" s="131"/>
      <c r="M247" s="131"/>
      <c r="N247" s="131"/>
      <c r="O247" s="131"/>
      <c r="P247" s="131"/>
      <c r="Q247" s="131"/>
      <c r="R247" s="131"/>
      <c r="S247" s="131"/>
      <c r="T247" s="131"/>
      <c r="U247" s="131"/>
      <c r="V247" s="131"/>
      <c r="W247" s="131"/>
      <c r="X247" s="131"/>
    </row>
    <row r="248" spans="1:24" ht="13.5" customHeight="1">
      <c r="A248" s="132"/>
      <c r="B248" s="131"/>
      <c r="C248" s="131"/>
      <c r="D248" s="132"/>
      <c r="E248" s="132"/>
      <c r="F248" s="132"/>
      <c r="G248" s="132"/>
      <c r="H248" s="132"/>
      <c r="I248" s="131"/>
      <c r="J248" s="131"/>
      <c r="K248" s="131"/>
      <c r="L248" s="131"/>
      <c r="M248" s="131"/>
      <c r="N248" s="131"/>
      <c r="O248" s="131"/>
      <c r="P248" s="131"/>
      <c r="Q248" s="131"/>
      <c r="R248" s="131"/>
      <c r="S248" s="131"/>
      <c r="T248" s="131"/>
      <c r="U248" s="131"/>
      <c r="V248" s="131"/>
      <c r="W248" s="131"/>
      <c r="X248" s="131"/>
    </row>
    <row r="249" spans="1:24" ht="13.5" customHeight="1">
      <c r="A249" s="132"/>
      <c r="B249" s="131"/>
      <c r="C249" s="131"/>
      <c r="D249" s="132"/>
      <c r="E249" s="132"/>
      <c r="F249" s="132"/>
      <c r="G249" s="132"/>
      <c r="H249" s="132"/>
      <c r="I249" s="131"/>
      <c r="J249" s="131"/>
      <c r="K249" s="131"/>
      <c r="L249" s="131"/>
      <c r="M249" s="131"/>
      <c r="N249" s="131"/>
      <c r="O249" s="131"/>
      <c r="P249" s="131"/>
      <c r="Q249" s="131"/>
      <c r="R249" s="131"/>
      <c r="S249" s="131"/>
      <c r="T249" s="131"/>
      <c r="U249" s="131"/>
      <c r="V249" s="131"/>
      <c r="W249" s="131"/>
      <c r="X249" s="131"/>
    </row>
    <row r="250" spans="1:24" ht="13.5" customHeight="1">
      <c r="A250" s="132"/>
      <c r="B250" s="131"/>
      <c r="C250" s="131"/>
      <c r="D250" s="132"/>
      <c r="E250" s="132"/>
      <c r="F250" s="132"/>
      <c r="G250" s="132"/>
      <c r="H250" s="132"/>
      <c r="I250" s="131"/>
      <c r="J250" s="131"/>
      <c r="K250" s="131"/>
      <c r="L250" s="131"/>
      <c r="M250" s="131"/>
      <c r="N250" s="131"/>
      <c r="O250" s="131"/>
      <c r="P250" s="131"/>
      <c r="Q250" s="131"/>
      <c r="R250" s="131"/>
      <c r="S250" s="131"/>
      <c r="T250" s="131"/>
      <c r="U250" s="131"/>
      <c r="V250" s="131"/>
      <c r="W250" s="131"/>
      <c r="X250" s="131"/>
    </row>
    <row r="251" spans="1:24" ht="13.5" customHeight="1">
      <c r="A251" s="132"/>
      <c r="B251" s="131"/>
      <c r="C251" s="131"/>
      <c r="D251" s="132"/>
      <c r="E251" s="132"/>
      <c r="F251" s="132"/>
      <c r="G251" s="132"/>
      <c r="H251" s="132"/>
      <c r="I251" s="131"/>
      <c r="J251" s="131"/>
      <c r="K251" s="131"/>
      <c r="L251" s="131"/>
      <c r="M251" s="131"/>
      <c r="N251" s="131"/>
      <c r="O251" s="131"/>
      <c r="P251" s="131"/>
      <c r="Q251" s="131"/>
      <c r="R251" s="131"/>
      <c r="S251" s="131"/>
      <c r="T251" s="131"/>
      <c r="U251" s="131"/>
      <c r="V251" s="131"/>
      <c r="W251" s="131"/>
      <c r="X251" s="131"/>
    </row>
    <row r="252" spans="1:24" ht="13.5" customHeight="1">
      <c r="A252" s="132"/>
      <c r="B252" s="131"/>
      <c r="C252" s="131"/>
      <c r="D252" s="132"/>
      <c r="E252" s="132"/>
      <c r="F252" s="132"/>
      <c r="G252" s="132"/>
      <c r="H252" s="132"/>
      <c r="I252" s="131"/>
      <c r="J252" s="131"/>
      <c r="K252" s="131"/>
      <c r="L252" s="131"/>
      <c r="M252" s="131"/>
      <c r="N252" s="131"/>
      <c r="O252" s="131"/>
      <c r="P252" s="131"/>
      <c r="Q252" s="131"/>
      <c r="R252" s="131"/>
      <c r="S252" s="131"/>
      <c r="T252" s="131"/>
      <c r="U252" s="131"/>
      <c r="V252" s="131"/>
      <c r="W252" s="131"/>
      <c r="X252" s="131"/>
    </row>
    <row r="253" spans="1:24" ht="13.5" customHeight="1">
      <c r="A253" s="132"/>
      <c r="B253" s="131"/>
      <c r="C253" s="131"/>
      <c r="D253" s="132"/>
      <c r="E253" s="132"/>
      <c r="F253" s="132"/>
      <c r="G253" s="132"/>
      <c r="H253" s="132"/>
      <c r="I253" s="131"/>
      <c r="J253" s="131"/>
      <c r="K253" s="131"/>
      <c r="L253" s="131"/>
      <c r="M253" s="131"/>
      <c r="N253" s="131"/>
      <c r="O253" s="131"/>
      <c r="P253" s="131"/>
      <c r="Q253" s="131"/>
      <c r="R253" s="131"/>
      <c r="S253" s="131"/>
      <c r="T253" s="131"/>
      <c r="U253" s="131"/>
      <c r="V253" s="131"/>
      <c r="W253" s="131"/>
      <c r="X253" s="131"/>
    </row>
    <row r="254" spans="1:24" ht="13.5" customHeight="1">
      <c r="A254" s="132"/>
      <c r="B254" s="131"/>
      <c r="C254" s="131"/>
      <c r="D254" s="132"/>
      <c r="E254" s="132"/>
      <c r="F254" s="132"/>
      <c r="G254" s="132"/>
      <c r="H254" s="132"/>
      <c r="I254" s="131"/>
      <c r="J254" s="131"/>
      <c r="K254" s="131"/>
      <c r="L254" s="131"/>
      <c r="M254" s="131"/>
      <c r="N254" s="131"/>
      <c r="O254" s="131"/>
      <c r="P254" s="131"/>
      <c r="Q254" s="131"/>
      <c r="R254" s="131"/>
      <c r="S254" s="131"/>
      <c r="T254" s="131"/>
      <c r="U254" s="131"/>
      <c r="V254" s="131"/>
      <c r="W254" s="131"/>
      <c r="X254" s="131"/>
    </row>
    <row r="255" spans="1:24" ht="13.5" customHeight="1">
      <c r="A255" s="132"/>
      <c r="B255" s="131"/>
      <c r="C255" s="131"/>
      <c r="D255" s="132"/>
      <c r="E255" s="132"/>
      <c r="F255" s="132"/>
      <c r="G255" s="132"/>
      <c r="H255" s="132"/>
      <c r="I255" s="131"/>
      <c r="J255" s="131"/>
      <c r="K255" s="131"/>
      <c r="L255" s="131"/>
      <c r="M255" s="131"/>
      <c r="N255" s="131"/>
      <c r="O255" s="131"/>
      <c r="P255" s="131"/>
      <c r="Q255" s="131"/>
      <c r="R255" s="131"/>
      <c r="S255" s="131"/>
      <c r="T255" s="131"/>
      <c r="U255" s="131"/>
      <c r="V255" s="131"/>
      <c r="W255" s="131"/>
      <c r="X255" s="131"/>
    </row>
    <row r="256" spans="1:24" ht="13.5" customHeight="1">
      <c r="A256" s="132"/>
      <c r="B256" s="131"/>
      <c r="C256" s="131"/>
      <c r="D256" s="132"/>
      <c r="E256" s="132"/>
      <c r="F256" s="132"/>
      <c r="G256" s="132"/>
      <c r="H256" s="132"/>
      <c r="I256" s="131"/>
      <c r="J256" s="131"/>
      <c r="K256" s="131"/>
      <c r="L256" s="131"/>
      <c r="M256" s="131"/>
      <c r="N256" s="131"/>
      <c r="O256" s="131"/>
      <c r="P256" s="131"/>
      <c r="Q256" s="131"/>
      <c r="R256" s="131"/>
      <c r="S256" s="131"/>
      <c r="T256" s="131"/>
      <c r="U256" s="131"/>
      <c r="V256" s="131"/>
      <c r="W256" s="131"/>
      <c r="X256" s="131"/>
    </row>
    <row r="257" spans="1:24" ht="13.5" customHeight="1">
      <c r="A257" s="132"/>
      <c r="B257" s="131"/>
      <c r="C257" s="131"/>
      <c r="D257" s="132"/>
      <c r="E257" s="132"/>
      <c r="F257" s="132"/>
      <c r="G257" s="132"/>
      <c r="H257" s="132"/>
      <c r="I257" s="131"/>
      <c r="J257" s="131"/>
      <c r="K257" s="131"/>
      <c r="L257" s="131"/>
      <c r="M257" s="131"/>
      <c r="N257" s="131"/>
      <c r="O257" s="131"/>
      <c r="P257" s="131"/>
      <c r="Q257" s="131"/>
      <c r="R257" s="131"/>
      <c r="S257" s="131"/>
      <c r="T257" s="131"/>
      <c r="U257" s="131"/>
      <c r="V257" s="131"/>
      <c r="W257" s="131"/>
      <c r="X257" s="131"/>
    </row>
    <row r="258" spans="1:24" ht="13.5" customHeight="1">
      <c r="A258" s="132"/>
      <c r="B258" s="131"/>
      <c r="C258" s="131"/>
      <c r="D258" s="132"/>
      <c r="E258" s="132"/>
      <c r="F258" s="132"/>
      <c r="G258" s="132"/>
      <c r="H258" s="132"/>
      <c r="I258" s="131"/>
      <c r="J258" s="131"/>
      <c r="K258" s="131"/>
      <c r="L258" s="131"/>
      <c r="M258" s="131"/>
      <c r="N258" s="131"/>
      <c r="O258" s="131"/>
      <c r="P258" s="131"/>
      <c r="Q258" s="131"/>
      <c r="R258" s="131"/>
      <c r="S258" s="131"/>
      <c r="T258" s="131"/>
      <c r="U258" s="131"/>
      <c r="V258" s="131"/>
      <c r="W258" s="131"/>
      <c r="X258" s="131"/>
    </row>
    <row r="259" spans="1:24" ht="13.5" customHeight="1">
      <c r="A259" s="132"/>
      <c r="B259" s="131"/>
      <c r="C259" s="131"/>
      <c r="D259" s="132"/>
      <c r="E259" s="132"/>
      <c r="F259" s="132"/>
      <c r="G259" s="132"/>
      <c r="H259" s="132"/>
      <c r="I259" s="131"/>
      <c r="J259" s="131"/>
      <c r="K259" s="131"/>
      <c r="L259" s="131"/>
      <c r="M259" s="131"/>
      <c r="N259" s="131"/>
      <c r="O259" s="131"/>
      <c r="P259" s="131"/>
      <c r="Q259" s="131"/>
      <c r="R259" s="131"/>
      <c r="S259" s="131"/>
      <c r="T259" s="131"/>
      <c r="U259" s="131"/>
      <c r="V259" s="131"/>
      <c r="W259" s="131"/>
      <c r="X259" s="131"/>
    </row>
    <row r="260" spans="1:24" ht="13.5" customHeight="1">
      <c r="A260" s="132"/>
      <c r="B260" s="131"/>
      <c r="C260" s="131"/>
      <c r="D260" s="132"/>
      <c r="E260" s="132"/>
      <c r="F260" s="132"/>
      <c r="G260" s="132"/>
      <c r="H260" s="132"/>
      <c r="I260" s="131"/>
      <c r="J260" s="131"/>
      <c r="K260" s="131"/>
      <c r="L260" s="131"/>
      <c r="M260" s="131"/>
      <c r="N260" s="131"/>
      <c r="O260" s="131"/>
      <c r="P260" s="131"/>
      <c r="Q260" s="131"/>
      <c r="R260" s="131"/>
      <c r="S260" s="131"/>
      <c r="T260" s="131"/>
      <c r="U260" s="131"/>
      <c r="V260" s="131"/>
      <c r="W260" s="131"/>
      <c r="X260" s="131"/>
    </row>
    <row r="261" spans="1:24" ht="13.5" customHeight="1">
      <c r="A261" s="132"/>
      <c r="B261" s="131"/>
      <c r="C261" s="131"/>
      <c r="D261" s="132"/>
      <c r="E261" s="132"/>
      <c r="F261" s="132"/>
      <c r="G261" s="132"/>
      <c r="H261" s="132"/>
      <c r="I261" s="131"/>
      <c r="J261" s="131"/>
      <c r="K261" s="131"/>
      <c r="L261" s="131"/>
      <c r="M261" s="131"/>
      <c r="N261" s="131"/>
      <c r="O261" s="131"/>
      <c r="P261" s="131"/>
      <c r="Q261" s="131"/>
      <c r="R261" s="131"/>
      <c r="S261" s="131"/>
      <c r="T261" s="131"/>
      <c r="U261" s="131"/>
      <c r="V261" s="131"/>
      <c r="W261" s="131"/>
      <c r="X261" s="131"/>
    </row>
    <row r="262" spans="1:24" ht="13.5" customHeight="1">
      <c r="A262" s="132"/>
      <c r="B262" s="131"/>
      <c r="C262" s="131"/>
      <c r="D262" s="132"/>
      <c r="E262" s="132"/>
      <c r="F262" s="132"/>
      <c r="G262" s="132"/>
      <c r="H262" s="132"/>
      <c r="I262" s="131"/>
      <c r="J262" s="131"/>
      <c r="K262" s="131"/>
      <c r="L262" s="131"/>
      <c r="M262" s="131"/>
      <c r="N262" s="131"/>
      <c r="O262" s="131"/>
      <c r="P262" s="131"/>
      <c r="Q262" s="131"/>
      <c r="R262" s="131"/>
      <c r="S262" s="131"/>
      <c r="T262" s="131"/>
      <c r="U262" s="131"/>
      <c r="V262" s="131"/>
      <c r="W262" s="131"/>
      <c r="X262" s="131"/>
    </row>
    <row r="263" spans="1:24" ht="13.5" customHeight="1">
      <c r="A263" s="132"/>
      <c r="B263" s="131"/>
      <c r="C263" s="131"/>
      <c r="D263" s="132"/>
      <c r="E263" s="132"/>
      <c r="F263" s="132"/>
      <c r="G263" s="132"/>
      <c r="H263" s="132"/>
      <c r="I263" s="131"/>
      <c r="J263" s="131"/>
      <c r="K263" s="131"/>
      <c r="L263" s="131"/>
      <c r="M263" s="131"/>
      <c r="N263" s="131"/>
      <c r="O263" s="131"/>
      <c r="P263" s="131"/>
      <c r="Q263" s="131"/>
      <c r="R263" s="131"/>
      <c r="S263" s="131"/>
      <c r="T263" s="131"/>
      <c r="U263" s="131"/>
      <c r="V263" s="131"/>
      <c r="W263" s="131"/>
      <c r="X263" s="131"/>
    </row>
    <row r="264" spans="1:24" ht="13.5" customHeight="1">
      <c r="A264" s="132"/>
      <c r="B264" s="131"/>
      <c r="C264" s="131"/>
      <c r="D264" s="132"/>
      <c r="E264" s="132"/>
      <c r="F264" s="132"/>
      <c r="G264" s="132"/>
      <c r="H264" s="132"/>
      <c r="I264" s="131"/>
      <c r="J264" s="131"/>
      <c r="K264" s="131"/>
      <c r="L264" s="131"/>
      <c r="M264" s="131"/>
      <c r="N264" s="131"/>
      <c r="O264" s="131"/>
      <c r="P264" s="131"/>
      <c r="Q264" s="131"/>
      <c r="R264" s="131"/>
      <c r="S264" s="131"/>
      <c r="T264" s="131"/>
      <c r="U264" s="131"/>
      <c r="V264" s="131"/>
      <c r="W264" s="131"/>
      <c r="X264" s="131"/>
    </row>
    <row r="265" spans="1:24" ht="13.5" customHeight="1">
      <c r="A265" s="132"/>
      <c r="B265" s="131"/>
      <c r="C265" s="131"/>
      <c r="D265" s="132"/>
      <c r="E265" s="132"/>
      <c r="F265" s="132"/>
      <c r="G265" s="132"/>
      <c r="H265" s="132"/>
      <c r="I265" s="131"/>
      <c r="J265" s="131"/>
      <c r="K265" s="131"/>
      <c r="L265" s="131"/>
      <c r="M265" s="131"/>
      <c r="N265" s="131"/>
      <c r="O265" s="131"/>
      <c r="P265" s="131"/>
      <c r="Q265" s="131"/>
      <c r="R265" s="131"/>
      <c r="S265" s="131"/>
      <c r="T265" s="131"/>
      <c r="U265" s="131"/>
      <c r="V265" s="131"/>
      <c r="W265" s="131"/>
      <c r="X265" s="131"/>
    </row>
    <row r="266" spans="1:24" ht="13.5" customHeight="1">
      <c r="A266" s="132"/>
      <c r="B266" s="131"/>
      <c r="C266" s="131"/>
      <c r="D266" s="132"/>
      <c r="E266" s="132"/>
      <c r="F266" s="132"/>
      <c r="G266" s="132"/>
      <c r="H266" s="132"/>
      <c r="I266" s="131"/>
      <c r="J266" s="131"/>
      <c r="K266" s="131"/>
      <c r="L266" s="131"/>
      <c r="M266" s="131"/>
      <c r="N266" s="131"/>
      <c r="O266" s="131"/>
      <c r="P266" s="131"/>
      <c r="Q266" s="131"/>
      <c r="R266" s="131"/>
      <c r="S266" s="131"/>
      <c r="T266" s="131"/>
      <c r="U266" s="131"/>
      <c r="V266" s="131"/>
      <c r="W266" s="131"/>
      <c r="X266" s="131"/>
    </row>
    <row r="267" spans="1:24" ht="13.5" customHeight="1">
      <c r="A267" s="132"/>
      <c r="B267" s="131"/>
      <c r="C267" s="131"/>
      <c r="D267" s="132"/>
      <c r="E267" s="132"/>
      <c r="F267" s="132"/>
      <c r="G267" s="132"/>
      <c r="H267" s="132"/>
      <c r="I267" s="131"/>
      <c r="J267" s="131"/>
      <c r="K267" s="131"/>
      <c r="L267" s="131"/>
      <c r="M267" s="131"/>
      <c r="N267" s="131"/>
      <c r="O267" s="131"/>
      <c r="P267" s="131"/>
      <c r="Q267" s="131"/>
      <c r="R267" s="131"/>
      <c r="S267" s="131"/>
      <c r="T267" s="131"/>
      <c r="U267" s="131"/>
      <c r="V267" s="131"/>
      <c r="W267" s="131"/>
      <c r="X267" s="131"/>
    </row>
    <row r="268" spans="1:24" ht="13.5" customHeight="1">
      <c r="A268" s="132"/>
      <c r="B268" s="131"/>
      <c r="C268" s="131"/>
      <c r="D268" s="132"/>
      <c r="E268" s="132"/>
      <c r="F268" s="132"/>
      <c r="G268" s="132"/>
      <c r="H268" s="132"/>
      <c r="I268" s="131"/>
      <c r="J268" s="131"/>
      <c r="K268" s="131"/>
      <c r="L268" s="131"/>
      <c r="M268" s="131"/>
      <c r="N268" s="131"/>
      <c r="O268" s="131"/>
      <c r="P268" s="131"/>
      <c r="Q268" s="131"/>
      <c r="R268" s="131"/>
      <c r="S268" s="131"/>
      <c r="T268" s="131"/>
      <c r="U268" s="131"/>
      <c r="V268" s="131"/>
      <c r="W268" s="131"/>
      <c r="X268" s="131"/>
    </row>
    <row r="269" spans="1:24" ht="13.5" customHeight="1">
      <c r="A269" s="132"/>
      <c r="B269" s="131"/>
      <c r="C269" s="131"/>
      <c r="D269" s="132"/>
      <c r="E269" s="132"/>
      <c r="F269" s="132"/>
      <c r="G269" s="132"/>
      <c r="H269" s="132"/>
      <c r="I269" s="131"/>
      <c r="J269" s="131"/>
      <c r="K269" s="131"/>
      <c r="L269" s="131"/>
      <c r="M269" s="131"/>
      <c r="N269" s="131"/>
      <c r="O269" s="131"/>
      <c r="P269" s="131"/>
      <c r="Q269" s="131"/>
      <c r="R269" s="131"/>
      <c r="S269" s="131"/>
      <c r="T269" s="131"/>
      <c r="U269" s="131"/>
      <c r="V269" s="131"/>
      <c r="W269" s="131"/>
      <c r="X269" s="131"/>
    </row>
    <row r="270" spans="1:24" ht="13.5" customHeight="1">
      <c r="A270" s="132"/>
      <c r="B270" s="131"/>
      <c r="C270" s="131"/>
      <c r="D270" s="132"/>
      <c r="E270" s="132"/>
      <c r="F270" s="132"/>
      <c r="G270" s="132"/>
      <c r="H270" s="132"/>
      <c r="I270" s="131"/>
      <c r="J270" s="131"/>
      <c r="K270" s="131"/>
      <c r="L270" s="131"/>
      <c r="M270" s="131"/>
      <c r="N270" s="131"/>
      <c r="O270" s="131"/>
      <c r="P270" s="131"/>
      <c r="Q270" s="131"/>
      <c r="R270" s="131"/>
      <c r="S270" s="131"/>
      <c r="T270" s="131"/>
      <c r="U270" s="131"/>
      <c r="V270" s="131"/>
      <c r="W270" s="131"/>
      <c r="X270" s="131"/>
    </row>
    <row r="271" spans="1:24" ht="13.5" customHeight="1">
      <c r="A271" s="132"/>
      <c r="B271" s="131"/>
      <c r="C271" s="131"/>
      <c r="D271" s="132"/>
      <c r="E271" s="132"/>
      <c r="F271" s="132"/>
      <c r="G271" s="132"/>
      <c r="H271" s="132"/>
      <c r="I271" s="131"/>
      <c r="J271" s="131"/>
      <c r="K271" s="131"/>
      <c r="L271" s="131"/>
      <c r="M271" s="131"/>
      <c r="N271" s="131"/>
      <c r="O271" s="131"/>
      <c r="P271" s="131"/>
      <c r="Q271" s="131"/>
      <c r="R271" s="131"/>
      <c r="S271" s="131"/>
      <c r="T271" s="131"/>
      <c r="U271" s="131"/>
      <c r="V271" s="131"/>
      <c r="W271" s="131"/>
      <c r="X271" s="131"/>
    </row>
    <row r="272" spans="1:24" ht="13.5" customHeight="1">
      <c r="A272" s="132"/>
      <c r="B272" s="131"/>
      <c r="C272" s="131"/>
      <c r="D272" s="132"/>
      <c r="E272" s="132"/>
      <c r="F272" s="132"/>
      <c r="G272" s="132"/>
      <c r="H272" s="132"/>
      <c r="I272" s="131"/>
      <c r="J272" s="131"/>
      <c r="K272" s="131"/>
      <c r="L272" s="131"/>
      <c r="M272" s="131"/>
      <c r="N272" s="131"/>
      <c r="O272" s="131"/>
      <c r="P272" s="131"/>
      <c r="Q272" s="131"/>
      <c r="R272" s="131"/>
      <c r="S272" s="131"/>
      <c r="T272" s="131"/>
      <c r="U272" s="131"/>
      <c r="V272" s="131"/>
      <c r="W272" s="131"/>
      <c r="X272" s="131"/>
    </row>
    <row r="273" spans="1:24" ht="13.5" customHeight="1">
      <c r="A273" s="132"/>
      <c r="B273" s="131"/>
      <c r="C273" s="131"/>
      <c r="D273" s="132"/>
      <c r="E273" s="132"/>
      <c r="F273" s="132"/>
      <c r="G273" s="132"/>
      <c r="H273" s="132"/>
      <c r="I273" s="131"/>
      <c r="J273" s="131"/>
      <c r="K273" s="131"/>
      <c r="L273" s="131"/>
      <c r="M273" s="131"/>
      <c r="N273" s="131"/>
      <c r="O273" s="131"/>
      <c r="P273" s="131"/>
      <c r="Q273" s="131"/>
      <c r="R273" s="131"/>
      <c r="S273" s="131"/>
      <c r="T273" s="131"/>
      <c r="U273" s="131"/>
      <c r="V273" s="131"/>
      <c r="W273" s="131"/>
      <c r="X273" s="131"/>
    </row>
    <row r="274" spans="1:24" ht="13.5" customHeight="1">
      <c r="A274" s="132"/>
      <c r="B274" s="131"/>
      <c r="C274" s="131"/>
      <c r="D274" s="132"/>
      <c r="E274" s="132"/>
      <c r="F274" s="132"/>
      <c r="G274" s="132"/>
      <c r="H274" s="132"/>
      <c r="I274" s="131"/>
      <c r="J274" s="131"/>
      <c r="K274" s="131"/>
      <c r="L274" s="131"/>
      <c r="M274" s="131"/>
      <c r="N274" s="131"/>
      <c r="O274" s="131"/>
      <c r="P274" s="131"/>
      <c r="Q274" s="131"/>
      <c r="R274" s="131"/>
      <c r="S274" s="131"/>
      <c r="T274" s="131"/>
      <c r="U274" s="131"/>
      <c r="V274" s="131"/>
      <c r="W274" s="131"/>
      <c r="X274" s="131"/>
    </row>
    <row r="275" spans="1:24" ht="13.5" customHeight="1">
      <c r="A275" s="132"/>
      <c r="B275" s="131"/>
      <c r="C275" s="131"/>
      <c r="D275" s="132"/>
      <c r="E275" s="132"/>
      <c r="F275" s="132"/>
      <c r="G275" s="132"/>
      <c r="H275" s="132"/>
      <c r="I275" s="131"/>
      <c r="J275" s="131"/>
      <c r="K275" s="131"/>
      <c r="L275" s="131"/>
      <c r="M275" s="131"/>
      <c r="N275" s="131"/>
      <c r="O275" s="131"/>
      <c r="P275" s="131"/>
      <c r="Q275" s="131"/>
      <c r="R275" s="131"/>
      <c r="S275" s="131"/>
      <c r="T275" s="131"/>
      <c r="U275" s="131"/>
      <c r="V275" s="131"/>
      <c r="W275" s="131"/>
      <c r="X275" s="131"/>
    </row>
    <row r="276" spans="1:24" ht="13.5" customHeight="1">
      <c r="A276" s="132"/>
      <c r="B276" s="131"/>
      <c r="C276" s="131"/>
      <c r="D276" s="132"/>
      <c r="E276" s="132"/>
      <c r="F276" s="132"/>
      <c r="G276" s="132"/>
      <c r="H276" s="132"/>
      <c r="I276" s="131"/>
      <c r="J276" s="131"/>
      <c r="K276" s="131"/>
      <c r="L276" s="131"/>
      <c r="M276" s="131"/>
      <c r="N276" s="131"/>
      <c r="O276" s="131"/>
      <c r="P276" s="131"/>
      <c r="Q276" s="131"/>
      <c r="R276" s="131"/>
      <c r="S276" s="131"/>
      <c r="T276" s="131"/>
      <c r="U276" s="131"/>
      <c r="V276" s="131"/>
      <c r="W276" s="131"/>
      <c r="X276" s="131"/>
    </row>
    <row r="277" spans="1:24" ht="13.5" customHeight="1">
      <c r="A277" s="132"/>
      <c r="B277" s="131"/>
      <c r="C277" s="131"/>
      <c r="D277" s="132"/>
      <c r="E277" s="132"/>
      <c r="F277" s="132"/>
      <c r="G277" s="132"/>
      <c r="H277" s="132"/>
      <c r="I277" s="131"/>
      <c r="J277" s="131"/>
      <c r="K277" s="131"/>
      <c r="L277" s="131"/>
      <c r="M277" s="131"/>
      <c r="N277" s="131"/>
      <c r="O277" s="131"/>
      <c r="P277" s="131"/>
      <c r="Q277" s="131"/>
      <c r="R277" s="131"/>
      <c r="S277" s="131"/>
      <c r="T277" s="131"/>
      <c r="U277" s="131"/>
      <c r="V277" s="131"/>
      <c r="W277" s="131"/>
      <c r="X277" s="131"/>
    </row>
    <row r="278" spans="1:24" ht="13.5" customHeight="1">
      <c r="A278" s="132"/>
      <c r="B278" s="131"/>
      <c r="C278" s="131"/>
      <c r="D278" s="132"/>
      <c r="E278" s="132"/>
      <c r="F278" s="132"/>
      <c r="G278" s="132"/>
      <c r="H278" s="132"/>
      <c r="I278" s="131"/>
      <c r="J278" s="131"/>
      <c r="K278" s="131"/>
      <c r="L278" s="131"/>
      <c r="M278" s="131"/>
      <c r="N278" s="131"/>
      <c r="O278" s="131"/>
      <c r="P278" s="131"/>
      <c r="Q278" s="131"/>
      <c r="R278" s="131"/>
      <c r="S278" s="131"/>
      <c r="T278" s="131"/>
      <c r="U278" s="131"/>
      <c r="V278" s="131"/>
      <c r="W278" s="131"/>
      <c r="X278" s="131"/>
    </row>
    <row r="279" spans="1:24" ht="13.5" customHeight="1">
      <c r="A279" s="132"/>
      <c r="B279" s="131"/>
      <c r="C279" s="131"/>
      <c r="D279" s="132"/>
      <c r="E279" s="132"/>
      <c r="F279" s="132"/>
      <c r="G279" s="132"/>
      <c r="H279" s="132"/>
      <c r="I279" s="131"/>
      <c r="J279" s="131"/>
      <c r="K279" s="131"/>
      <c r="L279" s="131"/>
      <c r="M279" s="131"/>
      <c r="N279" s="131"/>
      <c r="O279" s="131"/>
      <c r="P279" s="131"/>
      <c r="Q279" s="131"/>
      <c r="R279" s="131"/>
      <c r="S279" s="131"/>
      <c r="T279" s="131"/>
      <c r="U279" s="131"/>
      <c r="V279" s="131"/>
      <c r="W279" s="131"/>
      <c r="X279" s="131"/>
    </row>
    <row r="280" spans="1:24" ht="13.5" customHeight="1">
      <c r="A280" s="132"/>
      <c r="B280" s="131"/>
      <c r="C280" s="131"/>
      <c r="D280" s="132"/>
      <c r="E280" s="132"/>
      <c r="F280" s="132"/>
      <c r="G280" s="132"/>
      <c r="H280" s="132"/>
      <c r="I280" s="131"/>
      <c r="J280" s="131"/>
      <c r="K280" s="131"/>
      <c r="L280" s="131"/>
      <c r="M280" s="131"/>
      <c r="N280" s="131"/>
      <c r="O280" s="131"/>
      <c r="P280" s="131"/>
      <c r="Q280" s="131"/>
      <c r="R280" s="131"/>
      <c r="S280" s="131"/>
      <c r="T280" s="131"/>
      <c r="U280" s="131"/>
      <c r="V280" s="131"/>
      <c r="W280" s="131"/>
      <c r="X280" s="131"/>
    </row>
    <row r="281" spans="1:24" ht="13.5" customHeight="1">
      <c r="A281" s="132"/>
      <c r="B281" s="131"/>
      <c r="C281" s="131"/>
      <c r="D281" s="132"/>
      <c r="E281" s="132"/>
      <c r="F281" s="132"/>
      <c r="G281" s="132"/>
      <c r="H281" s="132"/>
      <c r="I281" s="131"/>
      <c r="J281" s="131"/>
      <c r="K281" s="131"/>
      <c r="L281" s="131"/>
      <c r="M281" s="131"/>
      <c r="N281" s="131"/>
      <c r="O281" s="131"/>
      <c r="P281" s="131"/>
      <c r="Q281" s="131"/>
      <c r="R281" s="131"/>
      <c r="S281" s="131"/>
      <c r="T281" s="131"/>
      <c r="U281" s="131"/>
      <c r="V281" s="131"/>
      <c r="W281" s="131"/>
      <c r="X281" s="131"/>
    </row>
    <row r="282" spans="1:24" ht="13.5" customHeight="1">
      <c r="A282" s="132"/>
      <c r="B282" s="131"/>
      <c r="C282" s="131"/>
      <c r="D282" s="132"/>
      <c r="E282" s="132"/>
      <c r="F282" s="132"/>
      <c r="G282" s="132"/>
      <c r="H282" s="132"/>
      <c r="I282" s="131"/>
      <c r="J282" s="131"/>
      <c r="K282" s="131"/>
      <c r="L282" s="131"/>
      <c r="M282" s="131"/>
      <c r="N282" s="131"/>
      <c r="O282" s="131"/>
      <c r="P282" s="131"/>
      <c r="Q282" s="131"/>
      <c r="R282" s="131"/>
      <c r="S282" s="131"/>
      <c r="T282" s="131"/>
      <c r="U282" s="131"/>
      <c r="V282" s="131"/>
      <c r="W282" s="131"/>
      <c r="X282" s="131"/>
    </row>
    <row r="283" spans="1:24" ht="13.5" customHeight="1">
      <c r="A283" s="132"/>
      <c r="B283" s="131"/>
      <c r="C283" s="131"/>
      <c r="D283" s="132"/>
      <c r="E283" s="132"/>
      <c r="F283" s="132"/>
      <c r="G283" s="132"/>
      <c r="H283" s="132"/>
      <c r="I283" s="131"/>
      <c r="J283" s="131"/>
      <c r="K283" s="131"/>
      <c r="L283" s="131"/>
      <c r="M283" s="131"/>
      <c r="N283" s="131"/>
      <c r="O283" s="131"/>
      <c r="P283" s="131"/>
      <c r="Q283" s="131"/>
      <c r="R283" s="131"/>
      <c r="S283" s="131"/>
      <c r="T283" s="131"/>
      <c r="U283" s="131"/>
      <c r="V283" s="131"/>
      <c r="W283" s="131"/>
      <c r="X283" s="131"/>
    </row>
    <row r="284" spans="1:24" ht="13.5" customHeight="1">
      <c r="A284" s="132"/>
      <c r="B284" s="131"/>
      <c r="C284" s="131"/>
      <c r="D284" s="132"/>
      <c r="E284" s="132"/>
      <c r="F284" s="132"/>
      <c r="G284" s="132"/>
      <c r="H284" s="132"/>
      <c r="I284" s="131"/>
      <c r="J284" s="131"/>
      <c r="K284" s="131"/>
      <c r="L284" s="131"/>
      <c r="M284" s="131"/>
      <c r="N284" s="131"/>
      <c r="O284" s="131"/>
      <c r="P284" s="131"/>
      <c r="Q284" s="131"/>
      <c r="R284" s="131"/>
      <c r="S284" s="131"/>
      <c r="T284" s="131"/>
      <c r="U284" s="131"/>
      <c r="V284" s="131"/>
      <c r="W284" s="131"/>
      <c r="X284" s="131"/>
    </row>
    <row r="285" spans="1:24" ht="13.5" customHeight="1">
      <c r="A285" s="132"/>
      <c r="B285" s="131"/>
      <c r="C285" s="131"/>
      <c r="D285" s="132"/>
      <c r="E285" s="132"/>
      <c r="F285" s="132"/>
      <c r="G285" s="132"/>
      <c r="H285" s="132"/>
      <c r="I285" s="131"/>
      <c r="J285" s="131"/>
      <c r="K285" s="131"/>
      <c r="L285" s="131"/>
      <c r="M285" s="131"/>
      <c r="N285" s="131"/>
      <c r="O285" s="131"/>
      <c r="P285" s="131"/>
      <c r="Q285" s="131"/>
      <c r="R285" s="131"/>
      <c r="S285" s="131"/>
      <c r="T285" s="131"/>
      <c r="U285" s="131"/>
      <c r="V285" s="131"/>
      <c r="W285" s="131"/>
      <c r="X285" s="131"/>
    </row>
    <row r="286" spans="1:24" ht="13.5" customHeight="1">
      <c r="A286" s="132"/>
      <c r="B286" s="131"/>
      <c r="C286" s="131"/>
      <c r="D286" s="132"/>
      <c r="E286" s="132"/>
      <c r="F286" s="132"/>
      <c r="G286" s="132"/>
      <c r="H286" s="132"/>
      <c r="I286" s="131"/>
      <c r="J286" s="131"/>
      <c r="K286" s="131"/>
      <c r="L286" s="131"/>
      <c r="M286" s="131"/>
      <c r="N286" s="131"/>
      <c r="O286" s="131"/>
      <c r="P286" s="131"/>
      <c r="Q286" s="131"/>
      <c r="R286" s="131"/>
      <c r="S286" s="131"/>
      <c r="T286" s="131"/>
      <c r="U286" s="131"/>
      <c r="V286" s="131"/>
      <c r="W286" s="131"/>
      <c r="X286" s="131"/>
    </row>
    <row r="287" spans="1:24" ht="13.5" customHeight="1">
      <c r="A287" s="132"/>
      <c r="B287" s="131"/>
      <c r="C287" s="131"/>
      <c r="D287" s="132"/>
      <c r="E287" s="132"/>
      <c r="F287" s="132"/>
      <c r="G287" s="132"/>
      <c r="H287" s="132"/>
      <c r="I287" s="131"/>
      <c r="J287" s="131"/>
      <c r="K287" s="131"/>
      <c r="L287" s="131"/>
      <c r="M287" s="131"/>
      <c r="N287" s="131"/>
      <c r="O287" s="131"/>
      <c r="P287" s="131"/>
      <c r="Q287" s="131"/>
      <c r="R287" s="131"/>
      <c r="S287" s="131"/>
      <c r="T287" s="131"/>
      <c r="U287" s="131"/>
      <c r="V287" s="131"/>
      <c r="W287" s="131"/>
      <c r="X287" s="131"/>
    </row>
    <row r="288" spans="1:24" ht="13.5" customHeight="1">
      <c r="A288" s="132"/>
      <c r="B288" s="131"/>
      <c r="C288" s="131"/>
      <c r="D288" s="132"/>
      <c r="E288" s="132"/>
      <c r="F288" s="132"/>
      <c r="G288" s="132"/>
      <c r="H288" s="132"/>
      <c r="I288" s="131"/>
      <c r="J288" s="131"/>
      <c r="K288" s="131"/>
      <c r="L288" s="131"/>
      <c r="M288" s="131"/>
      <c r="N288" s="131"/>
      <c r="O288" s="131"/>
      <c r="P288" s="131"/>
      <c r="Q288" s="131"/>
      <c r="R288" s="131"/>
      <c r="S288" s="131"/>
      <c r="T288" s="131"/>
      <c r="U288" s="131"/>
      <c r="V288" s="131"/>
      <c r="W288" s="131"/>
      <c r="X288" s="131"/>
    </row>
    <row r="289" spans="1:24" ht="13.5" customHeight="1">
      <c r="A289" s="132"/>
      <c r="B289" s="131"/>
      <c r="C289" s="131"/>
      <c r="D289" s="132"/>
      <c r="E289" s="132"/>
      <c r="F289" s="132"/>
      <c r="G289" s="132"/>
      <c r="H289" s="132"/>
      <c r="I289" s="131"/>
      <c r="J289" s="131"/>
      <c r="K289" s="131"/>
      <c r="L289" s="131"/>
      <c r="M289" s="131"/>
      <c r="N289" s="131"/>
      <c r="O289" s="131"/>
      <c r="P289" s="131"/>
      <c r="Q289" s="131"/>
      <c r="R289" s="131"/>
      <c r="S289" s="131"/>
      <c r="T289" s="131"/>
      <c r="U289" s="131"/>
      <c r="V289" s="131"/>
      <c r="W289" s="131"/>
      <c r="X289" s="131"/>
    </row>
    <row r="290" spans="1:24" ht="13.5" customHeight="1">
      <c r="A290" s="132"/>
      <c r="B290" s="131"/>
      <c r="C290" s="131"/>
      <c r="D290" s="132"/>
      <c r="E290" s="132"/>
      <c r="F290" s="132"/>
      <c r="G290" s="132"/>
      <c r="H290" s="132"/>
      <c r="I290" s="131"/>
      <c r="J290" s="131"/>
      <c r="K290" s="131"/>
      <c r="L290" s="131"/>
      <c r="M290" s="131"/>
      <c r="N290" s="131"/>
      <c r="O290" s="131"/>
      <c r="P290" s="131"/>
      <c r="Q290" s="131"/>
      <c r="R290" s="131"/>
      <c r="S290" s="131"/>
      <c r="T290" s="131"/>
      <c r="U290" s="131"/>
      <c r="V290" s="131"/>
      <c r="W290" s="131"/>
      <c r="X290" s="131"/>
    </row>
    <row r="291" spans="1:24" ht="13.5" customHeight="1">
      <c r="A291" s="132"/>
      <c r="B291" s="131"/>
      <c r="C291" s="131"/>
      <c r="D291" s="132"/>
      <c r="E291" s="132"/>
      <c r="F291" s="132"/>
      <c r="G291" s="132"/>
      <c r="H291" s="132"/>
      <c r="I291" s="131"/>
      <c r="J291" s="131"/>
      <c r="K291" s="131"/>
      <c r="L291" s="131"/>
      <c r="M291" s="131"/>
      <c r="N291" s="131"/>
      <c r="O291" s="131"/>
      <c r="P291" s="131"/>
      <c r="Q291" s="131"/>
      <c r="R291" s="131"/>
      <c r="S291" s="131"/>
      <c r="T291" s="131"/>
      <c r="U291" s="131"/>
      <c r="V291" s="131"/>
      <c r="W291" s="131"/>
      <c r="X291" s="131"/>
    </row>
    <row r="292" spans="1:24" ht="13.5" customHeight="1">
      <c r="A292" s="132"/>
      <c r="B292" s="131"/>
      <c r="C292" s="131"/>
      <c r="D292" s="132"/>
      <c r="E292" s="132"/>
      <c r="F292" s="132"/>
      <c r="G292" s="132"/>
      <c r="H292" s="132"/>
      <c r="I292" s="131"/>
      <c r="J292" s="131"/>
      <c r="K292" s="131"/>
      <c r="L292" s="131"/>
      <c r="M292" s="131"/>
      <c r="N292" s="131"/>
      <c r="O292" s="131"/>
      <c r="P292" s="131"/>
      <c r="Q292" s="131"/>
      <c r="R292" s="131"/>
      <c r="S292" s="131"/>
      <c r="T292" s="131"/>
      <c r="U292" s="131"/>
      <c r="V292" s="131"/>
      <c r="W292" s="131"/>
      <c r="X292" s="131"/>
    </row>
    <row r="293" spans="1:24" ht="13.5" customHeight="1">
      <c r="A293" s="132"/>
      <c r="B293" s="131"/>
      <c r="C293" s="131"/>
      <c r="D293" s="132"/>
      <c r="E293" s="132"/>
      <c r="F293" s="132"/>
      <c r="G293" s="132"/>
      <c r="H293" s="132"/>
      <c r="I293" s="131"/>
      <c r="J293" s="131"/>
      <c r="K293" s="131"/>
      <c r="L293" s="131"/>
      <c r="M293" s="131"/>
      <c r="N293" s="131"/>
      <c r="O293" s="131"/>
      <c r="P293" s="131"/>
      <c r="Q293" s="131"/>
      <c r="R293" s="131"/>
      <c r="S293" s="131"/>
      <c r="T293" s="131"/>
      <c r="U293" s="131"/>
      <c r="V293" s="131"/>
      <c r="W293" s="131"/>
      <c r="X293" s="131"/>
    </row>
    <row r="294" spans="1:24" ht="13.5" customHeight="1">
      <c r="A294" s="132"/>
      <c r="B294" s="131"/>
      <c r="C294" s="131"/>
      <c r="D294" s="132"/>
      <c r="E294" s="132"/>
      <c r="F294" s="132"/>
      <c r="G294" s="132"/>
      <c r="H294" s="132"/>
      <c r="I294" s="131"/>
      <c r="J294" s="131"/>
      <c r="K294" s="131"/>
      <c r="L294" s="131"/>
      <c r="M294" s="131"/>
      <c r="N294" s="131"/>
      <c r="O294" s="131"/>
      <c r="P294" s="131"/>
      <c r="Q294" s="131"/>
      <c r="R294" s="131"/>
      <c r="S294" s="131"/>
      <c r="T294" s="131"/>
      <c r="U294" s="131"/>
      <c r="V294" s="131"/>
      <c r="W294" s="131"/>
      <c r="X294" s="131"/>
    </row>
    <row r="295" spans="1:24" ht="13.5" customHeight="1">
      <c r="A295" s="132"/>
      <c r="B295" s="131"/>
      <c r="C295" s="131"/>
      <c r="D295" s="132"/>
      <c r="E295" s="132"/>
      <c r="F295" s="132"/>
      <c r="G295" s="132"/>
      <c r="H295" s="132"/>
      <c r="I295" s="131"/>
      <c r="J295" s="131"/>
      <c r="K295" s="131"/>
      <c r="L295" s="131"/>
      <c r="M295" s="131"/>
      <c r="N295" s="131"/>
      <c r="O295" s="131"/>
      <c r="P295" s="131"/>
      <c r="Q295" s="131"/>
      <c r="R295" s="131"/>
      <c r="S295" s="131"/>
      <c r="T295" s="131"/>
      <c r="U295" s="131"/>
      <c r="V295" s="131"/>
      <c r="W295" s="131"/>
      <c r="X295" s="131"/>
    </row>
    <row r="296" spans="1:24" ht="13.5" customHeight="1">
      <c r="A296" s="132"/>
      <c r="B296" s="131"/>
      <c r="C296" s="131"/>
      <c r="D296" s="132"/>
      <c r="E296" s="132"/>
      <c r="F296" s="132"/>
      <c r="G296" s="132"/>
      <c r="H296" s="132"/>
      <c r="I296" s="131"/>
      <c r="J296" s="131"/>
      <c r="K296" s="131"/>
      <c r="L296" s="131"/>
      <c r="M296" s="131"/>
      <c r="N296" s="131"/>
      <c r="O296" s="131"/>
      <c r="P296" s="131"/>
      <c r="Q296" s="131"/>
      <c r="R296" s="131"/>
      <c r="S296" s="131"/>
      <c r="T296" s="131"/>
      <c r="U296" s="131"/>
      <c r="V296" s="131"/>
      <c r="W296" s="131"/>
      <c r="X296" s="131"/>
    </row>
    <row r="297" spans="1:24" ht="13.5" customHeight="1">
      <c r="A297" s="132"/>
      <c r="B297" s="131"/>
      <c r="C297" s="131"/>
      <c r="D297" s="132"/>
      <c r="E297" s="132"/>
      <c r="F297" s="132"/>
      <c r="G297" s="132"/>
      <c r="H297" s="132"/>
      <c r="I297" s="131"/>
      <c r="J297" s="131"/>
      <c r="K297" s="131"/>
      <c r="L297" s="131"/>
      <c r="M297" s="131"/>
      <c r="N297" s="131"/>
      <c r="O297" s="131"/>
      <c r="P297" s="131"/>
      <c r="Q297" s="131"/>
      <c r="R297" s="131"/>
      <c r="S297" s="131"/>
      <c r="T297" s="131"/>
      <c r="U297" s="131"/>
      <c r="V297" s="131"/>
      <c r="W297" s="131"/>
      <c r="X297" s="131"/>
    </row>
    <row r="298" spans="1:24" ht="13.5" customHeight="1">
      <c r="A298" s="132"/>
      <c r="B298" s="131"/>
      <c r="C298" s="131"/>
      <c r="D298" s="132"/>
      <c r="E298" s="132"/>
      <c r="F298" s="132"/>
      <c r="G298" s="132"/>
      <c r="H298" s="132"/>
      <c r="I298" s="131"/>
      <c r="J298" s="131"/>
      <c r="K298" s="131"/>
      <c r="L298" s="131"/>
      <c r="M298" s="131"/>
      <c r="N298" s="131"/>
      <c r="O298" s="131"/>
      <c r="P298" s="131"/>
      <c r="Q298" s="131"/>
      <c r="R298" s="131"/>
      <c r="S298" s="131"/>
      <c r="T298" s="131"/>
      <c r="U298" s="131"/>
      <c r="V298" s="131"/>
      <c r="W298" s="131"/>
      <c r="X298" s="131"/>
    </row>
    <row r="299" spans="1:24" ht="13.5" customHeight="1">
      <c r="A299" s="132"/>
      <c r="B299" s="131"/>
      <c r="C299" s="131"/>
      <c r="D299" s="132"/>
      <c r="E299" s="132"/>
      <c r="F299" s="132"/>
      <c r="G299" s="132"/>
      <c r="H299" s="132"/>
      <c r="I299" s="131"/>
      <c r="J299" s="131"/>
      <c r="K299" s="131"/>
      <c r="L299" s="131"/>
      <c r="M299" s="131"/>
      <c r="N299" s="131"/>
      <c r="O299" s="131"/>
      <c r="P299" s="131"/>
      <c r="Q299" s="131"/>
      <c r="R299" s="131"/>
      <c r="S299" s="131"/>
      <c r="T299" s="131"/>
      <c r="U299" s="131"/>
      <c r="V299" s="131"/>
      <c r="W299" s="131"/>
      <c r="X299" s="131"/>
    </row>
    <row r="300" spans="1:24" ht="13.5" customHeight="1">
      <c r="A300" s="132"/>
      <c r="B300" s="131"/>
      <c r="C300" s="131"/>
      <c r="D300" s="132"/>
      <c r="E300" s="132"/>
      <c r="F300" s="132"/>
      <c r="G300" s="132"/>
      <c r="H300" s="132"/>
      <c r="I300" s="131"/>
      <c r="J300" s="131"/>
      <c r="K300" s="131"/>
      <c r="L300" s="131"/>
      <c r="M300" s="131"/>
      <c r="N300" s="131"/>
      <c r="O300" s="131"/>
      <c r="P300" s="131"/>
      <c r="Q300" s="131"/>
      <c r="R300" s="131"/>
      <c r="S300" s="131"/>
      <c r="T300" s="131"/>
      <c r="U300" s="131"/>
      <c r="V300" s="131"/>
      <c r="W300" s="131"/>
      <c r="X300" s="131"/>
    </row>
    <row r="301" spans="1:24" ht="13.5" customHeight="1">
      <c r="A301" s="132"/>
      <c r="B301" s="131"/>
      <c r="C301" s="131"/>
      <c r="D301" s="132"/>
      <c r="E301" s="132"/>
      <c r="F301" s="132"/>
      <c r="G301" s="132"/>
      <c r="H301" s="132"/>
      <c r="I301" s="131"/>
      <c r="J301" s="131"/>
      <c r="K301" s="131"/>
      <c r="L301" s="131"/>
      <c r="M301" s="131"/>
      <c r="N301" s="131"/>
      <c r="O301" s="131"/>
      <c r="P301" s="131"/>
      <c r="Q301" s="131"/>
      <c r="R301" s="131"/>
      <c r="S301" s="131"/>
      <c r="T301" s="131"/>
      <c r="U301" s="131"/>
      <c r="V301" s="131"/>
      <c r="W301" s="131"/>
      <c r="X301" s="131"/>
    </row>
    <row r="302" spans="1:24" ht="13.5" customHeight="1">
      <c r="A302" s="132"/>
      <c r="B302" s="131"/>
      <c r="C302" s="131"/>
      <c r="D302" s="132"/>
      <c r="E302" s="132"/>
      <c r="F302" s="132"/>
      <c r="G302" s="132"/>
      <c r="H302" s="132"/>
      <c r="I302" s="131"/>
      <c r="J302" s="131"/>
      <c r="K302" s="131"/>
      <c r="L302" s="131"/>
      <c r="M302" s="131"/>
      <c r="N302" s="131"/>
      <c r="O302" s="131"/>
      <c r="P302" s="131"/>
      <c r="Q302" s="131"/>
      <c r="R302" s="131"/>
      <c r="S302" s="131"/>
      <c r="T302" s="131"/>
      <c r="U302" s="131"/>
      <c r="V302" s="131"/>
      <c r="W302" s="131"/>
      <c r="X302" s="131"/>
    </row>
    <row r="303" spans="1:24" ht="13.5" customHeight="1">
      <c r="A303" s="132"/>
      <c r="B303" s="131"/>
      <c r="C303" s="131"/>
      <c r="D303" s="132"/>
      <c r="E303" s="132"/>
      <c r="F303" s="132"/>
      <c r="G303" s="132"/>
      <c r="H303" s="132"/>
      <c r="I303" s="131"/>
      <c r="J303" s="131"/>
      <c r="K303" s="131"/>
      <c r="L303" s="131"/>
      <c r="M303" s="131"/>
      <c r="N303" s="131"/>
      <c r="O303" s="131"/>
      <c r="P303" s="131"/>
      <c r="Q303" s="131"/>
      <c r="R303" s="131"/>
      <c r="S303" s="131"/>
      <c r="T303" s="131"/>
      <c r="U303" s="131"/>
      <c r="V303" s="131"/>
      <c r="W303" s="131"/>
      <c r="X303" s="131"/>
    </row>
    <row r="304" spans="1:24" ht="13.5" customHeight="1">
      <c r="A304" s="132"/>
      <c r="B304" s="131"/>
      <c r="C304" s="131"/>
      <c r="D304" s="132"/>
      <c r="E304" s="132"/>
      <c r="F304" s="132"/>
      <c r="G304" s="132"/>
      <c r="H304" s="132"/>
      <c r="I304" s="131"/>
      <c r="J304" s="131"/>
      <c r="K304" s="131"/>
      <c r="L304" s="131"/>
      <c r="M304" s="131"/>
      <c r="N304" s="131"/>
      <c r="O304" s="131"/>
      <c r="P304" s="131"/>
      <c r="Q304" s="131"/>
      <c r="R304" s="131"/>
      <c r="S304" s="131"/>
      <c r="T304" s="131"/>
      <c r="U304" s="131"/>
      <c r="V304" s="131"/>
      <c r="W304" s="131"/>
      <c r="X304" s="131"/>
    </row>
    <row r="305" spans="1:24" ht="13.5" customHeight="1">
      <c r="A305" s="132"/>
      <c r="B305" s="131"/>
      <c r="C305" s="131"/>
      <c r="D305" s="132"/>
      <c r="E305" s="132"/>
      <c r="F305" s="132"/>
      <c r="G305" s="132"/>
      <c r="H305" s="132"/>
      <c r="I305" s="131"/>
      <c r="J305" s="131"/>
      <c r="K305" s="131"/>
      <c r="L305" s="131"/>
      <c r="M305" s="131"/>
      <c r="N305" s="131"/>
      <c r="O305" s="131"/>
      <c r="P305" s="131"/>
      <c r="Q305" s="131"/>
      <c r="R305" s="131"/>
      <c r="S305" s="131"/>
      <c r="T305" s="131"/>
      <c r="U305" s="131"/>
      <c r="V305" s="131"/>
      <c r="W305" s="131"/>
      <c r="X305" s="131"/>
    </row>
    <row r="306" spans="1:24" ht="13.5" customHeight="1">
      <c r="A306" s="132"/>
      <c r="B306" s="131"/>
      <c r="C306" s="131"/>
      <c r="D306" s="132"/>
      <c r="E306" s="132"/>
      <c r="F306" s="132"/>
      <c r="G306" s="132"/>
      <c r="H306" s="132"/>
      <c r="I306" s="131"/>
      <c r="J306" s="131"/>
      <c r="K306" s="131"/>
      <c r="L306" s="131"/>
      <c r="M306" s="131"/>
      <c r="N306" s="131"/>
      <c r="O306" s="131"/>
      <c r="P306" s="131"/>
      <c r="Q306" s="131"/>
      <c r="R306" s="131"/>
      <c r="S306" s="131"/>
      <c r="T306" s="131"/>
      <c r="U306" s="131"/>
      <c r="V306" s="131"/>
      <c r="W306" s="131"/>
      <c r="X306" s="131"/>
    </row>
    <row r="307" spans="1:24" ht="13.5" customHeight="1">
      <c r="A307" s="132"/>
      <c r="B307" s="131"/>
      <c r="C307" s="131"/>
      <c r="D307" s="132"/>
      <c r="E307" s="132"/>
      <c r="F307" s="132"/>
      <c r="G307" s="132"/>
      <c r="H307" s="132"/>
      <c r="I307" s="131"/>
      <c r="J307" s="131"/>
      <c r="K307" s="131"/>
      <c r="L307" s="131"/>
      <c r="M307" s="131"/>
      <c r="N307" s="131"/>
      <c r="O307" s="131"/>
      <c r="P307" s="131"/>
      <c r="Q307" s="131"/>
      <c r="R307" s="131"/>
      <c r="S307" s="131"/>
      <c r="T307" s="131"/>
      <c r="U307" s="131"/>
      <c r="V307" s="131"/>
      <c r="W307" s="131"/>
      <c r="X307" s="131"/>
    </row>
    <row r="308" spans="1:24" ht="13.5" customHeight="1">
      <c r="A308" s="132"/>
      <c r="B308" s="131"/>
      <c r="C308" s="131"/>
      <c r="D308" s="132"/>
      <c r="E308" s="132"/>
      <c r="F308" s="132"/>
      <c r="G308" s="132"/>
      <c r="H308" s="132"/>
      <c r="I308" s="131"/>
      <c r="J308" s="131"/>
      <c r="K308" s="131"/>
      <c r="L308" s="131"/>
      <c r="M308" s="131"/>
      <c r="N308" s="131"/>
      <c r="O308" s="131"/>
      <c r="P308" s="131"/>
      <c r="Q308" s="131"/>
      <c r="R308" s="131"/>
      <c r="S308" s="131"/>
      <c r="T308" s="131"/>
      <c r="U308" s="131"/>
      <c r="V308" s="131"/>
      <c r="W308" s="131"/>
      <c r="X308" s="131"/>
    </row>
    <row r="309" spans="1:24" ht="13.5" customHeight="1">
      <c r="A309" s="132"/>
      <c r="B309" s="131"/>
      <c r="C309" s="131"/>
      <c r="D309" s="132"/>
      <c r="E309" s="132"/>
      <c r="F309" s="132"/>
      <c r="G309" s="132"/>
      <c r="H309" s="132"/>
      <c r="I309" s="131"/>
      <c r="J309" s="131"/>
      <c r="K309" s="131"/>
      <c r="L309" s="131"/>
      <c r="M309" s="131"/>
      <c r="N309" s="131"/>
      <c r="O309" s="131"/>
      <c r="P309" s="131"/>
      <c r="Q309" s="131"/>
      <c r="R309" s="131"/>
      <c r="S309" s="131"/>
      <c r="T309" s="131"/>
      <c r="U309" s="131"/>
      <c r="V309" s="131"/>
      <c r="W309" s="131"/>
      <c r="X309" s="131"/>
    </row>
    <row r="310" spans="1:24" ht="13.5" customHeight="1">
      <c r="A310" s="132"/>
      <c r="B310" s="131"/>
      <c r="C310" s="131"/>
      <c r="D310" s="132"/>
      <c r="E310" s="132"/>
      <c r="F310" s="132"/>
      <c r="G310" s="132"/>
      <c r="H310" s="132"/>
      <c r="I310" s="131"/>
      <c r="J310" s="131"/>
      <c r="K310" s="131"/>
      <c r="L310" s="131"/>
      <c r="M310" s="131"/>
      <c r="N310" s="131"/>
      <c r="O310" s="131"/>
      <c r="P310" s="131"/>
      <c r="Q310" s="131"/>
      <c r="R310" s="131"/>
      <c r="S310" s="131"/>
      <c r="T310" s="131"/>
      <c r="U310" s="131"/>
      <c r="V310" s="131"/>
      <c r="W310" s="131"/>
      <c r="X310" s="131"/>
    </row>
    <row r="311" spans="1:24" ht="13.5" customHeight="1">
      <c r="A311" s="132"/>
      <c r="B311" s="131"/>
      <c r="C311" s="131"/>
      <c r="D311" s="132"/>
      <c r="E311" s="132"/>
      <c r="F311" s="132"/>
      <c r="G311" s="132"/>
      <c r="H311" s="132"/>
      <c r="I311" s="131"/>
      <c r="J311" s="131"/>
      <c r="K311" s="131"/>
      <c r="L311" s="131"/>
      <c r="M311" s="131"/>
      <c r="N311" s="131"/>
      <c r="O311" s="131"/>
      <c r="P311" s="131"/>
      <c r="Q311" s="131"/>
      <c r="R311" s="131"/>
      <c r="S311" s="131"/>
      <c r="T311" s="131"/>
      <c r="U311" s="131"/>
      <c r="V311" s="131"/>
      <c r="W311" s="131"/>
      <c r="X311" s="131"/>
    </row>
    <row r="312" spans="1:24" ht="13.5" customHeight="1">
      <c r="A312" s="132"/>
      <c r="B312" s="131"/>
      <c r="C312" s="131"/>
      <c r="D312" s="132"/>
      <c r="E312" s="132"/>
      <c r="F312" s="132"/>
      <c r="G312" s="132"/>
      <c r="H312" s="132"/>
      <c r="I312" s="131"/>
      <c r="J312" s="131"/>
      <c r="K312" s="131"/>
      <c r="L312" s="131"/>
      <c r="M312" s="131"/>
      <c r="N312" s="131"/>
      <c r="O312" s="131"/>
      <c r="P312" s="131"/>
      <c r="Q312" s="131"/>
      <c r="R312" s="131"/>
      <c r="S312" s="131"/>
      <c r="T312" s="131"/>
      <c r="U312" s="131"/>
      <c r="V312" s="131"/>
      <c r="W312" s="131"/>
      <c r="X312" s="131"/>
    </row>
    <row r="313" spans="1:24" ht="13.5" customHeight="1">
      <c r="A313" s="132"/>
      <c r="B313" s="131"/>
      <c r="C313" s="131"/>
      <c r="D313" s="132"/>
      <c r="E313" s="132"/>
      <c r="F313" s="132"/>
      <c r="G313" s="132"/>
      <c r="H313" s="132"/>
      <c r="I313" s="131"/>
      <c r="J313" s="131"/>
      <c r="K313" s="131"/>
      <c r="L313" s="131"/>
      <c r="M313" s="131"/>
      <c r="N313" s="131"/>
      <c r="O313" s="131"/>
      <c r="P313" s="131"/>
      <c r="Q313" s="131"/>
      <c r="R313" s="131"/>
      <c r="S313" s="131"/>
      <c r="T313" s="131"/>
      <c r="U313" s="131"/>
      <c r="V313" s="131"/>
      <c r="W313" s="131"/>
      <c r="X313" s="131"/>
    </row>
    <row r="314" spans="1:24" ht="13.5" customHeight="1">
      <c r="A314" s="132"/>
      <c r="B314" s="131"/>
      <c r="C314" s="131"/>
      <c r="D314" s="132"/>
      <c r="E314" s="132"/>
      <c r="F314" s="132"/>
      <c r="G314" s="132"/>
      <c r="H314" s="132"/>
      <c r="I314" s="131"/>
      <c r="J314" s="131"/>
      <c r="K314" s="131"/>
      <c r="L314" s="131"/>
      <c r="M314" s="131"/>
      <c r="N314" s="131"/>
      <c r="O314" s="131"/>
      <c r="P314" s="131"/>
      <c r="Q314" s="131"/>
      <c r="R314" s="131"/>
      <c r="S314" s="131"/>
      <c r="T314" s="131"/>
      <c r="U314" s="131"/>
      <c r="V314" s="131"/>
      <c r="W314" s="131"/>
      <c r="X314" s="131"/>
    </row>
    <row r="315" spans="1:24" ht="13.5" customHeight="1">
      <c r="A315" s="132"/>
      <c r="B315" s="131"/>
      <c r="C315" s="131"/>
      <c r="D315" s="132"/>
      <c r="E315" s="132"/>
      <c r="F315" s="132"/>
      <c r="G315" s="132"/>
      <c r="H315" s="132"/>
      <c r="I315" s="131"/>
      <c r="J315" s="131"/>
      <c r="K315" s="131"/>
      <c r="L315" s="131"/>
      <c r="M315" s="131"/>
      <c r="N315" s="131"/>
      <c r="O315" s="131"/>
      <c r="P315" s="131"/>
      <c r="Q315" s="131"/>
      <c r="R315" s="131"/>
      <c r="S315" s="131"/>
      <c r="T315" s="131"/>
      <c r="U315" s="131"/>
      <c r="V315" s="131"/>
      <c r="W315" s="131"/>
      <c r="X315" s="131"/>
    </row>
    <row r="316" spans="1:24" ht="13.5" customHeight="1">
      <c r="A316" s="132"/>
      <c r="B316" s="131"/>
      <c r="C316" s="131"/>
      <c r="D316" s="132"/>
      <c r="E316" s="132"/>
      <c r="F316" s="132"/>
      <c r="G316" s="132"/>
      <c r="H316" s="132"/>
      <c r="I316" s="131"/>
      <c r="J316" s="131"/>
      <c r="K316" s="131"/>
      <c r="L316" s="131"/>
      <c r="M316" s="131"/>
      <c r="N316" s="131"/>
      <c r="O316" s="131"/>
      <c r="P316" s="131"/>
      <c r="Q316" s="131"/>
      <c r="R316" s="131"/>
      <c r="S316" s="131"/>
      <c r="T316" s="131"/>
      <c r="U316" s="131"/>
      <c r="V316" s="131"/>
      <c r="W316" s="131"/>
      <c r="X316" s="131"/>
    </row>
    <row r="317" spans="1:24" ht="13.5" customHeight="1">
      <c r="A317" s="132"/>
      <c r="B317" s="131"/>
      <c r="C317" s="131"/>
      <c r="D317" s="132"/>
      <c r="E317" s="132"/>
      <c r="F317" s="132"/>
      <c r="G317" s="132"/>
      <c r="H317" s="132"/>
      <c r="I317" s="131"/>
      <c r="J317" s="131"/>
      <c r="K317" s="131"/>
      <c r="L317" s="131"/>
      <c r="M317" s="131"/>
      <c r="N317" s="131"/>
      <c r="O317" s="131"/>
      <c r="P317" s="131"/>
      <c r="Q317" s="131"/>
      <c r="R317" s="131"/>
      <c r="S317" s="131"/>
      <c r="T317" s="131"/>
      <c r="U317" s="131"/>
      <c r="V317" s="131"/>
      <c r="W317" s="131"/>
      <c r="X317" s="131"/>
    </row>
    <row r="318" spans="1:24" ht="13.5" customHeight="1">
      <c r="A318" s="132"/>
      <c r="B318" s="131"/>
      <c r="C318" s="131"/>
      <c r="D318" s="132"/>
      <c r="E318" s="132"/>
      <c r="F318" s="132"/>
      <c r="G318" s="132"/>
      <c r="H318" s="132"/>
      <c r="I318" s="131"/>
      <c r="J318" s="131"/>
      <c r="K318" s="131"/>
      <c r="L318" s="131"/>
      <c r="M318" s="131"/>
      <c r="N318" s="131"/>
      <c r="O318" s="131"/>
      <c r="P318" s="131"/>
      <c r="Q318" s="131"/>
      <c r="R318" s="131"/>
      <c r="S318" s="131"/>
      <c r="T318" s="131"/>
      <c r="U318" s="131"/>
      <c r="V318" s="131"/>
      <c r="W318" s="131"/>
      <c r="X318" s="131"/>
    </row>
    <row r="319" spans="1:24" ht="13.5" customHeight="1">
      <c r="A319" s="132"/>
      <c r="B319" s="131"/>
      <c r="C319" s="131"/>
      <c r="D319" s="132"/>
      <c r="E319" s="132"/>
      <c r="F319" s="132"/>
      <c r="G319" s="132"/>
      <c r="H319" s="132"/>
      <c r="I319" s="131"/>
      <c r="J319" s="131"/>
      <c r="K319" s="131"/>
      <c r="L319" s="131"/>
      <c r="M319" s="131"/>
      <c r="N319" s="131"/>
      <c r="O319" s="131"/>
      <c r="P319" s="131"/>
      <c r="Q319" s="131"/>
      <c r="R319" s="131"/>
      <c r="S319" s="131"/>
      <c r="T319" s="131"/>
      <c r="U319" s="131"/>
      <c r="V319" s="131"/>
      <c r="W319" s="131"/>
      <c r="X319" s="131"/>
    </row>
    <row r="320" spans="1:24" ht="13.5" customHeight="1">
      <c r="A320" s="132"/>
      <c r="B320" s="131"/>
      <c r="C320" s="131"/>
      <c r="D320" s="132"/>
      <c r="E320" s="132"/>
      <c r="F320" s="132"/>
      <c r="G320" s="132"/>
      <c r="H320" s="132"/>
      <c r="I320" s="131"/>
      <c r="J320" s="131"/>
      <c r="K320" s="131"/>
      <c r="L320" s="131"/>
      <c r="M320" s="131"/>
      <c r="N320" s="131"/>
      <c r="O320" s="131"/>
      <c r="P320" s="131"/>
      <c r="Q320" s="131"/>
      <c r="R320" s="131"/>
      <c r="S320" s="131"/>
      <c r="T320" s="131"/>
      <c r="U320" s="131"/>
      <c r="V320" s="131"/>
      <c r="W320" s="131"/>
      <c r="X320" s="131"/>
    </row>
    <row r="321" spans="1:24" ht="13.5" customHeight="1">
      <c r="A321" s="132"/>
      <c r="B321" s="131"/>
      <c r="C321" s="131"/>
      <c r="D321" s="132"/>
      <c r="E321" s="132"/>
      <c r="F321" s="132"/>
      <c r="G321" s="132"/>
      <c r="H321" s="132"/>
      <c r="I321" s="131"/>
      <c r="J321" s="131"/>
      <c r="K321" s="131"/>
      <c r="L321" s="131"/>
      <c r="M321" s="131"/>
      <c r="N321" s="131"/>
      <c r="O321" s="131"/>
      <c r="P321" s="131"/>
      <c r="Q321" s="131"/>
      <c r="R321" s="131"/>
      <c r="S321" s="131"/>
      <c r="T321" s="131"/>
      <c r="U321" s="131"/>
      <c r="V321" s="131"/>
      <c r="W321" s="131"/>
      <c r="X321" s="131"/>
    </row>
    <row r="322" spans="1:24" ht="13.5" customHeight="1">
      <c r="A322" s="132"/>
      <c r="B322" s="131"/>
      <c r="C322" s="131"/>
      <c r="D322" s="132"/>
      <c r="E322" s="132"/>
      <c r="F322" s="132"/>
      <c r="G322" s="132"/>
      <c r="H322" s="132"/>
      <c r="I322" s="131"/>
      <c r="J322" s="131"/>
      <c r="K322" s="131"/>
      <c r="L322" s="131"/>
      <c r="M322" s="131"/>
      <c r="N322" s="131"/>
      <c r="O322" s="131"/>
      <c r="P322" s="131"/>
      <c r="Q322" s="131"/>
      <c r="R322" s="131"/>
      <c r="S322" s="131"/>
      <c r="T322" s="131"/>
      <c r="U322" s="131"/>
      <c r="V322" s="131"/>
      <c r="W322" s="131"/>
      <c r="X322" s="131"/>
    </row>
    <row r="323" spans="1:24" ht="13.5" customHeight="1">
      <c r="A323" s="132"/>
      <c r="B323" s="131"/>
      <c r="C323" s="131"/>
      <c r="D323" s="132"/>
      <c r="E323" s="132"/>
      <c r="F323" s="132"/>
      <c r="G323" s="132"/>
      <c r="H323" s="132"/>
      <c r="I323" s="131"/>
      <c r="J323" s="131"/>
      <c r="K323" s="131"/>
      <c r="L323" s="131"/>
      <c r="M323" s="131"/>
      <c r="N323" s="131"/>
      <c r="O323" s="131"/>
      <c r="P323" s="131"/>
      <c r="Q323" s="131"/>
      <c r="R323" s="131"/>
      <c r="S323" s="131"/>
      <c r="T323" s="131"/>
      <c r="U323" s="131"/>
      <c r="V323" s="131"/>
      <c r="W323" s="131"/>
      <c r="X323" s="131"/>
    </row>
    <row r="324" spans="1:24" ht="13.5" customHeight="1">
      <c r="A324" s="132"/>
      <c r="B324" s="131"/>
      <c r="C324" s="131"/>
      <c r="D324" s="132"/>
      <c r="E324" s="132"/>
      <c r="F324" s="132"/>
      <c r="G324" s="132"/>
      <c r="H324" s="132"/>
      <c r="I324" s="131"/>
      <c r="J324" s="131"/>
      <c r="K324" s="131"/>
      <c r="L324" s="131"/>
      <c r="M324" s="131"/>
      <c r="N324" s="131"/>
      <c r="O324" s="131"/>
      <c r="P324" s="131"/>
      <c r="Q324" s="131"/>
      <c r="R324" s="131"/>
      <c r="S324" s="131"/>
      <c r="T324" s="131"/>
      <c r="U324" s="131"/>
      <c r="V324" s="131"/>
      <c r="W324" s="131"/>
      <c r="X324" s="131"/>
    </row>
    <row r="325" spans="1:24" ht="13.5" customHeight="1">
      <c r="A325" s="132"/>
      <c r="B325" s="131"/>
      <c r="C325" s="131"/>
      <c r="D325" s="132"/>
      <c r="E325" s="132"/>
      <c r="F325" s="132"/>
      <c r="G325" s="132"/>
      <c r="H325" s="132"/>
      <c r="I325" s="131"/>
      <c r="J325" s="131"/>
      <c r="K325" s="131"/>
      <c r="L325" s="131"/>
      <c r="M325" s="131"/>
      <c r="N325" s="131"/>
      <c r="O325" s="131"/>
      <c r="P325" s="131"/>
      <c r="Q325" s="131"/>
      <c r="R325" s="131"/>
      <c r="S325" s="131"/>
      <c r="T325" s="131"/>
      <c r="U325" s="131"/>
      <c r="V325" s="131"/>
      <c r="W325" s="131"/>
      <c r="X325" s="131"/>
    </row>
    <row r="326" spans="1:24" ht="13.5" customHeight="1">
      <c r="A326" s="132"/>
      <c r="B326" s="131"/>
      <c r="C326" s="131"/>
      <c r="D326" s="132"/>
      <c r="E326" s="132"/>
      <c r="F326" s="132"/>
      <c r="G326" s="132"/>
      <c r="H326" s="132"/>
      <c r="I326" s="131"/>
      <c r="J326" s="131"/>
      <c r="K326" s="131"/>
      <c r="L326" s="131"/>
      <c r="M326" s="131"/>
      <c r="N326" s="131"/>
      <c r="O326" s="131"/>
      <c r="P326" s="131"/>
      <c r="Q326" s="131"/>
      <c r="R326" s="131"/>
      <c r="S326" s="131"/>
      <c r="T326" s="131"/>
      <c r="U326" s="131"/>
      <c r="V326" s="131"/>
      <c r="W326" s="131"/>
      <c r="X326" s="131"/>
    </row>
    <row r="327" spans="1:24" ht="13.5" customHeight="1">
      <c r="A327" s="132"/>
      <c r="B327" s="131"/>
      <c r="C327" s="131"/>
      <c r="D327" s="132"/>
      <c r="E327" s="132"/>
      <c r="F327" s="132"/>
      <c r="G327" s="132"/>
      <c r="H327" s="132"/>
      <c r="I327" s="131"/>
      <c r="J327" s="131"/>
      <c r="K327" s="131"/>
      <c r="L327" s="131"/>
      <c r="M327" s="131"/>
      <c r="N327" s="131"/>
      <c r="O327" s="131"/>
      <c r="P327" s="131"/>
      <c r="Q327" s="131"/>
      <c r="R327" s="131"/>
      <c r="S327" s="131"/>
      <c r="T327" s="131"/>
      <c r="U327" s="131"/>
      <c r="V327" s="131"/>
      <c r="W327" s="131"/>
      <c r="X327" s="131"/>
    </row>
    <row r="328" spans="1:24" ht="13.5" customHeight="1">
      <c r="A328" s="132"/>
      <c r="B328" s="131"/>
      <c r="C328" s="131"/>
      <c r="D328" s="132"/>
      <c r="E328" s="132"/>
      <c r="F328" s="132"/>
      <c r="G328" s="132"/>
      <c r="H328" s="132"/>
      <c r="I328" s="131"/>
      <c r="J328" s="131"/>
      <c r="K328" s="131"/>
      <c r="L328" s="131"/>
      <c r="M328" s="131"/>
      <c r="N328" s="131"/>
      <c r="O328" s="131"/>
      <c r="P328" s="131"/>
      <c r="Q328" s="131"/>
      <c r="R328" s="131"/>
      <c r="S328" s="131"/>
      <c r="T328" s="131"/>
      <c r="U328" s="131"/>
      <c r="V328" s="131"/>
      <c r="W328" s="131"/>
      <c r="X328" s="131"/>
    </row>
    <row r="329" spans="1:24" ht="13.5" customHeight="1">
      <c r="A329" s="132"/>
      <c r="B329" s="131"/>
      <c r="C329" s="131"/>
      <c r="D329" s="132"/>
      <c r="E329" s="132"/>
      <c r="F329" s="132"/>
      <c r="G329" s="132"/>
      <c r="H329" s="132"/>
      <c r="I329" s="131"/>
      <c r="J329" s="131"/>
      <c r="K329" s="131"/>
      <c r="L329" s="131"/>
      <c r="M329" s="131"/>
      <c r="N329" s="131"/>
      <c r="O329" s="131"/>
      <c r="P329" s="131"/>
      <c r="Q329" s="131"/>
      <c r="R329" s="131"/>
      <c r="S329" s="131"/>
      <c r="T329" s="131"/>
      <c r="U329" s="131"/>
      <c r="V329" s="131"/>
      <c r="W329" s="131"/>
      <c r="X329" s="131"/>
    </row>
    <row r="330" spans="1:24" ht="13.5" customHeight="1">
      <c r="A330" s="132"/>
      <c r="B330" s="131"/>
      <c r="C330" s="131"/>
      <c r="D330" s="132"/>
      <c r="E330" s="132"/>
      <c r="F330" s="132"/>
      <c r="G330" s="132"/>
      <c r="H330" s="132"/>
      <c r="I330" s="131"/>
      <c r="J330" s="131"/>
      <c r="K330" s="131"/>
      <c r="L330" s="131"/>
      <c r="M330" s="131"/>
      <c r="N330" s="131"/>
      <c r="O330" s="131"/>
      <c r="P330" s="131"/>
      <c r="Q330" s="131"/>
      <c r="R330" s="131"/>
      <c r="S330" s="131"/>
      <c r="T330" s="131"/>
      <c r="U330" s="131"/>
      <c r="V330" s="131"/>
      <c r="W330" s="131"/>
      <c r="X330" s="131"/>
    </row>
    <row r="331" spans="1:24" ht="13.5" customHeight="1">
      <c r="A331" s="132"/>
      <c r="B331" s="131"/>
      <c r="C331" s="131"/>
      <c r="D331" s="132"/>
      <c r="E331" s="132"/>
      <c r="F331" s="132"/>
      <c r="G331" s="132"/>
      <c r="H331" s="132"/>
      <c r="I331" s="131"/>
      <c r="J331" s="131"/>
      <c r="K331" s="131"/>
      <c r="L331" s="131"/>
      <c r="M331" s="131"/>
      <c r="N331" s="131"/>
      <c r="O331" s="131"/>
      <c r="P331" s="131"/>
      <c r="Q331" s="131"/>
      <c r="R331" s="131"/>
      <c r="S331" s="131"/>
      <c r="T331" s="131"/>
      <c r="U331" s="131"/>
      <c r="V331" s="131"/>
      <c r="W331" s="131"/>
      <c r="X331" s="131"/>
    </row>
    <row r="332" spans="1:24" ht="13.5" customHeight="1">
      <c r="A332" s="132"/>
      <c r="B332" s="131"/>
      <c r="C332" s="131"/>
      <c r="D332" s="132"/>
      <c r="E332" s="132"/>
      <c r="F332" s="132"/>
      <c r="G332" s="132"/>
      <c r="H332" s="132"/>
      <c r="I332" s="131"/>
      <c r="J332" s="131"/>
      <c r="K332" s="131"/>
      <c r="L332" s="131"/>
      <c r="M332" s="131"/>
      <c r="N332" s="131"/>
      <c r="O332" s="131"/>
      <c r="P332" s="131"/>
      <c r="Q332" s="131"/>
      <c r="R332" s="131"/>
      <c r="S332" s="131"/>
      <c r="T332" s="131"/>
      <c r="U332" s="131"/>
      <c r="V332" s="131"/>
      <c r="W332" s="131"/>
      <c r="X332" s="131"/>
    </row>
    <row r="333" spans="1:24" ht="13.5" customHeight="1">
      <c r="A333" s="132"/>
      <c r="B333" s="131"/>
      <c r="C333" s="131"/>
      <c r="D333" s="132"/>
      <c r="E333" s="132"/>
      <c r="F333" s="132"/>
      <c r="G333" s="132"/>
      <c r="H333" s="132"/>
      <c r="I333" s="131"/>
      <c r="J333" s="131"/>
      <c r="K333" s="131"/>
      <c r="L333" s="131"/>
      <c r="M333" s="131"/>
      <c r="N333" s="131"/>
      <c r="O333" s="131"/>
      <c r="P333" s="131"/>
      <c r="Q333" s="131"/>
      <c r="R333" s="131"/>
      <c r="S333" s="131"/>
      <c r="T333" s="131"/>
      <c r="U333" s="131"/>
      <c r="V333" s="131"/>
      <c r="W333" s="131"/>
      <c r="X333" s="131"/>
    </row>
    <row r="334" spans="1:24" ht="13.5" customHeight="1">
      <c r="A334" s="132"/>
      <c r="B334" s="131"/>
      <c r="C334" s="131"/>
      <c r="D334" s="132"/>
      <c r="E334" s="132"/>
      <c r="F334" s="132"/>
      <c r="G334" s="132"/>
      <c r="H334" s="132"/>
      <c r="I334" s="131"/>
      <c r="J334" s="131"/>
      <c r="K334" s="131"/>
      <c r="L334" s="131"/>
      <c r="M334" s="131"/>
      <c r="N334" s="131"/>
      <c r="O334" s="131"/>
      <c r="P334" s="131"/>
      <c r="Q334" s="131"/>
      <c r="R334" s="131"/>
      <c r="S334" s="131"/>
      <c r="T334" s="131"/>
      <c r="U334" s="131"/>
      <c r="V334" s="131"/>
      <c r="W334" s="131"/>
      <c r="X334" s="131"/>
    </row>
    <row r="335" spans="1:24" ht="13.5" customHeight="1">
      <c r="A335" s="132"/>
      <c r="B335" s="131"/>
      <c r="C335" s="131"/>
      <c r="D335" s="132"/>
      <c r="E335" s="132"/>
      <c r="F335" s="132"/>
      <c r="G335" s="132"/>
      <c r="H335" s="132"/>
      <c r="I335" s="131"/>
      <c r="J335" s="131"/>
      <c r="K335" s="131"/>
      <c r="L335" s="131"/>
      <c r="M335" s="131"/>
      <c r="N335" s="131"/>
      <c r="O335" s="131"/>
      <c r="P335" s="131"/>
      <c r="Q335" s="131"/>
      <c r="R335" s="131"/>
      <c r="S335" s="131"/>
      <c r="T335" s="131"/>
      <c r="U335" s="131"/>
      <c r="V335" s="131"/>
      <c r="W335" s="131"/>
      <c r="X335" s="131"/>
    </row>
    <row r="336" spans="1:24" ht="13.5" customHeight="1">
      <c r="A336" s="132"/>
      <c r="B336" s="131"/>
      <c r="C336" s="131"/>
      <c r="D336" s="132"/>
      <c r="E336" s="132"/>
      <c r="F336" s="132"/>
      <c r="G336" s="132"/>
      <c r="H336" s="132"/>
      <c r="I336" s="131"/>
      <c r="J336" s="131"/>
      <c r="K336" s="131"/>
      <c r="L336" s="131"/>
      <c r="M336" s="131"/>
      <c r="N336" s="131"/>
      <c r="O336" s="131"/>
      <c r="P336" s="131"/>
      <c r="Q336" s="131"/>
      <c r="R336" s="131"/>
      <c r="S336" s="131"/>
      <c r="T336" s="131"/>
      <c r="U336" s="131"/>
      <c r="V336" s="131"/>
      <c r="W336" s="131"/>
      <c r="X336" s="131"/>
    </row>
    <row r="337" spans="1:24" ht="13.5" customHeight="1">
      <c r="A337" s="132"/>
      <c r="B337" s="131"/>
      <c r="C337" s="131"/>
      <c r="D337" s="132"/>
      <c r="E337" s="132"/>
      <c r="F337" s="132"/>
      <c r="G337" s="132"/>
      <c r="H337" s="132"/>
      <c r="I337" s="131"/>
      <c r="J337" s="131"/>
      <c r="K337" s="131"/>
      <c r="L337" s="131"/>
      <c r="M337" s="131"/>
      <c r="N337" s="131"/>
      <c r="O337" s="131"/>
      <c r="P337" s="131"/>
      <c r="Q337" s="131"/>
      <c r="R337" s="131"/>
      <c r="S337" s="131"/>
      <c r="T337" s="131"/>
      <c r="U337" s="131"/>
      <c r="V337" s="131"/>
      <c r="W337" s="131"/>
      <c r="X337" s="131"/>
    </row>
    <row r="338" spans="1:24" ht="13.5" customHeight="1">
      <c r="A338" s="132"/>
      <c r="B338" s="131"/>
      <c r="C338" s="131"/>
      <c r="D338" s="132"/>
      <c r="E338" s="132"/>
      <c r="F338" s="132"/>
      <c r="G338" s="132"/>
      <c r="H338" s="132"/>
      <c r="I338" s="131"/>
      <c r="J338" s="131"/>
      <c r="K338" s="131"/>
      <c r="L338" s="131"/>
      <c r="M338" s="131"/>
      <c r="N338" s="131"/>
      <c r="O338" s="131"/>
      <c r="P338" s="131"/>
      <c r="Q338" s="131"/>
      <c r="R338" s="131"/>
      <c r="S338" s="131"/>
      <c r="T338" s="131"/>
      <c r="U338" s="131"/>
      <c r="V338" s="131"/>
      <c r="W338" s="131"/>
      <c r="X338" s="131"/>
    </row>
    <row r="339" spans="1:24" ht="13.5" customHeight="1">
      <c r="A339" s="132"/>
      <c r="B339" s="131"/>
      <c r="C339" s="131"/>
      <c r="D339" s="132"/>
      <c r="E339" s="132"/>
      <c r="F339" s="132"/>
      <c r="G339" s="132"/>
      <c r="H339" s="132"/>
      <c r="I339" s="131"/>
      <c r="J339" s="131"/>
      <c r="K339" s="131"/>
      <c r="L339" s="131"/>
      <c r="M339" s="131"/>
      <c r="N339" s="131"/>
      <c r="O339" s="131"/>
      <c r="P339" s="131"/>
      <c r="Q339" s="131"/>
      <c r="R339" s="131"/>
      <c r="S339" s="131"/>
      <c r="T339" s="131"/>
      <c r="U339" s="131"/>
      <c r="V339" s="131"/>
      <c r="W339" s="131"/>
      <c r="X339" s="131"/>
    </row>
    <row r="340" spans="1:24" ht="13.5" customHeight="1">
      <c r="A340" s="132"/>
      <c r="B340" s="131"/>
      <c r="C340" s="131"/>
      <c r="D340" s="132"/>
      <c r="E340" s="132"/>
      <c r="F340" s="132"/>
      <c r="G340" s="132"/>
      <c r="H340" s="132"/>
      <c r="I340" s="131"/>
      <c r="J340" s="131"/>
      <c r="K340" s="131"/>
      <c r="L340" s="131"/>
      <c r="M340" s="131"/>
      <c r="N340" s="131"/>
      <c r="O340" s="131"/>
      <c r="P340" s="131"/>
      <c r="Q340" s="131"/>
      <c r="R340" s="131"/>
      <c r="S340" s="131"/>
      <c r="T340" s="131"/>
      <c r="U340" s="131"/>
      <c r="V340" s="131"/>
      <c r="W340" s="131"/>
      <c r="X340" s="131"/>
    </row>
    <row r="341" spans="1:24" ht="13.5" customHeight="1">
      <c r="A341" s="132"/>
      <c r="B341" s="131"/>
      <c r="C341" s="131"/>
      <c r="D341" s="132"/>
      <c r="E341" s="132"/>
      <c r="F341" s="132"/>
      <c r="G341" s="132"/>
      <c r="H341" s="132"/>
      <c r="I341" s="131"/>
      <c r="J341" s="131"/>
      <c r="K341" s="131"/>
      <c r="L341" s="131"/>
      <c r="M341" s="131"/>
      <c r="N341" s="131"/>
      <c r="O341" s="131"/>
      <c r="P341" s="131"/>
      <c r="Q341" s="131"/>
      <c r="R341" s="131"/>
      <c r="S341" s="131"/>
      <c r="T341" s="131"/>
      <c r="U341" s="131"/>
      <c r="V341" s="131"/>
      <c r="W341" s="131"/>
      <c r="X341" s="131"/>
    </row>
    <row r="342" spans="1:24" ht="13.5" customHeight="1">
      <c r="A342" s="132"/>
      <c r="B342" s="131"/>
      <c r="C342" s="131"/>
      <c r="D342" s="132"/>
      <c r="E342" s="132"/>
      <c r="F342" s="132"/>
      <c r="G342" s="132"/>
      <c r="H342" s="132"/>
      <c r="I342" s="131"/>
      <c r="J342" s="131"/>
      <c r="K342" s="131"/>
      <c r="L342" s="131"/>
      <c r="M342" s="131"/>
      <c r="N342" s="131"/>
      <c r="O342" s="131"/>
      <c r="P342" s="131"/>
      <c r="Q342" s="131"/>
      <c r="R342" s="131"/>
      <c r="S342" s="131"/>
      <c r="T342" s="131"/>
      <c r="U342" s="131"/>
      <c r="V342" s="131"/>
      <c r="W342" s="131"/>
      <c r="X342" s="131"/>
    </row>
    <row r="343" spans="1:24" ht="13.5" customHeight="1">
      <c r="A343" s="132"/>
      <c r="B343" s="131"/>
      <c r="C343" s="131"/>
      <c r="D343" s="132"/>
      <c r="E343" s="132"/>
      <c r="F343" s="132"/>
      <c r="G343" s="132"/>
      <c r="H343" s="132"/>
      <c r="I343" s="131"/>
      <c r="J343" s="131"/>
      <c r="K343" s="131"/>
      <c r="L343" s="131"/>
      <c r="M343" s="131"/>
      <c r="N343" s="131"/>
      <c r="O343" s="131"/>
      <c r="P343" s="131"/>
      <c r="Q343" s="131"/>
      <c r="R343" s="131"/>
      <c r="S343" s="131"/>
      <c r="T343" s="131"/>
      <c r="U343" s="131"/>
      <c r="V343" s="131"/>
      <c r="W343" s="131"/>
      <c r="X343" s="131"/>
    </row>
    <row r="344" spans="1:24" ht="13.5" customHeight="1">
      <c r="A344" s="132"/>
      <c r="B344" s="131"/>
      <c r="C344" s="131"/>
      <c r="D344" s="132"/>
      <c r="E344" s="132"/>
      <c r="F344" s="132"/>
      <c r="G344" s="132"/>
      <c r="H344" s="132"/>
      <c r="I344" s="131"/>
      <c r="J344" s="131"/>
      <c r="K344" s="131"/>
      <c r="L344" s="131"/>
      <c r="M344" s="131"/>
      <c r="N344" s="131"/>
      <c r="O344" s="131"/>
      <c r="P344" s="131"/>
      <c r="Q344" s="131"/>
      <c r="R344" s="131"/>
      <c r="S344" s="131"/>
      <c r="T344" s="131"/>
      <c r="U344" s="131"/>
      <c r="V344" s="131"/>
      <c r="W344" s="131"/>
      <c r="X344" s="131"/>
    </row>
    <row r="345" spans="1:24" ht="13.5" customHeight="1">
      <c r="A345" s="132"/>
      <c r="B345" s="131"/>
      <c r="C345" s="131"/>
      <c r="D345" s="132"/>
      <c r="E345" s="132"/>
      <c r="F345" s="132"/>
      <c r="G345" s="132"/>
      <c r="H345" s="132"/>
      <c r="I345" s="131"/>
      <c r="J345" s="131"/>
      <c r="K345" s="131"/>
      <c r="L345" s="131"/>
      <c r="M345" s="131"/>
      <c r="N345" s="131"/>
      <c r="O345" s="131"/>
      <c r="P345" s="131"/>
      <c r="Q345" s="131"/>
      <c r="R345" s="131"/>
      <c r="S345" s="131"/>
      <c r="T345" s="131"/>
      <c r="U345" s="131"/>
      <c r="V345" s="131"/>
      <c r="W345" s="131"/>
      <c r="X345" s="131"/>
    </row>
    <row r="346" spans="1:24" ht="13.5" customHeight="1">
      <c r="A346" s="132"/>
      <c r="B346" s="131"/>
      <c r="C346" s="131"/>
      <c r="D346" s="132"/>
      <c r="E346" s="132"/>
      <c r="F346" s="132"/>
      <c r="G346" s="132"/>
      <c r="H346" s="132"/>
      <c r="I346" s="131"/>
      <c r="J346" s="131"/>
      <c r="K346" s="131"/>
      <c r="L346" s="131"/>
      <c r="M346" s="131"/>
      <c r="N346" s="131"/>
      <c r="O346" s="131"/>
      <c r="P346" s="131"/>
      <c r="Q346" s="131"/>
      <c r="R346" s="131"/>
      <c r="S346" s="131"/>
      <c r="T346" s="131"/>
      <c r="U346" s="131"/>
      <c r="V346" s="131"/>
      <c r="W346" s="131"/>
      <c r="X346" s="131"/>
    </row>
    <row r="347" spans="1:24" ht="13.5" customHeight="1">
      <c r="A347" s="132"/>
      <c r="B347" s="131"/>
      <c r="C347" s="131"/>
      <c r="D347" s="132"/>
      <c r="E347" s="132"/>
      <c r="F347" s="132"/>
      <c r="G347" s="132"/>
      <c r="H347" s="132"/>
      <c r="I347" s="131"/>
      <c r="J347" s="131"/>
      <c r="K347" s="131"/>
      <c r="L347" s="131"/>
      <c r="M347" s="131"/>
      <c r="N347" s="131"/>
      <c r="O347" s="131"/>
      <c r="P347" s="131"/>
      <c r="Q347" s="131"/>
      <c r="R347" s="131"/>
      <c r="S347" s="131"/>
      <c r="T347" s="131"/>
      <c r="U347" s="131"/>
      <c r="V347" s="131"/>
      <c r="W347" s="131"/>
      <c r="X347" s="131"/>
    </row>
    <row r="348" spans="1:24" ht="13.5" customHeight="1">
      <c r="A348" s="132"/>
      <c r="B348" s="131"/>
      <c r="C348" s="131"/>
      <c r="D348" s="132"/>
      <c r="E348" s="132"/>
      <c r="F348" s="132"/>
      <c r="G348" s="132"/>
      <c r="H348" s="132"/>
      <c r="I348" s="131"/>
      <c r="J348" s="131"/>
      <c r="K348" s="131"/>
      <c r="L348" s="131"/>
      <c r="M348" s="131"/>
      <c r="N348" s="131"/>
      <c r="O348" s="131"/>
      <c r="P348" s="131"/>
      <c r="Q348" s="131"/>
      <c r="R348" s="131"/>
      <c r="S348" s="131"/>
      <c r="T348" s="131"/>
      <c r="U348" s="131"/>
      <c r="V348" s="131"/>
      <c r="W348" s="131"/>
      <c r="X348" s="131"/>
    </row>
    <row r="349" spans="1:24" ht="13.5" customHeight="1">
      <c r="A349" s="132"/>
      <c r="B349" s="131"/>
      <c r="C349" s="131"/>
      <c r="D349" s="132"/>
      <c r="E349" s="132"/>
      <c r="F349" s="132"/>
      <c r="G349" s="132"/>
      <c r="H349" s="132"/>
      <c r="I349" s="131"/>
      <c r="J349" s="131"/>
      <c r="K349" s="131"/>
      <c r="L349" s="131"/>
      <c r="M349" s="131"/>
      <c r="N349" s="131"/>
      <c r="O349" s="131"/>
      <c r="P349" s="131"/>
      <c r="Q349" s="131"/>
      <c r="R349" s="131"/>
      <c r="S349" s="131"/>
      <c r="T349" s="131"/>
      <c r="U349" s="131"/>
      <c r="V349" s="131"/>
      <c r="W349" s="131"/>
      <c r="X349" s="131"/>
    </row>
    <row r="350" spans="1:24" ht="13.5" customHeight="1">
      <c r="A350" s="132"/>
      <c r="B350" s="131"/>
      <c r="C350" s="131"/>
      <c r="D350" s="132"/>
      <c r="E350" s="132"/>
      <c r="F350" s="132"/>
      <c r="G350" s="132"/>
      <c r="H350" s="132"/>
      <c r="I350" s="131"/>
      <c r="J350" s="131"/>
      <c r="K350" s="131"/>
      <c r="L350" s="131"/>
      <c r="M350" s="131"/>
      <c r="N350" s="131"/>
      <c r="O350" s="131"/>
      <c r="P350" s="131"/>
      <c r="Q350" s="131"/>
      <c r="R350" s="131"/>
      <c r="S350" s="131"/>
      <c r="T350" s="131"/>
      <c r="U350" s="131"/>
      <c r="V350" s="131"/>
      <c r="W350" s="131"/>
      <c r="X350" s="131"/>
    </row>
    <row r="351" spans="1:24" ht="13.5" customHeight="1">
      <c r="A351" s="132"/>
      <c r="B351" s="131"/>
      <c r="C351" s="131"/>
      <c r="D351" s="132"/>
      <c r="E351" s="132"/>
      <c r="F351" s="132"/>
      <c r="G351" s="132"/>
      <c r="H351" s="132"/>
      <c r="I351" s="131"/>
      <c r="J351" s="131"/>
      <c r="K351" s="131"/>
      <c r="L351" s="131"/>
      <c r="M351" s="131"/>
      <c r="N351" s="131"/>
      <c r="O351" s="131"/>
      <c r="P351" s="131"/>
      <c r="Q351" s="131"/>
      <c r="R351" s="131"/>
      <c r="S351" s="131"/>
      <c r="T351" s="131"/>
      <c r="U351" s="131"/>
      <c r="V351" s="131"/>
      <c r="W351" s="131"/>
      <c r="X351" s="131"/>
    </row>
    <row r="352" spans="1:24" ht="13.5" customHeight="1">
      <c r="A352" s="132"/>
      <c r="B352" s="131"/>
      <c r="C352" s="131"/>
      <c r="D352" s="132"/>
      <c r="E352" s="132"/>
      <c r="F352" s="132"/>
      <c r="G352" s="132"/>
      <c r="H352" s="132"/>
      <c r="I352" s="131"/>
      <c r="J352" s="131"/>
      <c r="K352" s="131"/>
      <c r="L352" s="131"/>
      <c r="M352" s="131"/>
      <c r="N352" s="131"/>
      <c r="O352" s="131"/>
      <c r="P352" s="131"/>
      <c r="Q352" s="131"/>
      <c r="R352" s="131"/>
      <c r="S352" s="131"/>
      <c r="T352" s="131"/>
      <c r="U352" s="131"/>
      <c r="V352" s="131"/>
      <c r="W352" s="131"/>
      <c r="X352" s="131"/>
    </row>
    <row r="353" spans="1:24" ht="13.5" customHeight="1">
      <c r="A353" s="132"/>
      <c r="B353" s="131"/>
      <c r="C353" s="131"/>
      <c r="D353" s="132"/>
      <c r="E353" s="132"/>
      <c r="F353" s="132"/>
      <c r="G353" s="132"/>
      <c r="H353" s="132"/>
      <c r="I353" s="131"/>
      <c r="J353" s="131"/>
      <c r="K353" s="131"/>
      <c r="L353" s="131"/>
      <c r="M353" s="131"/>
      <c r="N353" s="131"/>
      <c r="O353" s="131"/>
      <c r="P353" s="131"/>
      <c r="Q353" s="131"/>
      <c r="R353" s="131"/>
      <c r="S353" s="131"/>
      <c r="T353" s="131"/>
      <c r="U353" s="131"/>
      <c r="V353" s="131"/>
      <c r="W353" s="131"/>
      <c r="X353" s="131"/>
    </row>
    <row r="354" spans="1:24" ht="13.5" customHeight="1">
      <c r="A354" s="132"/>
      <c r="B354" s="131"/>
      <c r="C354" s="131"/>
      <c r="D354" s="132"/>
      <c r="E354" s="132"/>
      <c r="F354" s="132"/>
      <c r="G354" s="132"/>
      <c r="H354" s="132"/>
      <c r="I354" s="131"/>
      <c r="J354" s="131"/>
      <c r="K354" s="131"/>
      <c r="L354" s="131"/>
      <c r="M354" s="131"/>
      <c r="N354" s="131"/>
      <c r="O354" s="131"/>
      <c r="P354" s="131"/>
      <c r="Q354" s="131"/>
      <c r="R354" s="131"/>
      <c r="S354" s="131"/>
      <c r="T354" s="131"/>
      <c r="U354" s="131"/>
      <c r="V354" s="131"/>
      <c r="W354" s="131"/>
      <c r="X354" s="131"/>
    </row>
    <row r="355" spans="1:24" ht="13.5" customHeight="1">
      <c r="A355" s="132"/>
      <c r="B355" s="131"/>
      <c r="C355" s="131"/>
      <c r="D355" s="132"/>
      <c r="E355" s="132"/>
      <c r="F355" s="132"/>
      <c r="G355" s="132"/>
      <c r="H355" s="132"/>
      <c r="I355" s="131"/>
      <c r="J355" s="131"/>
      <c r="K355" s="131"/>
      <c r="L355" s="131"/>
      <c r="M355" s="131"/>
      <c r="N355" s="131"/>
      <c r="O355" s="131"/>
      <c r="P355" s="131"/>
      <c r="Q355" s="131"/>
      <c r="R355" s="131"/>
      <c r="S355" s="131"/>
      <c r="T355" s="131"/>
      <c r="U355" s="131"/>
      <c r="V355" s="131"/>
      <c r="W355" s="131"/>
      <c r="X355" s="131"/>
    </row>
    <row r="356" spans="1:24" ht="13.5" customHeight="1">
      <c r="A356" s="132"/>
      <c r="B356" s="131"/>
      <c r="C356" s="131"/>
      <c r="D356" s="132"/>
      <c r="E356" s="132"/>
      <c r="F356" s="132"/>
      <c r="G356" s="132"/>
      <c r="H356" s="132"/>
      <c r="I356" s="131"/>
      <c r="J356" s="131"/>
      <c r="K356" s="131"/>
      <c r="L356" s="131"/>
      <c r="M356" s="131"/>
      <c r="N356" s="131"/>
      <c r="O356" s="131"/>
      <c r="P356" s="131"/>
      <c r="Q356" s="131"/>
      <c r="R356" s="131"/>
      <c r="S356" s="131"/>
      <c r="T356" s="131"/>
      <c r="U356" s="131"/>
      <c r="V356" s="131"/>
      <c r="W356" s="131"/>
      <c r="X356" s="131"/>
    </row>
    <row r="357" spans="1:24" ht="13.5" customHeight="1">
      <c r="A357" s="132"/>
      <c r="B357" s="131"/>
      <c r="C357" s="131"/>
      <c r="D357" s="132"/>
      <c r="E357" s="132"/>
      <c r="F357" s="132"/>
      <c r="G357" s="132"/>
      <c r="H357" s="132"/>
      <c r="I357" s="131"/>
      <c r="J357" s="131"/>
      <c r="K357" s="131"/>
      <c r="L357" s="131"/>
      <c r="M357" s="131"/>
      <c r="N357" s="131"/>
      <c r="O357" s="131"/>
      <c r="P357" s="131"/>
      <c r="Q357" s="131"/>
      <c r="R357" s="131"/>
      <c r="S357" s="131"/>
      <c r="T357" s="131"/>
      <c r="U357" s="131"/>
      <c r="V357" s="131"/>
      <c r="W357" s="131"/>
      <c r="X357" s="131"/>
    </row>
    <row r="358" spans="1:24" ht="13.5" customHeight="1">
      <c r="A358" s="132"/>
      <c r="B358" s="131"/>
      <c r="C358" s="131"/>
      <c r="D358" s="132"/>
      <c r="E358" s="132"/>
      <c r="F358" s="132"/>
      <c r="G358" s="132"/>
      <c r="H358" s="132"/>
      <c r="I358" s="131"/>
      <c r="J358" s="131"/>
      <c r="K358" s="131"/>
      <c r="L358" s="131"/>
      <c r="M358" s="131"/>
      <c r="N358" s="131"/>
      <c r="O358" s="131"/>
      <c r="P358" s="131"/>
      <c r="Q358" s="131"/>
      <c r="R358" s="131"/>
      <c r="S358" s="131"/>
      <c r="T358" s="131"/>
      <c r="U358" s="131"/>
      <c r="V358" s="131"/>
      <c r="W358" s="131"/>
      <c r="X358" s="131"/>
    </row>
    <row r="359" spans="1:24" ht="13.5" customHeight="1">
      <c r="A359" s="132"/>
      <c r="B359" s="131"/>
      <c r="C359" s="131"/>
      <c r="D359" s="132"/>
      <c r="E359" s="132"/>
      <c r="F359" s="132"/>
      <c r="G359" s="132"/>
      <c r="H359" s="132"/>
      <c r="I359" s="131"/>
      <c r="J359" s="131"/>
      <c r="K359" s="131"/>
      <c r="L359" s="131"/>
      <c r="M359" s="131"/>
      <c r="N359" s="131"/>
      <c r="O359" s="131"/>
      <c r="P359" s="131"/>
      <c r="Q359" s="131"/>
      <c r="R359" s="131"/>
      <c r="S359" s="131"/>
      <c r="T359" s="131"/>
      <c r="U359" s="131"/>
      <c r="V359" s="131"/>
      <c r="W359" s="131"/>
      <c r="X359" s="131"/>
    </row>
    <row r="360" spans="1:24" ht="13.5" customHeight="1">
      <c r="A360" s="132"/>
      <c r="B360" s="131"/>
      <c r="C360" s="131"/>
      <c r="D360" s="132"/>
      <c r="E360" s="132"/>
      <c r="F360" s="132"/>
      <c r="G360" s="132"/>
      <c r="H360" s="132"/>
      <c r="I360" s="131"/>
      <c r="J360" s="131"/>
      <c r="K360" s="131"/>
      <c r="L360" s="131"/>
      <c r="M360" s="131"/>
      <c r="N360" s="131"/>
      <c r="O360" s="131"/>
      <c r="P360" s="131"/>
      <c r="Q360" s="131"/>
      <c r="R360" s="131"/>
      <c r="S360" s="131"/>
      <c r="T360" s="131"/>
      <c r="U360" s="131"/>
      <c r="V360" s="131"/>
      <c r="W360" s="131"/>
      <c r="X360" s="131"/>
    </row>
    <row r="361" spans="1:24" ht="13.5" customHeight="1">
      <c r="A361" s="132"/>
      <c r="B361" s="131"/>
      <c r="C361" s="131"/>
      <c r="D361" s="132"/>
      <c r="E361" s="132"/>
      <c r="F361" s="132"/>
      <c r="G361" s="132"/>
      <c r="H361" s="132"/>
      <c r="I361" s="131"/>
      <c r="J361" s="131"/>
      <c r="K361" s="131"/>
      <c r="L361" s="131"/>
      <c r="M361" s="131"/>
      <c r="N361" s="131"/>
      <c r="O361" s="131"/>
      <c r="P361" s="131"/>
      <c r="Q361" s="131"/>
      <c r="R361" s="131"/>
      <c r="S361" s="131"/>
      <c r="T361" s="131"/>
      <c r="U361" s="131"/>
      <c r="V361" s="131"/>
      <c r="W361" s="131"/>
      <c r="X361" s="131"/>
    </row>
    <row r="362" spans="1:24" ht="13.5" customHeight="1">
      <c r="A362" s="132"/>
      <c r="B362" s="131"/>
      <c r="C362" s="131"/>
      <c r="D362" s="132"/>
      <c r="E362" s="132"/>
      <c r="F362" s="132"/>
      <c r="G362" s="132"/>
      <c r="H362" s="132"/>
      <c r="I362" s="131"/>
      <c r="J362" s="131"/>
      <c r="K362" s="131"/>
      <c r="L362" s="131"/>
      <c r="M362" s="131"/>
      <c r="N362" s="131"/>
      <c r="O362" s="131"/>
      <c r="P362" s="131"/>
      <c r="Q362" s="131"/>
      <c r="R362" s="131"/>
      <c r="S362" s="131"/>
      <c r="T362" s="131"/>
      <c r="U362" s="131"/>
      <c r="V362" s="131"/>
      <c r="W362" s="131"/>
      <c r="X362" s="131"/>
    </row>
    <row r="363" spans="1:24" ht="13.5" customHeight="1">
      <c r="A363" s="132"/>
      <c r="B363" s="131"/>
      <c r="C363" s="131"/>
      <c r="D363" s="132"/>
      <c r="E363" s="132"/>
      <c r="F363" s="132"/>
      <c r="G363" s="132"/>
      <c r="H363" s="132"/>
      <c r="I363" s="131"/>
      <c r="J363" s="131"/>
      <c r="K363" s="131"/>
      <c r="L363" s="131"/>
      <c r="M363" s="131"/>
      <c r="N363" s="131"/>
      <c r="O363" s="131"/>
      <c r="P363" s="131"/>
      <c r="Q363" s="131"/>
      <c r="R363" s="131"/>
      <c r="S363" s="131"/>
      <c r="T363" s="131"/>
      <c r="U363" s="131"/>
      <c r="V363" s="131"/>
      <c r="W363" s="131"/>
      <c r="X363" s="131"/>
    </row>
    <row r="364" spans="1:24" ht="13.5" customHeight="1">
      <c r="A364" s="132"/>
      <c r="B364" s="131"/>
      <c r="C364" s="131"/>
      <c r="D364" s="132"/>
      <c r="E364" s="132"/>
      <c r="F364" s="132"/>
      <c r="G364" s="132"/>
      <c r="H364" s="132"/>
      <c r="I364" s="131"/>
      <c r="J364" s="131"/>
      <c r="K364" s="131"/>
      <c r="L364" s="131"/>
      <c r="M364" s="131"/>
      <c r="N364" s="131"/>
      <c r="O364" s="131"/>
      <c r="P364" s="131"/>
      <c r="Q364" s="131"/>
      <c r="R364" s="131"/>
      <c r="S364" s="131"/>
      <c r="T364" s="131"/>
      <c r="U364" s="131"/>
      <c r="V364" s="131"/>
      <c r="W364" s="131"/>
      <c r="X364" s="131"/>
    </row>
    <row r="365" spans="1:24" ht="13.5" customHeight="1">
      <c r="A365" s="132"/>
      <c r="B365" s="131"/>
      <c r="C365" s="131"/>
      <c r="D365" s="132"/>
      <c r="E365" s="132"/>
      <c r="F365" s="132"/>
      <c r="G365" s="132"/>
      <c r="H365" s="132"/>
      <c r="I365" s="131"/>
      <c r="J365" s="131"/>
      <c r="K365" s="131"/>
      <c r="L365" s="131"/>
      <c r="M365" s="131"/>
      <c r="N365" s="131"/>
      <c r="O365" s="131"/>
      <c r="P365" s="131"/>
      <c r="Q365" s="131"/>
      <c r="R365" s="131"/>
      <c r="S365" s="131"/>
      <c r="T365" s="131"/>
      <c r="U365" s="131"/>
      <c r="V365" s="131"/>
      <c r="W365" s="131"/>
      <c r="X365" s="131"/>
    </row>
    <row r="366" spans="1:24" ht="13.5" customHeight="1">
      <c r="A366" s="132"/>
      <c r="B366" s="131"/>
      <c r="C366" s="131"/>
      <c r="D366" s="132"/>
      <c r="E366" s="132"/>
      <c r="F366" s="132"/>
      <c r="G366" s="132"/>
      <c r="H366" s="132"/>
      <c r="I366" s="131"/>
      <c r="J366" s="131"/>
      <c r="K366" s="131"/>
      <c r="L366" s="131"/>
      <c r="M366" s="131"/>
      <c r="N366" s="131"/>
      <c r="O366" s="131"/>
      <c r="P366" s="131"/>
      <c r="Q366" s="131"/>
      <c r="R366" s="131"/>
      <c r="S366" s="131"/>
      <c r="T366" s="131"/>
      <c r="U366" s="131"/>
      <c r="V366" s="131"/>
      <c r="W366" s="131"/>
      <c r="X366" s="131"/>
    </row>
    <row r="367" spans="1:24" ht="13.5" customHeight="1">
      <c r="A367" s="132"/>
      <c r="B367" s="131"/>
      <c r="C367" s="131"/>
      <c r="D367" s="132"/>
      <c r="E367" s="132"/>
      <c r="F367" s="132"/>
      <c r="G367" s="132"/>
      <c r="H367" s="132"/>
      <c r="I367" s="131"/>
      <c r="J367" s="131"/>
      <c r="K367" s="131"/>
      <c r="L367" s="131"/>
      <c r="M367" s="131"/>
      <c r="N367" s="131"/>
      <c r="O367" s="131"/>
      <c r="P367" s="131"/>
      <c r="Q367" s="131"/>
      <c r="R367" s="131"/>
      <c r="S367" s="131"/>
      <c r="T367" s="131"/>
      <c r="U367" s="131"/>
      <c r="V367" s="131"/>
      <c r="W367" s="131"/>
      <c r="X367" s="131"/>
    </row>
    <row r="368" spans="1:24" ht="13.5" customHeight="1">
      <c r="A368" s="132"/>
      <c r="B368" s="131"/>
      <c r="C368" s="131"/>
      <c r="D368" s="132"/>
      <c r="E368" s="132"/>
      <c r="F368" s="132"/>
      <c r="G368" s="132"/>
      <c r="H368" s="132"/>
      <c r="I368" s="131"/>
      <c r="J368" s="131"/>
      <c r="K368" s="131"/>
      <c r="L368" s="131"/>
      <c r="M368" s="131"/>
      <c r="N368" s="131"/>
      <c r="O368" s="131"/>
      <c r="P368" s="131"/>
      <c r="Q368" s="131"/>
      <c r="R368" s="131"/>
      <c r="S368" s="131"/>
      <c r="T368" s="131"/>
      <c r="U368" s="131"/>
      <c r="V368" s="131"/>
      <c r="W368" s="131"/>
      <c r="X368" s="131"/>
    </row>
    <row r="369" spans="1:24" ht="13.5" customHeight="1">
      <c r="A369" s="132"/>
      <c r="B369" s="131"/>
      <c r="C369" s="131"/>
      <c r="D369" s="132"/>
      <c r="E369" s="132"/>
      <c r="F369" s="132"/>
      <c r="G369" s="132"/>
      <c r="H369" s="132"/>
      <c r="I369" s="131"/>
      <c r="J369" s="131"/>
      <c r="K369" s="131"/>
      <c r="L369" s="131"/>
      <c r="M369" s="131"/>
      <c r="N369" s="131"/>
      <c r="O369" s="131"/>
      <c r="P369" s="131"/>
      <c r="Q369" s="131"/>
      <c r="R369" s="131"/>
      <c r="S369" s="131"/>
      <c r="T369" s="131"/>
      <c r="U369" s="131"/>
      <c r="V369" s="131"/>
      <c r="W369" s="131"/>
      <c r="X369" s="131"/>
    </row>
    <row r="370" spans="1:24" ht="13.5" customHeight="1">
      <c r="A370" s="132"/>
      <c r="B370" s="131"/>
      <c r="C370" s="131"/>
      <c r="D370" s="132"/>
      <c r="E370" s="132"/>
      <c r="F370" s="132"/>
      <c r="G370" s="132"/>
      <c r="H370" s="132"/>
      <c r="I370" s="131"/>
      <c r="J370" s="131"/>
      <c r="K370" s="131"/>
      <c r="L370" s="131"/>
      <c r="M370" s="131"/>
      <c r="N370" s="131"/>
      <c r="O370" s="131"/>
      <c r="P370" s="131"/>
      <c r="Q370" s="131"/>
      <c r="R370" s="131"/>
      <c r="S370" s="131"/>
      <c r="T370" s="131"/>
      <c r="U370" s="131"/>
      <c r="V370" s="131"/>
      <c r="W370" s="131"/>
      <c r="X370" s="131"/>
    </row>
    <row r="371" spans="1:24" ht="13.5" customHeight="1">
      <c r="A371" s="132"/>
      <c r="B371" s="131"/>
      <c r="C371" s="131"/>
      <c r="D371" s="132"/>
      <c r="E371" s="132"/>
      <c r="F371" s="132"/>
      <c r="G371" s="132"/>
      <c r="H371" s="132"/>
      <c r="I371" s="131"/>
      <c r="J371" s="131"/>
      <c r="K371" s="131"/>
      <c r="L371" s="131"/>
      <c r="M371" s="131"/>
      <c r="N371" s="131"/>
      <c r="O371" s="131"/>
      <c r="P371" s="131"/>
      <c r="Q371" s="131"/>
      <c r="R371" s="131"/>
      <c r="S371" s="131"/>
      <c r="T371" s="131"/>
      <c r="U371" s="131"/>
      <c r="V371" s="131"/>
      <c r="W371" s="131"/>
      <c r="X371" s="131"/>
    </row>
    <row r="372" spans="1:24" ht="13.5" customHeight="1">
      <c r="A372" s="132"/>
      <c r="B372" s="131"/>
      <c r="C372" s="131"/>
      <c r="D372" s="132"/>
      <c r="E372" s="132"/>
      <c r="F372" s="132"/>
      <c r="G372" s="132"/>
      <c r="H372" s="132"/>
      <c r="I372" s="131"/>
      <c r="J372" s="131"/>
      <c r="K372" s="131"/>
      <c r="L372" s="131"/>
      <c r="M372" s="131"/>
      <c r="N372" s="131"/>
      <c r="O372" s="131"/>
      <c r="P372" s="131"/>
      <c r="Q372" s="131"/>
      <c r="R372" s="131"/>
      <c r="S372" s="131"/>
      <c r="T372" s="131"/>
      <c r="U372" s="131"/>
      <c r="V372" s="131"/>
      <c r="W372" s="131"/>
      <c r="X372" s="131"/>
    </row>
    <row r="373" spans="1:24" ht="13.5" customHeight="1">
      <c r="A373" s="132"/>
      <c r="B373" s="131"/>
      <c r="C373" s="131"/>
      <c r="D373" s="132"/>
      <c r="E373" s="132"/>
      <c r="F373" s="132"/>
      <c r="G373" s="132"/>
      <c r="H373" s="132"/>
      <c r="I373" s="131"/>
      <c r="J373" s="131"/>
      <c r="K373" s="131"/>
      <c r="L373" s="131"/>
      <c r="M373" s="131"/>
      <c r="N373" s="131"/>
      <c r="O373" s="131"/>
      <c r="P373" s="131"/>
      <c r="Q373" s="131"/>
      <c r="R373" s="131"/>
      <c r="S373" s="131"/>
      <c r="T373" s="131"/>
      <c r="U373" s="131"/>
      <c r="V373" s="131"/>
      <c r="W373" s="131"/>
      <c r="X373" s="131"/>
    </row>
    <row r="374" spans="1:24" ht="13.5" customHeight="1">
      <c r="A374" s="132"/>
      <c r="B374" s="131"/>
      <c r="C374" s="131"/>
      <c r="D374" s="132"/>
      <c r="E374" s="132"/>
      <c r="F374" s="132"/>
      <c r="G374" s="132"/>
      <c r="H374" s="132"/>
      <c r="I374" s="131"/>
      <c r="J374" s="131"/>
      <c r="K374" s="131"/>
      <c r="L374" s="131"/>
      <c r="M374" s="131"/>
      <c r="N374" s="131"/>
      <c r="O374" s="131"/>
      <c r="P374" s="131"/>
      <c r="Q374" s="131"/>
      <c r="R374" s="131"/>
      <c r="S374" s="131"/>
      <c r="T374" s="131"/>
      <c r="U374" s="131"/>
      <c r="V374" s="131"/>
      <c r="W374" s="131"/>
      <c r="X374" s="131"/>
    </row>
    <row r="375" spans="1:24" ht="13.5" customHeight="1">
      <c r="A375" s="132"/>
      <c r="B375" s="131"/>
      <c r="C375" s="131"/>
      <c r="D375" s="132"/>
      <c r="E375" s="132"/>
      <c r="F375" s="132"/>
      <c r="G375" s="132"/>
      <c r="H375" s="132"/>
      <c r="I375" s="131"/>
      <c r="J375" s="131"/>
      <c r="K375" s="131"/>
      <c r="L375" s="131"/>
      <c r="M375" s="131"/>
      <c r="N375" s="131"/>
      <c r="O375" s="131"/>
      <c r="P375" s="131"/>
      <c r="Q375" s="131"/>
      <c r="R375" s="131"/>
      <c r="S375" s="131"/>
      <c r="T375" s="131"/>
      <c r="U375" s="131"/>
      <c r="V375" s="131"/>
      <c r="W375" s="131"/>
      <c r="X375" s="131"/>
    </row>
    <row r="376" spans="1:24" ht="13.5" customHeight="1">
      <c r="A376" s="132"/>
      <c r="B376" s="131"/>
      <c r="C376" s="131"/>
      <c r="D376" s="132"/>
      <c r="E376" s="132"/>
      <c r="F376" s="132"/>
      <c r="G376" s="132"/>
      <c r="H376" s="132"/>
      <c r="I376" s="131"/>
      <c r="J376" s="131"/>
      <c r="K376" s="131"/>
      <c r="L376" s="131"/>
      <c r="M376" s="131"/>
      <c r="N376" s="131"/>
      <c r="O376" s="131"/>
      <c r="P376" s="131"/>
      <c r="Q376" s="131"/>
      <c r="R376" s="131"/>
      <c r="S376" s="131"/>
      <c r="T376" s="131"/>
      <c r="U376" s="131"/>
      <c r="V376" s="131"/>
      <c r="W376" s="131"/>
      <c r="X376" s="131"/>
    </row>
    <row r="377" spans="1:24" ht="13.5" customHeight="1">
      <c r="A377" s="132"/>
      <c r="B377" s="131"/>
      <c r="C377" s="131"/>
      <c r="D377" s="132"/>
      <c r="E377" s="132"/>
      <c r="F377" s="132"/>
      <c r="G377" s="132"/>
      <c r="H377" s="132"/>
      <c r="I377" s="131"/>
      <c r="J377" s="131"/>
      <c r="K377" s="131"/>
      <c r="L377" s="131"/>
      <c r="M377" s="131"/>
      <c r="N377" s="131"/>
      <c r="O377" s="131"/>
      <c r="P377" s="131"/>
      <c r="Q377" s="131"/>
      <c r="R377" s="131"/>
      <c r="S377" s="131"/>
      <c r="T377" s="131"/>
      <c r="U377" s="131"/>
      <c r="V377" s="131"/>
      <c r="W377" s="131"/>
      <c r="X377" s="131"/>
    </row>
    <row r="378" spans="1:24" ht="13.5" customHeight="1">
      <c r="A378" s="132"/>
      <c r="B378" s="131"/>
      <c r="C378" s="131"/>
      <c r="D378" s="132"/>
      <c r="E378" s="132"/>
      <c r="F378" s="132"/>
      <c r="G378" s="132"/>
      <c r="H378" s="132"/>
      <c r="I378" s="131"/>
      <c r="J378" s="131"/>
      <c r="K378" s="131"/>
      <c r="L378" s="131"/>
      <c r="M378" s="131"/>
      <c r="N378" s="131"/>
      <c r="O378" s="131"/>
      <c r="P378" s="131"/>
      <c r="Q378" s="131"/>
      <c r="R378" s="131"/>
      <c r="S378" s="131"/>
      <c r="T378" s="131"/>
      <c r="U378" s="131"/>
      <c r="V378" s="131"/>
      <c r="W378" s="131"/>
      <c r="X378" s="131"/>
    </row>
    <row r="379" spans="1:24" ht="13.5" customHeight="1">
      <c r="A379" s="132"/>
      <c r="B379" s="131"/>
      <c r="C379" s="131"/>
      <c r="D379" s="132"/>
      <c r="E379" s="132"/>
      <c r="F379" s="132"/>
      <c r="G379" s="132"/>
      <c r="H379" s="132"/>
      <c r="I379" s="131"/>
      <c r="J379" s="131"/>
      <c r="K379" s="131"/>
      <c r="L379" s="131"/>
      <c r="M379" s="131"/>
      <c r="N379" s="131"/>
      <c r="O379" s="131"/>
      <c r="P379" s="131"/>
      <c r="Q379" s="131"/>
      <c r="R379" s="131"/>
      <c r="S379" s="131"/>
      <c r="T379" s="131"/>
      <c r="U379" s="131"/>
      <c r="V379" s="131"/>
      <c r="W379" s="131"/>
      <c r="X379" s="131"/>
    </row>
    <row r="380" spans="1:24" ht="13.5" customHeight="1">
      <c r="A380" s="132"/>
      <c r="B380" s="131"/>
      <c r="C380" s="131"/>
      <c r="D380" s="132"/>
      <c r="E380" s="132"/>
      <c r="F380" s="132"/>
      <c r="G380" s="132"/>
      <c r="H380" s="132"/>
      <c r="I380" s="131"/>
      <c r="J380" s="131"/>
      <c r="K380" s="131"/>
      <c r="L380" s="131"/>
      <c r="M380" s="131"/>
      <c r="N380" s="131"/>
      <c r="O380" s="131"/>
      <c r="P380" s="131"/>
      <c r="Q380" s="131"/>
      <c r="R380" s="131"/>
      <c r="S380" s="131"/>
      <c r="T380" s="131"/>
      <c r="U380" s="131"/>
      <c r="V380" s="131"/>
      <c r="W380" s="131"/>
      <c r="X380" s="131"/>
    </row>
    <row r="381" spans="1:24" ht="13.5" customHeight="1">
      <c r="A381" s="132"/>
      <c r="B381" s="131"/>
      <c r="C381" s="131"/>
      <c r="D381" s="132"/>
      <c r="E381" s="132"/>
      <c r="F381" s="132"/>
      <c r="G381" s="132"/>
      <c r="H381" s="132"/>
      <c r="I381" s="131"/>
      <c r="J381" s="131"/>
      <c r="K381" s="131"/>
      <c r="L381" s="131"/>
      <c r="M381" s="131"/>
      <c r="N381" s="131"/>
      <c r="O381" s="131"/>
      <c r="P381" s="131"/>
      <c r="Q381" s="131"/>
      <c r="R381" s="131"/>
      <c r="S381" s="131"/>
      <c r="T381" s="131"/>
      <c r="U381" s="131"/>
      <c r="V381" s="131"/>
      <c r="W381" s="131"/>
      <c r="X381" s="131"/>
    </row>
    <row r="382" spans="1:24" ht="13.5" customHeight="1">
      <c r="A382" s="132"/>
      <c r="B382" s="131"/>
      <c r="C382" s="131"/>
      <c r="D382" s="132"/>
      <c r="E382" s="132"/>
      <c r="F382" s="132"/>
      <c r="G382" s="132"/>
      <c r="H382" s="132"/>
      <c r="I382" s="131"/>
      <c r="J382" s="131"/>
      <c r="K382" s="131"/>
      <c r="L382" s="131"/>
      <c r="M382" s="131"/>
      <c r="N382" s="131"/>
      <c r="O382" s="131"/>
      <c r="P382" s="131"/>
      <c r="Q382" s="131"/>
      <c r="R382" s="131"/>
      <c r="S382" s="131"/>
      <c r="T382" s="131"/>
      <c r="U382" s="131"/>
      <c r="V382" s="131"/>
      <c r="W382" s="131"/>
      <c r="X382" s="131"/>
    </row>
    <row r="383" spans="1:24" ht="13.5" customHeight="1">
      <c r="A383" s="132"/>
      <c r="B383" s="131"/>
      <c r="C383" s="131"/>
      <c r="D383" s="132"/>
      <c r="E383" s="132"/>
      <c r="F383" s="132"/>
      <c r="G383" s="132"/>
      <c r="H383" s="132"/>
      <c r="I383" s="131"/>
      <c r="J383" s="131"/>
      <c r="K383" s="131"/>
      <c r="L383" s="131"/>
      <c r="M383" s="131"/>
      <c r="N383" s="131"/>
      <c r="O383" s="131"/>
      <c r="P383" s="131"/>
      <c r="Q383" s="131"/>
      <c r="R383" s="131"/>
      <c r="S383" s="131"/>
      <c r="T383" s="131"/>
      <c r="U383" s="131"/>
      <c r="V383" s="131"/>
      <c r="W383" s="131"/>
      <c r="X383" s="131"/>
    </row>
    <row r="384" spans="1:24" ht="13.5" customHeight="1">
      <c r="A384" s="132"/>
      <c r="B384" s="131"/>
      <c r="C384" s="131"/>
      <c r="D384" s="132"/>
      <c r="E384" s="132"/>
      <c r="F384" s="132"/>
      <c r="G384" s="132"/>
      <c r="H384" s="132"/>
      <c r="I384" s="131"/>
      <c r="J384" s="131"/>
      <c r="K384" s="131"/>
      <c r="L384" s="131"/>
      <c r="M384" s="131"/>
      <c r="N384" s="131"/>
      <c r="O384" s="131"/>
      <c r="P384" s="131"/>
      <c r="Q384" s="131"/>
      <c r="R384" s="131"/>
      <c r="S384" s="131"/>
      <c r="T384" s="131"/>
      <c r="U384" s="131"/>
      <c r="V384" s="131"/>
      <c r="W384" s="131"/>
      <c r="X384" s="131"/>
    </row>
    <row r="385" spans="1:24" ht="13.5" customHeight="1">
      <c r="A385" s="132"/>
      <c r="B385" s="131"/>
      <c r="C385" s="131"/>
      <c r="D385" s="132"/>
      <c r="E385" s="132"/>
      <c r="F385" s="132"/>
      <c r="G385" s="132"/>
      <c r="H385" s="132"/>
      <c r="I385" s="131"/>
      <c r="J385" s="131"/>
      <c r="K385" s="131"/>
      <c r="L385" s="131"/>
      <c r="M385" s="131"/>
      <c r="N385" s="131"/>
      <c r="O385" s="131"/>
      <c r="P385" s="131"/>
      <c r="Q385" s="131"/>
      <c r="R385" s="131"/>
      <c r="S385" s="131"/>
      <c r="T385" s="131"/>
      <c r="U385" s="131"/>
      <c r="V385" s="131"/>
      <c r="W385" s="131"/>
      <c r="X385" s="131"/>
    </row>
    <row r="386" spans="1:24" ht="13.5" customHeight="1">
      <c r="A386" s="132"/>
      <c r="B386" s="131"/>
      <c r="C386" s="131"/>
      <c r="D386" s="132"/>
      <c r="E386" s="132"/>
      <c r="F386" s="132"/>
      <c r="G386" s="132"/>
      <c r="H386" s="132"/>
      <c r="I386" s="131"/>
      <c r="J386" s="131"/>
      <c r="K386" s="131"/>
      <c r="L386" s="131"/>
      <c r="M386" s="131"/>
      <c r="N386" s="131"/>
      <c r="O386" s="131"/>
      <c r="P386" s="131"/>
      <c r="Q386" s="131"/>
      <c r="R386" s="131"/>
      <c r="S386" s="131"/>
      <c r="T386" s="131"/>
      <c r="U386" s="131"/>
      <c r="V386" s="131"/>
      <c r="W386" s="131"/>
      <c r="X386" s="131"/>
    </row>
    <row r="387" spans="1:24" ht="13.5" customHeight="1">
      <c r="A387" s="132"/>
      <c r="B387" s="131"/>
      <c r="C387" s="131"/>
      <c r="D387" s="132"/>
      <c r="E387" s="132"/>
      <c r="F387" s="132"/>
      <c r="G387" s="132"/>
      <c r="H387" s="132"/>
      <c r="I387" s="131"/>
      <c r="J387" s="131"/>
      <c r="K387" s="131"/>
      <c r="L387" s="131"/>
      <c r="M387" s="131"/>
      <c r="N387" s="131"/>
      <c r="O387" s="131"/>
      <c r="P387" s="131"/>
      <c r="Q387" s="131"/>
      <c r="R387" s="131"/>
      <c r="S387" s="131"/>
      <c r="T387" s="131"/>
      <c r="U387" s="131"/>
      <c r="V387" s="131"/>
      <c r="W387" s="131"/>
      <c r="X387" s="131"/>
    </row>
    <row r="388" spans="1:24" ht="13.5" customHeight="1">
      <c r="A388" s="132"/>
      <c r="B388" s="131"/>
      <c r="C388" s="131"/>
      <c r="D388" s="132"/>
      <c r="E388" s="132"/>
      <c r="F388" s="132"/>
      <c r="G388" s="132"/>
      <c r="H388" s="132"/>
      <c r="I388" s="131"/>
      <c r="J388" s="131"/>
      <c r="K388" s="131"/>
      <c r="L388" s="131"/>
      <c r="M388" s="131"/>
      <c r="N388" s="131"/>
      <c r="O388" s="131"/>
      <c r="P388" s="131"/>
      <c r="Q388" s="131"/>
      <c r="R388" s="131"/>
      <c r="S388" s="131"/>
      <c r="T388" s="131"/>
      <c r="U388" s="131"/>
      <c r="V388" s="131"/>
      <c r="W388" s="131"/>
      <c r="X388" s="131"/>
    </row>
    <row r="389" spans="1:24" ht="13.5" customHeight="1">
      <c r="A389" s="132"/>
      <c r="B389" s="131"/>
      <c r="C389" s="131"/>
      <c r="D389" s="132"/>
      <c r="E389" s="132"/>
      <c r="F389" s="132"/>
      <c r="G389" s="132"/>
      <c r="H389" s="132"/>
      <c r="I389" s="131"/>
      <c r="J389" s="131"/>
      <c r="K389" s="131"/>
      <c r="L389" s="131"/>
      <c r="M389" s="131"/>
      <c r="N389" s="131"/>
      <c r="O389" s="131"/>
      <c r="P389" s="131"/>
      <c r="Q389" s="131"/>
      <c r="R389" s="131"/>
      <c r="S389" s="131"/>
      <c r="T389" s="131"/>
      <c r="U389" s="131"/>
      <c r="V389" s="131"/>
      <c r="W389" s="131"/>
      <c r="X389" s="131"/>
    </row>
    <row r="390" spans="1:24" ht="13.5" customHeight="1">
      <c r="A390" s="132"/>
      <c r="B390" s="131"/>
      <c r="C390" s="131"/>
      <c r="D390" s="132"/>
      <c r="E390" s="132"/>
      <c r="F390" s="132"/>
      <c r="G390" s="132"/>
      <c r="H390" s="132"/>
      <c r="I390" s="131"/>
      <c r="J390" s="131"/>
      <c r="K390" s="131"/>
      <c r="L390" s="131"/>
      <c r="M390" s="131"/>
      <c r="N390" s="131"/>
      <c r="O390" s="131"/>
      <c r="P390" s="131"/>
      <c r="Q390" s="131"/>
      <c r="R390" s="131"/>
      <c r="S390" s="131"/>
      <c r="T390" s="131"/>
      <c r="U390" s="131"/>
      <c r="V390" s="131"/>
      <c r="W390" s="131"/>
      <c r="X390" s="131"/>
    </row>
    <row r="391" spans="1:24" ht="13.5" customHeight="1">
      <c r="A391" s="132"/>
      <c r="B391" s="131"/>
      <c r="C391" s="131"/>
      <c r="D391" s="132"/>
      <c r="E391" s="132"/>
      <c r="F391" s="132"/>
      <c r="G391" s="132"/>
      <c r="H391" s="132"/>
      <c r="I391" s="131"/>
      <c r="J391" s="131"/>
      <c r="K391" s="131"/>
      <c r="L391" s="131"/>
      <c r="M391" s="131"/>
      <c r="N391" s="131"/>
      <c r="O391" s="131"/>
      <c r="P391" s="131"/>
      <c r="Q391" s="131"/>
      <c r="R391" s="131"/>
      <c r="S391" s="131"/>
      <c r="T391" s="131"/>
      <c r="U391" s="131"/>
      <c r="V391" s="131"/>
      <c r="W391" s="131"/>
      <c r="X391" s="131"/>
    </row>
    <row r="392" spans="1:24" ht="13.5" customHeight="1">
      <c r="A392" s="132"/>
      <c r="B392" s="131"/>
      <c r="C392" s="131"/>
      <c r="D392" s="132"/>
      <c r="E392" s="132"/>
      <c r="F392" s="132"/>
      <c r="G392" s="132"/>
      <c r="H392" s="132"/>
      <c r="I392" s="131"/>
      <c r="J392" s="131"/>
      <c r="K392" s="131"/>
      <c r="L392" s="131"/>
      <c r="M392" s="131"/>
      <c r="N392" s="131"/>
      <c r="O392" s="131"/>
      <c r="P392" s="131"/>
      <c r="Q392" s="131"/>
      <c r="R392" s="131"/>
      <c r="S392" s="131"/>
      <c r="T392" s="131"/>
      <c r="U392" s="131"/>
      <c r="V392" s="131"/>
      <c r="W392" s="131"/>
      <c r="X392" s="131"/>
    </row>
    <row r="393" spans="1:24" ht="13.5" customHeight="1">
      <c r="A393" s="132"/>
      <c r="B393" s="131"/>
      <c r="C393" s="131"/>
      <c r="D393" s="132"/>
      <c r="E393" s="132"/>
      <c r="F393" s="132"/>
      <c r="G393" s="132"/>
      <c r="H393" s="132"/>
      <c r="I393" s="131"/>
      <c r="J393" s="131"/>
      <c r="K393" s="131"/>
      <c r="L393" s="131"/>
      <c r="M393" s="131"/>
      <c r="N393" s="131"/>
      <c r="O393" s="131"/>
      <c r="P393" s="131"/>
      <c r="Q393" s="131"/>
      <c r="R393" s="131"/>
      <c r="S393" s="131"/>
      <c r="T393" s="131"/>
      <c r="U393" s="131"/>
      <c r="V393" s="131"/>
      <c r="W393" s="131"/>
      <c r="X393" s="131"/>
    </row>
    <row r="394" spans="1:24" ht="13.5" customHeight="1">
      <c r="A394" s="132"/>
      <c r="B394" s="131"/>
      <c r="C394" s="131"/>
      <c r="D394" s="132"/>
      <c r="E394" s="132"/>
      <c r="F394" s="132"/>
      <c r="G394" s="132"/>
      <c r="H394" s="132"/>
      <c r="I394" s="131"/>
      <c r="J394" s="131"/>
      <c r="K394" s="131"/>
      <c r="L394" s="131"/>
      <c r="M394" s="131"/>
      <c r="N394" s="131"/>
      <c r="O394" s="131"/>
      <c r="P394" s="131"/>
      <c r="Q394" s="131"/>
      <c r="R394" s="131"/>
      <c r="S394" s="131"/>
      <c r="T394" s="131"/>
      <c r="U394" s="131"/>
      <c r="V394" s="131"/>
      <c r="W394" s="131"/>
      <c r="X394" s="131"/>
    </row>
    <row r="395" spans="1:24" ht="13.5" customHeight="1">
      <c r="A395" s="132"/>
      <c r="B395" s="131"/>
      <c r="C395" s="131"/>
      <c r="D395" s="132"/>
      <c r="E395" s="132"/>
      <c r="F395" s="132"/>
      <c r="G395" s="132"/>
      <c r="H395" s="132"/>
      <c r="I395" s="131"/>
      <c r="J395" s="131"/>
      <c r="K395" s="131"/>
      <c r="L395" s="131"/>
      <c r="M395" s="131"/>
      <c r="N395" s="131"/>
      <c r="O395" s="131"/>
      <c r="P395" s="131"/>
      <c r="Q395" s="131"/>
      <c r="R395" s="131"/>
      <c r="S395" s="131"/>
      <c r="T395" s="131"/>
      <c r="U395" s="131"/>
      <c r="V395" s="131"/>
      <c r="W395" s="131"/>
      <c r="X395" s="131"/>
    </row>
    <row r="396" spans="1:24" ht="13.5" customHeight="1">
      <c r="A396" s="132"/>
      <c r="B396" s="131"/>
      <c r="C396" s="131"/>
      <c r="D396" s="132"/>
      <c r="E396" s="132"/>
      <c r="F396" s="132"/>
      <c r="G396" s="132"/>
      <c r="H396" s="132"/>
      <c r="I396" s="131"/>
      <c r="J396" s="131"/>
      <c r="K396" s="131"/>
      <c r="L396" s="131"/>
      <c r="M396" s="131"/>
      <c r="N396" s="131"/>
      <c r="O396" s="131"/>
      <c r="P396" s="131"/>
      <c r="Q396" s="131"/>
      <c r="R396" s="131"/>
      <c r="S396" s="131"/>
      <c r="T396" s="131"/>
      <c r="U396" s="131"/>
      <c r="V396" s="131"/>
      <c r="W396" s="131"/>
      <c r="X396" s="131"/>
    </row>
    <row r="397" spans="1:24" ht="13.5" customHeight="1">
      <c r="A397" s="132"/>
      <c r="B397" s="131"/>
      <c r="C397" s="131"/>
      <c r="D397" s="132"/>
      <c r="E397" s="132"/>
      <c r="F397" s="132"/>
      <c r="G397" s="132"/>
      <c r="H397" s="132"/>
      <c r="I397" s="131"/>
      <c r="J397" s="131"/>
      <c r="K397" s="131"/>
      <c r="L397" s="131"/>
      <c r="M397" s="131"/>
      <c r="N397" s="131"/>
      <c r="O397" s="131"/>
      <c r="P397" s="131"/>
      <c r="Q397" s="131"/>
      <c r="R397" s="131"/>
      <c r="S397" s="131"/>
      <c r="T397" s="131"/>
      <c r="U397" s="131"/>
      <c r="V397" s="131"/>
      <c r="W397" s="131"/>
      <c r="X397" s="131"/>
    </row>
    <row r="398" spans="1:24" ht="13.5" customHeight="1">
      <c r="A398" s="132"/>
      <c r="B398" s="131"/>
      <c r="C398" s="131"/>
      <c r="D398" s="132"/>
      <c r="E398" s="132"/>
      <c r="F398" s="132"/>
      <c r="G398" s="132"/>
      <c r="H398" s="132"/>
      <c r="I398" s="131"/>
      <c r="J398" s="131"/>
      <c r="K398" s="131"/>
      <c r="L398" s="131"/>
      <c r="M398" s="131"/>
      <c r="N398" s="131"/>
      <c r="O398" s="131"/>
      <c r="P398" s="131"/>
      <c r="Q398" s="131"/>
      <c r="R398" s="131"/>
      <c r="S398" s="131"/>
      <c r="T398" s="131"/>
      <c r="U398" s="131"/>
      <c r="V398" s="131"/>
      <c r="W398" s="131"/>
      <c r="X398" s="131"/>
    </row>
    <row r="399" spans="1:24" ht="13.5" customHeight="1">
      <c r="A399" s="132"/>
      <c r="B399" s="131"/>
      <c r="C399" s="131"/>
      <c r="D399" s="132"/>
      <c r="E399" s="132"/>
      <c r="F399" s="132"/>
      <c r="G399" s="132"/>
      <c r="H399" s="132"/>
      <c r="I399" s="131"/>
      <c r="J399" s="131"/>
      <c r="K399" s="131"/>
      <c r="L399" s="131"/>
      <c r="M399" s="131"/>
      <c r="N399" s="131"/>
      <c r="O399" s="131"/>
      <c r="P399" s="131"/>
      <c r="Q399" s="131"/>
      <c r="R399" s="131"/>
      <c r="S399" s="131"/>
      <c r="T399" s="131"/>
      <c r="U399" s="131"/>
      <c r="V399" s="131"/>
      <c r="W399" s="131"/>
      <c r="X399" s="131"/>
    </row>
    <row r="400" spans="1:24" ht="13.5" customHeight="1">
      <c r="A400" s="132"/>
      <c r="B400" s="131"/>
      <c r="C400" s="131"/>
      <c r="D400" s="132"/>
      <c r="E400" s="132"/>
      <c r="F400" s="132"/>
      <c r="G400" s="132"/>
      <c r="H400" s="132"/>
      <c r="I400" s="131"/>
      <c r="J400" s="131"/>
      <c r="K400" s="131"/>
      <c r="L400" s="131"/>
      <c r="M400" s="131"/>
      <c r="N400" s="131"/>
      <c r="O400" s="131"/>
      <c r="P400" s="131"/>
      <c r="Q400" s="131"/>
      <c r="R400" s="131"/>
      <c r="S400" s="131"/>
      <c r="T400" s="131"/>
      <c r="U400" s="131"/>
      <c r="V400" s="131"/>
      <c r="W400" s="131"/>
      <c r="X400" s="131"/>
    </row>
    <row r="401" spans="1:24" ht="13.5" customHeight="1">
      <c r="A401" s="132"/>
      <c r="B401" s="131"/>
      <c r="C401" s="131"/>
      <c r="D401" s="132"/>
      <c r="E401" s="132"/>
      <c r="F401" s="132"/>
      <c r="G401" s="132"/>
      <c r="H401" s="132"/>
      <c r="I401" s="131"/>
      <c r="J401" s="131"/>
      <c r="K401" s="131"/>
      <c r="L401" s="131"/>
      <c r="M401" s="131"/>
      <c r="N401" s="131"/>
      <c r="O401" s="131"/>
      <c r="P401" s="131"/>
      <c r="Q401" s="131"/>
      <c r="R401" s="131"/>
      <c r="S401" s="131"/>
      <c r="T401" s="131"/>
      <c r="U401" s="131"/>
      <c r="V401" s="131"/>
      <c r="W401" s="131"/>
      <c r="X401" s="131"/>
    </row>
    <row r="402" spans="1:24" ht="13.5" customHeight="1">
      <c r="A402" s="132"/>
      <c r="B402" s="131"/>
      <c r="C402" s="131"/>
      <c r="D402" s="132"/>
      <c r="E402" s="132"/>
      <c r="F402" s="132"/>
      <c r="G402" s="132"/>
      <c r="H402" s="132"/>
      <c r="I402" s="131"/>
      <c r="J402" s="131"/>
      <c r="K402" s="131"/>
      <c r="L402" s="131"/>
      <c r="M402" s="131"/>
      <c r="N402" s="131"/>
      <c r="O402" s="131"/>
      <c r="P402" s="131"/>
      <c r="Q402" s="131"/>
      <c r="R402" s="131"/>
      <c r="S402" s="131"/>
      <c r="T402" s="131"/>
      <c r="U402" s="131"/>
      <c r="V402" s="131"/>
      <c r="W402" s="131"/>
      <c r="X402" s="131"/>
    </row>
    <row r="403" spans="1:24" ht="13.5" customHeight="1">
      <c r="A403" s="132"/>
      <c r="B403" s="131"/>
      <c r="C403" s="131"/>
      <c r="D403" s="132"/>
      <c r="E403" s="132"/>
      <c r="F403" s="132"/>
      <c r="G403" s="132"/>
      <c r="H403" s="132"/>
      <c r="I403" s="131"/>
      <c r="J403" s="131"/>
      <c r="K403" s="131"/>
      <c r="L403" s="131"/>
      <c r="M403" s="131"/>
      <c r="N403" s="131"/>
      <c r="O403" s="131"/>
      <c r="P403" s="131"/>
      <c r="Q403" s="131"/>
      <c r="R403" s="131"/>
      <c r="S403" s="131"/>
      <c r="T403" s="131"/>
      <c r="U403" s="131"/>
      <c r="V403" s="131"/>
      <c r="W403" s="131"/>
      <c r="X403" s="131"/>
    </row>
    <row r="404" spans="1:24" ht="13.5" customHeight="1">
      <c r="A404" s="132"/>
      <c r="B404" s="131"/>
      <c r="C404" s="131"/>
      <c r="D404" s="132"/>
      <c r="E404" s="132"/>
      <c r="F404" s="132"/>
      <c r="G404" s="132"/>
      <c r="H404" s="132"/>
      <c r="I404" s="131"/>
      <c r="J404" s="131"/>
      <c r="K404" s="131"/>
      <c r="L404" s="131"/>
      <c r="M404" s="131"/>
      <c r="N404" s="131"/>
      <c r="O404" s="131"/>
      <c r="P404" s="131"/>
      <c r="Q404" s="131"/>
      <c r="R404" s="131"/>
      <c r="S404" s="131"/>
      <c r="T404" s="131"/>
      <c r="U404" s="131"/>
      <c r="V404" s="131"/>
      <c r="W404" s="131"/>
      <c r="X404" s="131"/>
    </row>
    <row r="405" spans="1:24" ht="13.5" customHeight="1">
      <c r="A405" s="132"/>
      <c r="B405" s="131"/>
      <c r="C405" s="131"/>
      <c r="D405" s="132"/>
      <c r="E405" s="132"/>
      <c r="F405" s="132"/>
      <c r="G405" s="132"/>
      <c r="H405" s="132"/>
      <c r="I405" s="131"/>
      <c r="J405" s="131"/>
      <c r="K405" s="131"/>
      <c r="L405" s="131"/>
      <c r="M405" s="131"/>
      <c r="N405" s="131"/>
      <c r="O405" s="131"/>
      <c r="P405" s="131"/>
      <c r="Q405" s="131"/>
      <c r="R405" s="131"/>
      <c r="S405" s="131"/>
      <c r="T405" s="131"/>
      <c r="U405" s="131"/>
      <c r="V405" s="131"/>
      <c r="W405" s="131"/>
      <c r="X405" s="131"/>
    </row>
    <row r="406" spans="1:24" ht="13.5" customHeight="1">
      <c r="A406" s="132"/>
      <c r="B406" s="131"/>
      <c r="C406" s="131"/>
      <c r="D406" s="132"/>
      <c r="E406" s="132"/>
      <c r="F406" s="132"/>
      <c r="G406" s="132"/>
      <c r="H406" s="132"/>
      <c r="I406" s="131"/>
      <c r="J406" s="131"/>
      <c r="K406" s="131"/>
      <c r="L406" s="131"/>
      <c r="M406" s="131"/>
      <c r="N406" s="131"/>
      <c r="O406" s="131"/>
      <c r="P406" s="131"/>
      <c r="Q406" s="131"/>
      <c r="R406" s="131"/>
      <c r="S406" s="131"/>
      <c r="T406" s="131"/>
      <c r="U406" s="131"/>
      <c r="V406" s="131"/>
      <c r="W406" s="131"/>
      <c r="X406" s="131"/>
    </row>
    <row r="407" spans="1:24" ht="13.5" customHeight="1">
      <c r="A407" s="132"/>
      <c r="B407" s="131"/>
      <c r="C407" s="131"/>
      <c r="D407" s="132"/>
      <c r="E407" s="132"/>
      <c r="F407" s="132"/>
      <c r="G407" s="132"/>
      <c r="H407" s="132"/>
      <c r="I407" s="131"/>
      <c r="J407" s="131"/>
      <c r="K407" s="131"/>
      <c r="L407" s="131"/>
      <c r="M407" s="131"/>
      <c r="N407" s="131"/>
      <c r="O407" s="131"/>
      <c r="P407" s="131"/>
      <c r="Q407" s="131"/>
      <c r="R407" s="131"/>
      <c r="S407" s="131"/>
      <c r="T407" s="131"/>
      <c r="U407" s="131"/>
      <c r="V407" s="131"/>
      <c r="W407" s="131"/>
      <c r="X407" s="131"/>
    </row>
    <row r="408" spans="1:24" ht="13.5" customHeight="1">
      <c r="A408" s="132"/>
      <c r="B408" s="131"/>
      <c r="C408" s="131"/>
      <c r="D408" s="132"/>
      <c r="E408" s="132"/>
      <c r="F408" s="132"/>
      <c r="G408" s="132"/>
      <c r="H408" s="132"/>
      <c r="I408" s="131"/>
      <c r="J408" s="131"/>
      <c r="K408" s="131"/>
      <c r="L408" s="131"/>
      <c r="M408" s="131"/>
      <c r="N408" s="131"/>
      <c r="O408" s="131"/>
      <c r="P408" s="131"/>
      <c r="Q408" s="131"/>
      <c r="R408" s="131"/>
      <c r="S408" s="131"/>
      <c r="T408" s="131"/>
      <c r="U408" s="131"/>
      <c r="V408" s="131"/>
      <c r="W408" s="131"/>
      <c r="X408" s="131"/>
    </row>
    <row r="409" spans="1:24" ht="13.5" customHeight="1">
      <c r="A409" s="132"/>
      <c r="B409" s="131"/>
      <c r="C409" s="131"/>
      <c r="D409" s="132"/>
      <c r="E409" s="132"/>
      <c r="F409" s="132"/>
      <c r="G409" s="132"/>
      <c r="H409" s="132"/>
      <c r="I409" s="131"/>
      <c r="J409" s="131"/>
      <c r="K409" s="131"/>
      <c r="L409" s="131"/>
      <c r="M409" s="131"/>
      <c r="N409" s="131"/>
      <c r="O409" s="131"/>
      <c r="P409" s="131"/>
      <c r="Q409" s="131"/>
      <c r="R409" s="131"/>
      <c r="S409" s="131"/>
      <c r="T409" s="131"/>
      <c r="U409" s="131"/>
      <c r="V409" s="131"/>
      <c r="W409" s="131"/>
      <c r="X409" s="131"/>
    </row>
    <row r="410" spans="1:24" ht="13.5" customHeight="1">
      <c r="A410" s="132"/>
      <c r="B410" s="131"/>
      <c r="C410" s="131"/>
      <c r="D410" s="132"/>
      <c r="E410" s="132"/>
      <c r="F410" s="132"/>
      <c r="G410" s="132"/>
      <c r="H410" s="132"/>
      <c r="I410" s="131"/>
      <c r="J410" s="131"/>
      <c r="K410" s="131"/>
      <c r="L410" s="131"/>
      <c r="M410" s="131"/>
      <c r="N410" s="131"/>
      <c r="O410" s="131"/>
      <c r="P410" s="131"/>
      <c r="Q410" s="131"/>
      <c r="R410" s="131"/>
      <c r="S410" s="131"/>
      <c r="T410" s="131"/>
      <c r="U410" s="131"/>
      <c r="V410" s="131"/>
      <c r="W410" s="131"/>
      <c r="X410" s="131"/>
    </row>
    <row r="411" spans="1:24" ht="13.5" customHeight="1">
      <c r="A411" s="132"/>
      <c r="B411" s="131"/>
      <c r="C411" s="131"/>
      <c r="D411" s="132"/>
      <c r="E411" s="132"/>
      <c r="F411" s="132"/>
      <c r="G411" s="132"/>
      <c r="H411" s="132"/>
      <c r="I411" s="131"/>
      <c r="J411" s="131"/>
      <c r="K411" s="131"/>
      <c r="L411" s="131"/>
      <c r="M411" s="131"/>
      <c r="N411" s="131"/>
      <c r="O411" s="131"/>
      <c r="P411" s="131"/>
      <c r="Q411" s="131"/>
      <c r="R411" s="131"/>
      <c r="S411" s="131"/>
      <c r="T411" s="131"/>
      <c r="U411" s="131"/>
      <c r="V411" s="131"/>
      <c r="W411" s="131"/>
      <c r="X411" s="131"/>
    </row>
    <row r="412" spans="1:24" ht="13.5" customHeight="1">
      <c r="A412" s="132"/>
      <c r="B412" s="131"/>
      <c r="C412" s="131"/>
      <c r="D412" s="132"/>
      <c r="E412" s="132"/>
      <c r="F412" s="132"/>
      <c r="G412" s="132"/>
      <c r="H412" s="132"/>
      <c r="I412" s="131"/>
      <c r="J412" s="131"/>
      <c r="K412" s="131"/>
      <c r="L412" s="131"/>
      <c r="M412" s="131"/>
      <c r="N412" s="131"/>
      <c r="O412" s="131"/>
      <c r="P412" s="131"/>
      <c r="Q412" s="131"/>
      <c r="R412" s="131"/>
      <c r="S412" s="131"/>
      <c r="T412" s="131"/>
      <c r="U412" s="131"/>
      <c r="V412" s="131"/>
      <c r="W412" s="131"/>
      <c r="X412" s="131"/>
    </row>
    <row r="413" spans="1:24" ht="13.5" customHeight="1">
      <c r="A413" s="132"/>
      <c r="B413" s="131"/>
      <c r="C413" s="131"/>
      <c r="D413" s="132"/>
      <c r="E413" s="132"/>
      <c r="F413" s="132"/>
      <c r="G413" s="132"/>
      <c r="H413" s="132"/>
      <c r="I413" s="131"/>
      <c r="J413" s="131"/>
      <c r="K413" s="131"/>
      <c r="L413" s="131"/>
      <c r="M413" s="131"/>
      <c r="N413" s="131"/>
      <c r="O413" s="131"/>
      <c r="P413" s="131"/>
      <c r="Q413" s="131"/>
      <c r="R413" s="131"/>
      <c r="S413" s="131"/>
      <c r="T413" s="131"/>
      <c r="U413" s="131"/>
      <c r="V413" s="131"/>
      <c r="W413" s="131"/>
      <c r="X413" s="131"/>
    </row>
    <row r="414" spans="1:24" ht="13.5" customHeight="1">
      <c r="A414" s="132"/>
      <c r="B414" s="131"/>
      <c r="C414" s="131"/>
      <c r="D414" s="132"/>
      <c r="E414" s="132"/>
      <c r="F414" s="132"/>
      <c r="G414" s="132"/>
      <c r="H414" s="132"/>
      <c r="I414" s="131"/>
      <c r="J414" s="131"/>
      <c r="K414" s="131"/>
      <c r="L414" s="131"/>
      <c r="M414" s="131"/>
      <c r="N414" s="131"/>
      <c r="O414" s="131"/>
      <c r="P414" s="131"/>
      <c r="Q414" s="131"/>
      <c r="R414" s="131"/>
      <c r="S414" s="131"/>
      <c r="T414" s="131"/>
      <c r="U414" s="131"/>
      <c r="V414" s="131"/>
      <c r="W414" s="131"/>
      <c r="X414" s="131"/>
    </row>
    <row r="415" spans="1:24" ht="13.5" customHeight="1">
      <c r="A415" s="132"/>
      <c r="B415" s="131"/>
      <c r="C415" s="131"/>
      <c r="D415" s="132"/>
      <c r="E415" s="132"/>
      <c r="F415" s="132"/>
      <c r="G415" s="132"/>
      <c r="H415" s="132"/>
      <c r="I415" s="131"/>
      <c r="J415" s="131"/>
      <c r="K415" s="131"/>
      <c r="L415" s="131"/>
      <c r="M415" s="131"/>
      <c r="N415" s="131"/>
      <c r="O415" s="131"/>
      <c r="P415" s="131"/>
      <c r="Q415" s="131"/>
      <c r="R415" s="131"/>
      <c r="S415" s="131"/>
      <c r="T415" s="131"/>
      <c r="U415" s="131"/>
      <c r="V415" s="131"/>
      <c r="W415" s="131"/>
      <c r="X415" s="131"/>
    </row>
    <row r="416" spans="1:24" ht="13.5" customHeight="1">
      <c r="A416" s="132"/>
      <c r="B416" s="131"/>
      <c r="C416" s="131"/>
      <c r="D416" s="132"/>
      <c r="E416" s="132"/>
      <c r="F416" s="132"/>
      <c r="G416" s="132"/>
      <c r="H416" s="132"/>
      <c r="I416" s="131"/>
      <c r="J416" s="131"/>
      <c r="K416" s="131"/>
      <c r="L416" s="131"/>
      <c r="M416" s="131"/>
      <c r="N416" s="131"/>
      <c r="O416" s="131"/>
      <c r="P416" s="131"/>
      <c r="Q416" s="131"/>
      <c r="R416" s="131"/>
      <c r="S416" s="131"/>
      <c r="T416" s="131"/>
      <c r="U416" s="131"/>
      <c r="V416" s="131"/>
      <c r="W416" s="131"/>
      <c r="X416" s="131"/>
    </row>
    <row r="417" spans="1:24" ht="13.5" customHeight="1">
      <c r="A417" s="132"/>
      <c r="B417" s="131"/>
      <c r="C417" s="131"/>
      <c r="D417" s="132"/>
      <c r="E417" s="132"/>
      <c r="F417" s="132"/>
      <c r="G417" s="132"/>
      <c r="H417" s="132"/>
      <c r="I417" s="131"/>
      <c r="J417" s="131"/>
      <c r="K417" s="131"/>
      <c r="L417" s="131"/>
      <c r="M417" s="131"/>
      <c r="N417" s="131"/>
      <c r="O417" s="131"/>
      <c r="P417" s="131"/>
      <c r="Q417" s="131"/>
      <c r="R417" s="131"/>
      <c r="S417" s="131"/>
      <c r="T417" s="131"/>
      <c r="U417" s="131"/>
      <c r="V417" s="131"/>
      <c r="W417" s="131"/>
      <c r="X417" s="131"/>
    </row>
    <row r="418" spans="1:24" ht="13.5" customHeight="1">
      <c r="A418" s="132"/>
      <c r="B418" s="131"/>
      <c r="C418" s="131"/>
      <c r="D418" s="132"/>
      <c r="E418" s="132"/>
      <c r="F418" s="132"/>
      <c r="G418" s="132"/>
      <c r="H418" s="132"/>
      <c r="I418" s="131"/>
      <c r="J418" s="131"/>
      <c r="K418" s="131"/>
      <c r="L418" s="131"/>
      <c r="M418" s="131"/>
      <c r="N418" s="131"/>
      <c r="O418" s="131"/>
      <c r="P418" s="131"/>
      <c r="Q418" s="131"/>
      <c r="R418" s="131"/>
      <c r="S418" s="131"/>
      <c r="T418" s="131"/>
      <c r="U418" s="131"/>
      <c r="V418" s="131"/>
      <c r="W418" s="131"/>
      <c r="X418" s="131"/>
    </row>
    <row r="419" spans="1:24" ht="13.5" customHeight="1">
      <c r="A419" s="132"/>
      <c r="B419" s="131"/>
      <c r="C419" s="131"/>
      <c r="D419" s="132"/>
      <c r="E419" s="132"/>
      <c r="F419" s="132"/>
      <c r="G419" s="132"/>
      <c r="H419" s="132"/>
      <c r="I419" s="131"/>
      <c r="J419" s="131"/>
      <c r="K419" s="131"/>
      <c r="L419" s="131"/>
      <c r="M419" s="131"/>
      <c r="N419" s="131"/>
      <c r="O419" s="131"/>
      <c r="P419" s="131"/>
      <c r="Q419" s="131"/>
      <c r="R419" s="131"/>
      <c r="S419" s="131"/>
      <c r="T419" s="131"/>
      <c r="U419" s="131"/>
      <c r="V419" s="131"/>
      <c r="W419" s="131"/>
      <c r="X419" s="131"/>
    </row>
    <row r="420" spans="1:24" ht="13.5" customHeight="1">
      <c r="A420" s="132"/>
      <c r="B420" s="131"/>
      <c r="C420" s="131"/>
      <c r="D420" s="132"/>
      <c r="E420" s="132"/>
      <c r="F420" s="132"/>
      <c r="G420" s="132"/>
      <c r="H420" s="132"/>
      <c r="I420" s="131"/>
      <c r="J420" s="131"/>
      <c r="K420" s="131"/>
      <c r="L420" s="131"/>
      <c r="M420" s="131"/>
      <c r="N420" s="131"/>
      <c r="O420" s="131"/>
      <c r="P420" s="131"/>
      <c r="Q420" s="131"/>
      <c r="R420" s="131"/>
      <c r="S420" s="131"/>
      <c r="T420" s="131"/>
      <c r="U420" s="131"/>
      <c r="V420" s="131"/>
      <c r="W420" s="131"/>
      <c r="X420" s="131"/>
    </row>
    <row r="421" spans="1:24" ht="13.5" customHeight="1">
      <c r="A421" s="132"/>
      <c r="B421" s="131"/>
      <c r="C421" s="131"/>
      <c r="D421" s="132"/>
      <c r="E421" s="132"/>
      <c r="F421" s="132"/>
      <c r="G421" s="132"/>
      <c r="H421" s="132"/>
      <c r="I421" s="131"/>
      <c r="J421" s="131"/>
      <c r="K421" s="131"/>
      <c r="L421" s="131"/>
      <c r="M421" s="131"/>
      <c r="N421" s="131"/>
      <c r="O421" s="131"/>
      <c r="P421" s="131"/>
      <c r="Q421" s="131"/>
      <c r="R421" s="131"/>
      <c r="S421" s="131"/>
      <c r="T421" s="131"/>
      <c r="U421" s="131"/>
      <c r="V421" s="131"/>
      <c r="W421" s="131"/>
      <c r="X421" s="131"/>
    </row>
    <row r="422" spans="1:24" ht="13.5" customHeight="1">
      <c r="A422" s="132"/>
      <c r="B422" s="131"/>
      <c r="C422" s="131"/>
      <c r="D422" s="132"/>
      <c r="E422" s="132"/>
      <c r="F422" s="132"/>
      <c r="G422" s="132"/>
      <c r="H422" s="132"/>
      <c r="I422" s="131"/>
      <c r="J422" s="131"/>
      <c r="K422" s="131"/>
      <c r="L422" s="131"/>
      <c r="M422" s="131"/>
      <c r="N422" s="131"/>
      <c r="O422" s="131"/>
      <c r="P422" s="131"/>
      <c r="Q422" s="131"/>
      <c r="R422" s="131"/>
      <c r="S422" s="131"/>
      <c r="T422" s="131"/>
      <c r="U422" s="131"/>
      <c r="V422" s="131"/>
      <c r="W422" s="131"/>
      <c r="X422" s="131"/>
    </row>
    <row r="423" spans="1:24" ht="13.5" customHeight="1">
      <c r="A423" s="132"/>
      <c r="B423" s="131"/>
      <c r="C423" s="131"/>
      <c r="D423" s="132"/>
      <c r="E423" s="132"/>
      <c r="F423" s="132"/>
      <c r="G423" s="132"/>
      <c r="H423" s="132"/>
      <c r="I423" s="131"/>
      <c r="J423" s="131"/>
      <c r="K423" s="131"/>
      <c r="L423" s="131"/>
      <c r="M423" s="131"/>
      <c r="N423" s="131"/>
      <c r="O423" s="131"/>
      <c r="P423" s="131"/>
      <c r="Q423" s="131"/>
      <c r="R423" s="131"/>
      <c r="S423" s="131"/>
      <c r="T423" s="131"/>
      <c r="U423" s="131"/>
      <c r="V423" s="131"/>
      <c r="W423" s="131"/>
      <c r="X423" s="131"/>
    </row>
    <row r="424" spans="1:24" ht="13.5" customHeight="1">
      <c r="A424" s="132"/>
      <c r="B424" s="131"/>
      <c r="C424" s="131"/>
      <c r="D424" s="132"/>
      <c r="E424" s="132"/>
      <c r="F424" s="132"/>
      <c r="G424" s="132"/>
      <c r="H424" s="132"/>
      <c r="I424" s="131"/>
      <c r="J424" s="131"/>
      <c r="K424" s="131"/>
      <c r="L424" s="131"/>
      <c r="M424" s="131"/>
      <c r="N424" s="131"/>
      <c r="O424" s="131"/>
      <c r="P424" s="131"/>
      <c r="Q424" s="131"/>
      <c r="R424" s="131"/>
      <c r="S424" s="131"/>
      <c r="T424" s="131"/>
      <c r="U424" s="131"/>
      <c r="V424" s="131"/>
      <c r="W424" s="131"/>
      <c r="X424" s="131"/>
    </row>
    <row r="425" spans="1:24" ht="13.5" customHeight="1">
      <c r="A425" s="132"/>
      <c r="B425" s="131"/>
      <c r="C425" s="131"/>
      <c r="D425" s="132"/>
      <c r="E425" s="132"/>
      <c r="F425" s="132"/>
      <c r="G425" s="132"/>
      <c r="H425" s="132"/>
      <c r="I425" s="131"/>
      <c r="J425" s="131"/>
      <c r="K425" s="131"/>
      <c r="L425" s="131"/>
      <c r="M425" s="131"/>
      <c r="N425" s="131"/>
      <c r="O425" s="131"/>
      <c r="P425" s="131"/>
      <c r="Q425" s="131"/>
      <c r="R425" s="131"/>
      <c r="S425" s="131"/>
      <c r="T425" s="131"/>
      <c r="U425" s="131"/>
      <c r="V425" s="131"/>
      <c r="W425" s="131"/>
      <c r="X425" s="131"/>
    </row>
    <row r="426" spans="1:24" ht="13.5" customHeight="1">
      <c r="A426" s="132"/>
      <c r="B426" s="131"/>
      <c r="C426" s="131"/>
      <c r="D426" s="132"/>
      <c r="E426" s="132"/>
      <c r="F426" s="132"/>
      <c r="G426" s="132"/>
      <c r="H426" s="132"/>
      <c r="I426" s="131"/>
      <c r="J426" s="131"/>
      <c r="K426" s="131"/>
      <c r="L426" s="131"/>
      <c r="M426" s="131"/>
      <c r="N426" s="131"/>
      <c r="O426" s="131"/>
      <c r="P426" s="131"/>
      <c r="Q426" s="131"/>
      <c r="R426" s="131"/>
      <c r="S426" s="131"/>
      <c r="T426" s="131"/>
      <c r="U426" s="131"/>
      <c r="V426" s="131"/>
      <c r="W426" s="131"/>
      <c r="X426" s="131"/>
    </row>
    <row r="427" spans="1:24" ht="13.5" customHeight="1">
      <c r="A427" s="132"/>
      <c r="B427" s="131"/>
      <c r="C427" s="131"/>
      <c r="D427" s="132"/>
      <c r="E427" s="132"/>
      <c r="F427" s="132"/>
      <c r="G427" s="132"/>
      <c r="H427" s="132"/>
      <c r="I427" s="131"/>
      <c r="J427" s="131"/>
      <c r="K427" s="131"/>
      <c r="L427" s="131"/>
      <c r="M427" s="131"/>
      <c r="N427" s="131"/>
      <c r="O427" s="131"/>
      <c r="P427" s="131"/>
      <c r="Q427" s="131"/>
      <c r="R427" s="131"/>
      <c r="S427" s="131"/>
      <c r="T427" s="131"/>
      <c r="U427" s="131"/>
      <c r="V427" s="131"/>
      <c r="W427" s="131"/>
      <c r="X427" s="131"/>
    </row>
    <row r="428" spans="1:24" ht="13.5" customHeight="1">
      <c r="A428" s="132"/>
      <c r="B428" s="131"/>
      <c r="C428" s="131"/>
      <c r="D428" s="132"/>
      <c r="E428" s="132"/>
      <c r="F428" s="132"/>
      <c r="G428" s="132"/>
      <c r="H428" s="132"/>
      <c r="I428" s="131"/>
      <c r="J428" s="131"/>
      <c r="K428" s="131"/>
      <c r="L428" s="131"/>
      <c r="M428" s="131"/>
      <c r="N428" s="131"/>
      <c r="O428" s="131"/>
      <c r="P428" s="131"/>
      <c r="Q428" s="131"/>
      <c r="R428" s="131"/>
      <c r="S428" s="131"/>
      <c r="T428" s="131"/>
      <c r="U428" s="131"/>
      <c r="V428" s="131"/>
      <c r="W428" s="131"/>
      <c r="X428" s="131"/>
    </row>
    <row r="429" spans="1:24" ht="13.5" customHeight="1">
      <c r="A429" s="132"/>
      <c r="B429" s="131"/>
      <c r="C429" s="131"/>
      <c r="D429" s="132"/>
      <c r="E429" s="132"/>
      <c r="F429" s="132"/>
      <c r="G429" s="132"/>
      <c r="H429" s="132"/>
      <c r="I429" s="131"/>
      <c r="J429" s="131"/>
      <c r="K429" s="131"/>
      <c r="L429" s="131"/>
      <c r="M429" s="131"/>
      <c r="N429" s="131"/>
      <c r="O429" s="131"/>
      <c r="P429" s="131"/>
      <c r="Q429" s="131"/>
      <c r="R429" s="131"/>
      <c r="S429" s="131"/>
      <c r="T429" s="131"/>
      <c r="U429" s="131"/>
      <c r="V429" s="131"/>
      <c r="W429" s="131"/>
      <c r="X429" s="131"/>
    </row>
    <row r="430" spans="1:24" ht="13.5" customHeight="1">
      <c r="A430" s="132"/>
      <c r="B430" s="131"/>
      <c r="C430" s="131"/>
      <c r="D430" s="132"/>
      <c r="E430" s="132"/>
      <c r="F430" s="132"/>
      <c r="G430" s="132"/>
      <c r="H430" s="132"/>
      <c r="I430" s="131"/>
      <c r="J430" s="131"/>
      <c r="K430" s="131"/>
      <c r="L430" s="131"/>
      <c r="M430" s="131"/>
      <c r="N430" s="131"/>
      <c r="O430" s="131"/>
      <c r="P430" s="131"/>
      <c r="Q430" s="131"/>
      <c r="R430" s="131"/>
      <c r="S430" s="131"/>
      <c r="T430" s="131"/>
      <c r="U430" s="131"/>
      <c r="V430" s="131"/>
      <c r="W430" s="131"/>
      <c r="X430" s="131"/>
    </row>
    <row r="431" spans="1:24" ht="13.5" customHeight="1">
      <c r="A431" s="132"/>
      <c r="B431" s="131"/>
      <c r="C431" s="131"/>
      <c r="D431" s="132"/>
      <c r="E431" s="132"/>
      <c r="F431" s="132"/>
      <c r="G431" s="132"/>
      <c r="H431" s="132"/>
      <c r="I431" s="131"/>
      <c r="J431" s="131"/>
      <c r="K431" s="131"/>
      <c r="L431" s="131"/>
      <c r="M431" s="131"/>
      <c r="N431" s="131"/>
      <c r="O431" s="131"/>
      <c r="P431" s="131"/>
      <c r="Q431" s="131"/>
      <c r="R431" s="131"/>
      <c r="S431" s="131"/>
      <c r="T431" s="131"/>
      <c r="U431" s="131"/>
      <c r="V431" s="131"/>
      <c r="W431" s="131"/>
      <c r="X431" s="131"/>
    </row>
    <row r="432" spans="1:24" ht="13.5" customHeight="1">
      <c r="A432" s="132"/>
      <c r="B432" s="131"/>
      <c r="C432" s="131"/>
      <c r="D432" s="132"/>
      <c r="E432" s="132"/>
      <c r="F432" s="132"/>
      <c r="G432" s="132"/>
      <c r="H432" s="132"/>
      <c r="I432" s="131"/>
      <c r="J432" s="131"/>
      <c r="K432" s="131"/>
      <c r="L432" s="131"/>
      <c r="M432" s="131"/>
      <c r="N432" s="131"/>
      <c r="O432" s="131"/>
      <c r="P432" s="131"/>
      <c r="Q432" s="131"/>
      <c r="R432" s="131"/>
      <c r="S432" s="131"/>
      <c r="T432" s="131"/>
      <c r="U432" s="131"/>
      <c r="V432" s="131"/>
      <c r="W432" s="131"/>
      <c r="X432" s="131"/>
    </row>
    <row r="433" spans="1:24" ht="13.5" customHeight="1">
      <c r="A433" s="132"/>
      <c r="B433" s="131"/>
      <c r="C433" s="131"/>
      <c r="D433" s="132"/>
      <c r="E433" s="132"/>
      <c r="F433" s="132"/>
      <c r="G433" s="132"/>
      <c r="H433" s="132"/>
      <c r="I433" s="131"/>
      <c r="J433" s="131"/>
      <c r="K433" s="131"/>
      <c r="L433" s="131"/>
      <c r="M433" s="131"/>
      <c r="N433" s="131"/>
      <c r="O433" s="131"/>
      <c r="P433" s="131"/>
      <c r="Q433" s="131"/>
      <c r="R433" s="131"/>
      <c r="S433" s="131"/>
      <c r="T433" s="131"/>
      <c r="U433" s="131"/>
      <c r="V433" s="131"/>
      <c r="W433" s="131"/>
      <c r="X433" s="131"/>
    </row>
    <row r="434" spans="1:24" ht="13.5" customHeight="1">
      <c r="A434" s="132"/>
      <c r="B434" s="131"/>
      <c r="C434" s="131"/>
      <c r="D434" s="132"/>
      <c r="E434" s="132"/>
      <c r="F434" s="132"/>
      <c r="G434" s="132"/>
      <c r="H434" s="132"/>
      <c r="I434" s="131"/>
      <c r="J434" s="131"/>
      <c r="K434" s="131"/>
      <c r="L434" s="131"/>
      <c r="M434" s="131"/>
      <c r="N434" s="131"/>
      <c r="O434" s="131"/>
      <c r="P434" s="131"/>
      <c r="Q434" s="131"/>
      <c r="R434" s="131"/>
      <c r="S434" s="131"/>
      <c r="T434" s="131"/>
      <c r="U434" s="131"/>
      <c r="V434" s="131"/>
      <c r="W434" s="131"/>
      <c r="X434" s="131"/>
    </row>
    <row r="435" spans="1:24" ht="13.5" customHeight="1">
      <c r="A435" s="132"/>
      <c r="B435" s="131"/>
      <c r="C435" s="131"/>
      <c r="D435" s="132"/>
      <c r="E435" s="132"/>
      <c r="F435" s="132"/>
      <c r="G435" s="132"/>
      <c r="H435" s="132"/>
      <c r="I435" s="131"/>
      <c r="J435" s="131"/>
      <c r="K435" s="131"/>
      <c r="L435" s="131"/>
      <c r="M435" s="131"/>
      <c r="N435" s="131"/>
      <c r="O435" s="131"/>
      <c r="P435" s="131"/>
      <c r="Q435" s="131"/>
      <c r="R435" s="131"/>
      <c r="S435" s="131"/>
      <c r="T435" s="131"/>
      <c r="U435" s="131"/>
      <c r="V435" s="131"/>
      <c r="W435" s="131"/>
      <c r="X435" s="131"/>
    </row>
    <row r="436" spans="1:24" ht="13.5" customHeight="1">
      <c r="A436" s="132"/>
      <c r="B436" s="131"/>
      <c r="C436" s="131"/>
      <c r="D436" s="132"/>
      <c r="E436" s="132"/>
      <c r="F436" s="132"/>
      <c r="G436" s="132"/>
      <c r="H436" s="132"/>
      <c r="I436" s="131"/>
      <c r="J436" s="131"/>
      <c r="K436" s="131"/>
      <c r="L436" s="131"/>
      <c r="M436" s="131"/>
      <c r="N436" s="131"/>
      <c r="O436" s="131"/>
      <c r="P436" s="131"/>
      <c r="Q436" s="131"/>
      <c r="R436" s="131"/>
      <c r="S436" s="131"/>
      <c r="T436" s="131"/>
      <c r="U436" s="131"/>
      <c r="V436" s="131"/>
      <c r="W436" s="131"/>
      <c r="X436" s="131"/>
    </row>
    <row r="437" spans="1:24" ht="13.5" customHeight="1">
      <c r="A437" s="132"/>
      <c r="B437" s="131"/>
      <c r="C437" s="131"/>
      <c r="D437" s="132"/>
      <c r="E437" s="132"/>
      <c r="F437" s="132"/>
      <c r="G437" s="132"/>
      <c r="H437" s="132"/>
      <c r="I437" s="131"/>
      <c r="J437" s="131"/>
      <c r="K437" s="131"/>
      <c r="L437" s="131"/>
      <c r="M437" s="131"/>
      <c r="N437" s="131"/>
      <c r="O437" s="131"/>
      <c r="P437" s="131"/>
      <c r="Q437" s="131"/>
      <c r="R437" s="131"/>
      <c r="S437" s="131"/>
      <c r="T437" s="131"/>
      <c r="U437" s="131"/>
      <c r="V437" s="131"/>
      <c r="W437" s="131"/>
      <c r="X437" s="131"/>
    </row>
    <row r="438" spans="1:24" ht="13.5" customHeight="1">
      <c r="A438" s="132"/>
      <c r="B438" s="131"/>
      <c r="C438" s="131"/>
      <c r="D438" s="132"/>
      <c r="E438" s="132"/>
      <c r="F438" s="132"/>
      <c r="G438" s="132"/>
      <c r="H438" s="132"/>
      <c r="I438" s="131"/>
      <c r="J438" s="131"/>
      <c r="K438" s="131"/>
      <c r="L438" s="131"/>
      <c r="M438" s="131"/>
      <c r="N438" s="131"/>
      <c r="O438" s="131"/>
      <c r="P438" s="131"/>
      <c r="Q438" s="131"/>
      <c r="R438" s="131"/>
      <c r="S438" s="131"/>
      <c r="T438" s="131"/>
      <c r="U438" s="131"/>
      <c r="V438" s="131"/>
      <c r="W438" s="131"/>
      <c r="X438" s="131"/>
    </row>
    <row r="439" spans="1:24" ht="13.5" customHeight="1">
      <c r="A439" s="132"/>
      <c r="B439" s="131"/>
      <c r="C439" s="131"/>
      <c r="D439" s="132"/>
      <c r="E439" s="132"/>
      <c r="F439" s="132"/>
      <c r="G439" s="132"/>
      <c r="H439" s="132"/>
      <c r="I439" s="131"/>
      <c r="J439" s="131"/>
      <c r="K439" s="131"/>
      <c r="L439" s="131"/>
      <c r="M439" s="131"/>
      <c r="N439" s="131"/>
      <c r="O439" s="131"/>
      <c r="P439" s="131"/>
      <c r="Q439" s="131"/>
      <c r="R439" s="131"/>
      <c r="S439" s="131"/>
      <c r="T439" s="131"/>
      <c r="U439" s="131"/>
      <c r="V439" s="131"/>
      <c r="W439" s="131"/>
      <c r="X439" s="131"/>
    </row>
    <row r="440" spans="1:24" ht="13.5" customHeight="1">
      <c r="A440" s="132"/>
      <c r="B440" s="131"/>
      <c r="C440" s="131"/>
      <c r="D440" s="132"/>
      <c r="E440" s="132"/>
      <c r="F440" s="132"/>
      <c r="G440" s="132"/>
      <c r="H440" s="132"/>
      <c r="I440" s="131"/>
      <c r="J440" s="131"/>
      <c r="K440" s="131"/>
      <c r="L440" s="131"/>
      <c r="M440" s="131"/>
      <c r="N440" s="131"/>
      <c r="O440" s="131"/>
      <c r="P440" s="131"/>
      <c r="Q440" s="131"/>
      <c r="R440" s="131"/>
      <c r="S440" s="131"/>
      <c r="T440" s="131"/>
      <c r="U440" s="131"/>
      <c r="V440" s="131"/>
      <c r="W440" s="131"/>
      <c r="X440" s="131"/>
    </row>
    <row r="441" spans="1:24" ht="13.5" customHeight="1">
      <c r="A441" s="132"/>
      <c r="B441" s="131"/>
      <c r="C441" s="131"/>
      <c r="D441" s="132"/>
      <c r="E441" s="132"/>
      <c r="F441" s="132"/>
      <c r="G441" s="132"/>
      <c r="H441" s="132"/>
      <c r="I441" s="131"/>
      <c r="J441" s="131"/>
      <c r="K441" s="131"/>
      <c r="L441" s="131"/>
      <c r="M441" s="131"/>
      <c r="N441" s="131"/>
      <c r="O441" s="131"/>
      <c r="P441" s="131"/>
      <c r="Q441" s="131"/>
      <c r="R441" s="131"/>
      <c r="S441" s="131"/>
      <c r="T441" s="131"/>
      <c r="U441" s="131"/>
      <c r="V441" s="131"/>
      <c r="W441" s="131"/>
      <c r="X441" s="131"/>
    </row>
    <row r="442" spans="1:24" ht="13.5" customHeight="1">
      <c r="A442" s="132"/>
      <c r="B442" s="131"/>
      <c r="C442" s="131"/>
      <c r="D442" s="132"/>
      <c r="E442" s="132"/>
      <c r="F442" s="132"/>
      <c r="G442" s="132"/>
      <c r="H442" s="132"/>
      <c r="I442" s="131"/>
      <c r="J442" s="131"/>
      <c r="K442" s="131"/>
      <c r="L442" s="131"/>
      <c r="M442" s="131"/>
      <c r="N442" s="131"/>
      <c r="O442" s="131"/>
      <c r="P442" s="131"/>
      <c r="Q442" s="131"/>
      <c r="R442" s="131"/>
      <c r="S442" s="131"/>
      <c r="T442" s="131"/>
      <c r="U442" s="131"/>
      <c r="V442" s="131"/>
      <c r="W442" s="131"/>
      <c r="X442" s="131"/>
    </row>
    <row r="443" spans="1:24" ht="13.5" customHeight="1">
      <c r="A443" s="132"/>
      <c r="B443" s="131"/>
      <c r="C443" s="131"/>
      <c r="D443" s="132"/>
      <c r="E443" s="132"/>
      <c r="F443" s="132"/>
      <c r="G443" s="132"/>
      <c r="H443" s="132"/>
      <c r="I443" s="131"/>
      <c r="J443" s="131"/>
      <c r="K443" s="131"/>
      <c r="L443" s="131"/>
      <c r="M443" s="131"/>
      <c r="N443" s="131"/>
      <c r="O443" s="131"/>
      <c r="P443" s="131"/>
      <c r="Q443" s="131"/>
      <c r="R443" s="131"/>
      <c r="S443" s="131"/>
      <c r="T443" s="131"/>
      <c r="U443" s="131"/>
      <c r="V443" s="131"/>
      <c r="W443" s="131"/>
      <c r="X443" s="131"/>
    </row>
    <row r="444" spans="1:24" ht="13.5" customHeight="1">
      <c r="A444" s="132"/>
      <c r="B444" s="131"/>
      <c r="C444" s="131"/>
      <c r="D444" s="132"/>
      <c r="E444" s="132"/>
      <c r="F444" s="132"/>
      <c r="G444" s="132"/>
      <c r="H444" s="132"/>
      <c r="I444" s="131"/>
      <c r="J444" s="131"/>
      <c r="K444" s="131"/>
      <c r="L444" s="131"/>
      <c r="M444" s="131"/>
      <c r="N444" s="131"/>
      <c r="O444" s="131"/>
      <c r="P444" s="131"/>
      <c r="Q444" s="131"/>
      <c r="R444" s="131"/>
      <c r="S444" s="131"/>
      <c r="T444" s="131"/>
      <c r="U444" s="131"/>
      <c r="V444" s="131"/>
      <c r="W444" s="131"/>
      <c r="X444" s="131"/>
    </row>
    <row r="445" spans="1:24" ht="13.5" customHeight="1">
      <c r="A445" s="132"/>
      <c r="B445" s="131"/>
      <c r="C445" s="131"/>
      <c r="D445" s="132"/>
      <c r="E445" s="132"/>
      <c r="F445" s="132"/>
      <c r="G445" s="132"/>
      <c r="H445" s="132"/>
      <c r="I445" s="131"/>
      <c r="J445" s="131"/>
      <c r="K445" s="131"/>
      <c r="L445" s="131"/>
      <c r="M445" s="131"/>
      <c r="N445" s="131"/>
      <c r="O445" s="131"/>
      <c r="P445" s="131"/>
      <c r="Q445" s="131"/>
      <c r="R445" s="131"/>
      <c r="S445" s="131"/>
      <c r="T445" s="131"/>
      <c r="U445" s="131"/>
      <c r="V445" s="131"/>
      <c r="W445" s="131"/>
      <c r="X445" s="131"/>
    </row>
    <row r="446" spans="1:24" ht="13.5" customHeight="1">
      <c r="A446" s="132"/>
      <c r="B446" s="131"/>
      <c r="C446" s="131"/>
      <c r="D446" s="132"/>
      <c r="E446" s="132"/>
      <c r="F446" s="132"/>
      <c r="G446" s="132"/>
      <c r="H446" s="132"/>
      <c r="I446" s="131"/>
      <c r="J446" s="131"/>
      <c r="K446" s="131"/>
      <c r="L446" s="131"/>
      <c r="M446" s="131"/>
      <c r="N446" s="131"/>
      <c r="O446" s="131"/>
      <c r="P446" s="131"/>
      <c r="Q446" s="131"/>
      <c r="R446" s="131"/>
      <c r="S446" s="131"/>
      <c r="T446" s="131"/>
      <c r="U446" s="131"/>
      <c r="V446" s="131"/>
      <c r="W446" s="131"/>
      <c r="X446" s="131"/>
    </row>
    <row r="447" spans="1:24" ht="13.5" customHeight="1">
      <c r="A447" s="132"/>
      <c r="B447" s="131"/>
      <c r="C447" s="131"/>
      <c r="D447" s="132"/>
      <c r="E447" s="132"/>
      <c r="F447" s="132"/>
      <c r="G447" s="132"/>
      <c r="H447" s="132"/>
      <c r="I447" s="131"/>
      <c r="J447" s="131"/>
      <c r="K447" s="131"/>
      <c r="L447" s="131"/>
      <c r="M447" s="131"/>
      <c r="N447" s="131"/>
      <c r="O447" s="131"/>
      <c r="P447" s="131"/>
      <c r="Q447" s="131"/>
      <c r="R447" s="131"/>
      <c r="S447" s="131"/>
      <c r="T447" s="131"/>
      <c r="U447" s="131"/>
      <c r="V447" s="131"/>
      <c r="W447" s="131"/>
      <c r="X447" s="131"/>
    </row>
    <row r="448" spans="1:24" ht="13.5" customHeight="1">
      <c r="A448" s="132"/>
      <c r="B448" s="131"/>
      <c r="C448" s="131"/>
      <c r="D448" s="132"/>
      <c r="E448" s="132"/>
      <c r="F448" s="132"/>
      <c r="G448" s="132"/>
      <c r="H448" s="132"/>
      <c r="I448" s="131"/>
      <c r="J448" s="131"/>
      <c r="K448" s="131"/>
      <c r="L448" s="131"/>
      <c r="M448" s="131"/>
      <c r="N448" s="131"/>
      <c r="O448" s="131"/>
      <c r="P448" s="131"/>
      <c r="Q448" s="131"/>
      <c r="R448" s="131"/>
      <c r="S448" s="131"/>
      <c r="T448" s="131"/>
      <c r="U448" s="131"/>
      <c r="V448" s="131"/>
      <c r="W448" s="131"/>
      <c r="X448" s="131"/>
    </row>
    <row r="449" spans="1:24" ht="13.5" customHeight="1">
      <c r="A449" s="132"/>
      <c r="B449" s="131"/>
      <c r="C449" s="131"/>
      <c r="D449" s="132"/>
      <c r="E449" s="132"/>
      <c r="F449" s="132"/>
      <c r="G449" s="132"/>
      <c r="H449" s="132"/>
      <c r="I449" s="131"/>
      <c r="J449" s="131"/>
      <c r="K449" s="131"/>
      <c r="L449" s="131"/>
      <c r="M449" s="131"/>
      <c r="N449" s="131"/>
      <c r="O449" s="131"/>
      <c r="P449" s="131"/>
      <c r="Q449" s="131"/>
      <c r="R449" s="131"/>
      <c r="S449" s="131"/>
      <c r="T449" s="131"/>
      <c r="U449" s="131"/>
      <c r="V449" s="131"/>
      <c r="W449" s="131"/>
      <c r="X449" s="131"/>
    </row>
    <row r="450" spans="1:24" ht="13.5" customHeight="1">
      <c r="A450" s="132"/>
      <c r="B450" s="131"/>
      <c r="C450" s="131"/>
      <c r="D450" s="132"/>
      <c r="E450" s="132"/>
      <c r="F450" s="132"/>
      <c r="G450" s="132"/>
      <c r="H450" s="132"/>
      <c r="I450" s="131"/>
      <c r="J450" s="131"/>
      <c r="K450" s="131"/>
      <c r="L450" s="131"/>
      <c r="M450" s="131"/>
      <c r="N450" s="131"/>
      <c r="O450" s="131"/>
      <c r="P450" s="131"/>
      <c r="Q450" s="131"/>
      <c r="R450" s="131"/>
      <c r="S450" s="131"/>
      <c r="T450" s="131"/>
      <c r="U450" s="131"/>
      <c r="V450" s="131"/>
      <c r="W450" s="131"/>
      <c r="X450" s="131"/>
    </row>
    <row r="451" spans="1:24" ht="13.5" customHeight="1">
      <c r="A451" s="132"/>
      <c r="B451" s="131"/>
      <c r="C451" s="131"/>
      <c r="D451" s="132"/>
      <c r="E451" s="132"/>
      <c r="F451" s="132"/>
      <c r="G451" s="132"/>
      <c r="H451" s="132"/>
      <c r="I451" s="131"/>
      <c r="J451" s="131"/>
      <c r="K451" s="131"/>
      <c r="L451" s="131"/>
      <c r="M451" s="131"/>
      <c r="N451" s="131"/>
      <c r="O451" s="131"/>
      <c r="P451" s="131"/>
      <c r="Q451" s="131"/>
      <c r="R451" s="131"/>
      <c r="S451" s="131"/>
      <c r="T451" s="131"/>
      <c r="U451" s="131"/>
      <c r="V451" s="131"/>
      <c r="W451" s="131"/>
      <c r="X451" s="131"/>
    </row>
    <row r="452" spans="1:24" ht="13.5" customHeight="1">
      <c r="A452" s="132"/>
      <c r="B452" s="131"/>
      <c r="C452" s="131"/>
      <c r="D452" s="132"/>
      <c r="E452" s="132"/>
      <c r="F452" s="132"/>
      <c r="G452" s="132"/>
      <c r="H452" s="132"/>
      <c r="I452" s="131"/>
      <c r="J452" s="131"/>
      <c r="K452" s="131"/>
      <c r="L452" s="131"/>
      <c r="M452" s="131"/>
      <c r="N452" s="131"/>
      <c r="O452" s="131"/>
      <c r="P452" s="131"/>
      <c r="Q452" s="131"/>
      <c r="R452" s="131"/>
      <c r="S452" s="131"/>
      <c r="T452" s="131"/>
      <c r="U452" s="131"/>
      <c r="V452" s="131"/>
      <c r="W452" s="131"/>
      <c r="X452" s="131"/>
    </row>
    <row r="453" spans="1:24" ht="13.5" customHeight="1">
      <c r="A453" s="132"/>
      <c r="B453" s="131"/>
      <c r="C453" s="131"/>
      <c r="D453" s="132"/>
      <c r="E453" s="132"/>
      <c r="F453" s="132"/>
      <c r="G453" s="132"/>
      <c r="H453" s="132"/>
      <c r="I453" s="131"/>
      <c r="J453" s="131"/>
      <c r="K453" s="131"/>
      <c r="L453" s="131"/>
      <c r="M453" s="131"/>
      <c r="N453" s="131"/>
      <c r="O453" s="131"/>
      <c r="P453" s="131"/>
      <c r="Q453" s="131"/>
      <c r="R453" s="131"/>
      <c r="S453" s="131"/>
      <c r="T453" s="131"/>
      <c r="U453" s="131"/>
      <c r="V453" s="131"/>
      <c r="W453" s="131"/>
      <c r="X453" s="131"/>
    </row>
    <row r="454" spans="1:24" ht="13.5" customHeight="1">
      <c r="A454" s="132"/>
      <c r="B454" s="131"/>
      <c r="C454" s="131"/>
      <c r="D454" s="132"/>
      <c r="E454" s="132"/>
      <c r="F454" s="132"/>
      <c r="G454" s="132"/>
      <c r="H454" s="132"/>
      <c r="I454" s="131"/>
      <c r="J454" s="131"/>
      <c r="K454" s="131"/>
      <c r="L454" s="131"/>
      <c r="M454" s="131"/>
      <c r="N454" s="131"/>
      <c r="O454" s="131"/>
      <c r="P454" s="131"/>
      <c r="Q454" s="131"/>
      <c r="R454" s="131"/>
      <c r="S454" s="131"/>
      <c r="T454" s="131"/>
      <c r="U454" s="131"/>
      <c r="V454" s="131"/>
      <c r="W454" s="131"/>
      <c r="X454" s="131"/>
    </row>
    <row r="455" spans="1:24" ht="13.5" customHeight="1">
      <c r="A455" s="132"/>
      <c r="B455" s="131"/>
      <c r="C455" s="131"/>
      <c r="D455" s="132"/>
      <c r="E455" s="132"/>
      <c r="F455" s="132"/>
      <c r="G455" s="132"/>
      <c r="H455" s="132"/>
      <c r="I455" s="131"/>
      <c r="J455" s="131"/>
      <c r="K455" s="131"/>
      <c r="L455" s="131"/>
      <c r="M455" s="131"/>
      <c r="N455" s="131"/>
      <c r="O455" s="131"/>
      <c r="P455" s="131"/>
      <c r="Q455" s="131"/>
      <c r="R455" s="131"/>
      <c r="S455" s="131"/>
      <c r="T455" s="131"/>
      <c r="U455" s="131"/>
      <c r="V455" s="131"/>
      <c r="W455" s="131"/>
      <c r="X455" s="131"/>
    </row>
    <row r="456" spans="1:24" ht="13.5" customHeight="1">
      <c r="A456" s="132"/>
      <c r="B456" s="131"/>
      <c r="C456" s="131"/>
      <c r="D456" s="132"/>
      <c r="E456" s="132"/>
      <c r="F456" s="132"/>
      <c r="G456" s="132"/>
      <c r="H456" s="132"/>
      <c r="I456" s="131"/>
      <c r="J456" s="131"/>
      <c r="K456" s="131"/>
      <c r="L456" s="131"/>
      <c r="M456" s="131"/>
      <c r="N456" s="131"/>
      <c r="O456" s="131"/>
      <c r="P456" s="131"/>
      <c r="Q456" s="131"/>
      <c r="R456" s="131"/>
      <c r="S456" s="131"/>
      <c r="T456" s="131"/>
      <c r="U456" s="131"/>
      <c r="V456" s="131"/>
      <c r="W456" s="131"/>
      <c r="X456" s="131"/>
    </row>
    <row r="457" spans="1:24" ht="13.5" customHeight="1">
      <c r="A457" s="132"/>
      <c r="B457" s="131"/>
      <c r="C457" s="131"/>
      <c r="D457" s="132"/>
      <c r="E457" s="132"/>
      <c r="F457" s="132"/>
      <c r="G457" s="132"/>
      <c r="H457" s="132"/>
      <c r="I457" s="131"/>
      <c r="J457" s="131"/>
      <c r="K457" s="131"/>
      <c r="L457" s="131"/>
      <c r="M457" s="131"/>
      <c r="N457" s="131"/>
      <c r="O457" s="131"/>
      <c r="P457" s="131"/>
      <c r="Q457" s="131"/>
      <c r="R457" s="131"/>
      <c r="S457" s="131"/>
      <c r="T457" s="131"/>
      <c r="U457" s="131"/>
      <c r="V457" s="131"/>
      <c r="W457" s="131"/>
      <c r="X457" s="131"/>
    </row>
    <row r="458" spans="1:24" ht="13.5" customHeight="1">
      <c r="A458" s="132"/>
      <c r="B458" s="131"/>
      <c r="C458" s="131"/>
      <c r="D458" s="132"/>
      <c r="E458" s="132"/>
      <c r="F458" s="132"/>
      <c r="G458" s="132"/>
      <c r="H458" s="132"/>
      <c r="I458" s="131"/>
      <c r="J458" s="131"/>
      <c r="K458" s="131"/>
      <c r="L458" s="131"/>
      <c r="M458" s="131"/>
      <c r="N458" s="131"/>
      <c r="O458" s="131"/>
      <c r="P458" s="131"/>
      <c r="Q458" s="131"/>
      <c r="R458" s="131"/>
      <c r="S458" s="131"/>
      <c r="T458" s="131"/>
      <c r="U458" s="131"/>
      <c r="V458" s="131"/>
      <c r="W458" s="131"/>
      <c r="X458" s="131"/>
    </row>
    <row r="459" spans="1:24" ht="13.5" customHeight="1">
      <c r="A459" s="132"/>
      <c r="B459" s="131"/>
      <c r="C459" s="131"/>
      <c r="D459" s="132"/>
      <c r="E459" s="132"/>
      <c r="F459" s="132"/>
      <c r="G459" s="132"/>
      <c r="H459" s="132"/>
      <c r="I459" s="131"/>
      <c r="J459" s="131"/>
      <c r="K459" s="131"/>
      <c r="L459" s="131"/>
      <c r="M459" s="131"/>
      <c r="N459" s="131"/>
      <c r="O459" s="131"/>
      <c r="P459" s="131"/>
      <c r="Q459" s="131"/>
      <c r="R459" s="131"/>
      <c r="S459" s="131"/>
      <c r="T459" s="131"/>
      <c r="U459" s="131"/>
      <c r="V459" s="131"/>
      <c r="W459" s="131"/>
      <c r="X459" s="131"/>
    </row>
    <row r="460" spans="1:24" ht="13.5" customHeight="1">
      <c r="A460" s="132"/>
      <c r="B460" s="131"/>
      <c r="C460" s="131"/>
      <c r="D460" s="132"/>
      <c r="E460" s="132"/>
      <c r="F460" s="132"/>
      <c r="G460" s="132"/>
      <c r="H460" s="132"/>
      <c r="I460" s="131"/>
      <c r="J460" s="131"/>
      <c r="K460" s="131"/>
      <c r="L460" s="131"/>
      <c r="M460" s="131"/>
      <c r="N460" s="131"/>
      <c r="O460" s="131"/>
      <c r="P460" s="131"/>
      <c r="Q460" s="131"/>
      <c r="R460" s="131"/>
      <c r="S460" s="131"/>
      <c r="T460" s="131"/>
      <c r="U460" s="131"/>
      <c r="V460" s="131"/>
      <c r="W460" s="131"/>
      <c r="X460" s="131"/>
    </row>
    <row r="461" spans="1:24" ht="13.5" customHeight="1">
      <c r="A461" s="132"/>
      <c r="B461" s="131"/>
      <c r="C461" s="131"/>
      <c r="D461" s="132"/>
      <c r="E461" s="132"/>
      <c r="F461" s="132"/>
      <c r="G461" s="132"/>
      <c r="H461" s="132"/>
      <c r="I461" s="131"/>
      <c r="J461" s="131"/>
      <c r="K461" s="131"/>
      <c r="L461" s="131"/>
      <c r="M461" s="131"/>
      <c r="N461" s="131"/>
      <c r="O461" s="131"/>
      <c r="P461" s="131"/>
      <c r="Q461" s="131"/>
      <c r="R461" s="131"/>
      <c r="S461" s="131"/>
      <c r="T461" s="131"/>
      <c r="U461" s="131"/>
      <c r="V461" s="131"/>
      <c r="W461" s="131"/>
      <c r="X461" s="131"/>
    </row>
    <row r="462" spans="1:24" ht="13.5" customHeight="1">
      <c r="A462" s="132"/>
      <c r="B462" s="131"/>
      <c r="C462" s="131"/>
      <c r="D462" s="132"/>
      <c r="E462" s="132"/>
      <c r="F462" s="132"/>
      <c r="G462" s="132"/>
      <c r="H462" s="132"/>
      <c r="I462" s="131"/>
      <c r="J462" s="131"/>
      <c r="K462" s="131"/>
      <c r="L462" s="131"/>
      <c r="M462" s="131"/>
      <c r="N462" s="131"/>
      <c r="O462" s="131"/>
      <c r="P462" s="131"/>
      <c r="Q462" s="131"/>
      <c r="R462" s="131"/>
      <c r="S462" s="131"/>
      <c r="T462" s="131"/>
      <c r="U462" s="131"/>
      <c r="V462" s="131"/>
      <c r="W462" s="131"/>
      <c r="X462" s="131"/>
    </row>
    <row r="463" spans="1:24" ht="13.5" customHeight="1">
      <c r="A463" s="132"/>
      <c r="B463" s="131"/>
      <c r="C463" s="131"/>
      <c r="D463" s="132"/>
      <c r="E463" s="132"/>
      <c r="F463" s="132"/>
      <c r="G463" s="132"/>
      <c r="H463" s="132"/>
      <c r="I463" s="131"/>
      <c r="J463" s="131"/>
      <c r="K463" s="131"/>
      <c r="L463" s="131"/>
      <c r="M463" s="131"/>
      <c r="N463" s="131"/>
      <c r="O463" s="131"/>
      <c r="P463" s="131"/>
      <c r="Q463" s="131"/>
      <c r="R463" s="131"/>
      <c r="S463" s="131"/>
      <c r="T463" s="131"/>
      <c r="U463" s="131"/>
      <c r="V463" s="131"/>
      <c r="W463" s="131"/>
      <c r="X463" s="131"/>
    </row>
    <row r="464" spans="1:24" ht="13.5" customHeight="1">
      <c r="A464" s="132"/>
      <c r="B464" s="131"/>
      <c r="C464" s="131"/>
      <c r="D464" s="132"/>
      <c r="E464" s="132"/>
      <c r="F464" s="132"/>
      <c r="G464" s="132"/>
      <c r="H464" s="132"/>
      <c r="I464" s="131"/>
      <c r="J464" s="131"/>
      <c r="K464" s="131"/>
      <c r="L464" s="131"/>
      <c r="M464" s="131"/>
      <c r="N464" s="131"/>
      <c r="O464" s="131"/>
      <c r="P464" s="131"/>
      <c r="Q464" s="131"/>
      <c r="R464" s="131"/>
      <c r="S464" s="131"/>
      <c r="T464" s="131"/>
      <c r="U464" s="131"/>
      <c r="V464" s="131"/>
      <c r="W464" s="131"/>
      <c r="X464" s="131"/>
    </row>
    <row r="465" spans="1:24" ht="13.5" customHeight="1">
      <c r="A465" s="132"/>
      <c r="B465" s="131"/>
      <c r="C465" s="131"/>
      <c r="D465" s="132"/>
      <c r="E465" s="132"/>
      <c r="F465" s="132"/>
      <c r="G465" s="132"/>
      <c r="H465" s="132"/>
      <c r="I465" s="131"/>
      <c r="J465" s="131"/>
      <c r="K465" s="131"/>
      <c r="L465" s="131"/>
      <c r="M465" s="131"/>
      <c r="N465" s="131"/>
      <c r="O465" s="131"/>
      <c r="P465" s="131"/>
      <c r="Q465" s="131"/>
      <c r="R465" s="131"/>
      <c r="S465" s="131"/>
      <c r="T465" s="131"/>
      <c r="U465" s="131"/>
      <c r="V465" s="131"/>
      <c r="W465" s="131"/>
      <c r="X465" s="131"/>
    </row>
    <row r="466" spans="1:24" ht="13.5" customHeight="1">
      <c r="A466" s="132"/>
      <c r="B466" s="131"/>
      <c r="C466" s="131"/>
      <c r="D466" s="132"/>
      <c r="E466" s="132"/>
      <c r="F466" s="132"/>
      <c r="G466" s="132"/>
      <c r="H466" s="132"/>
      <c r="I466" s="131"/>
      <c r="J466" s="131"/>
      <c r="K466" s="131"/>
      <c r="L466" s="131"/>
      <c r="M466" s="131"/>
      <c r="N466" s="131"/>
      <c r="O466" s="131"/>
      <c r="P466" s="131"/>
      <c r="Q466" s="131"/>
      <c r="R466" s="131"/>
      <c r="S466" s="131"/>
      <c r="T466" s="131"/>
      <c r="U466" s="131"/>
      <c r="V466" s="131"/>
      <c r="W466" s="131"/>
      <c r="X466" s="131"/>
    </row>
    <row r="467" spans="1:24" ht="13.5" customHeight="1">
      <c r="A467" s="132"/>
      <c r="B467" s="131"/>
      <c r="C467" s="131"/>
      <c r="D467" s="132"/>
      <c r="E467" s="132"/>
      <c r="F467" s="132"/>
      <c r="G467" s="132"/>
      <c r="H467" s="132"/>
      <c r="I467" s="131"/>
      <c r="J467" s="131"/>
      <c r="K467" s="131"/>
      <c r="L467" s="131"/>
      <c r="M467" s="131"/>
      <c r="N467" s="131"/>
      <c r="O467" s="131"/>
      <c r="P467" s="131"/>
      <c r="Q467" s="131"/>
      <c r="R467" s="131"/>
      <c r="S467" s="131"/>
      <c r="T467" s="131"/>
      <c r="U467" s="131"/>
      <c r="V467" s="131"/>
      <c r="W467" s="131"/>
      <c r="X467" s="131"/>
    </row>
    <row r="468" spans="1:24" ht="13.5" customHeight="1">
      <c r="A468" s="132"/>
      <c r="B468" s="131"/>
      <c r="C468" s="131"/>
      <c r="D468" s="132"/>
      <c r="E468" s="132"/>
      <c r="F468" s="132"/>
      <c r="G468" s="132"/>
      <c r="H468" s="132"/>
      <c r="I468" s="131"/>
      <c r="J468" s="131"/>
      <c r="K468" s="131"/>
      <c r="L468" s="131"/>
      <c r="M468" s="131"/>
      <c r="N468" s="131"/>
      <c r="O468" s="131"/>
      <c r="P468" s="131"/>
      <c r="Q468" s="131"/>
      <c r="R468" s="131"/>
      <c r="S468" s="131"/>
      <c r="T468" s="131"/>
      <c r="U468" s="131"/>
      <c r="V468" s="131"/>
      <c r="W468" s="131"/>
      <c r="X468" s="131"/>
    </row>
    <row r="469" spans="1:24" ht="13.5" customHeight="1">
      <c r="A469" s="132"/>
      <c r="B469" s="131"/>
      <c r="C469" s="131"/>
      <c r="D469" s="132"/>
      <c r="E469" s="132"/>
      <c r="F469" s="132"/>
      <c r="G469" s="132"/>
      <c r="H469" s="132"/>
      <c r="I469" s="131"/>
      <c r="J469" s="131"/>
      <c r="K469" s="131"/>
      <c r="L469" s="131"/>
      <c r="M469" s="131"/>
      <c r="N469" s="131"/>
      <c r="O469" s="131"/>
      <c r="P469" s="131"/>
      <c r="Q469" s="131"/>
      <c r="R469" s="131"/>
      <c r="S469" s="131"/>
      <c r="T469" s="131"/>
      <c r="U469" s="131"/>
      <c r="V469" s="131"/>
      <c r="W469" s="131"/>
      <c r="X469" s="131"/>
    </row>
    <row r="470" spans="1:24" ht="13.5" customHeight="1">
      <c r="A470" s="132"/>
      <c r="B470" s="131"/>
      <c r="C470" s="131"/>
      <c r="D470" s="132"/>
      <c r="E470" s="132"/>
      <c r="F470" s="132"/>
      <c r="G470" s="132"/>
      <c r="H470" s="132"/>
      <c r="I470" s="131"/>
      <c r="J470" s="131"/>
      <c r="K470" s="131"/>
      <c r="L470" s="131"/>
      <c r="M470" s="131"/>
      <c r="N470" s="131"/>
      <c r="O470" s="131"/>
      <c r="P470" s="131"/>
      <c r="Q470" s="131"/>
      <c r="R470" s="131"/>
      <c r="S470" s="131"/>
      <c r="T470" s="131"/>
      <c r="U470" s="131"/>
      <c r="V470" s="131"/>
      <c r="W470" s="131"/>
      <c r="X470" s="131"/>
    </row>
    <row r="471" spans="1:24" ht="13.5" customHeight="1">
      <c r="A471" s="132"/>
      <c r="B471" s="131"/>
      <c r="C471" s="131"/>
      <c r="D471" s="132"/>
      <c r="E471" s="132"/>
      <c r="F471" s="132"/>
      <c r="G471" s="132"/>
      <c r="H471" s="132"/>
      <c r="I471" s="131"/>
      <c r="J471" s="131"/>
      <c r="K471" s="131"/>
      <c r="L471" s="131"/>
      <c r="M471" s="131"/>
      <c r="N471" s="131"/>
      <c r="O471" s="131"/>
      <c r="P471" s="131"/>
      <c r="Q471" s="131"/>
      <c r="R471" s="131"/>
      <c r="S471" s="131"/>
      <c r="T471" s="131"/>
      <c r="U471" s="131"/>
      <c r="V471" s="131"/>
      <c r="W471" s="131"/>
      <c r="X471" s="131"/>
    </row>
    <row r="472" spans="1:24" ht="13.5" customHeight="1">
      <c r="A472" s="132"/>
      <c r="B472" s="131"/>
      <c r="C472" s="131"/>
      <c r="D472" s="132"/>
      <c r="E472" s="132"/>
      <c r="F472" s="132"/>
      <c r="G472" s="132"/>
      <c r="H472" s="132"/>
      <c r="I472" s="131"/>
      <c r="J472" s="131"/>
      <c r="K472" s="131"/>
      <c r="L472" s="131"/>
      <c r="M472" s="131"/>
      <c r="N472" s="131"/>
      <c r="O472" s="131"/>
      <c r="P472" s="131"/>
      <c r="Q472" s="131"/>
      <c r="R472" s="131"/>
      <c r="S472" s="131"/>
      <c r="T472" s="131"/>
      <c r="U472" s="131"/>
      <c r="V472" s="131"/>
      <c r="W472" s="131"/>
      <c r="X472" s="131"/>
    </row>
    <row r="473" spans="1:24" ht="13.5" customHeight="1">
      <c r="A473" s="132"/>
      <c r="B473" s="131"/>
      <c r="C473" s="131"/>
      <c r="D473" s="132"/>
      <c r="E473" s="132"/>
      <c r="F473" s="132"/>
      <c r="G473" s="132"/>
      <c r="H473" s="132"/>
      <c r="I473" s="131"/>
      <c r="J473" s="131"/>
      <c r="K473" s="131"/>
      <c r="L473" s="131"/>
      <c r="M473" s="131"/>
      <c r="N473" s="131"/>
      <c r="O473" s="131"/>
      <c r="P473" s="131"/>
      <c r="Q473" s="131"/>
      <c r="R473" s="131"/>
      <c r="S473" s="131"/>
      <c r="T473" s="131"/>
      <c r="U473" s="131"/>
      <c r="V473" s="131"/>
      <c r="W473" s="131"/>
      <c r="X473" s="131"/>
    </row>
    <row r="474" spans="1:24" ht="13.5" customHeight="1">
      <c r="A474" s="132"/>
      <c r="B474" s="131"/>
      <c r="C474" s="131"/>
      <c r="D474" s="132"/>
      <c r="E474" s="132"/>
      <c r="F474" s="132"/>
      <c r="G474" s="132"/>
      <c r="H474" s="132"/>
      <c r="I474" s="131"/>
      <c r="J474" s="131"/>
      <c r="K474" s="131"/>
      <c r="L474" s="131"/>
      <c r="M474" s="131"/>
      <c r="N474" s="131"/>
      <c r="O474" s="131"/>
      <c r="P474" s="131"/>
      <c r="Q474" s="131"/>
      <c r="R474" s="131"/>
      <c r="S474" s="131"/>
      <c r="T474" s="131"/>
      <c r="U474" s="131"/>
      <c r="V474" s="131"/>
      <c r="W474" s="131"/>
      <c r="X474" s="131"/>
    </row>
    <row r="475" spans="1:24" ht="13.5" customHeight="1">
      <c r="A475" s="132"/>
      <c r="B475" s="131"/>
      <c r="C475" s="131"/>
      <c r="D475" s="132"/>
      <c r="E475" s="132"/>
      <c r="F475" s="132"/>
      <c r="G475" s="132"/>
      <c r="H475" s="132"/>
      <c r="I475" s="131"/>
      <c r="J475" s="131"/>
      <c r="K475" s="131"/>
      <c r="L475" s="131"/>
      <c r="M475" s="131"/>
      <c r="N475" s="131"/>
      <c r="O475" s="131"/>
      <c r="P475" s="131"/>
      <c r="Q475" s="131"/>
      <c r="R475" s="131"/>
      <c r="S475" s="131"/>
      <c r="T475" s="131"/>
      <c r="U475" s="131"/>
      <c r="V475" s="131"/>
      <c r="W475" s="131"/>
      <c r="X475" s="131"/>
    </row>
    <row r="476" spans="1:24" ht="13.5" customHeight="1">
      <c r="A476" s="132"/>
      <c r="B476" s="131"/>
      <c r="C476" s="131"/>
      <c r="D476" s="132"/>
      <c r="E476" s="132"/>
      <c r="F476" s="132"/>
      <c r="G476" s="132"/>
      <c r="H476" s="132"/>
      <c r="I476" s="131"/>
      <c r="J476" s="131"/>
      <c r="K476" s="131"/>
      <c r="L476" s="131"/>
      <c r="M476" s="131"/>
      <c r="N476" s="131"/>
      <c r="O476" s="131"/>
      <c r="P476" s="131"/>
      <c r="Q476" s="131"/>
      <c r="R476" s="131"/>
      <c r="S476" s="131"/>
      <c r="T476" s="131"/>
      <c r="U476" s="131"/>
      <c r="V476" s="131"/>
      <c r="W476" s="131"/>
      <c r="X476" s="131"/>
    </row>
    <row r="477" spans="1:24" ht="13.5" customHeight="1">
      <c r="A477" s="132"/>
      <c r="B477" s="131"/>
      <c r="C477" s="131"/>
      <c r="D477" s="132"/>
      <c r="E477" s="132"/>
      <c r="F477" s="132"/>
      <c r="G477" s="132"/>
      <c r="H477" s="132"/>
      <c r="I477" s="131"/>
      <c r="J477" s="131"/>
      <c r="K477" s="131"/>
      <c r="L477" s="131"/>
      <c r="M477" s="131"/>
      <c r="N477" s="131"/>
      <c r="O477" s="131"/>
      <c r="P477" s="131"/>
      <c r="Q477" s="131"/>
      <c r="R477" s="131"/>
      <c r="S477" s="131"/>
      <c r="T477" s="131"/>
      <c r="U477" s="131"/>
      <c r="V477" s="131"/>
      <c r="W477" s="131"/>
      <c r="X477" s="131"/>
    </row>
    <row r="478" spans="1:24" ht="13.5" customHeight="1">
      <c r="A478" s="132"/>
      <c r="B478" s="131"/>
      <c r="C478" s="131"/>
      <c r="D478" s="132"/>
      <c r="E478" s="132"/>
      <c r="F478" s="132"/>
      <c r="G478" s="132"/>
      <c r="H478" s="132"/>
      <c r="I478" s="131"/>
      <c r="J478" s="131"/>
      <c r="K478" s="131"/>
      <c r="L478" s="131"/>
      <c r="M478" s="131"/>
      <c r="N478" s="131"/>
      <c r="O478" s="131"/>
      <c r="P478" s="131"/>
      <c r="Q478" s="131"/>
      <c r="R478" s="131"/>
      <c r="S478" s="131"/>
      <c r="T478" s="131"/>
      <c r="U478" s="131"/>
      <c r="V478" s="131"/>
      <c r="W478" s="131"/>
      <c r="X478" s="131"/>
    </row>
    <row r="479" spans="1:24" ht="13.5" customHeight="1">
      <c r="A479" s="132"/>
      <c r="B479" s="131"/>
      <c r="C479" s="131"/>
      <c r="D479" s="132"/>
      <c r="E479" s="132"/>
      <c r="F479" s="132"/>
      <c r="G479" s="132"/>
      <c r="H479" s="132"/>
      <c r="I479" s="131"/>
      <c r="J479" s="131"/>
      <c r="K479" s="131"/>
      <c r="L479" s="131"/>
      <c r="M479" s="131"/>
      <c r="N479" s="131"/>
      <c r="O479" s="131"/>
      <c r="P479" s="131"/>
      <c r="Q479" s="131"/>
      <c r="R479" s="131"/>
      <c r="S479" s="131"/>
      <c r="T479" s="131"/>
      <c r="U479" s="131"/>
      <c r="V479" s="131"/>
      <c r="W479" s="131"/>
      <c r="X479" s="131"/>
    </row>
    <row r="480" spans="1:24" ht="13.5" customHeight="1">
      <c r="A480" s="132"/>
      <c r="B480" s="131"/>
      <c r="C480" s="131"/>
      <c r="D480" s="132"/>
      <c r="E480" s="132"/>
      <c r="F480" s="132"/>
      <c r="G480" s="132"/>
      <c r="H480" s="132"/>
      <c r="I480" s="131"/>
      <c r="J480" s="131"/>
      <c r="K480" s="131"/>
      <c r="L480" s="131"/>
      <c r="M480" s="131"/>
      <c r="N480" s="131"/>
      <c r="O480" s="131"/>
      <c r="P480" s="131"/>
      <c r="Q480" s="131"/>
      <c r="R480" s="131"/>
      <c r="S480" s="131"/>
      <c r="T480" s="131"/>
      <c r="U480" s="131"/>
      <c r="V480" s="131"/>
      <c r="W480" s="131"/>
      <c r="X480" s="131"/>
    </row>
    <row r="481" spans="1:24" ht="13.5" customHeight="1">
      <c r="A481" s="132"/>
      <c r="B481" s="131"/>
      <c r="C481" s="131"/>
      <c r="D481" s="132"/>
      <c r="E481" s="132"/>
      <c r="F481" s="132"/>
      <c r="G481" s="132"/>
      <c r="H481" s="132"/>
      <c r="I481" s="131"/>
      <c r="J481" s="131"/>
      <c r="K481" s="131"/>
      <c r="L481" s="131"/>
      <c r="M481" s="131"/>
      <c r="N481" s="131"/>
      <c r="O481" s="131"/>
      <c r="P481" s="131"/>
      <c r="Q481" s="131"/>
      <c r="R481" s="131"/>
      <c r="S481" s="131"/>
      <c r="T481" s="131"/>
      <c r="U481" s="131"/>
      <c r="V481" s="131"/>
      <c r="W481" s="131"/>
      <c r="X481" s="131"/>
    </row>
    <row r="482" spans="1:24" ht="13.5" customHeight="1">
      <c r="A482" s="132"/>
      <c r="B482" s="131"/>
      <c r="C482" s="131"/>
      <c r="D482" s="132"/>
      <c r="E482" s="132"/>
      <c r="F482" s="132"/>
      <c r="G482" s="132"/>
      <c r="H482" s="132"/>
      <c r="I482" s="131"/>
      <c r="J482" s="131"/>
      <c r="K482" s="131"/>
      <c r="L482" s="131"/>
      <c r="M482" s="131"/>
      <c r="N482" s="131"/>
      <c r="O482" s="131"/>
      <c r="P482" s="131"/>
      <c r="Q482" s="131"/>
      <c r="R482" s="131"/>
      <c r="S482" s="131"/>
      <c r="T482" s="131"/>
      <c r="U482" s="131"/>
      <c r="V482" s="131"/>
      <c r="W482" s="131"/>
      <c r="X482" s="131"/>
    </row>
    <row r="483" spans="1:24" ht="13.5" customHeight="1">
      <c r="A483" s="132"/>
      <c r="B483" s="131"/>
      <c r="C483" s="131"/>
      <c r="D483" s="132"/>
      <c r="E483" s="132"/>
      <c r="F483" s="132"/>
      <c r="G483" s="132"/>
      <c r="H483" s="132"/>
      <c r="I483" s="131"/>
      <c r="J483" s="131"/>
      <c r="K483" s="131"/>
      <c r="L483" s="131"/>
      <c r="M483" s="131"/>
      <c r="N483" s="131"/>
      <c r="O483" s="131"/>
      <c r="P483" s="131"/>
      <c r="Q483" s="131"/>
      <c r="R483" s="131"/>
      <c r="S483" s="131"/>
      <c r="T483" s="131"/>
      <c r="U483" s="131"/>
      <c r="V483" s="131"/>
      <c r="W483" s="131"/>
      <c r="X483" s="131"/>
    </row>
    <row r="484" spans="1:24" ht="13.5" customHeight="1">
      <c r="A484" s="132"/>
      <c r="B484" s="131"/>
      <c r="C484" s="131"/>
      <c r="D484" s="132"/>
      <c r="E484" s="132"/>
      <c r="F484" s="132"/>
      <c r="G484" s="132"/>
      <c r="H484" s="132"/>
      <c r="I484" s="131"/>
      <c r="J484" s="131"/>
      <c r="K484" s="131"/>
      <c r="L484" s="131"/>
      <c r="M484" s="131"/>
      <c r="N484" s="131"/>
      <c r="O484" s="131"/>
      <c r="P484" s="131"/>
      <c r="Q484" s="131"/>
      <c r="R484" s="131"/>
      <c r="S484" s="131"/>
      <c r="T484" s="131"/>
      <c r="U484" s="131"/>
      <c r="V484" s="131"/>
      <c r="W484" s="131"/>
      <c r="X484" s="131"/>
    </row>
    <row r="485" spans="1:24" ht="13.5" customHeight="1">
      <c r="A485" s="132"/>
      <c r="B485" s="131"/>
      <c r="C485" s="131"/>
      <c r="D485" s="132"/>
      <c r="E485" s="132"/>
      <c r="F485" s="132"/>
      <c r="G485" s="132"/>
      <c r="H485" s="132"/>
      <c r="I485" s="131"/>
      <c r="J485" s="131"/>
      <c r="K485" s="131"/>
      <c r="L485" s="131"/>
      <c r="M485" s="131"/>
      <c r="N485" s="131"/>
      <c r="O485" s="131"/>
      <c r="P485" s="131"/>
      <c r="Q485" s="131"/>
      <c r="R485" s="131"/>
      <c r="S485" s="131"/>
      <c r="T485" s="131"/>
      <c r="U485" s="131"/>
      <c r="V485" s="131"/>
      <c r="W485" s="131"/>
      <c r="X485" s="131"/>
    </row>
    <row r="486" spans="1:24" ht="13.5" customHeight="1">
      <c r="A486" s="132"/>
      <c r="B486" s="131"/>
      <c r="C486" s="131"/>
      <c r="D486" s="132"/>
      <c r="E486" s="132"/>
      <c r="F486" s="132"/>
      <c r="G486" s="132"/>
      <c r="H486" s="132"/>
      <c r="I486" s="131"/>
      <c r="J486" s="131"/>
      <c r="K486" s="131"/>
      <c r="L486" s="131"/>
      <c r="M486" s="131"/>
      <c r="N486" s="131"/>
      <c r="O486" s="131"/>
      <c r="P486" s="131"/>
      <c r="Q486" s="131"/>
      <c r="R486" s="131"/>
      <c r="S486" s="131"/>
      <c r="T486" s="131"/>
      <c r="U486" s="131"/>
      <c r="V486" s="131"/>
      <c r="W486" s="131"/>
      <c r="X486" s="131"/>
    </row>
    <row r="487" spans="1:24" ht="13.5" customHeight="1">
      <c r="A487" s="132"/>
      <c r="B487" s="131"/>
      <c r="C487" s="131"/>
      <c r="D487" s="132"/>
      <c r="E487" s="132"/>
      <c r="F487" s="132"/>
      <c r="G487" s="132"/>
      <c r="H487" s="132"/>
      <c r="I487" s="131"/>
      <c r="J487" s="131"/>
      <c r="K487" s="131"/>
      <c r="L487" s="131"/>
      <c r="M487" s="131"/>
      <c r="N487" s="131"/>
      <c r="O487" s="131"/>
      <c r="P487" s="131"/>
      <c r="Q487" s="131"/>
      <c r="R487" s="131"/>
      <c r="S487" s="131"/>
      <c r="T487" s="131"/>
      <c r="U487" s="131"/>
      <c r="V487" s="131"/>
      <c r="W487" s="131"/>
      <c r="X487" s="131"/>
    </row>
    <row r="488" spans="1:24" ht="13.5" customHeight="1">
      <c r="A488" s="132"/>
      <c r="B488" s="131"/>
      <c r="C488" s="131"/>
      <c r="D488" s="132"/>
      <c r="E488" s="132"/>
      <c r="F488" s="132"/>
      <c r="G488" s="132"/>
      <c r="H488" s="132"/>
      <c r="I488" s="131"/>
      <c r="J488" s="131"/>
      <c r="K488" s="131"/>
      <c r="L488" s="131"/>
      <c r="M488" s="131"/>
      <c r="N488" s="131"/>
      <c r="O488" s="131"/>
      <c r="P488" s="131"/>
      <c r="Q488" s="131"/>
      <c r="R488" s="131"/>
      <c r="S488" s="131"/>
      <c r="T488" s="131"/>
      <c r="U488" s="131"/>
      <c r="V488" s="131"/>
      <c r="W488" s="131"/>
      <c r="X488" s="131"/>
    </row>
    <row r="489" spans="1:24" ht="13.5" customHeight="1">
      <c r="A489" s="132"/>
      <c r="B489" s="131"/>
      <c r="C489" s="131"/>
      <c r="D489" s="132"/>
      <c r="E489" s="132"/>
      <c r="F489" s="132"/>
      <c r="G489" s="132"/>
      <c r="H489" s="132"/>
      <c r="I489" s="131"/>
      <c r="J489" s="131"/>
      <c r="K489" s="131"/>
      <c r="L489" s="131"/>
      <c r="M489" s="131"/>
      <c r="N489" s="131"/>
      <c r="O489" s="131"/>
      <c r="P489" s="131"/>
      <c r="Q489" s="131"/>
      <c r="R489" s="131"/>
      <c r="S489" s="131"/>
      <c r="T489" s="131"/>
      <c r="U489" s="131"/>
      <c r="V489" s="131"/>
      <c r="W489" s="131"/>
      <c r="X489" s="131"/>
    </row>
    <row r="490" spans="1:24" ht="13.5" customHeight="1">
      <c r="A490" s="132"/>
      <c r="B490" s="131"/>
      <c r="C490" s="131"/>
      <c r="D490" s="132"/>
      <c r="E490" s="132"/>
      <c r="F490" s="132"/>
      <c r="G490" s="132"/>
      <c r="H490" s="132"/>
      <c r="I490" s="131"/>
      <c r="J490" s="131"/>
      <c r="K490" s="131"/>
      <c r="L490" s="131"/>
      <c r="M490" s="131"/>
      <c r="N490" s="131"/>
      <c r="O490" s="131"/>
      <c r="P490" s="131"/>
      <c r="Q490" s="131"/>
      <c r="R490" s="131"/>
      <c r="S490" s="131"/>
      <c r="T490" s="131"/>
      <c r="U490" s="131"/>
      <c r="V490" s="131"/>
      <c r="W490" s="131"/>
      <c r="X490" s="131"/>
    </row>
    <row r="491" spans="1:24" ht="13.5" customHeight="1">
      <c r="A491" s="132"/>
      <c r="B491" s="131"/>
      <c r="C491" s="131"/>
      <c r="D491" s="132"/>
      <c r="E491" s="132"/>
      <c r="F491" s="132"/>
      <c r="G491" s="132"/>
      <c r="H491" s="132"/>
      <c r="I491" s="131"/>
      <c r="J491" s="131"/>
      <c r="K491" s="131"/>
      <c r="L491" s="131"/>
      <c r="M491" s="131"/>
      <c r="N491" s="131"/>
      <c r="O491" s="131"/>
      <c r="P491" s="131"/>
      <c r="Q491" s="131"/>
      <c r="R491" s="131"/>
      <c r="S491" s="131"/>
      <c r="T491" s="131"/>
      <c r="U491" s="131"/>
      <c r="V491" s="131"/>
      <c r="W491" s="131"/>
      <c r="X491" s="131"/>
    </row>
    <row r="492" spans="1:24" ht="13.5" customHeight="1">
      <c r="A492" s="132"/>
      <c r="B492" s="131"/>
      <c r="C492" s="131"/>
      <c r="D492" s="132"/>
      <c r="E492" s="132"/>
      <c r="F492" s="132"/>
      <c r="G492" s="132"/>
      <c r="H492" s="132"/>
      <c r="I492" s="131"/>
      <c r="J492" s="131"/>
      <c r="K492" s="131"/>
      <c r="L492" s="131"/>
      <c r="M492" s="131"/>
      <c r="N492" s="131"/>
      <c r="O492" s="131"/>
      <c r="P492" s="131"/>
      <c r="Q492" s="131"/>
      <c r="R492" s="131"/>
      <c r="S492" s="131"/>
      <c r="T492" s="131"/>
      <c r="U492" s="131"/>
      <c r="V492" s="131"/>
      <c r="W492" s="131"/>
      <c r="X492" s="131"/>
    </row>
    <row r="493" spans="1:24" ht="13.5" customHeight="1">
      <c r="A493" s="132"/>
      <c r="B493" s="131"/>
      <c r="C493" s="131"/>
      <c r="D493" s="132"/>
      <c r="E493" s="132"/>
      <c r="F493" s="132"/>
      <c r="G493" s="132"/>
      <c r="H493" s="132"/>
      <c r="I493" s="131"/>
      <c r="J493" s="131"/>
      <c r="K493" s="131"/>
      <c r="L493" s="131"/>
      <c r="M493" s="131"/>
      <c r="N493" s="131"/>
      <c r="O493" s="131"/>
      <c r="P493" s="131"/>
      <c r="Q493" s="131"/>
      <c r="R493" s="131"/>
      <c r="S493" s="131"/>
      <c r="T493" s="131"/>
      <c r="U493" s="131"/>
      <c r="V493" s="131"/>
      <c r="W493" s="131"/>
      <c r="X493" s="131"/>
    </row>
    <row r="494" spans="1:24" ht="13.5" customHeight="1">
      <c r="A494" s="132"/>
      <c r="B494" s="131"/>
      <c r="C494" s="131"/>
      <c r="D494" s="132"/>
      <c r="E494" s="132"/>
      <c r="F494" s="132"/>
      <c r="G494" s="132"/>
      <c r="H494" s="132"/>
      <c r="I494" s="131"/>
      <c r="J494" s="131"/>
      <c r="K494" s="131"/>
      <c r="L494" s="131"/>
      <c r="M494" s="131"/>
      <c r="N494" s="131"/>
      <c r="O494" s="131"/>
      <c r="P494" s="131"/>
      <c r="Q494" s="131"/>
      <c r="R494" s="131"/>
      <c r="S494" s="131"/>
      <c r="T494" s="131"/>
      <c r="U494" s="131"/>
      <c r="V494" s="131"/>
      <c r="W494" s="131"/>
      <c r="X494" s="131"/>
    </row>
    <row r="495" spans="1:24" ht="13.5" customHeight="1">
      <c r="A495" s="132"/>
      <c r="B495" s="131"/>
      <c r="C495" s="131"/>
      <c r="D495" s="132"/>
      <c r="E495" s="132"/>
      <c r="F495" s="132"/>
      <c r="G495" s="132"/>
      <c r="H495" s="132"/>
      <c r="I495" s="131"/>
      <c r="J495" s="131"/>
      <c r="K495" s="131"/>
      <c r="L495" s="131"/>
      <c r="M495" s="131"/>
      <c r="N495" s="131"/>
      <c r="O495" s="131"/>
      <c r="P495" s="131"/>
      <c r="Q495" s="131"/>
      <c r="R495" s="131"/>
      <c r="S495" s="131"/>
      <c r="T495" s="131"/>
      <c r="U495" s="131"/>
      <c r="V495" s="131"/>
      <c r="W495" s="131"/>
      <c r="X495" s="131"/>
    </row>
    <row r="496" spans="1:24" ht="13.5" customHeight="1">
      <c r="A496" s="132"/>
      <c r="B496" s="131"/>
      <c r="C496" s="131"/>
      <c r="D496" s="132"/>
      <c r="E496" s="132"/>
      <c r="F496" s="132"/>
      <c r="G496" s="132"/>
      <c r="H496" s="132"/>
      <c r="I496" s="131"/>
      <c r="J496" s="131"/>
      <c r="K496" s="131"/>
      <c r="L496" s="131"/>
      <c r="M496" s="131"/>
      <c r="N496" s="131"/>
      <c r="O496" s="131"/>
      <c r="P496" s="131"/>
      <c r="Q496" s="131"/>
      <c r="R496" s="131"/>
      <c r="S496" s="131"/>
      <c r="T496" s="131"/>
      <c r="U496" s="131"/>
      <c r="V496" s="131"/>
      <c r="W496" s="131"/>
      <c r="X496" s="131"/>
    </row>
    <row r="497" spans="1:24" ht="13.5" customHeight="1">
      <c r="A497" s="132"/>
      <c r="B497" s="131"/>
      <c r="C497" s="131"/>
      <c r="D497" s="132"/>
      <c r="E497" s="132"/>
      <c r="F497" s="132"/>
      <c r="G497" s="132"/>
      <c r="H497" s="132"/>
      <c r="I497" s="131"/>
      <c r="J497" s="131"/>
      <c r="K497" s="131"/>
      <c r="L497" s="131"/>
      <c r="M497" s="131"/>
      <c r="N497" s="131"/>
      <c r="O497" s="131"/>
      <c r="P497" s="131"/>
      <c r="Q497" s="131"/>
      <c r="R497" s="131"/>
      <c r="S497" s="131"/>
      <c r="T497" s="131"/>
      <c r="U497" s="131"/>
      <c r="V497" s="131"/>
      <c r="W497" s="131"/>
      <c r="X497" s="131"/>
    </row>
    <row r="498" spans="1:24" ht="13.5" customHeight="1">
      <c r="A498" s="132"/>
      <c r="B498" s="131"/>
      <c r="C498" s="131"/>
      <c r="D498" s="132"/>
      <c r="E498" s="132"/>
      <c r="F498" s="132"/>
      <c r="G498" s="132"/>
      <c r="H498" s="132"/>
      <c r="I498" s="131"/>
      <c r="J498" s="131"/>
      <c r="K498" s="131"/>
      <c r="L498" s="131"/>
      <c r="M498" s="131"/>
      <c r="N498" s="131"/>
      <c r="O498" s="131"/>
      <c r="P498" s="131"/>
      <c r="Q498" s="131"/>
      <c r="R498" s="131"/>
      <c r="S498" s="131"/>
      <c r="T498" s="131"/>
      <c r="U498" s="131"/>
      <c r="V498" s="131"/>
      <c r="W498" s="131"/>
      <c r="X498" s="131"/>
    </row>
    <row r="499" spans="1:24" ht="13.5" customHeight="1">
      <c r="A499" s="132"/>
      <c r="B499" s="131"/>
      <c r="C499" s="131"/>
      <c r="D499" s="132"/>
      <c r="E499" s="132"/>
      <c r="F499" s="132"/>
      <c r="G499" s="132"/>
      <c r="H499" s="132"/>
      <c r="I499" s="131"/>
      <c r="J499" s="131"/>
      <c r="K499" s="131"/>
      <c r="L499" s="131"/>
      <c r="M499" s="131"/>
      <c r="N499" s="131"/>
      <c r="O499" s="131"/>
      <c r="P499" s="131"/>
      <c r="Q499" s="131"/>
      <c r="R499" s="131"/>
      <c r="S499" s="131"/>
      <c r="T499" s="131"/>
      <c r="U499" s="131"/>
      <c r="V499" s="131"/>
      <c r="W499" s="131"/>
      <c r="X499" s="131"/>
    </row>
    <row r="500" spans="1:24" ht="13.5" customHeight="1">
      <c r="A500" s="132"/>
      <c r="B500" s="131"/>
      <c r="C500" s="131"/>
      <c r="D500" s="132"/>
      <c r="E500" s="132"/>
      <c r="F500" s="132"/>
      <c r="G500" s="132"/>
      <c r="H500" s="132"/>
      <c r="I500" s="131"/>
      <c r="J500" s="131"/>
      <c r="K500" s="131"/>
      <c r="L500" s="131"/>
      <c r="M500" s="131"/>
      <c r="N500" s="131"/>
      <c r="O500" s="131"/>
      <c r="P500" s="131"/>
      <c r="Q500" s="131"/>
      <c r="R500" s="131"/>
      <c r="S500" s="131"/>
      <c r="T500" s="131"/>
      <c r="U500" s="131"/>
      <c r="V500" s="131"/>
      <c r="W500" s="131"/>
      <c r="X500" s="131"/>
    </row>
    <row r="501" spans="1:24" ht="13.5" customHeight="1">
      <c r="A501" s="132"/>
      <c r="B501" s="131"/>
      <c r="C501" s="131"/>
      <c r="D501" s="132"/>
      <c r="E501" s="132"/>
      <c r="F501" s="132"/>
      <c r="G501" s="132"/>
      <c r="H501" s="132"/>
      <c r="I501" s="131"/>
      <c r="J501" s="131"/>
      <c r="K501" s="131"/>
      <c r="L501" s="131"/>
      <c r="M501" s="131"/>
      <c r="N501" s="131"/>
      <c r="O501" s="131"/>
      <c r="P501" s="131"/>
      <c r="Q501" s="131"/>
      <c r="R501" s="131"/>
      <c r="S501" s="131"/>
      <c r="T501" s="131"/>
      <c r="U501" s="131"/>
      <c r="V501" s="131"/>
      <c r="W501" s="131"/>
      <c r="X501" s="131"/>
    </row>
    <row r="502" spans="1:24" ht="13.5" customHeight="1">
      <c r="A502" s="132"/>
      <c r="B502" s="131"/>
      <c r="C502" s="131"/>
      <c r="D502" s="132"/>
      <c r="E502" s="132"/>
      <c r="F502" s="132"/>
      <c r="G502" s="132"/>
      <c r="H502" s="132"/>
      <c r="I502" s="131"/>
      <c r="J502" s="131"/>
      <c r="K502" s="131"/>
      <c r="L502" s="131"/>
      <c r="M502" s="131"/>
      <c r="N502" s="131"/>
      <c r="O502" s="131"/>
      <c r="P502" s="131"/>
      <c r="Q502" s="131"/>
      <c r="R502" s="131"/>
      <c r="S502" s="131"/>
      <c r="T502" s="131"/>
      <c r="U502" s="131"/>
      <c r="V502" s="131"/>
      <c r="W502" s="131"/>
      <c r="X502" s="131"/>
    </row>
    <row r="503" spans="1:24" ht="13.5" customHeight="1">
      <c r="A503" s="132"/>
      <c r="B503" s="131"/>
      <c r="C503" s="131"/>
      <c r="D503" s="132"/>
      <c r="E503" s="132"/>
      <c r="F503" s="132"/>
      <c r="G503" s="132"/>
      <c r="H503" s="132"/>
      <c r="I503" s="131"/>
      <c r="J503" s="131"/>
      <c r="K503" s="131"/>
      <c r="L503" s="131"/>
      <c r="M503" s="131"/>
      <c r="N503" s="131"/>
      <c r="O503" s="131"/>
      <c r="P503" s="131"/>
      <c r="Q503" s="131"/>
      <c r="R503" s="131"/>
      <c r="S503" s="131"/>
      <c r="T503" s="131"/>
      <c r="U503" s="131"/>
      <c r="V503" s="131"/>
      <c r="W503" s="131"/>
      <c r="X503" s="131"/>
    </row>
    <row r="504" spans="1:24" ht="13.5" customHeight="1">
      <c r="A504" s="132"/>
      <c r="B504" s="131"/>
      <c r="C504" s="131"/>
      <c r="D504" s="132"/>
      <c r="E504" s="132"/>
      <c r="F504" s="132"/>
      <c r="G504" s="132"/>
      <c r="H504" s="132"/>
      <c r="I504" s="131"/>
      <c r="J504" s="131"/>
      <c r="K504" s="131"/>
      <c r="L504" s="131"/>
      <c r="M504" s="131"/>
      <c r="N504" s="131"/>
      <c r="O504" s="131"/>
      <c r="P504" s="131"/>
      <c r="Q504" s="131"/>
      <c r="R504" s="131"/>
      <c r="S504" s="131"/>
      <c r="T504" s="131"/>
      <c r="U504" s="131"/>
      <c r="V504" s="131"/>
      <c r="W504" s="131"/>
      <c r="X504" s="131"/>
    </row>
    <row r="505" spans="1:24" ht="13.5" customHeight="1">
      <c r="A505" s="132"/>
      <c r="B505" s="131"/>
      <c r="C505" s="131"/>
      <c r="D505" s="132"/>
      <c r="E505" s="132"/>
      <c r="F505" s="132"/>
      <c r="G505" s="132"/>
      <c r="H505" s="132"/>
      <c r="I505" s="131"/>
      <c r="J505" s="131"/>
      <c r="K505" s="131"/>
      <c r="L505" s="131"/>
      <c r="M505" s="131"/>
      <c r="N505" s="131"/>
      <c r="O505" s="131"/>
      <c r="P505" s="131"/>
      <c r="Q505" s="131"/>
      <c r="R505" s="131"/>
      <c r="S505" s="131"/>
      <c r="T505" s="131"/>
      <c r="U505" s="131"/>
      <c r="V505" s="131"/>
      <c r="W505" s="131"/>
      <c r="X505" s="131"/>
    </row>
    <row r="506" spans="1:24" ht="13.5" customHeight="1">
      <c r="A506" s="132"/>
      <c r="B506" s="131"/>
      <c r="C506" s="131"/>
      <c r="D506" s="132"/>
      <c r="E506" s="132"/>
      <c r="F506" s="132"/>
      <c r="G506" s="132"/>
      <c r="H506" s="132"/>
      <c r="I506" s="131"/>
      <c r="J506" s="131"/>
      <c r="K506" s="131"/>
      <c r="L506" s="131"/>
      <c r="M506" s="131"/>
      <c r="N506" s="131"/>
      <c r="O506" s="131"/>
      <c r="P506" s="131"/>
      <c r="Q506" s="131"/>
      <c r="R506" s="131"/>
      <c r="S506" s="131"/>
      <c r="T506" s="131"/>
      <c r="U506" s="131"/>
      <c r="V506" s="131"/>
      <c r="W506" s="131"/>
      <c r="X506" s="131"/>
    </row>
    <row r="507" spans="1:24" ht="13.5" customHeight="1">
      <c r="A507" s="132"/>
      <c r="B507" s="131"/>
      <c r="C507" s="131"/>
      <c r="D507" s="132"/>
      <c r="E507" s="132"/>
      <c r="F507" s="132"/>
      <c r="G507" s="132"/>
      <c r="H507" s="132"/>
      <c r="I507" s="131"/>
      <c r="J507" s="131"/>
      <c r="K507" s="131"/>
      <c r="L507" s="131"/>
      <c r="M507" s="131"/>
      <c r="N507" s="131"/>
      <c r="O507" s="131"/>
      <c r="P507" s="131"/>
      <c r="Q507" s="131"/>
      <c r="R507" s="131"/>
      <c r="S507" s="131"/>
      <c r="T507" s="131"/>
      <c r="U507" s="131"/>
      <c r="V507" s="131"/>
      <c r="W507" s="131"/>
      <c r="X507" s="131"/>
    </row>
    <row r="508" spans="1:24" ht="13.5" customHeight="1">
      <c r="A508" s="132"/>
      <c r="B508" s="131"/>
      <c r="C508" s="131"/>
      <c r="D508" s="132"/>
      <c r="E508" s="132"/>
      <c r="F508" s="132"/>
      <c r="G508" s="132"/>
      <c r="H508" s="132"/>
      <c r="I508" s="131"/>
      <c r="J508" s="131"/>
      <c r="K508" s="131"/>
      <c r="L508" s="131"/>
      <c r="M508" s="131"/>
      <c r="N508" s="131"/>
      <c r="O508" s="131"/>
      <c r="P508" s="131"/>
      <c r="Q508" s="131"/>
      <c r="R508" s="131"/>
      <c r="S508" s="131"/>
      <c r="T508" s="131"/>
      <c r="U508" s="131"/>
      <c r="V508" s="131"/>
      <c r="W508" s="131"/>
      <c r="X508" s="131"/>
    </row>
    <row r="509" spans="1:24" ht="13.5" customHeight="1">
      <c r="A509" s="132"/>
      <c r="B509" s="131"/>
      <c r="C509" s="131"/>
      <c r="D509" s="132"/>
      <c r="E509" s="132"/>
      <c r="F509" s="132"/>
      <c r="G509" s="132"/>
      <c r="H509" s="132"/>
      <c r="I509" s="131"/>
      <c r="J509" s="131"/>
      <c r="K509" s="131"/>
      <c r="L509" s="131"/>
      <c r="M509" s="131"/>
      <c r="N509" s="131"/>
      <c r="O509" s="131"/>
      <c r="P509" s="131"/>
      <c r="Q509" s="131"/>
      <c r="R509" s="131"/>
      <c r="S509" s="131"/>
      <c r="T509" s="131"/>
      <c r="U509" s="131"/>
      <c r="V509" s="131"/>
      <c r="W509" s="131"/>
      <c r="X509" s="131"/>
    </row>
    <row r="510" spans="1:24" ht="13.5" customHeight="1">
      <c r="A510" s="132"/>
      <c r="B510" s="131"/>
      <c r="C510" s="131"/>
      <c r="D510" s="132"/>
      <c r="E510" s="132"/>
      <c r="F510" s="132"/>
      <c r="G510" s="132"/>
      <c r="H510" s="132"/>
      <c r="I510" s="131"/>
      <c r="J510" s="131"/>
      <c r="K510" s="131"/>
      <c r="L510" s="131"/>
      <c r="M510" s="131"/>
      <c r="N510" s="131"/>
      <c r="O510" s="131"/>
      <c r="P510" s="131"/>
      <c r="Q510" s="131"/>
      <c r="R510" s="131"/>
      <c r="S510" s="131"/>
      <c r="T510" s="131"/>
      <c r="U510" s="131"/>
      <c r="V510" s="131"/>
      <c r="W510" s="131"/>
      <c r="X510" s="131"/>
    </row>
    <row r="511" spans="1:24" ht="13.5" customHeight="1">
      <c r="A511" s="132"/>
      <c r="B511" s="131"/>
      <c r="C511" s="131"/>
      <c r="D511" s="132"/>
      <c r="E511" s="132"/>
      <c r="F511" s="132"/>
      <c r="G511" s="132"/>
      <c r="H511" s="132"/>
      <c r="I511" s="131"/>
      <c r="J511" s="131"/>
      <c r="K511" s="131"/>
      <c r="L511" s="131"/>
      <c r="M511" s="131"/>
      <c r="N511" s="131"/>
      <c r="O511" s="131"/>
      <c r="P511" s="131"/>
      <c r="Q511" s="131"/>
      <c r="R511" s="131"/>
      <c r="S511" s="131"/>
      <c r="T511" s="131"/>
      <c r="U511" s="131"/>
      <c r="V511" s="131"/>
      <c r="W511" s="131"/>
      <c r="X511" s="131"/>
    </row>
    <row r="512" spans="1:24" ht="13.5" customHeight="1">
      <c r="A512" s="132"/>
      <c r="B512" s="131"/>
      <c r="C512" s="131"/>
      <c r="D512" s="132"/>
      <c r="E512" s="132"/>
      <c r="F512" s="132"/>
      <c r="G512" s="132"/>
      <c r="H512" s="132"/>
      <c r="I512" s="131"/>
      <c r="J512" s="131"/>
      <c r="K512" s="131"/>
      <c r="L512" s="131"/>
      <c r="M512" s="131"/>
      <c r="N512" s="131"/>
      <c r="O512" s="131"/>
      <c r="P512" s="131"/>
      <c r="Q512" s="131"/>
      <c r="R512" s="131"/>
      <c r="S512" s="131"/>
      <c r="T512" s="131"/>
      <c r="U512" s="131"/>
      <c r="V512" s="131"/>
      <c r="W512" s="131"/>
      <c r="X512" s="131"/>
    </row>
    <row r="513" spans="1:24" ht="13.5" customHeight="1">
      <c r="A513" s="132"/>
      <c r="B513" s="131"/>
      <c r="C513" s="131"/>
      <c r="D513" s="132"/>
      <c r="E513" s="132"/>
      <c r="F513" s="132"/>
      <c r="G513" s="132"/>
      <c r="H513" s="132"/>
      <c r="I513" s="131"/>
      <c r="J513" s="131"/>
      <c r="K513" s="131"/>
      <c r="L513" s="131"/>
      <c r="M513" s="131"/>
      <c r="N513" s="131"/>
      <c r="O513" s="131"/>
      <c r="P513" s="131"/>
      <c r="Q513" s="131"/>
      <c r="R513" s="131"/>
      <c r="S513" s="131"/>
      <c r="T513" s="131"/>
      <c r="U513" s="131"/>
      <c r="V513" s="131"/>
      <c r="W513" s="131"/>
      <c r="X513" s="131"/>
    </row>
    <row r="514" spans="1:24" ht="13.5" customHeight="1">
      <c r="A514" s="132"/>
      <c r="B514" s="131"/>
      <c r="C514" s="131"/>
      <c r="D514" s="132"/>
      <c r="E514" s="132"/>
      <c r="F514" s="132"/>
      <c r="G514" s="132"/>
      <c r="H514" s="132"/>
      <c r="I514" s="131"/>
      <c r="J514" s="131"/>
      <c r="K514" s="131"/>
      <c r="L514" s="131"/>
      <c r="M514" s="131"/>
      <c r="N514" s="131"/>
      <c r="O514" s="131"/>
      <c r="P514" s="131"/>
      <c r="Q514" s="131"/>
      <c r="R514" s="131"/>
      <c r="S514" s="131"/>
      <c r="T514" s="131"/>
      <c r="U514" s="131"/>
      <c r="V514" s="131"/>
      <c r="W514" s="131"/>
      <c r="X514" s="131"/>
    </row>
    <row r="515" spans="1:24" ht="13.5" customHeight="1">
      <c r="A515" s="132"/>
      <c r="B515" s="131"/>
      <c r="C515" s="131"/>
      <c r="D515" s="132"/>
      <c r="E515" s="132"/>
      <c r="F515" s="132"/>
      <c r="G515" s="132"/>
      <c r="H515" s="132"/>
      <c r="I515" s="131"/>
      <c r="J515" s="131"/>
      <c r="K515" s="131"/>
      <c r="L515" s="131"/>
      <c r="M515" s="131"/>
      <c r="N515" s="131"/>
      <c r="O515" s="131"/>
      <c r="P515" s="131"/>
      <c r="Q515" s="131"/>
      <c r="R515" s="131"/>
      <c r="S515" s="131"/>
      <c r="T515" s="131"/>
      <c r="U515" s="131"/>
      <c r="V515" s="131"/>
      <c r="W515" s="131"/>
      <c r="X515" s="131"/>
    </row>
    <row r="516" spans="1:24" ht="13.5" customHeight="1">
      <c r="A516" s="132"/>
      <c r="B516" s="131"/>
      <c r="C516" s="131"/>
      <c r="D516" s="132"/>
      <c r="E516" s="132"/>
      <c r="F516" s="132"/>
      <c r="G516" s="132"/>
      <c r="H516" s="132"/>
      <c r="I516" s="131"/>
      <c r="J516" s="131"/>
      <c r="K516" s="131"/>
      <c r="L516" s="131"/>
      <c r="M516" s="131"/>
      <c r="N516" s="131"/>
      <c r="O516" s="131"/>
      <c r="P516" s="131"/>
      <c r="Q516" s="131"/>
      <c r="R516" s="131"/>
      <c r="S516" s="131"/>
      <c r="T516" s="131"/>
      <c r="U516" s="131"/>
      <c r="V516" s="131"/>
      <c r="W516" s="131"/>
      <c r="X516" s="131"/>
    </row>
    <row r="517" spans="1:24" ht="13.5" customHeight="1">
      <c r="A517" s="132"/>
      <c r="B517" s="131"/>
      <c r="C517" s="131"/>
      <c r="D517" s="132"/>
      <c r="E517" s="132"/>
      <c r="F517" s="132"/>
      <c r="G517" s="132"/>
      <c r="H517" s="132"/>
      <c r="I517" s="131"/>
      <c r="J517" s="131"/>
      <c r="K517" s="131"/>
      <c r="L517" s="131"/>
      <c r="M517" s="131"/>
      <c r="N517" s="131"/>
      <c r="O517" s="131"/>
      <c r="P517" s="131"/>
      <c r="Q517" s="131"/>
      <c r="R517" s="131"/>
      <c r="S517" s="131"/>
      <c r="T517" s="131"/>
      <c r="U517" s="131"/>
      <c r="V517" s="131"/>
      <c r="W517" s="131"/>
      <c r="X517" s="131"/>
    </row>
    <row r="518" spans="1:24" ht="13.5" customHeight="1">
      <c r="A518" s="132"/>
      <c r="B518" s="131"/>
      <c r="C518" s="131"/>
      <c r="D518" s="132"/>
      <c r="E518" s="132"/>
      <c r="F518" s="132"/>
      <c r="G518" s="132"/>
      <c r="H518" s="132"/>
      <c r="I518" s="131"/>
      <c r="J518" s="131"/>
      <c r="K518" s="131"/>
      <c r="L518" s="131"/>
      <c r="M518" s="131"/>
      <c r="N518" s="131"/>
      <c r="O518" s="131"/>
      <c r="P518" s="131"/>
      <c r="Q518" s="131"/>
      <c r="R518" s="131"/>
      <c r="S518" s="131"/>
      <c r="T518" s="131"/>
      <c r="U518" s="131"/>
      <c r="V518" s="131"/>
      <c r="W518" s="131"/>
      <c r="X518" s="131"/>
    </row>
    <row r="519" spans="1:24" ht="13.5" customHeight="1">
      <c r="A519" s="132"/>
      <c r="B519" s="131"/>
      <c r="C519" s="131"/>
      <c r="D519" s="132"/>
      <c r="E519" s="132"/>
      <c r="F519" s="132"/>
      <c r="G519" s="132"/>
      <c r="H519" s="132"/>
      <c r="I519" s="131"/>
      <c r="J519" s="131"/>
      <c r="K519" s="131"/>
      <c r="L519" s="131"/>
      <c r="M519" s="131"/>
      <c r="N519" s="131"/>
      <c r="O519" s="131"/>
      <c r="P519" s="131"/>
      <c r="Q519" s="131"/>
      <c r="R519" s="131"/>
      <c r="S519" s="131"/>
      <c r="T519" s="131"/>
      <c r="U519" s="131"/>
      <c r="V519" s="131"/>
      <c r="W519" s="131"/>
      <c r="X519" s="131"/>
    </row>
    <row r="520" spans="1:24" ht="13.5" customHeight="1">
      <c r="A520" s="132"/>
      <c r="B520" s="131"/>
      <c r="C520" s="131"/>
      <c r="D520" s="132"/>
      <c r="E520" s="132"/>
      <c r="F520" s="132"/>
      <c r="G520" s="132"/>
      <c r="H520" s="132"/>
      <c r="I520" s="131"/>
      <c r="J520" s="131"/>
      <c r="K520" s="131"/>
      <c r="L520" s="131"/>
      <c r="M520" s="131"/>
      <c r="N520" s="131"/>
      <c r="O520" s="131"/>
      <c r="P520" s="131"/>
      <c r="Q520" s="131"/>
      <c r="R520" s="131"/>
      <c r="S520" s="131"/>
      <c r="T520" s="131"/>
      <c r="U520" s="131"/>
      <c r="V520" s="131"/>
      <c r="W520" s="131"/>
      <c r="X520" s="131"/>
    </row>
    <row r="521" spans="1:24" ht="13.5" customHeight="1">
      <c r="A521" s="132"/>
      <c r="B521" s="131"/>
      <c r="C521" s="131"/>
      <c r="D521" s="132"/>
      <c r="E521" s="132"/>
      <c r="F521" s="132"/>
      <c r="G521" s="132"/>
      <c r="H521" s="132"/>
      <c r="I521" s="131"/>
      <c r="J521" s="131"/>
      <c r="K521" s="131"/>
      <c r="L521" s="131"/>
      <c r="M521" s="131"/>
      <c r="N521" s="131"/>
      <c r="O521" s="131"/>
      <c r="P521" s="131"/>
      <c r="Q521" s="131"/>
      <c r="R521" s="131"/>
      <c r="S521" s="131"/>
      <c r="T521" s="131"/>
      <c r="U521" s="131"/>
      <c r="V521" s="131"/>
      <c r="W521" s="131"/>
      <c r="X521" s="131"/>
    </row>
    <row r="522" spans="1:24" ht="13.5" customHeight="1">
      <c r="A522" s="132"/>
      <c r="B522" s="131"/>
      <c r="C522" s="131"/>
      <c r="D522" s="132"/>
      <c r="E522" s="132"/>
      <c r="F522" s="132"/>
      <c r="G522" s="132"/>
      <c r="H522" s="132"/>
      <c r="I522" s="131"/>
      <c r="J522" s="131"/>
      <c r="K522" s="131"/>
      <c r="L522" s="131"/>
      <c r="M522" s="131"/>
      <c r="N522" s="131"/>
      <c r="O522" s="131"/>
      <c r="P522" s="131"/>
      <c r="Q522" s="131"/>
      <c r="R522" s="131"/>
      <c r="S522" s="131"/>
      <c r="T522" s="131"/>
      <c r="U522" s="131"/>
      <c r="V522" s="131"/>
      <c r="W522" s="131"/>
      <c r="X522" s="131"/>
    </row>
    <row r="523" spans="1:24" ht="13.5" customHeight="1">
      <c r="A523" s="132"/>
      <c r="B523" s="131"/>
      <c r="C523" s="131"/>
      <c r="D523" s="132"/>
      <c r="E523" s="132"/>
      <c r="F523" s="132"/>
      <c r="G523" s="132"/>
      <c r="H523" s="132"/>
      <c r="I523" s="131"/>
      <c r="J523" s="131"/>
      <c r="K523" s="131"/>
      <c r="L523" s="131"/>
      <c r="M523" s="131"/>
      <c r="N523" s="131"/>
      <c r="O523" s="131"/>
      <c r="P523" s="131"/>
      <c r="Q523" s="131"/>
      <c r="R523" s="131"/>
      <c r="S523" s="131"/>
      <c r="T523" s="131"/>
      <c r="U523" s="131"/>
      <c r="V523" s="131"/>
      <c r="W523" s="131"/>
      <c r="X523" s="131"/>
    </row>
    <row r="524" spans="1:24" ht="13.5" customHeight="1">
      <c r="A524" s="132"/>
      <c r="B524" s="131"/>
      <c r="C524" s="131"/>
      <c r="D524" s="132"/>
      <c r="E524" s="132"/>
      <c r="F524" s="132"/>
      <c r="G524" s="132"/>
      <c r="H524" s="132"/>
      <c r="I524" s="131"/>
      <c r="J524" s="131"/>
      <c r="K524" s="131"/>
      <c r="L524" s="131"/>
      <c r="M524" s="131"/>
      <c r="N524" s="131"/>
      <c r="O524" s="131"/>
      <c r="P524" s="131"/>
      <c r="Q524" s="131"/>
      <c r="R524" s="131"/>
      <c r="S524" s="131"/>
      <c r="T524" s="131"/>
      <c r="U524" s="131"/>
      <c r="V524" s="131"/>
      <c r="W524" s="131"/>
      <c r="X524" s="131"/>
    </row>
    <row r="525" spans="1:24" ht="13.5" customHeight="1">
      <c r="A525" s="132"/>
      <c r="B525" s="131"/>
      <c r="C525" s="131"/>
      <c r="D525" s="132"/>
      <c r="E525" s="132"/>
      <c r="F525" s="132"/>
      <c r="G525" s="132"/>
      <c r="H525" s="132"/>
      <c r="I525" s="131"/>
      <c r="J525" s="131"/>
      <c r="K525" s="131"/>
      <c r="L525" s="131"/>
      <c r="M525" s="131"/>
      <c r="N525" s="131"/>
      <c r="O525" s="131"/>
      <c r="P525" s="131"/>
      <c r="Q525" s="131"/>
      <c r="R525" s="131"/>
      <c r="S525" s="131"/>
      <c r="T525" s="131"/>
      <c r="U525" s="131"/>
      <c r="V525" s="131"/>
      <c r="W525" s="131"/>
      <c r="X525" s="131"/>
    </row>
    <row r="526" spans="1:24" ht="13.5" customHeight="1">
      <c r="A526" s="132"/>
      <c r="B526" s="131"/>
      <c r="C526" s="131"/>
      <c r="D526" s="132"/>
      <c r="E526" s="132"/>
      <c r="F526" s="132"/>
      <c r="G526" s="132"/>
      <c r="H526" s="132"/>
      <c r="I526" s="131"/>
      <c r="J526" s="131"/>
      <c r="K526" s="131"/>
      <c r="L526" s="131"/>
      <c r="M526" s="131"/>
      <c r="N526" s="131"/>
      <c r="O526" s="131"/>
      <c r="P526" s="131"/>
      <c r="Q526" s="131"/>
      <c r="R526" s="131"/>
      <c r="S526" s="131"/>
      <c r="T526" s="131"/>
      <c r="U526" s="131"/>
      <c r="V526" s="131"/>
      <c r="W526" s="131"/>
      <c r="X526" s="131"/>
    </row>
    <row r="527" spans="1:24" ht="13.5" customHeight="1">
      <c r="A527" s="132"/>
      <c r="B527" s="131"/>
      <c r="C527" s="131"/>
      <c r="D527" s="132"/>
      <c r="E527" s="132"/>
      <c r="F527" s="132"/>
      <c r="G527" s="132"/>
      <c r="H527" s="132"/>
      <c r="I527" s="131"/>
      <c r="J527" s="131"/>
      <c r="K527" s="131"/>
      <c r="L527" s="131"/>
      <c r="M527" s="131"/>
      <c r="N527" s="131"/>
      <c r="O527" s="131"/>
      <c r="P527" s="131"/>
      <c r="Q527" s="131"/>
      <c r="R527" s="131"/>
      <c r="S527" s="131"/>
      <c r="T527" s="131"/>
      <c r="U527" s="131"/>
      <c r="V527" s="131"/>
      <c r="W527" s="131"/>
      <c r="X527" s="131"/>
    </row>
    <row r="528" spans="1:24" ht="13.5" customHeight="1">
      <c r="A528" s="132"/>
      <c r="B528" s="131"/>
      <c r="C528" s="131"/>
      <c r="D528" s="132"/>
      <c r="E528" s="132"/>
      <c r="F528" s="132"/>
      <c r="G528" s="132"/>
      <c r="H528" s="132"/>
      <c r="I528" s="131"/>
      <c r="J528" s="131"/>
      <c r="K528" s="131"/>
      <c r="L528" s="131"/>
      <c r="M528" s="131"/>
      <c r="N528" s="131"/>
      <c r="O528" s="131"/>
      <c r="P528" s="131"/>
      <c r="Q528" s="131"/>
      <c r="R528" s="131"/>
      <c r="S528" s="131"/>
      <c r="T528" s="131"/>
      <c r="U528" s="131"/>
      <c r="V528" s="131"/>
      <c r="W528" s="131"/>
      <c r="X528" s="131"/>
    </row>
    <row r="529" spans="1:24" ht="13.5" customHeight="1">
      <c r="A529" s="132"/>
      <c r="B529" s="131"/>
      <c r="C529" s="131"/>
      <c r="D529" s="132"/>
      <c r="E529" s="132"/>
      <c r="F529" s="132"/>
      <c r="G529" s="132"/>
      <c r="H529" s="132"/>
      <c r="I529" s="131"/>
      <c r="J529" s="131"/>
      <c r="K529" s="131"/>
      <c r="L529" s="131"/>
      <c r="M529" s="131"/>
      <c r="N529" s="131"/>
      <c r="O529" s="131"/>
      <c r="P529" s="131"/>
      <c r="Q529" s="131"/>
      <c r="R529" s="131"/>
      <c r="S529" s="131"/>
      <c r="T529" s="131"/>
      <c r="U529" s="131"/>
      <c r="V529" s="131"/>
      <c r="W529" s="131"/>
      <c r="X529" s="131"/>
    </row>
    <row r="530" spans="1:24" ht="13.5" customHeight="1">
      <c r="A530" s="132"/>
      <c r="B530" s="131"/>
      <c r="C530" s="131"/>
      <c r="D530" s="132"/>
      <c r="E530" s="132"/>
      <c r="F530" s="132"/>
      <c r="G530" s="132"/>
      <c r="H530" s="132"/>
      <c r="I530" s="131"/>
      <c r="J530" s="131"/>
      <c r="K530" s="131"/>
      <c r="L530" s="131"/>
      <c r="M530" s="131"/>
      <c r="N530" s="131"/>
      <c r="O530" s="131"/>
      <c r="P530" s="131"/>
      <c r="Q530" s="131"/>
      <c r="R530" s="131"/>
      <c r="S530" s="131"/>
      <c r="T530" s="131"/>
      <c r="U530" s="131"/>
      <c r="V530" s="131"/>
      <c r="W530" s="131"/>
      <c r="X530" s="131"/>
    </row>
    <row r="531" spans="1:24" ht="13.5" customHeight="1">
      <c r="A531" s="132"/>
      <c r="B531" s="131"/>
      <c r="C531" s="131"/>
      <c r="D531" s="132"/>
      <c r="E531" s="132"/>
      <c r="F531" s="132"/>
      <c r="G531" s="132"/>
      <c r="H531" s="132"/>
      <c r="I531" s="131"/>
      <c r="J531" s="131"/>
      <c r="K531" s="131"/>
      <c r="L531" s="131"/>
      <c r="M531" s="131"/>
      <c r="N531" s="131"/>
      <c r="O531" s="131"/>
      <c r="P531" s="131"/>
      <c r="Q531" s="131"/>
      <c r="R531" s="131"/>
      <c r="S531" s="131"/>
      <c r="T531" s="131"/>
      <c r="U531" s="131"/>
      <c r="V531" s="131"/>
      <c r="W531" s="131"/>
      <c r="X531" s="131"/>
    </row>
    <row r="532" spans="1:24" ht="13.5" customHeight="1">
      <c r="A532" s="132"/>
      <c r="B532" s="131"/>
      <c r="C532" s="131"/>
      <c r="D532" s="132"/>
      <c r="E532" s="132"/>
      <c r="F532" s="132"/>
      <c r="G532" s="132"/>
      <c r="H532" s="132"/>
      <c r="I532" s="131"/>
      <c r="J532" s="131"/>
      <c r="K532" s="131"/>
      <c r="L532" s="131"/>
      <c r="M532" s="131"/>
      <c r="N532" s="131"/>
      <c r="O532" s="131"/>
      <c r="P532" s="131"/>
      <c r="Q532" s="131"/>
      <c r="R532" s="131"/>
      <c r="S532" s="131"/>
      <c r="T532" s="131"/>
      <c r="U532" s="131"/>
      <c r="V532" s="131"/>
      <c r="W532" s="131"/>
      <c r="X532" s="131"/>
    </row>
    <row r="533" spans="1:24" ht="13.5" customHeight="1">
      <c r="A533" s="132"/>
      <c r="B533" s="131"/>
      <c r="C533" s="131"/>
      <c r="D533" s="132"/>
      <c r="E533" s="132"/>
      <c r="F533" s="132"/>
      <c r="G533" s="132"/>
      <c r="H533" s="132"/>
      <c r="I533" s="131"/>
      <c r="J533" s="131"/>
      <c r="K533" s="131"/>
      <c r="L533" s="131"/>
      <c r="M533" s="131"/>
      <c r="N533" s="131"/>
      <c r="O533" s="131"/>
      <c r="P533" s="131"/>
      <c r="Q533" s="131"/>
      <c r="R533" s="131"/>
      <c r="S533" s="131"/>
      <c r="T533" s="131"/>
      <c r="U533" s="131"/>
      <c r="V533" s="131"/>
      <c r="W533" s="131"/>
      <c r="X533" s="131"/>
    </row>
    <row r="534" spans="1:24" ht="13.5" customHeight="1">
      <c r="A534" s="132"/>
      <c r="B534" s="131"/>
      <c r="C534" s="131"/>
      <c r="D534" s="132"/>
      <c r="E534" s="132"/>
      <c r="F534" s="132"/>
      <c r="G534" s="132"/>
      <c r="H534" s="132"/>
      <c r="I534" s="131"/>
      <c r="J534" s="131"/>
      <c r="K534" s="131"/>
      <c r="L534" s="131"/>
      <c r="M534" s="131"/>
      <c r="N534" s="131"/>
      <c r="O534" s="131"/>
      <c r="P534" s="131"/>
      <c r="Q534" s="131"/>
      <c r="R534" s="131"/>
      <c r="S534" s="131"/>
      <c r="T534" s="131"/>
      <c r="U534" s="131"/>
      <c r="V534" s="131"/>
      <c r="W534" s="131"/>
      <c r="X534" s="131"/>
    </row>
    <row r="535" spans="1:24" ht="13.5" customHeight="1">
      <c r="A535" s="132"/>
      <c r="B535" s="131"/>
      <c r="C535" s="131"/>
      <c r="D535" s="132"/>
      <c r="E535" s="132"/>
      <c r="F535" s="132"/>
      <c r="G535" s="132"/>
      <c r="H535" s="132"/>
      <c r="I535" s="131"/>
      <c r="J535" s="131"/>
      <c r="K535" s="131"/>
      <c r="L535" s="131"/>
      <c r="M535" s="131"/>
      <c r="N535" s="131"/>
      <c r="O535" s="131"/>
      <c r="P535" s="131"/>
      <c r="Q535" s="131"/>
      <c r="R535" s="131"/>
      <c r="S535" s="131"/>
      <c r="T535" s="131"/>
      <c r="U535" s="131"/>
      <c r="V535" s="131"/>
      <c r="W535" s="131"/>
      <c r="X535" s="131"/>
    </row>
    <row r="536" spans="1:24" ht="13.5" customHeight="1">
      <c r="A536" s="132"/>
      <c r="B536" s="131"/>
      <c r="C536" s="131"/>
      <c r="D536" s="132"/>
      <c r="E536" s="132"/>
      <c r="F536" s="132"/>
      <c r="G536" s="132"/>
      <c r="H536" s="132"/>
      <c r="I536" s="131"/>
      <c r="J536" s="131"/>
      <c r="K536" s="131"/>
      <c r="L536" s="131"/>
      <c r="M536" s="131"/>
      <c r="N536" s="131"/>
      <c r="O536" s="131"/>
      <c r="P536" s="131"/>
      <c r="Q536" s="131"/>
      <c r="R536" s="131"/>
      <c r="S536" s="131"/>
      <c r="T536" s="131"/>
      <c r="U536" s="131"/>
      <c r="V536" s="131"/>
      <c r="W536" s="131"/>
      <c r="X536" s="131"/>
    </row>
    <row r="537" spans="1:24" ht="13.5" customHeight="1">
      <c r="A537" s="132"/>
      <c r="B537" s="131"/>
      <c r="C537" s="131"/>
      <c r="D537" s="132"/>
      <c r="E537" s="132"/>
      <c r="F537" s="132"/>
      <c r="G537" s="132"/>
      <c r="H537" s="132"/>
      <c r="I537" s="131"/>
      <c r="J537" s="131"/>
      <c r="K537" s="131"/>
      <c r="L537" s="131"/>
      <c r="M537" s="131"/>
      <c r="N537" s="131"/>
      <c r="O537" s="131"/>
      <c r="P537" s="131"/>
      <c r="Q537" s="131"/>
      <c r="R537" s="131"/>
      <c r="S537" s="131"/>
      <c r="T537" s="131"/>
      <c r="U537" s="131"/>
      <c r="V537" s="131"/>
      <c r="W537" s="131"/>
      <c r="X537" s="131"/>
    </row>
    <row r="538" spans="1:24" ht="13.5" customHeight="1">
      <c r="A538" s="132"/>
      <c r="B538" s="131"/>
      <c r="C538" s="131"/>
      <c r="D538" s="132"/>
      <c r="E538" s="132"/>
      <c r="F538" s="132"/>
      <c r="G538" s="132"/>
      <c r="H538" s="132"/>
      <c r="I538" s="131"/>
      <c r="J538" s="131"/>
      <c r="K538" s="131"/>
      <c r="L538" s="131"/>
      <c r="M538" s="131"/>
      <c r="N538" s="131"/>
      <c r="O538" s="131"/>
      <c r="P538" s="131"/>
      <c r="Q538" s="131"/>
      <c r="R538" s="131"/>
      <c r="S538" s="131"/>
      <c r="T538" s="131"/>
      <c r="U538" s="131"/>
      <c r="V538" s="131"/>
      <c r="W538" s="131"/>
      <c r="X538" s="131"/>
    </row>
    <row r="539" spans="1:24" ht="13.5" customHeight="1">
      <c r="A539" s="132"/>
      <c r="B539" s="131"/>
      <c r="C539" s="131"/>
      <c r="D539" s="132"/>
      <c r="E539" s="132"/>
      <c r="F539" s="132"/>
      <c r="G539" s="132"/>
      <c r="H539" s="132"/>
      <c r="I539" s="131"/>
      <c r="J539" s="131"/>
      <c r="K539" s="131"/>
      <c r="L539" s="131"/>
      <c r="M539" s="131"/>
      <c r="N539" s="131"/>
      <c r="O539" s="131"/>
      <c r="P539" s="131"/>
      <c r="Q539" s="131"/>
      <c r="R539" s="131"/>
      <c r="S539" s="131"/>
      <c r="T539" s="131"/>
      <c r="U539" s="131"/>
      <c r="V539" s="131"/>
      <c r="W539" s="131"/>
      <c r="X539" s="131"/>
    </row>
    <row r="540" spans="1:24" ht="13.5" customHeight="1">
      <c r="A540" s="132"/>
      <c r="B540" s="131"/>
      <c r="C540" s="131"/>
      <c r="D540" s="132"/>
      <c r="E540" s="132"/>
      <c r="F540" s="132"/>
      <c r="G540" s="132"/>
      <c r="H540" s="132"/>
      <c r="I540" s="131"/>
      <c r="J540" s="131"/>
      <c r="K540" s="131"/>
      <c r="L540" s="131"/>
      <c r="M540" s="131"/>
      <c r="N540" s="131"/>
      <c r="O540" s="131"/>
      <c r="P540" s="131"/>
      <c r="Q540" s="131"/>
      <c r="R540" s="131"/>
      <c r="S540" s="131"/>
      <c r="T540" s="131"/>
      <c r="U540" s="131"/>
      <c r="V540" s="131"/>
      <c r="W540" s="131"/>
      <c r="X540" s="131"/>
    </row>
    <row r="541" spans="1:24" ht="13.5" customHeight="1">
      <c r="A541" s="132"/>
      <c r="B541" s="131"/>
      <c r="C541" s="131"/>
      <c r="D541" s="132"/>
      <c r="E541" s="132"/>
      <c r="F541" s="132"/>
      <c r="G541" s="132"/>
      <c r="H541" s="132"/>
      <c r="I541" s="131"/>
      <c r="J541" s="131"/>
      <c r="K541" s="131"/>
      <c r="L541" s="131"/>
      <c r="M541" s="131"/>
      <c r="N541" s="131"/>
      <c r="O541" s="131"/>
      <c r="P541" s="131"/>
      <c r="Q541" s="131"/>
      <c r="R541" s="131"/>
      <c r="S541" s="131"/>
      <c r="T541" s="131"/>
      <c r="U541" s="131"/>
      <c r="V541" s="131"/>
      <c r="W541" s="131"/>
      <c r="X541" s="131"/>
    </row>
    <row r="542" spans="1:24" ht="13.5" customHeight="1">
      <c r="A542" s="132"/>
      <c r="B542" s="131"/>
      <c r="C542" s="131"/>
      <c r="D542" s="132"/>
      <c r="E542" s="132"/>
      <c r="F542" s="132"/>
      <c r="G542" s="132"/>
      <c r="H542" s="132"/>
      <c r="I542" s="131"/>
      <c r="J542" s="131"/>
      <c r="K542" s="131"/>
      <c r="L542" s="131"/>
      <c r="M542" s="131"/>
      <c r="N542" s="131"/>
      <c r="O542" s="131"/>
      <c r="P542" s="131"/>
      <c r="Q542" s="131"/>
      <c r="R542" s="131"/>
      <c r="S542" s="131"/>
      <c r="T542" s="131"/>
      <c r="U542" s="131"/>
      <c r="V542" s="131"/>
      <c r="W542" s="131"/>
      <c r="X542" s="131"/>
    </row>
    <row r="543" spans="1:24" ht="13.5" customHeight="1">
      <c r="A543" s="132"/>
      <c r="B543" s="131"/>
      <c r="C543" s="131"/>
      <c r="D543" s="132"/>
      <c r="E543" s="132"/>
      <c r="F543" s="132"/>
      <c r="G543" s="132"/>
      <c r="H543" s="132"/>
      <c r="I543" s="131"/>
      <c r="J543" s="131"/>
      <c r="K543" s="131"/>
      <c r="L543" s="131"/>
      <c r="M543" s="131"/>
      <c r="N543" s="131"/>
      <c r="O543" s="131"/>
      <c r="P543" s="131"/>
      <c r="Q543" s="131"/>
      <c r="R543" s="131"/>
      <c r="S543" s="131"/>
      <c r="T543" s="131"/>
      <c r="U543" s="131"/>
      <c r="V543" s="131"/>
      <c r="W543" s="131"/>
      <c r="X543" s="131"/>
    </row>
    <row r="544" spans="1:24" ht="13.5" customHeight="1">
      <c r="A544" s="132"/>
      <c r="B544" s="131"/>
      <c r="C544" s="131"/>
      <c r="D544" s="132"/>
      <c r="E544" s="132"/>
      <c r="F544" s="132"/>
      <c r="G544" s="132"/>
      <c r="H544" s="132"/>
      <c r="I544" s="131"/>
      <c r="J544" s="131"/>
      <c r="K544" s="131"/>
      <c r="L544" s="131"/>
      <c r="M544" s="131"/>
      <c r="N544" s="131"/>
      <c r="O544" s="131"/>
      <c r="P544" s="131"/>
      <c r="Q544" s="131"/>
      <c r="R544" s="131"/>
      <c r="S544" s="131"/>
      <c r="T544" s="131"/>
      <c r="U544" s="131"/>
      <c r="V544" s="131"/>
      <c r="W544" s="131"/>
      <c r="X544" s="131"/>
    </row>
    <row r="545" spans="1:24" ht="13.5" customHeight="1">
      <c r="A545" s="132"/>
      <c r="B545" s="131"/>
      <c r="C545" s="131"/>
      <c r="D545" s="132"/>
      <c r="E545" s="132"/>
      <c r="F545" s="132"/>
      <c r="G545" s="132"/>
      <c r="H545" s="132"/>
      <c r="I545" s="131"/>
      <c r="J545" s="131"/>
      <c r="K545" s="131"/>
      <c r="L545" s="131"/>
      <c r="M545" s="131"/>
      <c r="N545" s="131"/>
      <c r="O545" s="131"/>
      <c r="P545" s="131"/>
      <c r="Q545" s="131"/>
      <c r="R545" s="131"/>
      <c r="S545" s="131"/>
      <c r="T545" s="131"/>
      <c r="U545" s="131"/>
      <c r="V545" s="131"/>
      <c r="W545" s="131"/>
      <c r="X545" s="131"/>
    </row>
    <row r="546" spans="1:24" ht="13.5" customHeight="1">
      <c r="A546" s="132"/>
      <c r="B546" s="131"/>
      <c r="C546" s="131"/>
      <c r="D546" s="132"/>
      <c r="E546" s="132"/>
      <c r="F546" s="132"/>
      <c r="G546" s="132"/>
      <c r="H546" s="132"/>
      <c r="I546" s="131"/>
      <c r="J546" s="131"/>
      <c r="K546" s="131"/>
      <c r="L546" s="131"/>
      <c r="M546" s="131"/>
      <c r="N546" s="131"/>
      <c r="O546" s="131"/>
      <c r="P546" s="131"/>
      <c r="Q546" s="131"/>
      <c r="R546" s="131"/>
      <c r="S546" s="131"/>
      <c r="T546" s="131"/>
      <c r="U546" s="131"/>
      <c r="V546" s="131"/>
      <c r="W546" s="131"/>
      <c r="X546" s="131"/>
    </row>
    <row r="547" spans="1:24" ht="13.5" customHeight="1">
      <c r="A547" s="132"/>
      <c r="B547" s="131"/>
      <c r="C547" s="131"/>
      <c r="D547" s="132"/>
      <c r="E547" s="132"/>
      <c r="F547" s="132"/>
      <c r="G547" s="132"/>
      <c r="H547" s="132"/>
      <c r="I547" s="131"/>
      <c r="J547" s="131"/>
      <c r="K547" s="131"/>
      <c r="L547" s="131"/>
      <c r="M547" s="131"/>
      <c r="N547" s="131"/>
      <c r="O547" s="131"/>
      <c r="P547" s="131"/>
      <c r="Q547" s="131"/>
      <c r="R547" s="131"/>
      <c r="S547" s="131"/>
      <c r="T547" s="131"/>
      <c r="U547" s="131"/>
      <c r="V547" s="131"/>
      <c r="W547" s="131"/>
      <c r="X547" s="131"/>
    </row>
    <row r="548" spans="1:24" ht="13.5" customHeight="1">
      <c r="A548" s="132"/>
      <c r="B548" s="131"/>
      <c r="C548" s="131"/>
      <c r="D548" s="132"/>
      <c r="E548" s="132"/>
      <c r="F548" s="132"/>
      <c r="G548" s="132"/>
      <c r="H548" s="132"/>
      <c r="I548" s="131"/>
      <c r="J548" s="131"/>
      <c r="K548" s="131"/>
      <c r="L548" s="131"/>
      <c r="M548" s="131"/>
      <c r="N548" s="131"/>
      <c r="O548" s="131"/>
      <c r="P548" s="131"/>
      <c r="Q548" s="131"/>
      <c r="R548" s="131"/>
      <c r="S548" s="131"/>
      <c r="T548" s="131"/>
      <c r="U548" s="131"/>
      <c r="V548" s="131"/>
      <c r="W548" s="131"/>
      <c r="X548" s="131"/>
    </row>
    <row r="549" spans="1:24" ht="13.5" customHeight="1">
      <c r="A549" s="132"/>
      <c r="B549" s="131"/>
      <c r="C549" s="131"/>
      <c r="D549" s="132"/>
      <c r="E549" s="132"/>
      <c r="F549" s="132"/>
      <c r="G549" s="132"/>
      <c r="H549" s="132"/>
      <c r="I549" s="131"/>
      <c r="J549" s="131"/>
      <c r="K549" s="131"/>
      <c r="L549" s="131"/>
      <c r="M549" s="131"/>
      <c r="N549" s="131"/>
      <c r="O549" s="131"/>
      <c r="P549" s="131"/>
      <c r="Q549" s="131"/>
      <c r="R549" s="131"/>
      <c r="S549" s="131"/>
      <c r="T549" s="131"/>
      <c r="U549" s="131"/>
      <c r="V549" s="131"/>
      <c r="W549" s="131"/>
      <c r="X549" s="131"/>
    </row>
    <row r="550" spans="1:24" ht="13.5" customHeight="1">
      <c r="A550" s="132"/>
      <c r="B550" s="131"/>
      <c r="C550" s="131"/>
      <c r="D550" s="132"/>
      <c r="E550" s="132"/>
      <c r="F550" s="132"/>
      <c r="G550" s="132"/>
      <c r="H550" s="132"/>
      <c r="I550" s="131"/>
      <c r="J550" s="131"/>
      <c r="K550" s="131"/>
      <c r="L550" s="131"/>
      <c r="M550" s="131"/>
      <c r="N550" s="131"/>
      <c r="O550" s="131"/>
      <c r="P550" s="131"/>
      <c r="Q550" s="131"/>
      <c r="R550" s="131"/>
      <c r="S550" s="131"/>
      <c r="T550" s="131"/>
      <c r="U550" s="131"/>
      <c r="V550" s="131"/>
      <c r="W550" s="131"/>
      <c r="X550" s="131"/>
    </row>
    <row r="551" spans="1:24" ht="13.5" customHeight="1">
      <c r="A551" s="132"/>
      <c r="B551" s="131"/>
      <c r="C551" s="131"/>
      <c r="D551" s="132"/>
      <c r="E551" s="132"/>
      <c r="F551" s="132"/>
      <c r="G551" s="132"/>
      <c r="H551" s="132"/>
      <c r="I551" s="131"/>
      <c r="J551" s="131"/>
      <c r="K551" s="131"/>
      <c r="L551" s="131"/>
      <c r="M551" s="131"/>
      <c r="N551" s="131"/>
      <c r="O551" s="131"/>
      <c r="P551" s="131"/>
      <c r="Q551" s="131"/>
      <c r="R551" s="131"/>
      <c r="S551" s="131"/>
      <c r="T551" s="131"/>
      <c r="U551" s="131"/>
      <c r="V551" s="131"/>
      <c r="W551" s="131"/>
      <c r="X551" s="131"/>
    </row>
    <row r="552" spans="1:24" ht="13.5" customHeight="1">
      <c r="A552" s="132"/>
      <c r="B552" s="131"/>
      <c r="C552" s="131"/>
      <c r="D552" s="132"/>
      <c r="E552" s="132"/>
      <c r="F552" s="132"/>
      <c r="G552" s="132"/>
      <c r="H552" s="132"/>
      <c r="I552" s="131"/>
      <c r="J552" s="131"/>
      <c r="K552" s="131"/>
      <c r="L552" s="131"/>
      <c r="M552" s="131"/>
      <c r="N552" s="131"/>
      <c r="O552" s="131"/>
      <c r="P552" s="131"/>
      <c r="Q552" s="131"/>
      <c r="R552" s="131"/>
      <c r="S552" s="131"/>
      <c r="T552" s="131"/>
      <c r="U552" s="131"/>
      <c r="V552" s="131"/>
      <c r="W552" s="131"/>
      <c r="X552" s="131"/>
    </row>
    <row r="553" spans="1:24" ht="13.5" customHeight="1">
      <c r="A553" s="132"/>
      <c r="B553" s="131"/>
      <c r="C553" s="131"/>
      <c r="D553" s="132"/>
      <c r="E553" s="132"/>
      <c r="F553" s="132"/>
      <c r="G553" s="132"/>
      <c r="H553" s="132"/>
      <c r="I553" s="131"/>
      <c r="J553" s="131"/>
      <c r="K553" s="131"/>
      <c r="L553" s="131"/>
      <c r="M553" s="131"/>
      <c r="N553" s="131"/>
      <c r="O553" s="131"/>
      <c r="P553" s="131"/>
      <c r="Q553" s="131"/>
      <c r="R553" s="131"/>
      <c r="S553" s="131"/>
      <c r="T553" s="131"/>
      <c r="U553" s="131"/>
      <c r="V553" s="131"/>
      <c r="W553" s="131"/>
      <c r="X553" s="131"/>
    </row>
    <row r="554" spans="1:24" ht="13.5" customHeight="1">
      <c r="A554" s="132"/>
      <c r="B554" s="131"/>
      <c r="C554" s="131"/>
      <c r="D554" s="132"/>
      <c r="E554" s="132"/>
      <c r="F554" s="132"/>
      <c r="G554" s="132"/>
      <c r="H554" s="132"/>
      <c r="I554" s="131"/>
      <c r="J554" s="131"/>
      <c r="K554" s="131"/>
      <c r="L554" s="131"/>
      <c r="M554" s="131"/>
      <c r="N554" s="131"/>
      <c r="O554" s="131"/>
      <c r="P554" s="131"/>
      <c r="Q554" s="131"/>
      <c r="R554" s="131"/>
      <c r="S554" s="131"/>
      <c r="T554" s="131"/>
      <c r="U554" s="131"/>
      <c r="V554" s="131"/>
      <c r="W554" s="131"/>
      <c r="X554" s="131"/>
    </row>
    <row r="555" spans="1:24" ht="13.5" customHeight="1">
      <c r="A555" s="132"/>
      <c r="B555" s="131"/>
      <c r="C555" s="131"/>
      <c r="D555" s="132"/>
      <c r="E555" s="132"/>
      <c r="F555" s="132"/>
      <c r="G555" s="132"/>
      <c r="H555" s="132"/>
      <c r="I555" s="131"/>
      <c r="J555" s="131"/>
      <c r="K555" s="131"/>
      <c r="L555" s="131"/>
      <c r="M555" s="131"/>
      <c r="N555" s="131"/>
      <c r="O555" s="131"/>
      <c r="P555" s="131"/>
      <c r="Q555" s="131"/>
      <c r="R555" s="131"/>
      <c r="S555" s="131"/>
      <c r="T555" s="131"/>
      <c r="U555" s="131"/>
      <c r="V555" s="131"/>
      <c r="W555" s="131"/>
      <c r="X555" s="131"/>
    </row>
    <row r="556" spans="1:24" ht="13.5" customHeight="1">
      <c r="A556" s="132"/>
      <c r="B556" s="131"/>
      <c r="C556" s="131"/>
      <c r="D556" s="132"/>
      <c r="E556" s="132"/>
      <c r="F556" s="132"/>
      <c r="G556" s="132"/>
      <c r="H556" s="132"/>
      <c r="I556" s="131"/>
      <c r="J556" s="131"/>
      <c r="K556" s="131"/>
      <c r="L556" s="131"/>
      <c r="M556" s="131"/>
      <c r="N556" s="131"/>
      <c r="O556" s="131"/>
      <c r="P556" s="131"/>
      <c r="Q556" s="131"/>
      <c r="R556" s="131"/>
      <c r="S556" s="131"/>
      <c r="T556" s="131"/>
      <c r="U556" s="131"/>
      <c r="V556" s="131"/>
      <c r="W556" s="131"/>
      <c r="X556" s="131"/>
    </row>
    <row r="557" spans="1:24" ht="13.5" customHeight="1">
      <c r="A557" s="132"/>
      <c r="B557" s="131"/>
      <c r="C557" s="131"/>
      <c r="D557" s="132"/>
      <c r="E557" s="132"/>
      <c r="F557" s="132"/>
      <c r="G557" s="132"/>
      <c r="H557" s="132"/>
      <c r="I557" s="131"/>
      <c r="J557" s="131"/>
      <c r="K557" s="131"/>
      <c r="L557" s="131"/>
      <c r="M557" s="131"/>
      <c r="N557" s="131"/>
      <c r="O557" s="131"/>
      <c r="P557" s="131"/>
      <c r="Q557" s="131"/>
      <c r="R557" s="131"/>
      <c r="S557" s="131"/>
      <c r="T557" s="131"/>
      <c r="U557" s="131"/>
      <c r="V557" s="131"/>
      <c r="W557" s="131"/>
      <c r="X557" s="131"/>
    </row>
    <row r="558" spans="1:24" ht="13.5" customHeight="1">
      <c r="A558" s="132"/>
      <c r="B558" s="131"/>
      <c r="C558" s="131"/>
      <c r="D558" s="132"/>
      <c r="E558" s="132"/>
      <c r="F558" s="132"/>
      <c r="G558" s="132"/>
      <c r="H558" s="132"/>
      <c r="I558" s="131"/>
      <c r="J558" s="131"/>
      <c r="K558" s="131"/>
      <c r="L558" s="131"/>
      <c r="M558" s="131"/>
      <c r="N558" s="131"/>
      <c r="O558" s="131"/>
      <c r="P558" s="131"/>
      <c r="Q558" s="131"/>
      <c r="R558" s="131"/>
      <c r="S558" s="131"/>
      <c r="T558" s="131"/>
      <c r="U558" s="131"/>
      <c r="V558" s="131"/>
      <c r="W558" s="131"/>
      <c r="X558" s="131"/>
    </row>
    <row r="559" spans="1:24" ht="13.5" customHeight="1">
      <c r="A559" s="132"/>
      <c r="B559" s="131"/>
      <c r="C559" s="131"/>
      <c r="D559" s="132"/>
      <c r="E559" s="132"/>
      <c r="F559" s="132"/>
      <c r="G559" s="132"/>
      <c r="H559" s="132"/>
      <c r="I559" s="131"/>
      <c r="J559" s="131"/>
      <c r="K559" s="131"/>
      <c r="L559" s="131"/>
      <c r="M559" s="131"/>
      <c r="N559" s="131"/>
      <c r="O559" s="131"/>
      <c r="P559" s="131"/>
      <c r="Q559" s="131"/>
      <c r="R559" s="131"/>
      <c r="S559" s="131"/>
      <c r="T559" s="131"/>
      <c r="U559" s="131"/>
      <c r="V559" s="131"/>
      <c r="W559" s="131"/>
      <c r="X559" s="131"/>
    </row>
    <row r="560" spans="1:24" ht="13.5" customHeight="1">
      <c r="A560" s="132"/>
      <c r="B560" s="131"/>
      <c r="C560" s="131"/>
      <c r="D560" s="132"/>
      <c r="E560" s="132"/>
      <c r="F560" s="132"/>
      <c r="G560" s="132"/>
      <c r="H560" s="132"/>
      <c r="I560" s="131"/>
      <c r="J560" s="131"/>
      <c r="K560" s="131"/>
      <c r="L560" s="131"/>
      <c r="M560" s="131"/>
      <c r="N560" s="131"/>
      <c r="O560" s="131"/>
      <c r="P560" s="131"/>
      <c r="Q560" s="131"/>
      <c r="R560" s="131"/>
      <c r="S560" s="131"/>
      <c r="T560" s="131"/>
      <c r="U560" s="131"/>
      <c r="V560" s="131"/>
      <c r="W560" s="131"/>
      <c r="X560" s="131"/>
    </row>
    <row r="561" spans="1:24" ht="13.5" customHeight="1">
      <c r="A561" s="132"/>
      <c r="B561" s="131"/>
      <c r="C561" s="131"/>
      <c r="D561" s="132"/>
      <c r="E561" s="132"/>
      <c r="F561" s="132"/>
      <c r="G561" s="132"/>
      <c r="H561" s="132"/>
      <c r="I561" s="131"/>
      <c r="J561" s="131"/>
      <c r="K561" s="131"/>
      <c r="L561" s="131"/>
      <c r="M561" s="131"/>
      <c r="N561" s="131"/>
      <c r="O561" s="131"/>
      <c r="P561" s="131"/>
      <c r="Q561" s="131"/>
      <c r="R561" s="131"/>
      <c r="S561" s="131"/>
      <c r="T561" s="131"/>
      <c r="U561" s="131"/>
      <c r="V561" s="131"/>
      <c r="W561" s="131"/>
      <c r="X561" s="131"/>
    </row>
    <row r="562" spans="1:24" ht="13.5" customHeight="1">
      <c r="A562" s="132"/>
      <c r="B562" s="131"/>
      <c r="C562" s="131"/>
      <c r="D562" s="132"/>
      <c r="E562" s="132"/>
      <c r="F562" s="132"/>
      <c r="G562" s="132"/>
      <c r="H562" s="132"/>
      <c r="I562" s="131"/>
      <c r="J562" s="131"/>
      <c r="K562" s="131"/>
      <c r="L562" s="131"/>
      <c r="M562" s="131"/>
      <c r="N562" s="131"/>
      <c r="O562" s="131"/>
      <c r="P562" s="131"/>
      <c r="Q562" s="131"/>
      <c r="R562" s="131"/>
      <c r="S562" s="131"/>
      <c r="T562" s="131"/>
      <c r="U562" s="131"/>
      <c r="V562" s="131"/>
      <c r="W562" s="131"/>
      <c r="X562" s="131"/>
    </row>
    <row r="563" spans="1:24" ht="13.5" customHeight="1">
      <c r="A563" s="132"/>
      <c r="B563" s="131"/>
      <c r="C563" s="131"/>
      <c r="D563" s="132"/>
      <c r="E563" s="132"/>
      <c r="F563" s="132"/>
      <c r="G563" s="132"/>
      <c r="H563" s="132"/>
      <c r="I563" s="131"/>
      <c r="J563" s="131"/>
      <c r="K563" s="131"/>
      <c r="L563" s="131"/>
      <c r="M563" s="131"/>
      <c r="N563" s="131"/>
      <c r="O563" s="131"/>
      <c r="P563" s="131"/>
      <c r="Q563" s="131"/>
      <c r="R563" s="131"/>
      <c r="S563" s="131"/>
      <c r="T563" s="131"/>
      <c r="U563" s="131"/>
      <c r="V563" s="131"/>
      <c r="W563" s="131"/>
      <c r="X563" s="131"/>
    </row>
    <row r="564" spans="1:24" ht="13.5" customHeight="1">
      <c r="A564" s="132"/>
      <c r="B564" s="131"/>
      <c r="C564" s="131"/>
      <c r="D564" s="132"/>
      <c r="E564" s="132"/>
      <c r="F564" s="132"/>
      <c r="G564" s="132"/>
      <c r="H564" s="132"/>
      <c r="I564" s="131"/>
      <c r="J564" s="131"/>
      <c r="K564" s="131"/>
      <c r="L564" s="131"/>
      <c r="M564" s="131"/>
      <c r="N564" s="131"/>
      <c r="O564" s="131"/>
      <c r="P564" s="131"/>
      <c r="Q564" s="131"/>
      <c r="R564" s="131"/>
      <c r="S564" s="131"/>
      <c r="T564" s="131"/>
      <c r="U564" s="131"/>
      <c r="V564" s="131"/>
      <c r="W564" s="131"/>
      <c r="X564" s="131"/>
    </row>
    <row r="565" spans="1:24" ht="13.5" customHeight="1">
      <c r="A565" s="132"/>
      <c r="B565" s="131"/>
      <c r="C565" s="131"/>
      <c r="D565" s="132"/>
      <c r="E565" s="132"/>
      <c r="F565" s="132"/>
      <c r="G565" s="132"/>
      <c r="H565" s="132"/>
      <c r="I565" s="131"/>
      <c r="J565" s="131"/>
      <c r="K565" s="131"/>
      <c r="L565" s="131"/>
      <c r="M565" s="131"/>
      <c r="N565" s="131"/>
      <c r="O565" s="131"/>
      <c r="P565" s="131"/>
      <c r="Q565" s="131"/>
      <c r="R565" s="131"/>
      <c r="S565" s="131"/>
      <c r="T565" s="131"/>
      <c r="U565" s="131"/>
      <c r="V565" s="131"/>
      <c r="W565" s="131"/>
      <c r="X565" s="131"/>
    </row>
    <row r="566" spans="1:24" ht="13.5" customHeight="1">
      <c r="A566" s="132"/>
      <c r="B566" s="131"/>
      <c r="C566" s="131"/>
      <c r="D566" s="132"/>
      <c r="E566" s="132"/>
      <c r="F566" s="132"/>
      <c r="G566" s="132"/>
      <c r="H566" s="132"/>
      <c r="I566" s="131"/>
      <c r="J566" s="131"/>
      <c r="K566" s="131"/>
      <c r="L566" s="131"/>
      <c r="M566" s="131"/>
      <c r="N566" s="131"/>
      <c r="O566" s="131"/>
      <c r="P566" s="131"/>
      <c r="Q566" s="131"/>
      <c r="R566" s="131"/>
      <c r="S566" s="131"/>
      <c r="T566" s="131"/>
      <c r="U566" s="131"/>
      <c r="V566" s="131"/>
      <c r="W566" s="131"/>
      <c r="X566" s="131"/>
    </row>
    <row r="567" spans="1:24" ht="13.5" customHeight="1">
      <c r="A567" s="132"/>
      <c r="B567" s="131"/>
      <c r="C567" s="131"/>
      <c r="D567" s="132"/>
      <c r="E567" s="132"/>
      <c r="F567" s="132"/>
      <c r="G567" s="132"/>
      <c r="H567" s="132"/>
      <c r="I567" s="131"/>
      <c r="J567" s="131"/>
      <c r="K567" s="131"/>
      <c r="L567" s="131"/>
      <c r="M567" s="131"/>
      <c r="N567" s="131"/>
      <c r="O567" s="131"/>
      <c r="P567" s="131"/>
      <c r="Q567" s="131"/>
      <c r="R567" s="131"/>
      <c r="S567" s="131"/>
      <c r="T567" s="131"/>
      <c r="U567" s="131"/>
      <c r="V567" s="131"/>
      <c r="W567" s="131"/>
      <c r="X567" s="131"/>
    </row>
    <row r="568" spans="1:24" ht="13.5" customHeight="1">
      <c r="A568" s="132"/>
      <c r="B568" s="131"/>
      <c r="C568" s="131"/>
      <c r="D568" s="132"/>
      <c r="E568" s="132"/>
      <c r="F568" s="132"/>
      <c r="G568" s="132"/>
      <c r="H568" s="132"/>
      <c r="I568" s="131"/>
      <c r="J568" s="131"/>
      <c r="K568" s="131"/>
      <c r="L568" s="131"/>
      <c r="M568" s="131"/>
      <c r="N568" s="131"/>
      <c r="O568" s="131"/>
      <c r="P568" s="131"/>
      <c r="Q568" s="131"/>
      <c r="R568" s="131"/>
      <c r="S568" s="131"/>
      <c r="T568" s="131"/>
      <c r="U568" s="131"/>
      <c r="V568" s="131"/>
      <c r="W568" s="131"/>
      <c r="X568" s="131"/>
    </row>
    <row r="569" spans="1:24" ht="13.5" customHeight="1">
      <c r="A569" s="132"/>
      <c r="B569" s="131"/>
      <c r="C569" s="131"/>
      <c r="D569" s="132"/>
      <c r="E569" s="132"/>
      <c r="F569" s="132"/>
      <c r="G569" s="132"/>
      <c r="H569" s="132"/>
      <c r="I569" s="131"/>
      <c r="J569" s="131"/>
      <c r="K569" s="131"/>
      <c r="L569" s="131"/>
      <c r="M569" s="131"/>
      <c r="N569" s="131"/>
      <c r="O569" s="131"/>
      <c r="P569" s="131"/>
      <c r="Q569" s="131"/>
      <c r="R569" s="131"/>
      <c r="S569" s="131"/>
      <c r="T569" s="131"/>
      <c r="U569" s="131"/>
      <c r="V569" s="131"/>
      <c r="W569" s="131"/>
      <c r="X569" s="131"/>
    </row>
    <row r="570" spans="1:24" ht="13.5" customHeight="1">
      <c r="A570" s="132"/>
      <c r="B570" s="131"/>
      <c r="C570" s="131"/>
      <c r="D570" s="132"/>
      <c r="E570" s="132"/>
      <c r="F570" s="132"/>
      <c r="G570" s="132"/>
      <c r="H570" s="132"/>
      <c r="I570" s="131"/>
      <c r="J570" s="131"/>
      <c r="K570" s="131"/>
      <c r="L570" s="131"/>
      <c r="M570" s="131"/>
      <c r="N570" s="131"/>
      <c r="O570" s="131"/>
      <c r="P570" s="131"/>
      <c r="Q570" s="131"/>
      <c r="R570" s="131"/>
      <c r="S570" s="131"/>
      <c r="T570" s="131"/>
      <c r="U570" s="131"/>
      <c r="V570" s="131"/>
      <c r="W570" s="131"/>
      <c r="X570" s="131"/>
    </row>
    <row r="571" spans="1:24" ht="13.5" customHeight="1">
      <c r="A571" s="132"/>
      <c r="B571" s="131"/>
      <c r="C571" s="131"/>
      <c r="D571" s="132"/>
      <c r="E571" s="132"/>
      <c r="F571" s="132"/>
      <c r="G571" s="132"/>
      <c r="H571" s="132"/>
      <c r="I571" s="131"/>
      <c r="J571" s="131"/>
      <c r="K571" s="131"/>
      <c r="L571" s="131"/>
      <c r="M571" s="131"/>
      <c r="N571" s="131"/>
      <c r="O571" s="131"/>
      <c r="P571" s="131"/>
      <c r="Q571" s="131"/>
      <c r="R571" s="131"/>
      <c r="S571" s="131"/>
      <c r="T571" s="131"/>
      <c r="U571" s="131"/>
      <c r="V571" s="131"/>
      <c r="W571" s="131"/>
      <c r="X571" s="131"/>
    </row>
    <row r="572" spans="1:24" ht="13.5" customHeight="1">
      <c r="A572" s="132"/>
      <c r="B572" s="131"/>
      <c r="C572" s="131"/>
      <c r="D572" s="132"/>
      <c r="E572" s="132"/>
      <c r="F572" s="132"/>
      <c r="G572" s="132"/>
      <c r="H572" s="132"/>
      <c r="I572" s="131"/>
      <c r="J572" s="131"/>
      <c r="K572" s="131"/>
      <c r="L572" s="131"/>
      <c r="M572" s="131"/>
      <c r="N572" s="131"/>
      <c r="O572" s="131"/>
      <c r="P572" s="131"/>
      <c r="Q572" s="131"/>
      <c r="R572" s="131"/>
      <c r="S572" s="131"/>
      <c r="T572" s="131"/>
      <c r="U572" s="131"/>
      <c r="V572" s="131"/>
      <c r="W572" s="131"/>
      <c r="X572" s="131"/>
    </row>
    <row r="573" spans="1:24" ht="13.5" customHeight="1">
      <c r="A573" s="132"/>
      <c r="B573" s="131"/>
      <c r="C573" s="131"/>
      <c r="D573" s="132"/>
      <c r="E573" s="132"/>
      <c r="F573" s="132"/>
      <c r="G573" s="132"/>
      <c r="H573" s="132"/>
      <c r="I573" s="131"/>
      <c r="J573" s="131"/>
      <c r="K573" s="131"/>
      <c r="L573" s="131"/>
      <c r="M573" s="131"/>
      <c r="N573" s="131"/>
      <c r="O573" s="131"/>
      <c r="P573" s="131"/>
      <c r="Q573" s="131"/>
      <c r="R573" s="131"/>
      <c r="S573" s="131"/>
      <c r="T573" s="131"/>
      <c r="U573" s="131"/>
      <c r="V573" s="131"/>
      <c r="W573" s="131"/>
      <c r="X573" s="131"/>
    </row>
    <row r="574" spans="1:24" ht="13.5" customHeight="1">
      <c r="A574" s="132"/>
      <c r="B574" s="131"/>
      <c r="C574" s="131"/>
      <c r="D574" s="132"/>
      <c r="E574" s="132"/>
      <c r="F574" s="132"/>
      <c r="G574" s="132"/>
      <c r="H574" s="132"/>
      <c r="I574" s="131"/>
      <c r="J574" s="131"/>
      <c r="K574" s="131"/>
      <c r="L574" s="131"/>
      <c r="M574" s="131"/>
      <c r="N574" s="131"/>
      <c r="O574" s="131"/>
      <c r="P574" s="131"/>
      <c r="Q574" s="131"/>
      <c r="R574" s="131"/>
      <c r="S574" s="131"/>
      <c r="T574" s="131"/>
      <c r="U574" s="131"/>
      <c r="V574" s="131"/>
      <c r="W574" s="131"/>
      <c r="X574" s="131"/>
    </row>
    <row r="575" spans="1:24" ht="13.5" customHeight="1">
      <c r="A575" s="132"/>
      <c r="B575" s="131"/>
      <c r="C575" s="131"/>
      <c r="D575" s="132"/>
      <c r="E575" s="132"/>
      <c r="F575" s="132"/>
      <c r="G575" s="132"/>
      <c r="H575" s="132"/>
      <c r="I575" s="131"/>
      <c r="J575" s="131"/>
      <c r="K575" s="131"/>
      <c r="L575" s="131"/>
      <c r="M575" s="131"/>
      <c r="N575" s="131"/>
      <c r="O575" s="131"/>
      <c r="P575" s="131"/>
      <c r="Q575" s="131"/>
      <c r="R575" s="131"/>
      <c r="S575" s="131"/>
      <c r="T575" s="131"/>
      <c r="U575" s="131"/>
      <c r="V575" s="131"/>
      <c r="W575" s="131"/>
      <c r="X575" s="131"/>
    </row>
    <row r="576" spans="1:24" ht="13.5" customHeight="1">
      <c r="A576" s="132"/>
      <c r="B576" s="131"/>
      <c r="C576" s="131"/>
      <c r="D576" s="132"/>
      <c r="E576" s="132"/>
      <c r="F576" s="132"/>
      <c r="G576" s="132"/>
      <c r="H576" s="132"/>
      <c r="I576" s="131"/>
      <c r="J576" s="131"/>
      <c r="K576" s="131"/>
      <c r="L576" s="131"/>
      <c r="M576" s="131"/>
      <c r="N576" s="131"/>
      <c r="O576" s="131"/>
      <c r="P576" s="131"/>
      <c r="Q576" s="131"/>
      <c r="R576" s="131"/>
      <c r="S576" s="131"/>
      <c r="T576" s="131"/>
      <c r="U576" s="131"/>
      <c r="V576" s="131"/>
      <c r="W576" s="131"/>
      <c r="X576" s="131"/>
    </row>
    <row r="577" spans="1:24" ht="13.5" customHeight="1">
      <c r="A577" s="132"/>
      <c r="B577" s="131"/>
      <c r="C577" s="131"/>
      <c r="D577" s="132"/>
      <c r="E577" s="132"/>
      <c r="F577" s="132"/>
      <c r="G577" s="132"/>
      <c r="H577" s="132"/>
      <c r="I577" s="131"/>
      <c r="J577" s="131"/>
      <c r="K577" s="131"/>
      <c r="L577" s="131"/>
      <c r="M577" s="131"/>
      <c r="N577" s="131"/>
      <c r="O577" s="131"/>
      <c r="P577" s="131"/>
      <c r="Q577" s="131"/>
      <c r="R577" s="131"/>
      <c r="S577" s="131"/>
      <c r="T577" s="131"/>
      <c r="U577" s="131"/>
      <c r="V577" s="131"/>
      <c r="W577" s="131"/>
      <c r="X577" s="131"/>
    </row>
    <row r="578" spans="1:24" ht="13.5" customHeight="1">
      <c r="A578" s="132"/>
      <c r="B578" s="131"/>
      <c r="C578" s="131"/>
      <c r="D578" s="132"/>
      <c r="E578" s="132"/>
      <c r="F578" s="132"/>
      <c r="G578" s="132"/>
      <c r="H578" s="132"/>
      <c r="I578" s="131"/>
      <c r="J578" s="131"/>
      <c r="K578" s="131"/>
      <c r="L578" s="131"/>
      <c r="M578" s="131"/>
      <c r="N578" s="131"/>
      <c r="O578" s="131"/>
      <c r="P578" s="131"/>
      <c r="Q578" s="131"/>
      <c r="R578" s="131"/>
      <c r="S578" s="131"/>
      <c r="T578" s="131"/>
      <c r="U578" s="131"/>
      <c r="V578" s="131"/>
      <c r="W578" s="131"/>
      <c r="X578" s="131"/>
    </row>
    <row r="579" spans="1:24" ht="13.5" customHeight="1">
      <c r="A579" s="132"/>
      <c r="B579" s="131"/>
      <c r="C579" s="131"/>
      <c r="D579" s="132"/>
      <c r="E579" s="132"/>
      <c r="F579" s="132"/>
      <c r="G579" s="132"/>
      <c r="H579" s="132"/>
      <c r="I579" s="131"/>
      <c r="J579" s="131"/>
      <c r="K579" s="131"/>
      <c r="L579" s="131"/>
      <c r="M579" s="131"/>
      <c r="N579" s="131"/>
      <c r="O579" s="131"/>
      <c r="P579" s="131"/>
      <c r="Q579" s="131"/>
      <c r="R579" s="131"/>
      <c r="S579" s="131"/>
      <c r="T579" s="131"/>
      <c r="U579" s="131"/>
      <c r="V579" s="131"/>
      <c r="W579" s="131"/>
      <c r="X579" s="131"/>
    </row>
    <row r="580" spans="1:24" ht="13.5" customHeight="1">
      <c r="A580" s="132"/>
      <c r="B580" s="131"/>
      <c r="C580" s="131"/>
      <c r="D580" s="132"/>
      <c r="E580" s="132"/>
      <c r="F580" s="132"/>
      <c r="G580" s="132"/>
      <c r="H580" s="132"/>
      <c r="I580" s="131"/>
      <c r="J580" s="131"/>
      <c r="K580" s="131"/>
      <c r="L580" s="131"/>
      <c r="M580" s="131"/>
      <c r="N580" s="131"/>
      <c r="O580" s="131"/>
      <c r="P580" s="131"/>
      <c r="Q580" s="131"/>
      <c r="R580" s="131"/>
      <c r="S580" s="131"/>
      <c r="T580" s="131"/>
      <c r="U580" s="131"/>
      <c r="V580" s="131"/>
      <c r="W580" s="131"/>
      <c r="X580" s="131"/>
    </row>
    <row r="581" spans="1:24" ht="13.5" customHeight="1">
      <c r="A581" s="132"/>
      <c r="B581" s="131"/>
      <c r="C581" s="131"/>
      <c r="D581" s="132"/>
      <c r="E581" s="132"/>
      <c r="F581" s="132"/>
      <c r="G581" s="132"/>
      <c r="H581" s="132"/>
      <c r="I581" s="131"/>
      <c r="J581" s="131"/>
      <c r="K581" s="131"/>
      <c r="L581" s="131"/>
      <c r="M581" s="131"/>
      <c r="N581" s="131"/>
      <c r="O581" s="131"/>
      <c r="P581" s="131"/>
      <c r="Q581" s="131"/>
      <c r="R581" s="131"/>
      <c r="S581" s="131"/>
      <c r="T581" s="131"/>
      <c r="U581" s="131"/>
      <c r="V581" s="131"/>
      <c r="W581" s="131"/>
      <c r="X581" s="131"/>
    </row>
    <row r="582" spans="1:24" ht="13.5" customHeight="1">
      <c r="A582" s="132"/>
      <c r="B582" s="131"/>
      <c r="C582" s="131"/>
      <c r="D582" s="132"/>
      <c r="E582" s="132"/>
      <c r="F582" s="132"/>
      <c r="G582" s="132"/>
      <c r="H582" s="132"/>
      <c r="I582" s="131"/>
      <c r="J582" s="131"/>
      <c r="K582" s="131"/>
      <c r="L582" s="131"/>
      <c r="M582" s="131"/>
      <c r="N582" s="131"/>
      <c r="O582" s="131"/>
      <c r="P582" s="131"/>
      <c r="Q582" s="131"/>
      <c r="R582" s="131"/>
      <c r="S582" s="131"/>
      <c r="T582" s="131"/>
      <c r="U582" s="131"/>
      <c r="V582" s="131"/>
      <c r="W582" s="131"/>
      <c r="X582" s="131"/>
    </row>
    <row r="583" spans="1:24" ht="13.5" customHeight="1">
      <c r="A583" s="132"/>
      <c r="B583" s="131"/>
      <c r="C583" s="131"/>
      <c r="D583" s="132"/>
      <c r="E583" s="132"/>
      <c r="F583" s="132"/>
      <c r="G583" s="132"/>
      <c r="H583" s="132"/>
      <c r="I583" s="131"/>
      <c r="J583" s="131"/>
      <c r="K583" s="131"/>
      <c r="L583" s="131"/>
      <c r="M583" s="131"/>
      <c r="N583" s="131"/>
      <c r="O583" s="131"/>
      <c r="P583" s="131"/>
      <c r="Q583" s="131"/>
      <c r="R583" s="131"/>
      <c r="S583" s="131"/>
      <c r="T583" s="131"/>
      <c r="U583" s="131"/>
      <c r="V583" s="131"/>
      <c r="W583" s="131"/>
      <c r="X583" s="131"/>
    </row>
    <row r="584" spans="1:24" ht="13.5" customHeight="1">
      <c r="A584" s="132"/>
      <c r="B584" s="131"/>
      <c r="C584" s="131"/>
      <c r="D584" s="132"/>
      <c r="E584" s="132"/>
      <c r="F584" s="132"/>
      <c r="G584" s="132"/>
      <c r="H584" s="132"/>
      <c r="I584" s="131"/>
      <c r="J584" s="131"/>
      <c r="K584" s="131"/>
      <c r="L584" s="131"/>
      <c r="M584" s="131"/>
      <c r="N584" s="131"/>
      <c r="O584" s="131"/>
      <c r="P584" s="131"/>
      <c r="Q584" s="131"/>
      <c r="R584" s="131"/>
      <c r="S584" s="131"/>
      <c r="T584" s="131"/>
      <c r="U584" s="131"/>
      <c r="V584" s="131"/>
      <c r="W584" s="131"/>
      <c r="X584" s="131"/>
    </row>
    <row r="585" spans="1:24" ht="13.5" customHeight="1">
      <c r="A585" s="132"/>
      <c r="B585" s="131"/>
      <c r="C585" s="131"/>
      <c r="D585" s="132"/>
      <c r="E585" s="132"/>
      <c r="F585" s="132"/>
      <c r="G585" s="132"/>
      <c r="H585" s="132"/>
      <c r="I585" s="131"/>
      <c r="J585" s="131"/>
      <c r="K585" s="131"/>
      <c r="L585" s="131"/>
      <c r="M585" s="131"/>
      <c r="N585" s="131"/>
      <c r="O585" s="131"/>
      <c r="P585" s="131"/>
      <c r="Q585" s="131"/>
      <c r="R585" s="131"/>
      <c r="S585" s="131"/>
      <c r="T585" s="131"/>
      <c r="U585" s="131"/>
      <c r="V585" s="131"/>
      <c r="W585" s="131"/>
      <c r="X585" s="131"/>
    </row>
    <row r="586" spans="1:24" ht="13.5" customHeight="1">
      <c r="A586" s="132"/>
      <c r="B586" s="131"/>
      <c r="C586" s="131"/>
      <c r="D586" s="132"/>
      <c r="E586" s="132"/>
      <c r="F586" s="132"/>
      <c r="G586" s="132"/>
      <c r="H586" s="132"/>
      <c r="I586" s="131"/>
      <c r="J586" s="131"/>
      <c r="K586" s="131"/>
      <c r="L586" s="131"/>
      <c r="M586" s="131"/>
      <c r="N586" s="131"/>
      <c r="O586" s="131"/>
      <c r="P586" s="131"/>
      <c r="Q586" s="131"/>
      <c r="R586" s="131"/>
      <c r="S586" s="131"/>
      <c r="T586" s="131"/>
      <c r="U586" s="131"/>
      <c r="V586" s="131"/>
      <c r="W586" s="131"/>
      <c r="X586" s="131"/>
    </row>
    <row r="587" spans="1:24" ht="13.5" customHeight="1">
      <c r="A587" s="132"/>
      <c r="B587" s="131"/>
      <c r="C587" s="131"/>
      <c r="D587" s="132"/>
      <c r="E587" s="132"/>
      <c r="F587" s="132"/>
      <c r="G587" s="132"/>
      <c r="H587" s="132"/>
      <c r="I587" s="131"/>
      <c r="J587" s="131"/>
      <c r="K587" s="131"/>
      <c r="L587" s="131"/>
      <c r="M587" s="131"/>
      <c r="N587" s="131"/>
      <c r="O587" s="131"/>
      <c r="P587" s="131"/>
      <c r="Q587" s="131"/>
      <c r="R587" s="131"/>
      <c r="S587" s="131"/>
      <c r="T587" s="131"/>
      <c r="U587" s="131"/>
      <c r="V587" s="131"/>
      <c r="W587" s="131"/>
      <c r="X587" s="131"/>
    </row>
    <row r="588" spans="1:24" ht="13.5" customHeight="1">
      <c r="A588" s="132"/>
      <c r="B588" s="131"/>
      <c r="C588" s="131"/>
      <c r="D588" s="132"/>
      <c r="E588" s="132"/>
      <c r="F588" s="132"/>
      <c r="G588" s="132"/>
      <c r="H588" s="132"/>
      <c r="I588" s="131"/>
      <c r="J588" s="131"/>
      <c r="K588" s="131"/>
      <c r="L588" s="131"/>
      <c r="M588" s="131"/>
      <c r="N588" s="131"/>
      <c r="O588" s="131"/>
      <c r="P588" s="131"/>
      <c r="Q588" s="131"/>
      <c r="R588" s="131"/>
      <c r="S588" s="131"/>
      <c r="T588" s="131"/>
      <c r="U588" s="131"/>
      <c r="V588" s="131"/>
      <c r="W588" s="131"/>
      <c r="X588" s="131"/>
    </row>
    <row r="589" spans="1:24" ht="13.5" customHeight="1">
      <c r="A589" s="132"/>
      <c r="B589" s="131"/>
      <c r="C589" s="131"/>
      <c r="D589" s="132"/>
      <c r="E589" s="132"/>
      <c r="F589" s="132"/>
      <c r="G589" s="132"/>
      <c r="H589" s="132"/>
      <c r="I589" s="131"/>
      <c r="J589" s="131"/>
      <c r="K589" s="131"/>
      <c r="L589" s="131"/>
      <c r="M589" s="131"/>
      <c r="N589" s="131"/>
      <c r="O589" s="131"/>
      <c r="P589" s="131"/>
      <c r="Q589" s="131"/>
      <c r="R589" s="131"/>
      <c r="S589" s="131"/>
      <c r="T589" s="131"/>
      <c r="U589" s="131"/>
      <c r="V589" s="131"/>
      <c r="W589" s="131"/>
      <c r="X589" s="131"/>
    </row>
    <row r="590" spans="1:24" ht="13.5" customHeight="1">
      <c r="A590" s="132"/>
      <c r="B590" s="131"/>
      <c r="C590" s="131"/>
      <c r="D590" s="132"/>
      <c r="E590" s="132"/>
      <c r="F590" s="132"/>
      <c r="G590" s="132"/>
      <c r="H590" s="132"/>
      <c r="I590" s="131"/>
      <c r="J590" s="131"/>
      <c r="K590" s="131"/>
      <c r="L590" s="131"/>
      <c r="M590" s="131"/>
      <c r="N590" s="131"/>
      <c r="O590" s="131"/>
      <c r="P590" s="131"/>
      <c r="Q590" s="131"/>
      <c r="R590" s="131"/>
      <c r="S590" s="131"/>
      <c r="T590" s="131"/>
      <c r="U590" s="131"/>
      <c r="V590" s="131"/>
      <c r="W590" s="131"/>
      <c r="X590" s="131"/>
    </row>
    <row r="591" spans="1:24" ht="13.5" customHeight="1">
      <c r="A591" s="132"/>
      <c r="B591" s="131"/>
      <c r="C591" s="131"/>
      <c r="D591" s="132"/>
      <c r="E591" s="132"/>
      <c r="F591" s="132"/>
      <c r="G591" s="132"/>
      <c r="H591" s="132"/>
      <c r="I591" s="131"/>
      <c r="J591" s="131"/>
      <c r="K591" s="131"/>
      <c r="L591" s="131"/>
      <c r="M591" s="131"/>
      <c r="N591" s="131"/>
      <c r="O591" s="131"/>
      <c r="P591" s="131"/>
      <c r="Q591" s="131"/>
      <c r="R591" s="131"/>
      <c r="S591" s="131"/>
      <c r="T591" s="131"/>
      <c r="U591" s="131"/>
      <c r="V591" s="131"/>
      <c r="W591" s="131"/>
      <c r="X591" s="131"/>
    </row>
    <row r="592" spans="1:24" ht="13.5" customHeight="1">
      <c r="A592" s="132"/>
      <c r="B592" s="131"/>
      <c r="C592" s="131"/>
      <c r="D592" s="132"/>
      <c r="E592" s="132"/>
      <c r="F592" s="132"/>
      <c r="G592" s="132"/>
      <c r="H592" s="132"/>
      <c r="I592" s="131"/>
      <c r="J592" s="131"/>
      <c r="K592" s="131"/>
      <c r="L592" s="131"/>
      <c r="M592" s="131"/>
      <c r="N592" s="131"/>
      <c r="O592" s="131"/>
      <c r="P592" s="131"/>
      <c r="Q592" s="131"/>
      <c r="R592" s="131"/>
      <c r="S592" s="131"/>
      <c r="T592" s="131"/>
      <c r="U592" s="131"/>
      <c r="V592" s="131"/>
      <c r="W592" s="131"/>
      <c r="X592" s="131"/>
    </row>
    <row r="593" spans="1:24" ht="13.5" customHeight="1">
      <c r="A593" s="132"/>
      <c r="B593" s="131"/>
      <c r="C593" s="131"/>
      <c r="D593" s="132"/>
      <c r="E593" s="132"/>
      <c r="F593" s="132"/>
      <c r="G593" s="132"/>
      <c r="H593" s="132"/>
      <c r="I593" s="131"/>
      <c r="J593" s="131"/>
      <c r="K593" s="131"/>
      <c r="L593" s="131"/>
      <c r="M593" s="131"/>
      <c r="N593" s="131"/>
      <c r="O593" s="131"/>
      <c r="P593" s="131"/>
      <c r="Q593" s="131"/>
      <c r="R593" s="131"/>
      <c r="S593" s="131"/>
      <c r="T593" s="131"/>
      <c r="U593" s="131"/>
      <c r="V593" s="131"/>
      <c r="W593" s="131"/>
      <c r="X593" s="131"/>
    </row>
    <row r="594" spans="1:24" ht="13.5" customHeight="1">
      <c r="A594" s="132"/>
      <c r="B594" s="131"/>
      <c r="C594" s="131"/>
      <c r="D594" s="132"/>
      <c r="E594" s="132"/>
      <c r="F594" s="132"/>
      <c r="G594" s="132"/>
      <c r="H594" s="132"/>
      <c r="I594" s="131"/>
      <c r="J594" s="131"/>
      <c r="K594" s="131"/>
      <c r="L594" s="131"/>
      <c r="M594" s="131"/>
      <c r="N594" s="131"/>
      <c r="O594" s="131"/>
      <c r="P594" s="131"/>
      <c r="Q594" s="131"/>
      <c r="R594" s="131"/>
      <c r="S594" s="131"/>
      <c r="T594" s="131"/>
      <c r="U594" s="131"/>
      <c r="V594" s="131"/>
      <c r="W594" s="131"/>
      <c r="X594" s="131"/>
    </row>
    <row r="595" spans="1:24" ht="13.5" customHeight="1">
      <c r="A595" s="132"/>
      <c r="B595" s="131"/>
      <c r="C595" s="131"/>
      <c r="D595" s="132"/>
      <c r="E595" s="132"/>
      <c r="F595" s="132"/>
      <c r="G595" s="132"/>
      <c r="H595" s="132"/>
      <c r="I595" s="131"/>
      <c r="J595" s="131"/>
      <c r="K595" s="131"/>
      <c r="L595" s="131"/>
      <c r="M595" s="131"/>
      <c r="N595" s="131"/>
      <c r="O595" s="131"/>
      <c r="P595" s="131"/>
      <c r="Q595" s="131"/>
      <c r="R595" s="131"/>
      <c r="S595" s="131"/>
      <c r="T595" s="131"/>
      <c r="U595" s="131"/>
      <c r="V595" s="131"/>
      <c r="W595" s="131"/>
      <c r="X595" s="131"/>
    </row>
    <row r="596" spans="1:24" ht="13.5" customHeight="1">
      <c r="A596" s="132"/>
      <c r="B596" s="131"/>
      <c r="C596" s="131"/>
      <c r="D596" s="132"/>
      <c r="E596" s="132"/>
      <c r="F596" s="132"/>
      <c r="G596" s="132"/>
      <c r="H596" s="132"/>
      <c r="I596" s="131"/>
      <c r="J596" s="131"/>
      <c r="K596" s="131"/>
      <c r="L596" s="131"/>
      <c r="M596" s="131"/>
      <c r="N596" s="131"/>
      <c r="O596" s="131"/>
      <c r="P596" s="131"/>
      <c r="Q596" s="131"/>
      <c r="R596" s="131"/>
      <c r="S596" s="131"/>
      <c r="T596" s="131"/>
      <c r="U596" s="131"/>
      <c r="V596" s="131"/>
      <c r="W596" s="131"/>
      <c r="X596" s="131"/>
    </row>
    <row r="597" spans="1:24" ht="13.5" customHeight="1">
      <c r="A597" s="132"/>
      <c r="B597" s="131"/>
      <c r="C597" s="131"/>
      <c r="D597" s="132"/>
      <c r="E597" s="132"/>
      <c r="F597" s="132"/>
      <c r="G597" s="132"/>
      <c r="H597" s="132"/>
      <c r="I597" s="131"/>
      <c r="J597" s="131"/>
      <c r="K597" s="131"/>
      <c r="L597" s="131"/>
      <c r="M597" s="131"/>
      <c r="N597" s="131"/>
      <c r="O597" s="131"/>
      <c r="P597" s="131"/>
      <c r="Q597" s="131"/>
      <c r="R597" s="131"/>
      <c r="S597" s="131"/>
      <c r="T597" s="131"/>
      <c r="U597" s="131"/>
      <c r="V597" s="131"/>
      <c r="W597" s="131"/>
      <c r="X597" s="131"/>
    </row>
    <row r="598" spans="1:24" ht="13.5" customHeight="1">
      <c r="A598" s="132"/>
      <c r="B598" s="131"/>
      <c r="C598" s="131"/>
      <c r="D598" s="132"/>
      <c r="E598" s="132"/>
      <c r="F598" s="132"/>
      <c r="G598" s="132"/>
      <c r="H598" s="132"/>
      <c r="I598" s="131"/>
      <c r="J598" s="131"/>
      <c r="K598" s="131"/>
      <c r="L598" s="131"/>
      <c r="M598" s="131"/>
      <c r="N598" s="131"/>
      <c r="O598" s="131"/>
      <c r="P598" s="131"/>
      <c r="Q598" s="131"/>
      <c r="R598" s="131"/>
      <c r="S598" s="131"/>
      <c r="T598" s="131"/>
      <c r="U598" s="131"/>
      <c r="V598" s="131"/>
      <c r="W598" s="131"/>
      <c r="X598" s="131"/>
    </row>
    <row r="599" spans="1:24" ht="13.5" customHeight="1">
      <c r="A599" s="132"/>
      <c r="B599" s="131"/>
      <c r="C599" s="131"/>
      <c r="D599" s="132"/>
      <c r="E599" s="132"/>
      <c r="F599" s="132"/>
      <c r="G599" s="132"/>
      <c r="H599" s="132"/>
      <c r="I599" s="131"/>
      <c r="J599" s="131"/>
      <c r="K599" s="131"/>
      <c r="L599" s="131"/>
      <c r="M599" s="131"/>
      <c r="N599" s="131"/>
      <c r="O599" s="131"/>
      <c r="P599" s="131"/>
      <c r="Q599" s="131"/>
      <c r="R599" s="131"/>
      <c r="S599" s="131"/>
      <c r="T599" s="131"/>
      <c r="U599" s="131"/>
      <c r="V599" s="131"/>
      <c r="W599" s="131"/>
      <c r="X599" s="131"/>
    </row>
    <row r="600" spans="1:24" ht="13.5" customHeight="1">
      <c r="A600" s="132"/>
      <c r="B600" s="131"/>
      <c r="C600" s="131"/>
      <c r="D600" s="132"/>
      <c r="E600" s="132"/>
      <c r="F600" s="132"/>
      <c r="G600" s="132"/>
      <c r="H600" s="132"/>
      <c r="I600" s="131"/>
      <c r="J600" s="131"/>
      <c r="K600" s="131"/>
      <c r="L600" s="131"/>
      <c r="M600" s="131"/>
      <c r="N600" s="131"/>
      <c r="O600" s="131"/>
      <c r="P600" s="131"/>
      <c r="Q600" s="131"/>
      <c r="R600" s="131"/>
      <c r="S600" s="131"/>
      <c r="T600" s="131"/>
      <c r="U600" s="131"/>
      <c r="V600" s="131"/>
      <c r="W600" s="131"/>
      <c r="X600" s="131"/>
    </row>
    <row r="601" spans="1:24" ht="13.5" customHeight="1">
      <c r="A601" s="132"/>
      <c r="B601" s="131"/>
      <c r="C601" s="131"/>
      <c r="D601" s="132"/>
      <c r="E601" s="132"/>
      <c r="F601" s="132"/>
      <c r="G601" s="132"/>
      <c r="H601" s="132"/>
      <c r="I601" s="131"/>
      <c r="J601" s="131"/>
      <c r="K601" s="131"/>
      <c r="L601" s="131"/>
      <c r="M601" s="131"/>
      <c r="N601" s="131"/>
      <c r="O601" s="131"/>
      <c r="P601" s="131"/>
      <c r="Q601" s="131"/>
      <c r="R601" s="131"/>
      <c r="S601" s="131"/>
      <c r="T601" s="131"/>
      <c r="U601" s="131"/>
      <c r="V601" s="131"/>
      <c r="W601" s="131"/>
      <c r="X601" s="131"/>
    </row>
    <row r="602" spans="1:24" ht="13.5" customHeight="1">
      <c r="A602" s="132"/>
      <c r="B602" s="131"/>
      <c r="C602" s="131"/>
      <c r="D602" s="132"/>
      <c r="E602" s="132"/>
      <c r="F602" s="132"/>
      <c r="G602" s="132"/>
      <c r="H602" s="132"/>
      <c r="I602" s="131"/>
      <c r="J602" s="131"/>
      <c r="K602" s="131"/>
      <c r="L602" s="131"/>
      <c r="M602" s="131"/>
      <c r="N602" s="131"/>
      <c r="O602" s="131"/>
      <c r="P602" s="131"/>
      <c r="Q602" s="131"/>
      <c r="R602" s="131"/>
      <c r="S602" s="131"/>
      <c r="T602" s="131"/>
      <c r="U602" s="131"/>
      <c r="V602" s="131"/>
      <c r="W602" s="131"/>
      <c r="X602" s="131"/>
    </row>
    <row r="603" spans="1:24" ht="13.5" customHeight="1">
      <c r="A603" s="132"/>
      <c r="B603" s="131"/>
      <c r="C603" s="131"/>
      <c r="D603" s="132"/>
      <c r="E603" s="132"/>
      <c r="F603" s="132"/>
      <c r="G603" s="132"/>
      <c r="H603" s="132"/>
      <c r="I603" s="131"/>
      <c r="J603" s="131"/>
      <c r="K603" s="131"/>
      <c r="L603" s="131"/>
      <c r="M603" s="131"/>
      <c r="N603" s="131"/>
      <c r="O603" s="131"/>
      <c r="P603" s="131"/>
      <c r="Q603" s="131"/>
      <c r="R603" s="131"/>
      <c r="S603" s="131"/>
      <c r="T603" s="131"/>
      <c r="U603" s="131"/>
      <c r="V603" s="131"/>
      <c r="W603" s="131"/>
      <c r="X603" s="131"/>
    </row>
    <row r="604" spans="1:24" ht="13.5" customHeight="1">
      <c r="A604" s="132"/>
      <c r="B604" s="131"/>
      <c r="C604" s="131"/>
      <c r="D604" s="132"/>
      <c r="E604" s="132"/>
      <c r="F604" s="132"/>
      <c r="G604" s="132"/>
      <c r="H604" s="132"/>
      <c r="I604" s="131"/>
      <c r="J604" s="131"/>
      <c r="K604" s="131"/>
      <c r="L604" s="131"/>
      <c r="M604" s="131"/>
      <c r="N604" s="131"/>
      <c r="O604" s="131"/>
      <c r="P604" s="131"/>
      <c r="Q604" s="131"/>
      <c r="R604" s="131"/>
      <c r="S604" s="131"/>
      <c r="T604" s="131"/>
      <c r="U604" s="131"/>
      <c r="V604" s="131"/>
      <c r="W604" s="131"/>
      <c r="X604" s="131"/>
    </row>
    <row r="605" spans="1:24" ht="13.5" customHeight="1">
      <c r="A605" s="132"/>
      <c r="B605" s="131"/>
      <c r="C605" s="131"/>
      <c r="D605" s="132"/>
      <c r="E605" s="132"/>
      <c r="F605" s="132"/>
      <c r="G605" s="132"/>
      <c r="H605" s="132"/>
      <c r="I605" s="131"/>
      <c r="J605" s="131"/>
      <c r="K605" s="131"/>
      <c r="L605" s="131"/>
      <c r="M605" s="131"/>
      <c r="N605" s="131"/>
      <c r="O605" s="131"/>
      <c r="P605" s="131"/>
      <c r="Q605" s="131"/>
      <c r="R605" s="131"/>
      <c r="S605" s="131"/>
      <c r="T605" s="131"/>
      <c r="U605" s="131"/>
      <c r="V605" s="131"/>
      <c r="W605" s="131"/>
      <c r="X605" s="131"/>
    </row>
    <row r="606" spans="1:24" ht="13.5" customHeight="1">
      <c r="A606" s="132"/>
      <c r="B606" s="131"/>
      <c r="C606" s="131"/>
      <c r="D606" s="132"/>
      <c r="E606" s="132"/>
      <c r="F606" s="132"/>
      <c r="G606" s="132"/>
      <c r="H606" s="132"/>
      <c r="I606" s="131"/>
      <c r="J606" s="131"/>
      <c r="K606" s="131"/>
      <c r="L606" s="131"/>
      <c r="M606" s="131"/>
      <c r="N606" s="131"/>
      <c r="O606" s="131"/>
      <c r="P606" s="131"/>
      <c r="Q606" s="131"/>
      <c r="R606" s="131"/>
      <c r="S606" s="131"/>
      <c r="T606" s="131"/>
      <c r="U606" s="131"/>
      <c r="V606" s="131"/>
      <c r="W606" s="131"/>
      <c r="X606" s="131"/>
    </row>
    <row r="607" spans="1:24" ht="13.5" customHeight="1">
      <c r="A607" s="132"/>
      <c r="B607" s="131"/>
      <c r="C607" s="131"/>
      <c r="D607" s="132"/>
      <c r="E607" s="132"/>
      <c r="F607" s="132"/>
      <c r="G607" s="132"/>
      <c r="H607" s="132"/>
      <c r="I607" s="131"/>
      <c r="J607" s="131"/>
      <c r="K607" s="131"/>
      <c r="L607" s="131"/>
      <c r="M607" s="131"/>
      <c r="N607" s="131"/>
      <c r="O607" s="131"/>
      <c r="P607" s="131"/>
      <c r="Q607" s="131"/>
      <c r="R607" s="131"/>
      <c r="S607" s="131"/>
      <c r="T607" s="131"/>
      <c r="U607" s="131"/>
      <c r="V607" s="131"/>
      <c r="W607" s="131"/>
      <c r="X607" s="131"/>
    </row>
    <row r="608" spans="1:24" ht="13.5" customHeight="1">
      <c r="A608" s="132"/>
      <c r="B608" s="131"/>
      <c r="C608" s="131"/>
      <c r="D608" s="132"/>
      <c r="E608" s="132"/>
      <c r="F608" s="132"/>
      <c r="G608" s="132"/>
      <c r="H608" s="132"/>
      <c r="I608" s="131"/>
      <c r="J608" s="131"/>
      <c r="K608" s="131"/>
      <c r="L608" s="131"/>
      <c r="M608" s="131"/>
      <c r="N608" s="131"/>
      <c r="O608" s="131"/>
      <c r="P608" s="131"/>
      <c r="Q608" s="131"/>
      <c r="R608" s="131"/>
      <c r="S608" s="131"/>
      <c r="T608" s="131"/>
      <c r="U608" s="131"/>
      <c r="V608" s="131"/>
      <c r="W608" s="131"/>
      <c r="X608" s="131"/>
    </row>
    <row r="609" spans="1:24" ht="13.5" customHeight="1">
      <c r="A609" s="132"/>
      <c r="B609" s="131"/>
      <c r="C609" s="131"/>
      <c r="D609" s="132"/>
      <c r="E609" s="132"/>
      <c r="F609" s="132"/>
      <c r="G609" s="132"/>
      <c r="H609" s="132"/>
      <c r="I609" s="131"/>
      <c r="J609" s="131"/>
      <c r="K609" s="131"/>
      <c r="L609" s="131"/>
      <c r="M609" s="131"/>
      <c r="N609" s="131"/>
      <c r="O609" s="131"/>
      <c r="P609" s="131"/>
      <c r="Q609" s="131"/>
      <c r="R609" s="131"/>
      <c r="S609" s="131"/>
      <c r="T609" s="131"/>
      <c r="U609" s="131"/>
      <c r="V609" s="131"/>
      <c r="W609" s="131"/>
      <c r="X609" s="131"/>
    </row>
    <row r="610" spans="1:24" ht="13.5" customHeight="1">
      <c r="A610" s="132"/>
      <c r="B610" s="131"/>
      <c r="C610" s="131"/>
      <c r="D610" s="132"/>
      <c r="E610" s="132"/>
      <c r="F610" s="132"/>
      <c r="G610" s="132"/>
      <c r="H610" s="132"/>
      <c r="I610" s="131"/>
      <c r="J610" s="131"/>
      <c r="K610" s="131"/>
      <c r="L610" s="131"/>
      <c r="M610" s="131"/>
      <c r="N610" s="131"/>
      <c r="O610" s="131"/>
      <c r="P610" s="131"/>
      <c r="Q610" s="131"/>
      <c r="R610" s="131"/>
      <c r="S610" s="131"/>
      <c r="T610" s="131"/>
      <c r="U610" s="131"/>
      <c r="V610" s="131"/>
      <c r="W610" s="131"/>
      <c r="X610" s="131"/>
    </row>
    <row r="611" spans="1:24" ht="13.5" customHeight="1">
      <c r="A611" s="132"/>
      <c r="B611" s="131"/>
      <c r="C611" s="131"/>
      <c r="D611" s="132"/>
      <c r="E611" s="132"/>
      <c r="F611" s="132"/>
      <c r="G611" s="132"/>
      <c r="H611" s="132"/>
      <c r="I611" s="131"/>
      <c r="J611" s="131"/>
      <c r="K611" s="131"/>
      <c r="L611" s="131"/>
      <c r="M611" s="131"/>
      <c r="N611" s="131"/>
      <c r="O611" s="131"/>
      <c r="P611" s="131"/>
      <c r="Q611" s="131"/>
      <c r="R611" s="131"/>
      <c r="S611" s="131"/>
      <c r="T611" s="131"/>
      <c r="U611" s="131"/>
      <c r="V611" s="131"/>
      <c r="W611" s="131"/>
      <c r="X611" s="131"/>
    </row>
    <row r="612" spans="1:24" ht="13.5" customHeight="1">
      <c r="A612" s="132"/>
      <c r="B612" s="131"/>
      <c r="C612" s="131"/>
      <c r="D612" s="132"/>
      <c r="E612" s="132"/>
      <c r="F612" s="132"/>
      <c r="G612" s="132"/>
      <c r="H612" s="132"/>
      <c r="I612" s="131"/>
      <c r="J612" s="131"/>
      <c r="K612" s="131"/>
      <c r="L612" s="131"/>
      <c r="M612" s="131"/>
      <c r="N612" s="131"/>
      <c r="O612" s="131"/>
      <c r="P612" s="131"/>
      <c r="Q612" s="131"/>
      <c r="R612" s="131"/>
      <c r="S612" s="131"/>
      <c r="T612" s="131"/>
      <c r="U612" s="131"/>
      <c r="V612" s="131"/>
      <c r="W612" s="131"/>
      <c r="X612" s="131"/>
    </row>
    <row r="613" spans="1:24" ht="13.5" customHeight="1">
      <c r="A613" s="132"/>
      <c r="B613" s="131"/>
      <c r="C613" s="131"/>
      <c r="D613" s="132"/>
      <c r="E613" s="132"/>
      <c r="F613" s="132"/>
      <c r="G613" s="132"/>
      <c r="H613" s="132"/>
      <c r="I613" s="131"/>
      <c r="J613" s="131"/>
      <c r="K613" s="131"/>
      <c r="L613" s="131"/>
      <c r="M613" s="131"/>
      <c r="N613" s="131"/>
      <c r="O613" s="131"/>
      <c r="P613" s="131"/>
      <c r="Q613" s="131"/>
      <c r="R613" s="131"/>
      <c r="S613" s="131"/>
      <c r="T613" s="131"/>
      <c r="U613" s="131"/>
      <c r="V613" s="131"/>
      <c r="W613" s="131"/>
      <c r="X613" s="131"/>
    </row>
    <row r="614" spans="1:24" ht="13.5" customHeight="1">
      <c r="A614" s="132"/>
      <c r="B614" s="131"/>
      <c r="C614" s="131"/>
      <c r="D614" s="132"/>
      <c r="E614" s="132"/>
      <c r="F614" s="132"/>
      <c r="G614" s="132"/>
      <c r="H614" s="132"/>
      <c r="I614" s="131"/>
      <c r="J614" s="131"/>
      <c r="K614" s="131"/>
      <c r="L614" s="131"/>
      <c r="M614" s="131"/>
      <c r="N614" s="131"/>
      <c r="O614" s="131"/>
      <c r="P614" s="131"/>
      <c r="Q614" s="131"/>
      <c r="R614" s="131"/>
      <c r="S614" s="131"/>
      <c r="T614" s="131"/>
      <c r="U614" s="131"/>
      <c r="V614" s="131"/>
      <c r="W614" s="131"/>
      <c r="X614" s="131"/>
    </row>
    <row r="615" spans="1:24" ht="13.5" customHeight="1">
      <c r="A615" s="132"/>
      <c r="B615" s="131"/>
      <c r="C615" s="131"/>
      <c r="D615" s="132"/>
      <c r="E615" s="132"/>
      <c r="F615" s="132"/>
      <c r="G615" s="132"/>
      <c r="H615" s="132"/>
      <c r="I615" s="131"/>
      <c r="J615" s="131"/>
      <c r="K615" s="131"/>
      <c r="L615" s="131"/>
      <c r="M615" s="131"/>
      <c r="N615" s="131"/>
      <c r="O615" s="131"/>
      <c r="P615" s="131"/>
      <c r="Q615" s="131"/>
      <c r="R615" s="131"/>
      <c r="S615" s="131"/>
      <c r="T615" s="131"/>
      <c r="U615" s="131"/>
      <c r="V615" s="131"/>
      <c r="W615" s="131"/>
      <c r="X615" s="131"/>
    </row>
    <row r="616" spans="1:24" ht="13.5" customHeight="1">
      <c r="A616" s="132"/>
      <c r="B616" s="131"/>
      <c r="C616" s="131"/>
      <c r="D616" s="132"/>
      <c r="E616" s="132"/>
      <c r="F616" s="132"/>
      <c r="G616" s="132"/>
      <c r="H616" s="132"/>
      <c r="I616" s="131"/>
      <c r="J616" s="131"/>
      <c r="K616" s="131"/>
      <c r="L616" s="131"/>
      <c r="M616" s="131"/>
      <c r="N616" s="131"/>
      <c r="O616" s="131"/>
      <c r="P616" s="131"/>
      <c r="Q616" s="131"/>
      <c r="R616" s="131"/>
      <c r="S616" s="131"/>
      <c r="T616" s="131"/>
      <c r="U616" s="131"/>
      <c r="V616" s="131"/>
      <c r="W616" s="131"/>
      <c r="X616" s="131"/>
    </row>
    <row r="617" spans="1:24" ht="13.5" customHeight="1">
      <c r="A617" s="132"/>
      <c r="B617" s="131"/>
      <c r="C617" s="131"/>
      <c r="D617" s="132"/>
      <c r="E617" s="132"/>
      <c r="F617" s="132"/>
      <c r="G617" s="132"/>
      <c r="H617" s="132"/>
      <c r="I617" s="131"/>
      <c r="J617" s="131"/>
      <c r="K617" s="131"/>
      <c r="L617" s="131"/>
      <c r="M617" s="131"/>
      <c r="N617" s="131"/>
      <c r="O617" s="131"/>
      <c r="P617" s="131"/>
      <c r="Q617" s="131"/>
      <c r="R617" s="131"/>
      <c r="S617" s="131"/>
      <c r="T617" s="131"/>
      <c r="U617" s="131"/>
      <c r="V617" s="131"/>
      <c r="W617" s="131"/>
      <c r="X617" s="131"/>
    </row>
    <row r="618" spans="1:24" ht="13.5" customHeight="1">
      <c r="A618" s="132"/>
      <c r="B618" s="131"/>
      <c r="C618" s="131"/>
      <c r="D618" s="132"/>
      <c r="E618" s="132"/>
      <c r="F618" s="132"/>
      <c r="G618" s="132"/>
      <c r="H618" s="132"/>
      <c r="I618" s="131"/>
      <c r="J618" s="131"/>
      <c r="K618" s="131"/>
      <c r="L618" s="131"/>
      <c r="M618" s="131"/>
      <c r="N618" s="131"/>
      <c r="O618" s="131"/>
      <c r="P618" s="131"/>
      <c r="Q618" s="131"/>
      <c r="R618" s="131"/>
      <c r="S618" s="131"/>
      <c r="T618" s="131"/>
      <c r="U618" s="131"/>
      <c r="V618" s="131"/>
      <c r="W618" s="131"/>
      <c r="X618" s="131"/>
    </row>
    <row r="619" spans="1:24" ht="13.5" customHeight="1">
      <c r="A619" s="132"/>
      <c r="B619" s="131"/>
      <c r="C619" s="131"/>
      <c r="D619" s="132"/>
      <c r="E619" s="132"/>
      <c r="F619" s="132"/>
      <c r="G619" s="132"/>
      <c r="H619" s="132"/>
      <c r="I619" s="131"/>
      <c r="J619" s="131"/>
      <c r="K619" s="131"/>
      <c r="L619" s="131"/>
      <c r="M619" s="131"/>
      <c r="N619" s="131"/>
      <c r="O619" s="131"/>
      <c r="P619" s="131"/>
      <c r="Q619" s="131"/>
      <c r="R619" s="131"/>
      <c r="S619" s="131"/>
      <c r="T619" s="131"/>
      <c r="U619" s="131"/>
      <c r="V619" s="131"/>
      <c r="W619" s="131"/>
      <c r="X619" s="131"/>
    </row>
    <row r="620" spans="1:24" ht="13.5" customHeight="1">
      <c r="A620" s="132"/>
      <c r="B620" s="131"/>
      <c r="C620" s="131"/>
      <c r="D620" s="132"/>
      <c r="E620" s="132"/>
      <c r="F620" s="132"/>
      <c r="G620" s="132"/>
      <c r="H620" s="132"/>
      <c r="I620" s="131"/>
      <c r="J620" s="131"/>
      <c r="K620" s="131"/>
      <c r="L620" s="131"/>
      <c r="M620" s="131"/>
      <c r="N620" s="131"/>
      <c r="O620" s="131"/>
      <c r="P620" s="131"/>
      <c r="Q620" s="131"/>
      <c r="R620" s="131"/>
      <c r="S620" s="131"/>
      <c r="T620" s="131"/>
      <c r="U620" s="131"/>
      <c r="V620" s="131"/>
      <c r="W620" s="131"/>
      <c r="X620" s="131"/>
    </row>
    <row r="621" spans="1:24" ht="13.5" customHeight="1">
      <c r="A621" s="132"/>
      <c r="B621" s="131"/>
      <c r="C621" s="131"/>
      <c r="D621" s="132"/>
      <c r="E621" s="132"/>
      <c r="F621" s="132"/>
      <c r="G621" s="132"/>
      <c r="H621" s="132"/>
      <c r="I621" s="131"/>
      <c r="J621" s="131"/>
      <c r="K621" s="131"/>
      <c r="L621" s="131"/>
      <c r="M621" s="131"/>
      <c r="N621" s="131"/>
      <c r="O621" s="131"/>
      <c r="P621" s="131"/>
      <c r="Q621" s="131"/>
      <c r="R621" s="131"/>
      <c r="S621" s="131"/>
      <c r="T621" s="131"/>
      <c r="U621" s="131"/>
      <c r="V621" s="131"/>
      <c r="W621" s="131"/>
      <c r="X621" s="131"/>
    </row>
    <row r="622" spans="1:24" ht="13.5" customHeight="1">
      <c r="A622" s="132"/>
      <c r="B622" s="131"/>
      <c r="C622" s="131"/>
      <c r="D622" s="132"/>
      <c r="E622" s="132"/>
      <c r="F622" s="132"/>
      <c r="G622" s="132"/>
      <c r="H622" s="132"/>
      <c r="I622" s="131"/>
      <c r="J622" s="131"/>
      <c r="K622" s="131"/>
      <c r="L622" s="131"/>
      <c r="M622" s="131"/>
      <c r="N622" s="131"/>
      <c r="O622" s="131"/>
      <c r="P622" s="131"/>
      <c r="Q622" s="131"/>
      <c r="R622" s="131"/>
      <c r="S622" s="131"/>
      <c r="T622" s="131"/>
      <c r="U622" s="131"/>
      <c r="V622" s="131"/>
      <c r="W622" s="131"/>
      <c r="X622" s="131"/>
    </row>
    <row r="623" spans="1:24" ht="13.5" customHeight="1">
      <c r="A623" s="132"/>
      <c r="B623" s="131"/>
      <c r="C623" s="131"/>
      <c r="D623" s="132"/>
      <c r="E623" s="132"/>
      <c r="F623" s="132"/>
      <c r="G623" s="132"/>
      <c r="H623" s="132"/>
      <c r="I623" s="131"/>
      <c r="J623" s="131"/>
      <c r="K623" s="131"/>
      <c r="L623" s="131"/>
      <c r="M623" s="131"/>
      <c r="N623" s="131"/>
      <c r="O623" s="131"/>
      <c r="P623" s="131"/>
      <c r="Q623" s="131"/>
      <c r="R623" s="131"/>
      <c r="S623" s="131"/>
      <c r="T623" s="131"/>
      <c r="U623" s="131"/>
      <c r="V623" s="131"/>
      <c r="W623" s="131"/>
      <c r="X623" s="131"/>
    </row>
    <row r="624" spans="1:24" ht="13.5" customHeight="1">
      <c r="A624" s="132"/>
      <c r="B624" s="131"/>
      <c r="C624" s="131"/>
      <c r="D624" s="132"/>
      <c r="E624" s="132"/>
      <c r="F624" s="132"/>
      <c r="G624" s="132"/>
      <c r="H624" s="132"/>
      <c r="I624" s="131"/>
      <c r="J624" s="131"/>
      <c r="K624" s="131"/>
      <c r="L624" s="131"/>
      <c r="M624" s="131"/>
      <c r="N624" s="131"/>
      <c r="O624" s="131"/>
      <c r="P624" s="131"/>
      <c r="Q624" s="131"/>
      <c r="R624" s="131"/>
      <c r="S624" s="131"/>
      <c r="T624" s="131"/>
      <c r="U624" s="131"/>
      <c r="V624" s="131"/>
      <c r="W624" s="131"/>
      <c r="X624" s="131"/>
    </row>
    <row r="625" spans="1:24" ht="13.5" customHeight="1">
      <c r="A625" s="132"/>
      <c r="B625" s="131"/>
      <c r="C625" s="131"/>
      <c r="D625" s="132"/>
      <c r="E625" s="132"/>
      <c r="F625" s="132"/>
      <c r="G625" s="132"/>
      <c r="H625" s="132"/>
      <c r="I625" s="131"/>
      <c r="J625" s="131"/>
      <c r="K625" s="131"/>
      <c r="L625" s="131"/>
      <c r="M625" s="131"/>
      <c r="N625" s="131"/>
      <c r="O625" s="131"/>
      <c r="P625" s="131"/>
      <c r="Q625" s="131"/>
      <c r="R625" s="131"/>
      <c r="S625" s="131"/>
      <c r="T625" s="131"/>
      <c r="U625" s="131"/>
      <c r="V625" s="131"/>
      <c r="W625" s="131"/>
      <c r="X625" s="131"/>
    </row>
    <row r="626" spans="1:24" ht="13.5" customHeight="1">
      <c r="A626" s="132"/>
      <c r="B626" s="131"/>
      <c r="C626" s="131"/>
      <c r="D626" s="132"/>
      <c r="E626" s="132"/>
      <c r="F626" s="132"/>
      <c r="G626" s="132"/>
      <c r="H626" s="132"/>
      <c r="I626" s="131"/>
      <c r="J626" s="131"/>
      <c r="K626" s="131"/>
      <c r="L626" s="131"/>
      <c r="M626" s="131"/>
      <c r="N626" s="131"/>
      <c r="O626" s="131"/>
      <c r="P626" s="131"/>
      <c r="Q626" s="131"/>
      <c r="R626" s="131"/>
      <c r="S626" s="131"/>
      <c r="T626" s="131"/>
      <c r="U626" s="131"/>
      <c r="V626" s="131"/>
      <c r="W626" s="131"/>
      <c r="X626" s="131"/>
    </row>
    <row r="627" spans="1:24" ht="13.5" customHeight="1">
      <c r="A627" s="132"/>
      <c r="B627" s="131"/>
      <c r="C627" s="131"/>
      <c r="D627" s="132"/>
      <c r="E627" s="132"/>
      <c r="F627" s="132"/>
      <c r="G627" s="132"/>
      <c r="H627" s="132"/>
      <c r="I627" s="131"/>
      <c r="J627" s="131"/>
      <c r="K627" s="131"/>
      <c r="L627" s="131"/>
      <c r="M627" s="131"/>
      <c r="N627" s="131"/>
      <c r="O627" s="131"/>
      <c r="P627" s="131"/>
      <c r="Q627" s="131"/>
      <c r="R627" s="131"/>
      <c r="S627" s="131"/>
      <c r="T627" s="131"/>
      <c r="U627" s="131"/>
      <c r="V627" s="131"/>
      <c r="W627" s="131"/>
      <c r="X627" s="131"/>
    </row>
    <row r="628" spans="1:24" ht="13.5" customHeight="1">
      <c r="A628" s="132"/>
      <c r="B628" s="131"/>
      <c r="C628" s="131"/>
      <c r="D628" s="132"/>
      <c r="E628" s="132"/>
      <c r="F628" s="132"/>
      <c r="G628" s="132"/>
      <c r="H628" s="132"/>
      <c r="I628" s="131"/>
      <c r="J628" s="131"/>
      <c r="K628" s="131"/>
      <c r="L628" s="131"/>
      <c r="M628" s="131"/>
      <c r="N628" s="131"/>
      <c r="O628" s="131"/>
      <c r="P628" s="131"/>
      <c r="Q628" s="131"/>
      <c r="R628" s="131"/>
      <c r="S628" s="131"/>
      <c r="T628" s="131"/>
      <c r="U628" s="131"/>
      <c r="V628" s="131"/>
      <c r="W628" s="131"/>
      <c r="X628" s="131"/>
    </row>
    <row r="629" spans="1:24" ht="13.5" customHeight="1">
      <c r="A629" s="132"/>
      <c r="B629" s="131"/>
      <c r="C629" s="131"/>
      <c r="D629" s="132"/>
      <c r="E629" s="132"/>
      <c r="F629" s="132"/>
      <c r="G629" s="132"/>
      <c r="H629" s="132"/>
      <c r="I629" s="131"/>
      <c r="J629" s="131"/>
      <c r="K629" s="131"/>
      <c r="L629" s="131"/>
      <c r="M629" s="131"/>
      <c r="N629" s="131"/>
      <c r="O629" s="131"/>
      <c r="P629" s="131"/>
      <c r="Q629" s="131"/>
      <c r="R629" s="131"/>
      <c r="S629" s="131"/>
      <c r="T629" s="131"/>
      <c r="U629" s="131"/>
      <c r="V629" s="131"/>
      <c r="W629" s="131"/>
      <c r="X629" s="131"/>
    </row>
    <row r="630" spans="1:24" ht="13.5" customHeight="1">
      <c r="A630" s="132"/>
      <c r="B630" s="131"/>
      <c r="C630" s="131"/>
      <c r="D630" s="132"/>
      <c r="E630" s="132"/>
      <c r="F630" s="132"/>
      <c r="G630" s="132"/>
      <c r="H630" s="132"/>
      <c r="I630" s="131"/>
      <c r="J630" s="131"/>
      <c r="K630" s="131"/>
      <c r="L630" s="131"/>
      <c r="M630" s="131"/>
      <c r="N630" s="131"/>
      <c r="O630" s="131"/>
      <c r="P630" s="131"/>
      <c r="Q630" s="131"/>
      <c r="R630" s="131"/>
      <c r="S630" s="131"/>
      <c r="T630" s="131"/>
      <c r="U630" s="131"/>
      <c r="V630" s="131"/>
      <c r="W630" s="131"/>
      <c r="X630" s="131"/>
    </row>
    <row r="631" spans="1:24" ht="13.5" customHeight="1">
      <c r="A631" s="132"/>
      <c r="B631" s="131"/>
      <c r="C631" s="131"/>
      <c r="D631" s="132"/>
      <c r="E631" s="132"/>
      <c r="F631" s="132"/>
      <c r="G631" s="132"/>
      <c r="H631" s="132"/>
      <c r="I631" s="131"/>
      <c r="J631" s="131"/>
      <c r="K631" s="131"/>
      <c r="L631" s="131"/>
      <c r="M631" s="131"/>
      <c r="N631" s="131"/>
      <c r="O631" s="131"/>
      <c r="P631" s="131"/>
      <c r="Q631" s="131"/>
      <c r="R631" s="131"/>
      <c r="S631" s="131"/>
      <c r="T631" s="131"/>
      <c r="U631" s="131"/>
      <c r="V631" s="131"/>
      <c r="W631" s="131"/>
      <c r="X631" s="131"/>
    </row>
    <row r="632" spans="1:24" ht="13.5" customHeight="1">
      <c r="A632" s="132"/>
      <c r="B632" s="131"/>
      <c r="C632" s="131"/>
      <c r="D632" s="132"/>
      <c r="E632" s="132"/>
      <c r="F632" s="132"/>
      <c r="G632" s="132"/>
      <c r="H632" s="132"/>
      <c r="I632" s="131"/>
      <c r="J632" s="131"/>
      <c r="K632" s="131"/>
      <c r="L632" s="131"/>
      <c r="M632" s="131"/>
      <c r="N632" s="131"/>
      <c r="O632" s="131"/>
      <c r="P632" s="131"/>
      <c r="Q632" s="131"/>
      <c r="R632" s="131"/>
      <c r="S632" s="131"/>
      <c r="T632" s="131"/>
      <c r="U632" s="131"/>
      <c r="V632" s="131"/>
      <c r="W632" s="131"/>
      <c r="X632" s="131"/>
    </row>
    <row r="633" spans="1:24" ht="13.5" customHeight="1">
      <c r="A633" s="132"/>
      <c r="B633" s="131"/>
      <c r="C633" s="131"/>
      <c r="D633" s="132"/>
      <c r="E633" s="132"/>
      <c r="F633" s="132"/>
      <c r="G633" s="132"/>
      <c r="H633" s="132"/>
      <c r="I633" s="131"/>
      <c r="J633" s="131"/>
      <c r="K633" s="131"/>
      <c r="L633" s="131"/>
      <c r="M633" s="131"/>
      <c r="N633" s="131"/>
      <c r="O633" s="131"/>
      <c r="P633" s="131"/>
      <c r="Q633" s="131"/>
      <c r="R633" s="131"/>
      <c r="S633" s="131"/>
      <c r="T633" s="131"/>
      <c r="U633" s="131"/>
      <c r="V633" s="131"/>
      <c r="W633" s="131"/>
      <c r="X633" s="131"/>
    </row>
    <row r="634" spans="1:24" ht="13.5" customHeight="1">
      <c r="A634" s="132"/>
      <c r="B634" s="131"/>
      <c r="C634" s="131"/>
      <c r="D634" s="132"/>
      <c r="E634" s="132"/>
      <c r="F634" s="132"/>
      <c r="G634" s="132"/>
      <c r="H634" s="132"/>
      <c r="I634" s="131"/>
      <c r="J634" s="131"/>
      <c r="K634" s="131"/>
      <c r="L634" s="131"/>
      <c r="M634" s="131"/>
      <c r="N634" s="131"/>
      <c r="O634" s="131"/>
      <c r="P634" s="131"/>
      <c r="Q634" s="131"/>
      <c r="R634" s="131"/>
      <c r="S634" s="131"/>
      <c r="T634" s="131"/>
      <c r="U634" s="131"/>
      <c r="V634" s="131"/>
      <c r="W634" s="131"/>
      <c r="X634" s="131"/>
    </row>
    <row r="635" spans="1:24" ht="13.5" customHeight="1">
      <c r="A635" s="132"/>
      <c r="B635" s="131"/>
      <c r="C635" s="131"/>
      <c r="D635" s="132"/>
      <c r="E635" s="132"/>
      <c r="F635" s="132"/>
      <c r="G635" s="132"/>
      <c r="H635" s="132"/>
      <c r="I635" s="131"/>
      <c r="J635" s="131"/>
      <c r="K635" s="131"/>
      <c r="L635" s="131"/>
      <c r="M635" s="131"/>
      <c r="N635" s="131"/>
      <c r="O635" s="131"/>
      <c r="P635" s="131"/>
      <c r="Q635" s="131"/>
      <c r="R635" s="131"/>
      <c r="S635" s="131"/>
      <c r="T635" s="131"/>
      <c r="U635" s="131"/>
      <c r="V635" s="131"/>
      <c r="W635" s="131"/>
      <c r="X635" s="131"/>
    </row>
    <row r="636" spans="1:24" ht="13.5" customHeight="1">
      <c r="A636" s="132"/>
      <c r="B636" s="131"/>
      <c r="C636" s="131"/>
      <c r="D636" s="132"/>
      <c r="E636" s="132"/>
      <c r="F636" s="132"/>
      <c r="G636" s="132"/>
      <c r="H636" s="132"/>
      <c r="I636" s="131"/>
      <c r="J636" s="131"/>
      <c r="K636" s="131"/>
      <c r="L636" s="131"/>
      <c r="M636" s="131"/>
      <c r="N636" s="131"/>
      <c r="O636" s="131"/>
      <c r="P636" s="131"/>
      <c r="Q636" s="131"/>
      <c r="R636" s="131"/>
      <c r="S636" s="131"/>
      <c r="T636" s="131"/>
      <c r="U636" s="131"/>
      <c r="V636" s="131"/>
      <c r="W636" s="131"/>
      <c r="X636" s="131"/>
    </row>
    <row r="637" spans="1:24" ht="13.5" customHeight="1">
      <c r="A637" s="132"/>
      <c r="B637" s="131"/>
      <c r="C637" s="131"/>
      <c r="D637" s="132"/>
      <c r="E637" s="132"/>
      <c r="F637" s="132"/>
      <c r="G637" s="132"/>
      <c r="H637" s="132"/>
      <c r="I637" s="131"/>
      <c r="J637" s="131"/>
      <c r="K637" s="131"/>
      <c r="L637" s="131"/>
      <c r="M637" s="131"/>
      <c r="N637" s="131"/>
      <c r="O637" s="131"/>
      <c r="P637" s="131"/>
      <c r="Q637" s="131"/>
      <c r="R637" s="131"/>
      <c r="S637" s="131"/>
      <c r="T637" s="131"/>
      <c r="U637" s="131"/>
      <c r="V637" s="131"/>
      <c r="W637" s="131"/>
      <c r="X637" s="131"/>
    </row>
    <row r="638" spans="1:24" ht="13.5" customHeight="1">
      <c r="A638" s="132"/>
      <c r="B638" s="131"/>
      <c r="C638" s="131"/>
      <c r="D638" s="132"/>
      <c r="E638" s="132"/>
      <c r="F638" s="132"/>
      <c r="G638" s="132"/>
      <c r="H638" s="132"/>
      <c r="I638" s="131"/>
      <c r="J638" s="131"/>
      <c r="K638" s="131"/>
      <c r="L638" s="131"/>
      <c r="M638" s="131"/>
      <c r="N638" s="131"/>
      <c r="O638" s="131"/>
      <c r="P638" s="131"/>
      <c r="Q638" s="131"/>
      <c r="R638" s="131"/>
      <c r="S638" s="131"/>
      <c r="T638" s="131"/>
      <c r="U638" s="131"/>
      <c r="V638" s="131"/>
      <c r="W638" s="131"/>
      <c r="X638" s="131"/>
    </row>
    <row r="639" spans="1:24" ht="13.5" customHeight="1">
      <c r="A639" s="132"/>
      <c r="B639" s="131"/>
      <c r="C639" s="131"/>
      <c r="D639" s="132"/>
      <c r="E639" s="132"/>
      <c r="F639" s="132"/>
      <c r="G639" s="132"/>
      <c r="H639" s="132"/>
      <c r="I639" s="131"/>
      <c r="J639" s="131"/>
      <c r="K639" s="131"/>
      <c r="L639" s="131"/>
      <c r="M639" s="131"/>
      <c r="N639" s="131"/>
      <c r="O639" s="131"/>
      <c r="P639" s="131"/>
      <c r="Q639" s="131"/>
      <c r="R639" s="131"/>
      <c r="S639" s="131"/>
      <c r="T639" s="131"/>
      <c r="U639" s="131"/>
      <c r="V639" s="131"/>
      <c r="W639" s="131"/>
      <c r="X639" s="131"/>
    </row>
    <row r="640" spans="1:24" ht="13.5" customHeight="1">
      <c r="A640" s="132"/>
      <c r="B640" s="131"/>
      <c r="C640" s="131"/>
      <c r="D640" s="132"/>
      <c r="E640" s="132"/>
      <c r="F640" s="132"/>
      <c r="G640" s="132"/>
      <c r="H640" s="132"/>
      <c r="I640" s="131"/>
      <c r="J640" s="131"/>
      <c r="K640" s="131"/>
      <c r="L640" s="131"/>
      <c r="M640" s="131"/>
      <c r="N640" s="131"/>
      <c r="O640" s="131"/>
      <c r="P640" s="131"/>
      <c r="Q640" s="131"/>
      <c r="R640" s="131"/>
      <c r="S640" s="131"/>
      <c r="T640" s="131"/>
      <c r="U640" s="131"/>
      <c r="V640" s="131"/>
      <c r="W640" s="131"/>
      <c r="X640" s="131"/>
    </row>
    <row r="641" spans="1:24" ht="13.5" customHeight="1">
      <c r="A641" s="132"/>
      <c r="B641" s="131"/>
      <c r="C641" s="131"/>
      <c r="D641" s="132"/>
      <c r="E641" s="132"/>
      <c r="F641" s="132"/>
      <c r="G641" s="132"/>
      <c r="H641" s="132"/>
      <c r="I641" s="131"/>
      <c r="J641" s="131"/>
      <c r="K641" s="131"/>
      <c r="L641" s="131"/>
      <c r="M641" s="131"/>
      <c r="N641" s="131"/>
      <c r="O641" s="131"/>
      <c r="P641" s="131"/>
      <c r="Q641" s="131"/>
      <c r="R641" s="131"/>
      <c r="S641" s="131"/>
      <c r="T641" s="131"/>
      <c r="U641" s="131"/>
      <c r="V641" s="131"/>
      <c r="W641" s="131"/>
      <c r="X641" s="131"/>
    </row>
    <row r="642" spans="1:24" ht="13.5" customHeight="1">
      <c r="A642" s="132"/>
      <c r="B642" s="131"/>
      <c r="C642" s="131"/>
      <c r="D642" s="132"/>
      <c r="E642" s="132"/>
      <c r="F642" s="132"/>
      <c r="G642" s="132"/>
      <c r="H642" s="132"/>
      <c r="I642" s="131"/>
      <c r="J642" s="131"/>
      <c r="K642" s="131"/>
      <c r="L642" s="131"/>
      <c r="M642" s="131"/>
      <c r="N642" s="131"/>
      <c r="O642" s="131"/>
      <c r="P642" s="131"/>
      <c r="Q642" s="131"/>
      <c r="R642" s="131"/>
      <c r="S642" s="131"/>
      <c r="T642" s="131"/>
      <c r="U642" s="131"/>
      <c r="V642" s="131"/>
      <c r="W642" s="131"/>
      <c r="X642" s="131"/>
    </row>
    <row r="643" spans="1:24" ht="13.5" customHeight="1">
      <c r="A643" s="132"/>
      <c r="B643" s="131"/>
      <c r="C643" s="131"/>
      <c r="D643" s="132"/>
      <c r="E643" s="132"/>
      <c r="F643" s="132"/>
      <c r="G643" s="132"/>
      <c r="H643" s="132"/>
      <c r="I643" s="131"/>
      <c r="J643" s="131"/>
      <c r="K643" s="131"/>
      <c r="L643" s="131"/>
      <c r="M643" s="131"/>
      <c r="N643" s="131"/>
      <c r="O643" s="131"/>
      <c r="P643" s="131"/>
      <c r="Q643" s="131"/>
      <c r="R643" s="131"/>
      <c r="S643" s="131"/>
      <c r="T643" s="131"/>
      <c r="U643" s="131"/>
      <c r="V643" s="131"/>
      <c r="W643" s="131"/>
      <c r="X643" s="131"/>
    </row>
    <row r="644" spans="1:24" ht="13.5" customHeight="1">
      <c r="A644" s="132"/>
      <c r="B644" s="131"/>
      <c r="C644" s="131"/>
      <c r="D644" s="132"/>
      <c r="E644" s="132"/>
      <c r="F644" s="132"/>
      <c r="G644" s="132"/>
      <c r="H644" s="132"/>
      <c r="I644" s="131"/>
      <c r="J644" s="131"/>
      <c r="K644" s="131"/>
      <c r="L644" s="131"/>
      <c r="M644" s="131"/>
      <c r="N644" s="131"/>
      <c r="O644" s="131"/>
      <c r="P644" s="131"/>
      <c r="Q644" s="131"/>
      <c r="R644" s="131"/>
      <c r="S644" s="131"/>
      <c r="T644" s="131"/>
      <c r="U644" s="131"/>
      <c r="V644" s="131"/>
      <c r="W644" s="131"/>
      <c r="X644" s="131"/>
    </row>
    <row r="645" spans="1:24" ht="13.5" customHeight="1">
      <c r="A645" s="132"/>
      <c r="B645" s="131"/>
      <c r="C645" s="131"/>
      <c r="D645" s="132"/>
      <c r="E645" s="132"/>
      <c r="F645" s="132"/>
      <c r="G645" s="132"/>
      <c r="H645" s="132"/>
      <c r="I645" s="131"/>
      <c r="J645" s="131"/>
      <c r="K645" s="131"/>
      <c r="L645" s="131"/>
      <c r="M645" s="131"/>
      <c r="N645" s="131"/>
      <c r="O645" s="131"/>
      <c r="P645" s="131"/>
      <c r="Q645" s="131"/>
      <c r="R645" s="131"/>
      <c r="S645" s="131"/>
      <c r="T645" s="131"/>
      <c r="U645" s="131"/>
      <c r="V645" s="131"/>
      <c r="W645" s="131"/>
      <c r="X645" s="131"/>
    </row>
    <row r="646" spans="1:24" ht="13.5" customHeight="1">
      <c r="A646" s="132"/>
      <c r="B646" s="131"/>
      <c r="C646" s="131"/>
      <c r="D646" s="132"/>
      <c r="E646" s="132"/>
      <c r="F646" s="132"/>
      <c r="G646" s="132"/>
      <c r="H646" s="132"/>
      <c r="I646" s="131"/>
      <c r="J646" s="131"/>
      <c r="K646" s="131"/>
      <c r="L646" s="131"/>
      <c r="M646" s="131"/>
      <c r="N646" s="131"/>
      <c r="O646" s="131"/>
      <c r="P646" s="131"/>
      <c r="Q646" s="131"/>
      <c r="R646" s="131"/>
      <c r="S646" s="131"/>
      <c r="T646" s="131"/>
      <c r="U646" s="131"/>
      <c r="V646" s="131"/>
      <c r="W646" s="131"/>
      <c r="X646" s="131"/>
    </row>
    <row r="647" spans="1:24" ht="13.5" customHeight="1">
      <c r="A647" s="132"/>
      <c r="B647" s="131"/>
      <c r="C647" s="131"/>
      <c r="D647" s="132"/>
      <c r="E647" s="132"/>
      <c r="F647" s="132"/>
      <c r="G647" s="132"/>
      <c r="H647" s="132"/>
      <c r="I647" s="131"/>
      <c r="J647" s="131"/>
      <c r="K647" s="131"/>
      <c r="L647" s="131"/>
      <c r="M647" s="131"/>
      <c r="N647" s="131"/>
      <c r="O647" s="131"/>
      <c r="P647" s="131"/>
      <c r="Q647" s="131"/>
      <c r="R647" s="131"/>
      <c r="S647" s="131"/>
      <c r="T647" s="131"/>
      <c r="U647" s="131"/>
      <c r="V647" s="131"/>
      <c r="W647" s="131"/>
      <c r="X647" s="131"/>
    </row>
    <row r="648" spans="1:24" ht="13.5" customHeight="1">
      <c r="A648" s="132"/>
      <c r="B648" s="131"/>
      <c r="C648" s="131"/>
      <c r="D648" s="132"/>
      <c r="E648" s="132"/>
      <c r="F648" s="132"/>
      <c r="G648" s="132"/>
      <c r="H648" s="132"/>
      <c r="I648" s="131"/>
      <c r="J648" s="131"/>
      <c r="K648" s="131"/>
      <c r="L648" s="131"/>
      <c r="M648" s="131"/>
      <c r="N648" s="131"/>
      <c r="O648" s="131"/>
      <c r="P648" s="131"/>
      <c r="Q648" s="131"/>
      <c r="R648" s="131"/>
      <c r="S648" s="131"/>
      <c r="T648" s="131"/>
      <c r="U648" s="131"/>
      <c r="V648" s="131"/>
      <c r="W648" s="131"/>
      <c r="X648" s="131"/>
    </row>
    <row r="649" spans="1:24" ht="13.5" customHeight="1">
      <c r="A649" s="132"/>
      <c r="B649" s="131"/>
      <c r="C649" s="131"/>
      <c r="D649" s="132"/>
      <c r="E649" s="132"/>
      <c r="F649" s="132"/>
      <c r="G649" s="132"/>
      <c r="H649" s="132"/>
      <c r="I649" s="131"/>
      <c r="J649" s="131"/>
      <c r="K649" s="131"/>
      <c r="L649" s="131"/>
      <c r="M649" s="131"/>
      <c r="N649" s="131"/>
      <c r="O649" s="131"/>
      <c r="P649" s="131"/>
      <c r="Q649" s="131"/>
      <c r="R649" s="131"/>
      <c r="S649" s="131"/>
      <c r="T649" s="131"/>
      <c r="U649" s="131"/>
      <c r="V649" s="131"/>
      <c r="W649" s="131"/>
      <c r="X649" s="131"/>
    </row>
    <row r="650" spans="1:24" ht="13.5" customHeight="1">
      <c r="A650" s="132"/>
      <c r="B650" s="131"/>
      <c r="C650" s="131"/>
      <c r="D650" s="132"/>
      <c r="E650" s="132"/>
      <c r="F650" s="132"/>
      <c r="G650" s="132"/>
      <c r="H650" s="132"/>
      <c r="I650" s="131"/>
      <c r="J650" s="131"/>
      <c r="K650" s="131"/>
      <c r="L650" s="131"/>
      <c r="M650" s="131"/>
      <c r="N650" s="131"/>
      <c r="O650" s="131"/>
      <c r="P650" s="131"/>
      <c r="Q650" s="131"/>
      <c r="R650" s="131"/>
      <c r="S650" s="131"/>
      <c r="T650" s="131"/>
      <c r="U650" s="131"/>
      <c r="V650" s="131"/>
      <c r="W650" s="131"/>
      <c r="X650" s="131"/>
    </row>
    <row r="651" spans="1:24" ht="13.5" customHeight="1">
      <c r="A651" s="132"/>
      <c r="B651" s="131"/>
      <c r="C651" s="131"/>
      <c r="D651" s="132"/>
      <c r="E651" s="132"/>
      <c r="F651" s="132"/>
      <c r="G651" s="132"/>
      <c r="H651" s="132"/>
      <c r="I651" s="131"/>
      <c r="J651" s="131"/>
      <c r="K651" s="131"/>
      <c r="L651" s="131"/>
      <c r="M651" s="131"/>
      <c r="N651" s="131"/>
      <c r="O651" s="131"/>
      <c r="P651" s="131"/>
      <c r="Q651" s="131"/>
      <c r="R651" s="131"/>
      <c r="S651" s="131"/>
      <c r="T651" s="131"/>
      <c r="U651" s="131"/>
      <c r="V651" s="131"/>
      <c r="W651" s="131"/>
      <c r="X651" s="131"/>
    </row>
    <row r="652" spans="1:24" ht="13.5" customHeight="1">
      <c r="A652" s="132"/>
      <c r="B652" s="131"/>
      <c r="C652" s="131"/>
      <c r="D652" s="132"/>
      <c r="E652" s="132"/>
      <c r="F652" s="132"/>
      <c r="G652" s="132"/>
      <c r="H652" s="132"/>
      <c r="I652" s="131"/>
      <c r="J652" s="131"/>
      <c r="K652" s="131"/>
      <c r="L652" s="131"/>
      <c r="M652" s="131"/>
      <c r="N652" s="131"/>
      <c r="O652" s="131"/>
      <c r="P652" s="131"/>
      <c r="Q652" s="131"/>
      <c r="R652" s="131"/>
      <c r="S652" s="131"/>
      <c r="T652" s="131"/>
      <c r="U652" s="131"/>
      <c r="V652" s="131"/>
      <c r="W652" s="131"/>
      <c r="X652" s="131"/>
    </row>
    <row r="653" spans="1:24" ht="13.5" customHeight="1">
      <c r="A653" s="132"/>
      <c r="B653" s="131"/>
      <c r="C653" s="131"/>
      <c r="D653" s="132"/>
      <c r="E653" s="132"/>
      <c r="F653" s="132"/>
      <c r="G653" s="132"/>
      <c r="H653" s="132"/>
      <c r="I653" s="131"/>
      <c r="J653" s="131"/>
      <c r="K653" s="131"/>
      <c r="L653" s="131"/>
      <c r="M653" s="131"/>
      <c r="N653" s="131"/>
      <c r="O653" s="131"/>
      <c r="P653" s="131"/>
      <c r="Q653" s="131"/>
      <c r="R653" s="131"/>
      <c r="S653" s="131"/>
      <c r="T653" s="131"/>
      <c r="U653" s="131"/>
      <c r="V653" s="131"/>
      <c r="W653" s="131"/>
      <c r="X653" s="131"/>
    </row>
    <row r="654" spans="1:24" ht="13.5" customHeight="1">
      <c r="A654" s="132"/>
      <c r="B654" s="131"/>
      <c r="C654" s="131"/>
      <c r="D654" s="132"/>
      <c r="E654" s="132"/>
      <c r="F654" s="132"/>
      <c r="G654" s="132"/>
      <c r="H654" s="132"/>
      <c r="I654" s="131"/>
      <c r="J654" s="131"/>
      <c r="K654" s="131"/>
      <c r="L654" s="131"/>
      <c r="M654" s="131"/>
      <c r="N654" s="131"/>
      <c r="O654" s="131"/>
      <c r="P654" s="131"/>
      <c r="Q654" s="131"/>
      <c r="R654" s="131"/>
      <c r="S654" s="131"/>
      <c r="T654" s="131"/>
      <c r="U654" s="131"/>
      <c r="V654" s="131"/>
      <c r="W654" s="131"/>
      <c r="X654" s="131"/>
    </row>
    <row r="655" spans="1:24" ht="13.5" customHeight="1">
      <c r="A655" s="132"/>
      <c r="B655" s="131"/>
      <c r="C655" s="131"/>
      <c r="D655" s="132"/>
      <c r="E655" s="132"/>
      <c r="F655" s="132"/>
      <c r="G655" s="132"/>
      <c r="H655" s="132"/>
      <c r="I655" s="131"/>
      <c r="J655" s="131"/>
      <c r="K655" s="131"/>
      <c r="L655" s="131"/>
      <c r="M655" s="131"/>
      <c r="N655" s="131"/>
      <c r="O655" s="131"/>
      <c r="P655" s="131"/>
      <c r="Q655" s="131"/>
      <c r="R655" s="131"/>
      <c r="S655" s="131"/>
      <c r="T655" s="131"/>
      <c r="U655" s="131"/>
      <c r="V655" s="131"/>
      <c r="W655" s="131"/>
      <c r="X655" s="131"/>
    </row>
    <row r="656" spans="1:24" ht="13.5" customHeight="1">
      <c r="A656" s="132"/>
      <c r="B656" s="131"/>
      <c r="C656" s="131"/>
      <c r="D656" s="132"/>
      <c r="E656" s="132"/>
      <c r="F656" s="132"/>
      <c r="G656" s="132"/>
      <c r="H656" s="132"/>
      <c r="I656" s="131"/>
      <c r="J656" s="131"/>
      <c r="K656" s="131"/>
      <c r="L656" s="131"/>
      <c r="M656" s="131"/>
      <c r="N656" s="131"/>
      <c r="O656" s="131"/>
      <c r="P656" s="131"/>
      <c r="Q656" s="131"/>
      <c r="R656" s="131"/>
      <c r="S656" s="131"/>
      <c r="T656" s="131"/>
      <c r="U656" s="131"/>
      <c r="V656" s="131"/>
      <c r="W656" s="131"/>
      <c r="X656" s="131"/>
    </row>
    <row r="657" spans="1:24" ht="13.5" customHeight="1">
      <c r="A657" s="132"/>
      <c r="B657" s="131"/>
      <c r="C657" s="131"/>
      <c r="D657" s="132"/>
      <c r="E657" s="132"/>
      <c r="F657" s="132"/>
      <c r="G657" s="132"/>
      <c r="H657" s="132"/>
      <c r="I657" s="131"/>
      <c r="J657" s="131"/>
      <c r="K657" s="131"/>
      <c r="L657" s="131"/>
      <c r="M657" s="131"/>
      <c r="N657" s="131"/>
      <c r="O657" s="131"/>
      <c r="P657" s="131"/>
      <c r="Q657" s="131"/>
      <c r="R657" s="131"/>
      <c r="S657" s="131"/>
      <c r="T657" s="131"/>
      <c r="U657" s="131"/>
      <c r="V657" s="131"/>
      <c r="W657" s="131"/>
      <c r="X657" s="131"/>
    </row>
    <row r="658" spans="1:24" ht="13.5" customHeight="1">
      <c r="A658" s="132"/>
      <c r="B658" s="131"/>
      <c r="C658" s="131"/>
      <c r="D658" s="132"/>
      <c r="E658" s="132"/>
      <c r="F658" s="132"/>
      <c r="G658" s="132"/>
      <c r="H658" s="132"/>
      <c r="I658" s="131"/>
      <c r="J658" s="131"/>
      <c r="K658" s="131"/>
      <c r="L658" s="131"/>
      <c r="M658" s="131"/>
      <c r="N658" s="131"/>
      <c r="O658" s="131"/>
      <c r="P658" s="131"/>
      <c r="Q658" s="131"/>
      <c r="R658" s="131"/>
      <c r="S658" s="131"/>
      <c r="T658" s="131"/>
      <c r="U658" s="131"/>
      <c r="V658" s="131"/>
      <c r="W658" s="131"/>
      <c r="X658" s="131"/>
    </row>
    <row r="659" spans="1:24" ht="13.5" customHeight="1">
      <c r="A659" s="132"/>
      <c r="B659" s="131"/>
      <c r="C659" s="131"/>
      <c r="D659" s="132"/>
      <c r="E659" s="132"/>
      <c r="F659" s="132"/>
      <c r="G659" s="132"/>
      <c r="H659" s="132"/>
      <c r="I659" s="131"/>
      <c r="J659" s="131"/>
      <c r="K659" s="131"/>
      <c r="L659" s="131"/>
      <c r="M659" s="131"/>
      <c r="N659" s="131"/>
      <c r="O659" s="131"/>
      <c r="P659" s="131"/>
      <c r="Q659" s="131"/>
      <c r="R659" s="131"/>
      <c r="S659" s="131"/>
      <c r="T659" s="131"/>
      <c r="U659" s="131"/>
      <c r="V659" s="131"/>
      <c r="W659" s="131"/>
      <c r="X659" s="131"/>
    </row>
    <row r="660" spans="1:24" ht="13.5" customHeight="1">
      <c r="A660" s="132"/>
      <c r="B660" s="131"/>
      <c r="C660" s="131"/>
      <c r="D660" s="132"/>
      <c r="E660" s="132"/>
      <c r="F660" s="132"/>
      <c r="G660" s="132"/>
      <c r="H660" s="132"/>
      <c r="I660" s="131"/>
      <c r="J660" s="131"/>
      <c r="K660" s="131"/>
      <c r="L660" s="131"/>
      <c r="M660" s="131"/>
      <c r="N660" s="131"/>
      <c r="O660" s="131"/>
      <c r="P660" s="131"/>
      <c r="Q660" s="131"/>
      <c r="R660" s="131"/>
      <c r="S660" s="131"/>
      <c r="T660" s="131"/>
      <c r="U660" s="131"/>
      <c r="V660" s="131"/>
      <c r="W660" s="131"/>
      <c r="X660" s="131"/>
    </row>
    <row r="661" spans="1:24" ht="13.5" customHeight="1">
      <c r="A661" s="132"/>
      <c r="B661" s="131"/>
      <c r="C661" s="131"/>
      <c r="D661" s="132"/>
      <c r="E661" s="132"/>
      <c r="F661" s="132"/>
      <c r="G661" s="132"/>
      <c r="H661" s="132"/>
      <c r="I661" s="131"/>
      <c r="J661" s="131"/>
      <c r="K661" s="131"/>
      <c r="L661" s="131"/>
      <c r="M661" s="131"/>
      <c r="N661" s="131"/>
      <c r="O661" s="131"/>
      <c r="P661" s="131"/>
      <c r="Q661" s="131"/>
      <c r="R661" s="131"/>
      <c r="S661" s="131"/>
      <c r="T661" s="131"/>
      <c r="U661" s="131"/>
      <c r="V661" s="131"/>
      <c r="W661" s="131"/>
      <c r="X661" s="131"/>
    </row>
    <row r="662" spans="1:24" ht="13.5" customHeight="1">
      <c r="A662" s="132"/>
      <c r="B662" s="131"/>
      <c r="C662" s="131"/>
      <c r="D662" s="132"/>
      <c r="E662" s="132"/>
      <c r="F662" s="132"/>
      <c r="G662" s="132"/>
      <c r="H662" s="132"/>
      <c r="I662" s="131"/>
      <c r="J662" s="131"/>
      <c r="K662" s="131"/>
      <c r="L662" s="131"/>
      <c r="M662" s="131"/>
      <c r="N662" s="131"/>
      <c r="O662" s="131"/>
      <c r="P662" s="131"/>
      <c r="Q662" s="131"/>
      <c r="R662" s="131"/>
      <c r="S662" s="131"/>
      <c r="T662" s="131"/>
      <c r="U662" s="131"/>
      <c r="V662" s="131"/>
      <c r="W662" s="131"/>
      <c r="X662" s="131"/>
    </row>
    <row r="663" spans="1:24" ht="13.5" customHeight="1">
      <c r="A663" s="132"/>
      <c r="B663" s="131"/>
      <c r="C663" s="131"/>
      <c r="D663" s="132"/>
      <c r="E663" s="132"/>
      <c r="F663" s="132"/>
      <c r="G663" s="132"/>
      <c r="H663" s="132"/>
      <c r="I663" s="131"/>
      <c r="J663" s="131"/>
      <c r="K663" s="131"/>
      <c r="L663" s="131"/>
      <c r="M663" s="131"/>
      <c r="N663" s="131"/>
      <c r="O663" s="131"/>
      <c r="P663" s="131"/>
      <c r="Q663" s="131"/>
      <c r="R663" s="131"/>
      <c r="S663" s="131"/>
      <c r="T663" s="131"/>
      <c r="U663" s="131"/>
      <c r="V663" s="131"/>
      <c r="W663" s="131"/>
      <c r="X663" s="131"/>
    </row>
    <row r="664" spans="1:24" ht="13.5" customHeight="1">
      <c r="A664" s="132"/>
      <c r="B664" s="131"/>
      <c r="C664" s="131"/>
      <c r="D664" s="132"/>
      <c r="E664" s="132"/>
      <c r="F664" s="132"/>
      <c r="G664" s="132"/>
      <c r="H664" s="132"/>
      <c r="I664" s="131"/>
      <c r="J664" s="131"/>
      <c r="K664" s="131"/>
      <c r="L664" s="131"/>
      <c r="M664" s="131"/>
      <c r="N664" s="131"/>
      <c r="O664" s="131"/>
      <c r="P664" s="131"/>
      <c r="Q664" s="131"/>
      <c r="R664" s="131"/>
      <c r="S664" s="131"/>
      <c r="T664" s="131"/>
      <c r="U664" s="131"/>
      <c r="V664" s="131"/>
      <c r="W664" s="131"/>
      <c r="X664" s="131"/>
    </row>
    <row r="665" spans="1:24" ht="13.5" customHeight="1">
      <c r="A665" s="132"/>
      <c r="B665" s="131"/>
      <c r="C665" s="131"/>
      <c r="D665" s="132"/>
      <c r="E665" s="132"/>
      <c r="F665" s="132"/>
      <c r="G665" s="132"/>
      <c r="H665" s="132"/>
      <c r="I665" s="131"/>
      <c r="J665" s="131"/>
      <c r="K665" s="131"/>
      <c r="L665" s="131"/>
      <c r="M665" s="131"/>
      <c r="N665" s="131"/>
      <c r="O665" s="131"/>
      <c r="P665" s="131"/>
      <c r="Q665" s="131"/>
      <c r="R665" s="131"/>
      <c r="S665" s="131"/>
      <c r="T665" s="131"/>
      <c r="U665" s="131"/>
      <c r="V665" s="131"/>
      <c r="W665" s="131"/>
      <c r="X665" s="131"/>
    </row>
    <row r="666" spans="1:24" ht="13.5" customHeight="1">
      <c r="A666" s="132"/>
      <c r="B666" s="131"/>
      <c r="C666" s="131"/>
      <c r="D666" s="132"/>
      <c r="E666" s="132"/>
      <c r="F666" s="132"/>
      <c r="G666" s="132"/>
      <c r="H666" s="132"/>
      <c r="I666" s="131"/>
      <c r="J666" s="131"/>
      <c r="K666" s="131"/>
      <c r="L666" s="131"/>
      <c r="M666" s="131"/>
      <c r="N666" s="131"/>
      <c r="O666" s="131"/>
      <c r="P666" s="131"/>
      <c r="Q666" s="131"/>
      <c r="R666" s="131"/>
      <c r="S666" s="131"/>
      <c r="T666" s="131"/>
      <c r="U666" s="131"/>
      <c r="V666" s="131"/>
      <c r="W666" s="131"/>
      <c r="X666" s="131"/>
    </row>
    <row r="667" spans="1:24" ht="13.5" customHeight="1">
      <c r="A667" s="132"/>
      <c r="B667" s="131"/>
      <c r="C667" s="131"/>
      <c r="D667" s="132"/>
      <c r="E667" s="132"/>
      <c r="F667" s="132"/>
      <c r="G667" s="132"/>
      <c r="H667" s="132"/>
      <c r="I667" s="131"/>
      <c r="J667" s="131"/>
      <c r="K667" s="131"/>
      <c r="L667" s="131"/>
      <c r="M667" s="131"/>
      <c r="N667" s="131"/>
      <c r="O667" s="131"/>
      <c r="P667" s="131"/>
      <c r="Q667" s="131"/>
      <c r="R667" s="131"/>
      <c r="S667" s="131"/>
      <c r="T667" s="131"/>
      <c r="U667" s="131"/>
      <c r="V667" s="131"/>
      <c r="W667" s="131"/>
      <c r="X667" s="131"/>
    </row>
    <row r="668" spans="1:24" ht="13.5" customHeight="1">
      <c r="A668" s="132"/>
      <c r="B668" s="131"/>
      <c r="C668" s="131"/>
      <c r="D668" s="132"/>
      <c r="E668" s="132"/>
      <c r="F668" s="132"/>
      <c r="G668" s="132"/>
      <c r="H668" s="132"/>
      <c r="I668" s="131"/>
      <c r="J668" s="131"/>
      <c r="K668" s="131"/>
      <c r="L668" s="131"/>
      <c r="M668" s="131"/>
      <c r="N668" s="131"/>
      <c r="O668" s="131"/>
      <c r="P668" s="131"/>
      <c r="Q668" s="131"/>
      <c r="R668" s="131"/>
      <c r="S668" s="131"/>
      <c r="T668" s="131"/>
      <c r="U668" s="131"/>
      <c r="V668" s="131"/>
      <c r="W668" s="131"/>
      <c r="X668" s="131"/>
    </row>
    <row r="669" spans="1:24" ht="13.5" customHeight="1">
      <c r="A669" s="132"/>
      <c r="B669" s="131"/>
      <c r="C669" s="131"/>
      <c r="D669" s="132"/>
      <c r="E669" s="132"/>
      <c r="F669" s="132"/>
      <c r="G669" s="132"/>
      <c r="H669" s="132"/>
      <c r="I669" s="131"/>
      <c r="J669" s="131"/>
      <c r="K669" s="131"/>
      <c r="L669" s="131"/>
      <c r="M669" s="131"/>
      <c r="N669" s="131"/>
      <c r="O669" s="131"/>
      <c r="P669" s="131"/>
      <c r="Q669" s="131"/>
      <c r="R669" s="131"/>
      <c r="S669" s="131"/>
      <c r="T669" s="131"/>
      <c r="U669" s="131"/>
      <c r="V669" s="131"/>
      <c r="W669" s="131"/>
      <c r="X669" s="131"/>
    </row>
    <row r="670" spans="1:24" ht="13.5" customHeight="1">
      <c r="A670" s="132"/>
      <c r="B670" s="131"/>
      <c r="C670" s="131"/>
      <c r="D670" s="132"/>
      <c r="E670" s="132"/>
      <c r="F670" s="132"/>
      <c r="G670" s="132"/>
      <c r="H670" s="132"/>
      <c r="I670" s="131"/>
      <c r="J670" s="131"/>
      <c r="K670" s="131"/>
      <c r="L670" s="131"/>
      <c r="M670" s="131"/>
      <c r="N670" s="131"/>
      <c r="O670" s="131"/>
      <c r="P670" s="131"/>
      <c r="Q670" s="131"/>
      <c r="R670" s="131"/>
      <c r="S670" s="131"/>
      <c r="T670" s="131"/>
      <c r="U670" s="131"/>
      <c r="V670" s="131"/>
      <c r="W670" s="131"/>
      <c r="X670" s="131"/>
    </row>
    <row r="671" spans="1:24" ht="13.5" customHeight="1">
      <c r="A671" s="132"/>
      <c r="B671" s="131"/>
      <c r="C671" s="131"/>
      <c r="D671" s="132"/>
      <c r="E671" s="132"/>
      <c r="F671" s="132"/>
      <c r="G671" s="132"/>
      <c r="H671" s="132"/>
      <c r="I671" s="131"/>
      <c r="J671" s="131"/>
      <c r="K671" s="131"/>
      <c r="L671" s="131"/>
      <c r="M671" s="131"/>
      <c r="N671" s="131"/>
      <c r="O671" s="131"/>
      <c r="P671" s="131"/>
      <c r="Q671" s="131"/>
      <c r="R671" s="131"/>
      <c r="S671" s="131"/>
      <c r="T671" s="131"/>
      <c r="U671" s="131"/>
      <c r="V671" s="131"/>
      <c r="W671" s="131"/>
      <c r="X671" s="131"/>
    </row>
    <row r="672" spans="1:24" ht="13.5" customHeight="1">
      <c r="A672" s="132"/>
      <c r="B672" s="131"/>
      <c r="C672" s="131"/>
      <c r="D672" s="132"/>
      <c r="E672" s="132"/>
      <c r="F672" s="132"/>
      <c r="G672" s="132"/>
      <c r="H672" s="132"/>
      <c r="I672" s="131"/>
      <c r="J672" s="131"/>
      <c r="K672" s="131"/>
      <c r="L672" s="131"/>
      <c r="M672" s="131"/>
      <c r="N672" s="131"/>
      <c r="O672" s="131"/>
      <c r="P672" s="131"/>
      <c r="Q672" s="131"/>
      <c r="R672" s="131"/>
      <c r="S672" s="131"/>
      <c r="T672" s="131"/>
      <c r="U672" s="131"/>
      <c r="V672" s="131"/>
      <c r="W672" s="131"/>
      <c r="X672" s="131"/>
    </row>
    <row r="673" spans="1:24" ht="13.5" customHeight="1">
      <c r="A673" s="132"/>
      <c r="B673" s="131"/>
      <c r="C673" s="131"/>
      <c r="D673" s="132"/>
      <c r="E673" s="132"/>
      <c r="F673" s="132"/>
      <c r="G673" s="132"/>
      <c r="H673" s="132"/>
      <c r="I673" s="131"/>
      <c r="J673" s="131"/>
      <c r="K673" s="131"/>
      <c r="L673" s="131"/>
      <c r="M673" s="131"/>
      <c r="N673" s="131"/>
      <c r="O673" s="131"/>
      <c r="P673" s="131"/>
      <c r="Q673" s="131"/>
      <c r="R673" s="131"/>
      <c r="S673" s="131"/>
      <c r="T673" s="131"/>
      <c r="U673" s="131"/>
      <c r="V673" s="131"/>
      <c r="W673" s="131"/>
      <c r="X673" s="131"/>
    </row>
    <row r="674" spans="1:24" ht="13.5" customHeight="1">
      <c r="A674" s="132"/>
      <c r="B674" s="131"/>
      <c r="C674" s="131"/>
      <c r="D674" s="132"/>
      <c r="E674" s="132"/>
      <c r="F674" s="132"/>
      <c r="G674" s="132"/>
      <c r="H674" s="132"/>
      <c r="I674" s="131"/>
      <c r="J674" s="131"/>
      <c r="K674" s="131"/>
      <c r="L674" s="131"/>
      <c r="M674" s="131"/>
      <c r="N674" s="131"/>
      <c r="O674" s="131"/>
      <c r="P674" s="131"/>
      <c r="Q674" s="131"/>
      <c r="R674" s="131"/>
      <c r="S674" s="131"/>
      <c r="T674" s="131"/>
      <c r="U674" s="131"/>
      <c r="V674" s="131"/>
      <c r="W674" s="131"/>
      <c r="X674" s="131"/>
    </row>
    <row r="675" spans="1:24" ht="13.5" customHeight="1">
      <c r="A675" s="132"/>
      <c r="B675" s="131"/>
      <c r="C675" s="131"/>
      <c r="D675" s="132"/>
      <c r="E675" s="132"/>
      <c r="F675" s="132"/>
      <c r="G675" s="132"/>
      <c r="H675" s="132"/>
      <c r="I675" s="131"/>
      <c r="J675" s="131"/>
      <c r="K675" s="131"/>
      <c r="L675" s="131"/>
      <c r="M675" s="131"/>
      <c r="N675" s="131"/>
      <c r="O675" s="131"/>
      <c r="P675" s="131"/>
      <c r="Q675" s="131"/>
      <c r="R675" s="131"/>
      <c r="S675" s="131"/>
      <c r="T675" s="131"/>
      <c r="U675" s="131"/>
      <c r="V675" s="131"/>
      <c r="W675" s="131"/>
      <c r="X675" s="131"/>
    </row>
    <row r="676" spans="1:24" ht="13.5" customHeight="1">
      <c r="A676" s="132"/>
      <c r="B676" s="131"/>
      <c r="C676" s="131"/>
      <c r="D676" s="132"/>
      <c r="E676" s="132"/>
      <c r="F676" s="132"/>
      <c r="G676" s="132"/>
      <c r="H676" s="132"/>
      <c r="I676" s="131"/>
      <c r="J676" s="131"/>
      <c r="K676" s="131"/>
      <c r="L676" s="131"/>
      <c r="M676" s="131"/>
      <c r="N676" s="131"/>
      <c r="O676" s="131"/>
      <c r="P676" s="131"/>
      <c r="Q676" s="131"/>
      <c r="R676" s="131"/>
      <c r="S676" s="131"/>
      <c r="T676" s="131"/>
      <c r="U676" s="131"/>
      <c r="V676" s="131"/>
      <c r="W676" s="131"/>
      <c r="X676" s="131"/>
    </row>
    <row r="677" spans="1:24" ht="13.5" customHeight="1">
      <c r="A677" s="132"/>
      <c r="B677" s="131"/>
      <c r="C677" s="131"/>
      <c r="D677" s="132"/>
      <c r="E677" s="132"/>
      <c r="F677" s="132"/>
      <c r="G677" s="132"/>
      <c r="H677" s="132"/>
      <c r="I677" s="131"/>
      <c r="J677" s="131"/>
      <c r="K677" s="131"/>
      <c r="L677" s="131"/>
      <c r="M677" s="131"/>
      <c r="N677" s="131"/>
      <c r="O677" s="131"/>
      <c r="P677" s="131"/>
      <c r="Q677" s="131"/>
      <c r="R677" s="131"/>
      <c r="S677" s="131"/>
      <c r="T677" s="131"/>
      <c r="U677" s="131"/>
      <c r="V677" s="131"/>
      <c r="W677" s="131"/>
      <c r="X677" s="131"/>
    </row>
    <row r="678" spans="1:24" ht="13.5" customHeight="1">
      <c r="A678" s="132"/>
      <c r="B678" s="131"/>
      <c r="C678" s="131"/>
      <c r="D678" s="132"/>
      <c r="E678" s="132"/>
      <c r="F678" s="132"/>
      <c r="G678" s="132"/>
      <c r="H678" s="132"/>
      <c r="I678" s="131"/>
      <c r="J678" s="131"/>
      <c r="K678" s="131"/>
      <c r="L678" s="131"/>
      <c r="M678" s="131"/>
      <c r="N678" s="131"/>
      <c r="O678" s="131"/>
      <c r="P678" s="131"/>
      <c r="Q678" s="131"/>
      <c r="R678" s="131"/>
      <c r="S678" s="131"/>
      <c r="T678" s="131"/>
      <c r="U678" s="131"/>
      <c r="V678" s="131"/>
      <c r="W678" s="131"/>
      <c r="X678" s="131"/>
    </row>
    <row r="679" spans="1:24" ht="13.5" customHeight="1">
      <c r="A679" s="132"/>
      <c r="B679" s="131"/>
      <c r="C679" s="131"/>
      <c r="D679" s="132"/>
      <c r="E679" s="132"/>
      <c r="F679" s="132"/>
      <c r="G679" s="132"/>
      <c r="H679" s="132"/>
      <c r="I679" s="131"/>
      <c r="J679" s="131"/>
      <c r="K679" s="131"/>
      <c r="L679" s="131"/>
      <c r="M679" s="131"/>
      <c r="N679" s="131"/>
      <c r="O679" s="131"/>
      <c r="P679" s="131"/>
      <c r="Q679" s="131"/>
      <c r="R679" s="131"/>
      <c r="S679" s="131"/>
      <c r="T679" s="131"/>
      <c r="U679" s="131"/>
      <c r="V679" s="131"/>
      <c r="W679" s="131"/>
      <c r="X679" s="131"/>
    </row>
    <row r="680" spans="1:24" ht="13.5" customHeight="1">
      <c r="A680" s="132"/>
      <c r="B680" s="131"/>
      <c r="C680" s="131"/>
      <c r="D680" s="132"/>
      <c r="E680" s="132"/>
      <c r="F680" s="132"/>
      <c r="G680" s="132"/>
      <c r="H680" s="132"/>
      <c r="I680" s="131"/>
      <c r="J680" s="131"/>
      <c r="K680" s="131"/>
      <c r="L680" s="131"/>
      <c r="M680" s="131"/>
      <c r="N680" s="131"/>
      <c r="O680" s="131"/>
      <c r="P680" s="131"/>
      <c r="Q680" s="131"/>
      <c r="R680" s="131"/>
      <c r="S680" s="131"/>
      <c r="T680" s="131"/>
      <c r="U680" s="131"/>
      <c r="V680" s="131"/>
      <c r="W680" s="131"/>
      <c r="X680" s="131"/>
    </row>
    <row r="681" spans="1:24" ht="13.5" customHeight="1">
      <c r="A681" s="132"/>
      <c r="B681" s="131"/>
      <c r="C681" s="131"/>
      <c r="D681" s="132"/>
      <c r="E681" s="132"/>
      <c r="F681" s="132"/>
      <c r="G681" s="132"/>
      <c r="H681" s="132"/>
      <c r="I681" s="131"/>
      <c r="J681" s="131"/>
      <c r="K681" s="131"/>
      <c r="L681" s="131"/>
      <c r="M681" s="131"/>
      <c r="N681" s="131"/>
      <c r="O681" s="131"/>
      <c r="P681" s="131"/>
      <c r="Q681" s="131"/>
      <c r="R681" s="131"/>
      <c r="S681" s="131"/>
      <c r="T681" s="131"/>
      <c r="U681" s="131"/>
      <c r="V681" s="131"/>
      <c r="W681" s="131"/>
      <c r="X681" s="131"/>
    </row>
    <row r="682" spans="1:24" ht="13.5" customHeight="1">
      <c r="A682" s="132"/>
      <c r="B682" s="131"/>
      <c r="C682" s="131"/>
      <c r="D682" s="132"/>
      <c r="E682" s="132"/>
      <c r="F682" s="132"/>
      <c r="G682" s="132"/>
      <c r="H682" s="132"/>
      <c r="I682" s="131"/>
      <c r="J682" s="131"/>
      <c r="K682" s="131"/>
      <c r="L682" s="131"/>
      <c r="M682" s="131"/>
      <c r="N682" s="131"/>
      <c r="O682" s="131"/>
      <c r="P682" s="131"/>
      <c r="Q682" s="131"/>
      <c r="R682" s="131"/>
      <c r="S682" s="131"/>
      <c r="T682" s="131"/>
      <c r="U682" s="131"/>
      <c r="V682" s="131"/>
      <c r="W682" s="131"/>
      <c r="X682" s="131"/>
    </row>
    <row r="683" spans="1:24" ht="13.5" customHeight="1">
      <c r="A683" s="132"/>
      <c r="B683" s="131"/>
      <c r="C683" s="131"/>
      <c r="D683" s="132"/>
      <c r="E683" s="132"/>
      <c r="F683" s="132"/>
      <c r="G683" s="132"/>
      <c r="H683" s="132"/>
      <c r="I683" s="131"/>
      <c r="J683" s="131"/>
      <c r="K683" s="131"/>
      <c r="L683" s="131"/>
      <c r="M683" s="131"/>
      <c r="N683" s="131"/>
      <c r="O683" s="131"/>
      <c r="P683" s="131"/>
      <c r="Q683" s="131"/>
      <c r="R683" s="131"/>
      <c r="S683" s="131"/>
      <c r="T683" s="131"/>
      <c r="U683" s="131"/>
      <c r="V683" s="131"/>
      <c r="W683" s="131"/>
      <c r="X683" s="131"/>
    </row>
    <row r="684" spans="1:24" ht="13.5" customHeight="1">
      <c r="A684" s="132"/>
      <c r="B684" s="131"/>
      <c r="C684" s="131"/>
      <c r="D684" s="132"/>
      <c r="E684" s="132"/>
      <c r="F684" s="132"/>
      <c r="G684" s="132"/>
      <c r="H684" s="132"/>
      <c r="I684" s="131"/>
      <c r="J684" s="131"/>
      <c r="K684" s="131"/>
      <c r="L684" s="131"/>
      <c r="M684" s="131"/>
      <c r="N684" s="131"/>
      <c r="O684" s="131"/>
      <c r="P684" s="131"/>
      <c r="Q684" s="131"/>
      <c r="R684" s="131"/>
      <c r="S684" s="131"/>
      <c r="T684" s="131"/>
      <c r="U684" s="131"/>
      <c r="V684" s="131"/>
      <c r="W684" s="131"/>
      <c r="X684" s="131"/>
    </row>
    <row r="685" spans="1:24" ht="13.5" customHeight="1">
      <c r="A685" s="132"/>
      <c r="B685" s="131"/>
      <c r="C685" s="131"/>
      <c r="D685" s="132"/>
      <c r="E685" s="132"/>
      <c r="F685" s="132"/>
      <c r="G685" s="132"/>
      <c r="H685" s="132"/>
      <c r="I685" s="131"/>
      <c r="J685" s="131"/>
      <c r="K685" s="131"/>
      <c r="L685" s="131"/>
      <c r="M685" s="131"/>
      <c r="N685" s="131"/>
      <c r="O685" s="131"/>
      <c r="P685" s="131"/>
      <c r="Q685" s="131"/>
      <c r="R685" s="131"/>
      <c r="S685" s="131"/>
      <c r="T685" s="131"/>
      <c r="U685" s="131"/>
      <c r="V685" s="131"/>
      <c r="W685" s="131"/>
      <c r="X685" s="131"/>
    </row>
    <row r="686" spans="1:24" ht="13.5" customHeight="1">
      <c r="A686" s="132"/>
      <c r="B686" s="131"/>
      <c r="C686" s="131"/>
      <c r="D686" s="132"/>
      <c r="E686" s="132"/>
      <c r="F686" s="132"/>
      <c r="G686" s="132"/>
      <c r="H686" s="132"/>
      <c r="I686" s="131"/>
      <c r="J686" s="131"/>
      <c r="K686" s="131"/>
      <c r="L686" s="131"/>
      <c r="M686" s="131"/>
      <c r="N686" s="131"/>
      <c r="O686" s="131"/>
      <c r="P686" s="131"/>
      <c r="Q686" s="131"/>
      <c r="R686" s="131"/>
      <c r="S686" s="131"/>
      <c r="T686" s="131"/>
      <c r="U686" s="131"/>
      <c r="V686" s="131"/>
      <c r="W686" s="131"/>
      <c r="X686" s="131"/>
    </row>
    <row r="687" spans="1:24" ht="13.5" customHeight="1">
      <c r="A687" s="132"/>
      <c r="B687" s="131"/>
      <c r="C687" s="131"/>
      <c r="D687" s="132"/>
      <c r="E687" s="132"/>
      <c r="F687" s="132"/>
      <c r="G687" s="132"/>
      <c r="H687" s="132"/>
      <c r="I687" s="131"/>
      <c r="J687" s="131"/>
      <c r="K687" s="131"/>
      <c r="L687" s="131"/>
      <c r="M687" s="131"/>
      <c r="N687" s="131"/>
      <c r="O687" s="131"/>
      <c r="P687" s="131"/>
      <c r="Q687" s="131"/>
      <c r="R687" s="131"/>
      <c r="S687" s="131"/>
      <c r="T687" s="131"/>
      <c r="U687" s="131"/>
      <c r="V687" s="131"/>
      <c r="W687" s="131"/>
      <c r="X687" s="131"/>
    </row>
    <row r="688" spans="1:24" ht="13.5" customHeight="1">
      <c r="A688" s="132"/>
      <c r="B688" s="131"/>
      <c r="C688" s="131"/>
      <c r="D688" s="132"/>
      <c r="E688" s="132"/>
      <c r="F688" s="132"/>
      <c r="G688" s="132"/>
      <c r="H688" s="132"/>
      <c r="I688" s="131"/>
      <c r="J688" s="131"/>
      <c r="K688" s="131"/>
      <c r="L688" s="131"/>
      <c r="M688" s="131"/>
      <c r="N688" s="131"/>
      <c r="O688" s="131"/>
      <c r="P688" s="131"/>
      <c r="Q688" s="131"/>
      <c r="R688" s="131"/>
      <c r="S688" s="131"/>
      <c r="T688" s="131"/>
      <c r="U688" s="131"/>
      <c r="V688" s="131"/>
      <c r="W688" s="131"/>
      <c r="X688" s="131"/>
    </row>
    <row r="689" spans="1:24" ht="13.5" customHeight="1">
      <c r="A689" s="132"/>
      <c r="B689" s="131"/>
      <c r="C689" s="131"/>
      <c r="D689" s="132"/>
      <c r="E689" s="132"/>
      <c r="F689" s="132"/>
      <c r="G689" s="132"/>
      <c r="H689" s="132"/>
      <c r="I689" s="131"/>
      <c r="J689" s="131"/>
      <c r="K689" s="131"/>
      <c r="L689" s="131"/>
      <c r="M689" s="131"/>
      <c r="N689" s="131"/>
      <c r="O689" s="131"/>
      <c r="P689" s="131"/>
      <c r="Q689" s="131"/>
      <c r="R689" s="131"/>
      <c r="S689" s="131"/>
      <c r="T689" s="131"/>
      <c r="U689" s="131"/>
      <c r="V689" s="131"/>
      <c r="W689" s="131"/>
      <c r="X689" s="131"/>
    </row>
    <row r="690" spans="1:24" ht="13.5" customHeight="1">
      <c r="A690" s="132"/>
      <c r="B690" s="131"/>
      <c r="C690" s="131"/>
      <c r="D690" s="132"/>
      <c r="E690" s="132"/>
      <c r="F690" s="132"/>
      <c r="G690" s="132"/>
      <c r="H690" s="132"/>
      <c r="I690" s="131"/>
      <c r="J690" s="131"/>
      <c r="K690" s="131"/>
      <c r="L690" s="131"/>
      <c r="M690" s="131"/>
      <c r="N690" s="131"/>
      <c r="O690" s="131"/>
      <c r="P690" s="131"/>
      <c r="Q690" s="131"/>
      <c r="R690" s="131"/>
      <c r="S690" s="131"/>
      <c r="T690" s="131"/>
      <c r="U690" s="131"/>
      <c r="V690" s="131"/>
      <c r="W690" s="131"/>
      <c r="X690" s="131"/>
    </row>
    <row r="691" spans="1:24" ht="13.5" customHeight="1">
      <c r="A691" s="132"/>
      <c r="B691" s="131"/>
      <c r="C691" s="131"/>
      <c r="D691" s="132"/>
      <c r="E691" s="132"/>
      <c r="F691" s="132"/>
      <c r="G691" s="132"/>
      <c r="H691" s="132"/>
      <c r="I691" s="131"/>
      <c r="J691" s="131"/>
      <c r="K691" s="131"/>
      <c r="L691" s="131"/>
      <c r="M691" s="131"/>
      <c r="N691" s="131"/>
      <c r="O691" s="131"/>
      <c r="P691" s="131"/>
      <c r="Q691" s="131"/>
      <c r="R691" s="131"/>
      <c r="S691" s="131"/>
      <c r="T691" s="131"/>
      <c r="U691" s="131"/>
      <c r="V691" s="131"/>
      <c r="W691" s="131"/>
      <c r="X691" s="131"/>
    </row>
    <row r="692" spans="1:24" ht="13.5" customHeight="1">
      <c r="A692" s="132"/>
      <c r="B692" s="131"/>
      <c r="C692" s="131"/>
      <c r="D692" s="132"/>
      <c r="E692" s="132"/>
      <c r="F692" s="132"/>
      <c r="G692" s="132"/>
      <c r="H692" s="132"/>
      <c r="I692" s="131"/>
      <c r="J692" s="131"/>
      <c r="K692" s="131"/>
      <c r="L692" s="131"/>
      <c r="M692" s="131"/>
      <c r="N692" s="131"/>
      <c r="O692" s="131"/>
      <c r="P692" s="131"/>
      <c r="Q692" s="131"/>
      <c r="R692" s="131"/>
      <c r="S692" s="131"/>
      <c r="T692" s="131"/>
      <c r="U692" s="131"/>
      <c r="V692" s="131"/>
      <c r="W692" s="131"/>
      <c r="X692" s="131"/>
    </row>
    <row r="693" spans="1:24" ht="13.5" customHeight="1">
      <c r="A693" s="132"/>
      <c r="B693" s="131"/>
      <c r="C693" s="131"/>
      <c r="D693" s="132"/>
      <c r="E693" s="132"/>
      <c r="F693" s="132"/>
      <c r="G693" s="132"/>
      <c r="H693" s="132"/>
      <c r="I693" s="131"/>
      <c r="J693" s="131"/>
      <c r="K693" s="131"/>
      <c r="L693" s="131"/>
      <c r="M693" s="131"/>
      <c r="N693" s="131"/>
      <c r="O693" s="131"/>
      <c r="P693" s="131"/>
      <c r="Q693" s="131"/>
      <c r="R693" s="131"/>
      <c r="S693" s="131"/>
      <c r="T693" s="131"/>
      <c r="U693" s="131"/>
      <c r="V693" s="131"/>
      <c r="W693" s="131"/>
      <c r="X693" s="131"/>
    </row>
    <row r="694" spans="1:24" ht="13.5" customHeight="1">
      <c r="A694" s="132"/>
      <c r="B694" s="131"/>
      <c r="C694" s="131"/>
      <c r="D694" s="132"/>
      <c r="E694" s="132"/>
      <c r="F694" s="132"/>
      <c r="G694" s="132"/>
      <c r="H694" s="132"/>
      <c r="I694" s="131"/>
      <c r="J694" s="131"/>
      <c r="K694" s="131"/>
      <c r="L694" s="131"/>
      <c r="M694" s="131"/>
      <c r="N694" s="131"/>
      <c r="O694" s="131"/>
      <c r="P694" s="131"/>
      <c r="Q694" s="131"/>
      <c r="R694" s="131"/>
      <c r="S694" s="131"/>
      <c r="T694" s="131"/>
      <c r="U694" s="131"/>
      <c r="V694" s="131"/>
      <c r="W694" s="131"/>
      <c r="X694" s="131"/>
    </row>
    <row r="695" spans="1:24" ht="13.5" customHeight="1">
      <c r="A695" s="132"/>
      <c r="B695" s="131"/>
      <c r="C695" s="131"/>
      <c r="D695" s="132"/>
      <c r="E695" s="132"/>
      <c r="F695" s="132"/>
      <c r="G695" s="132"/>
      <c r="H695" s="132"/>
      <c r="I695" s="131"/>
      <c r="J695" s="131"/>
      <c r="K695" s="131"/>
      <c r="L695" s="131"/>
      <c r="M695" s="131"/>
      <c r="N695" s="131"/>
      <c r="O695" s="131"/>
      <c r="P695" s="131"/>
      <c r="Q695" s="131"/>
      <c r="R695" s="131"/>
      <c r="S695" s="131"/>
      <c r="T695" s="131"/>
      <c r="U695" s="131"/>
      <c r="V695" s="131"/>
      <c r="W695" s="131"/>
      <c r="X695" s="131"/>
    </row>
    <row r="696" spans="1:24" ht="13.5" customHeight="1">
      <c r="A696" s="132"/>
      <c r="B696" s="131"/>
      <c r="C696" s="131"/>
      <c r="D696" s="132"/>
      <c r="E696" s="132"/>
      <c r="F696" s="132"/>
      <c r="G696" s="132"/>
      <c r="H696" s="132"/>
      <c r="I696" s="131"/>
      <c r="J696" s="131"/>
      <c r="K696" s="131"/>
      <c r="L696" s="131"/>
      <c r="M696" s="131"/>
      <c r="N696" s="131"/>
      <c r="O696" s="131"/>
      <c r="P696" s="131"/>
      <c r="Q696" s="131"/>
      <c r="R696" s="131"/>
      <c r="S696" s="131"/>
      <c r="T696" s="131"/>
      <c r="U696" s="131"/>
      <c r="V696" s="131"/>
      <c r="W696" s="131"/>
      <c r="X696" s="131"/>
    </row>
    <row r="697" spans="1:24" ht="13.5" customHeight="1">
      <c r="A697" s="132"/>
      <c r="B697" s="131"/>
      <c r="C697" s="131"/>
      <c r="D697" s="132"/>
      <c r="E697" s="132"/>
      <c r="F697" s="132"/>
      <c r="G697" s="132"/>
      <c r="H697" s="132"/>
      <c r="I697" s="131"/>
      <c r="J697" s="131"/>
      <c r="K697" s="131"/>
      <c r="L697" s="131"/>
      <c r="M697" s="131"/>
      <c r="N697" s="131"/>
      <c r="O697" s="131"/>
      <c r="P697" s="131"/>
      <c r="Q697" s="131"/>
      <c r="R697" s="131"/>
      <c r="S697" s="131"/>
      <c r="T697" s="131"/>
      <c r="U697" s="131"/>
      <c r="V697" s="131"/>
      <c r="W697" s="131"/>
      <c r="X697" s="131"/>
    </row>
    <row r="698" spans="1:24" ht="13.5" customHeight="1">
      <c r="A698" s="132"/>
      <c r="B698" s="131"/>
      <c r="C698" s="131"/>
      <c r="D698" s="132"/>
      <c r="E698" s="132"/>
      <c r="F698" s="132"/>
      <c r="G698" s="132"/>
      <c r="H698" s="132"/>
      <c r="I698" s="131"/>
      <c r="J698" s="131"/>
      <c r="K698" s="131"/>
      <c r="L698" s="131"/>
      <c r="M698" s="131"/>
      <c r="N698" s="131"/>
      <c r="O698" s="131"/>
      <c r="P698" s="131"/>
      <c r="Q698" s="131"/>
      <c r="R698" s="131"/>
      <c r="S698" s="131"/>
      <c r="T698" s="131"/>
      <c r="U698" s="131"/>
      <c r="V698" s="131"/>
      <c r="W698" s="131"/>
      <c r="X698" s="131"/>
    </row>
    <row r="699" spans="1:24" ht="13.5" customHeight="1">
      <c r="A699" s="132"/>
      <c r="B699" s="131"/>
      <c r="C699" s="131"/>
      <c r="D699" s="132"/>
      <c r="E699" s="132"/>
      <c r="F699" s="132"/>
      <c r="G699" s="132"/>
      <c r="H699" s="132"/>
      <c r="I699" s="131"/>
      <c r="J699" s="131"/>
      <c r="K699" s="131"/>
      <c r="L699" s="131"/>
      <c r="M699" s="131"/>
      <c r="N699" s="131"/>
      <c r="O699" s="131"/>
      <c r="P699" s="131"/>
      <c r="Q699" s="131"/>
      <c r="R699" s="131"/>
      <c r="S699" s="131"/>
      <c r="T699" s="131"/>
      <c r="U699" s="131"/>
      <c r="V699" s="131"/>
      <c r="W699" s="131"/>
      <c r="X699" s="131"/>
    </row>
    <row r="700" spans="1:24" ht="13.5" customHeight="1">
      <c r="A700" s="132"/>
      <c r="B700" s="131"/>
      <c r="C700" s="131"/>
      <c r="D700" s="132"/>
      <c r="E700" s="132"/>
      <c r="F700" s="132"/>
      <c r="G700" s="132"/>
      <c r="H700" s="132"/>
      <c r="I700" s="131"/>
      <c r="J700" s="131"/>
      <c r="K700" s="131"/>
      <c r="L700" s="131"/>
      <c r="M700" s="131"/>
      <c r="N700" s="131"/>
      <c r="O700" s="131"/>
      <c r="P700" s="131"/>
      <c r="Q700" s="131"/>
      <c r="R700" s="131"/>
      <c r="S700" s="131"/>
      <c r="T700" s="131"/>
      <c r="U700" s="131"/>
      <c r="V700" s="131"/>
      <c r="W700" s="131"/>
      <c r="X700" s="131"/>
    </row>
    <row r="701" spans="1:24" ht="13.5" customHeight="1">
      <c r="A701" s="132"/>
      <c r="B701" s="131"/>
      <c r="C701" s="131"/>
      <c r="D701" s="132"/>
      <c r="E701" s="132"/>
      <c r="F701" s="132"/>
      <c r="G701" s="132"/>
      <c r="H701" s="132"/>
      <c r="I701" s="131"/>
      <c r="J701" s="131"/>
      <c r="K701" s="131"/>
      <c r="L701" s="131"/>
      <c r="M701" s="131"/>
      <c r="N701" s="131"/>
      <c r="O701" s="131"/>
      <c r="P701" s="131"/>
      <c r="Q701" s="131"/>
      <c r="R701" s="131"/>
      <c r="S701" s="131"/>
      <c r="T701" s="131"/>
      <c r="U701" s="131"/>
      <c r="V701" s="131"/>
      <c r="W701" s="131"/>
      <c r="X701" s="131"/>
    </row>
    <row r="702" spans="1:24" ht="13.5" customHeight="1">
      <c r="A702" s="132"/>
      <c r="B702" s="131"/>
      <c r="C702" s="131"/>
      <c r="D702" s="132"/>
      <c r="E702" s="132"/>
      <c r="F702" s="132"/>
      <c r="G702" s="132"/>
      <c r="H702" s="132"/>
      <c r="I702" s="131"/>
      <c r="J702" s="131"/>
      <c r="K702" s="131"/>
      <c r="L702" s="131"/>
      <c r="M702" s="131"/>
      <c r="N702" s="131"/>
      <c r="O702" s="131"/>
      <c r="P702" s="131"/>
      <c r="Q702" s="131"/>
      <c r="R702" s="131"/>
      <c r="S702" s="131"/>
      <c r="T702" s="131"/>
      <c r="U702" s="131"/>
      <c r="V702" s="131"/>
      <c r="W702" s="131"/>
      <c r="X702" s="131"/>
    </row>
    <row r="703" spans="1:24" ht="13.5" customHeight="1">
      <c r="A703" s="132"/>
      <c r="B703" s="131"/>
      <c r="C703" s="131"/>
      <c r="D703" s="132"/>
      <c r="E703" s="132"/>
      <c r="F703" s="132"/>
      <c r="G703" s="132"/>
      <c r="H703" s="132"/>
      <c r="I703" s="131"/>
      <c r="J703" s="131"/>
      <c r="K703" s="131"/>
      <c r="L703" s="131"/>
      <c r="M703" s="131"/>
      <c r="N703" s="131"/>
      <c r="O703" s="131"/>
      <c r="P703" s="131"/>
      <c r="Q703" s="131"/>
      <c r="R703" s="131"/>
      <c r="S703" s="131"/>
      <c r="T703" s="131"/>
      <c r="U703" s="131"/>
      <c r="V703" s="131"/>
      <c r="W703" s="131"/>
      <c r="X703" s="131"/>
    </row>
    <row r="704" spans="1:24" ht="13.5" customHeight="1">
      <c r="A704" s="132"/>
      <c r="B704" s="131"/>
      <c r="C704" s="131"/>
      <c r="D704" s="132"/>
      <c r="E704" s="132"/>
      <c r="F704" s="132"/>
      <c r="G704" s="132"/>
      <c r="H704" s="132"/>
      <c r="I704" s="131"/>
      <c r="J704" s="131"/>
      <c r="K704" s="131"/>
      <c r="L704" s="131"/>
      <c r="M704" s="131"/>
      <c r="N704" s="131"/>
      <c r="O704" s="131"/>
      <c r="P704" s="131"/>
      <c r="Q704" s="131"/>
      <c r="R704" s="131"/>
      <c r="S704" s="131"/>
      <c r="T704" s="131"/>
      <c r="U704" s="131"/>
      <c r="V704" s="131"/>
      <c r="W704" s="131"/>
      <c r="X704" s="131"/>
    </row>
    <row r="705" spans="1:24" ht="13.5" customHeight="1">
      <c r="A705" s="132"/>
      <c r="B705" s="131"/>
      <c r="C705" s="131"/>
      <c r="D705" s="132"/>
      <c r="E705" s="132"/>
      <c r="F705" s="132"/>
      <c r="G705" s="132"/>
      <c r="H705" s="132"/>
      <c r="I705" s="131"/>
      <c r="J705" s="131"/>
      <c r="K705" s="131"/>
      <c r="L705" s="131"/>
      <c r="M705" s="131"/>
      <c r="N705" s="131"/>
      <c r="O705" s="131"/>
      <c r="P705" s="131"/>
      <c r="Q705" s="131"/>
      <c r="R705" s="131"/>
      <c r="S705" s="131"/>
      <c r="T705" s="131"/>
      <c r="U705" s="131"/>
      <c r="V705" s="131"/>
      <c r="W705" s="131"/>
      <c r="X705" s="131"/>
    </row>
    <row r="706" spans="1:24" ht="13.5" customHeight="1">
      <c r="A706" s="132"/>
      <c r="B706" s="131"/>
      <c r="C706" s="131"/>
      <c r="D706" s="132"/>
      <c r="E706" s="132"/>
      <c r="F706" s="132"/>
      <c r="G706" s="132"/>
      <c r="H706" s="132"/>
      <c r="I706" s="131"/>
      <c r="J706" s="131"/>
      <c r="K706" s="131"/>
      <c r="L706" s="131"/>
      <c r="M706" s="131"/>
      <c r="N706" s="131"/>
      <c r="O706" s="131"/>
      <c r="P706" s="131"/>
      <c r="Q706" s="131"/>
      <c r="R706" s="131"/>
      <c r="S706" s="131"/>
      <c r="T706" s="131"/>
      <c r="U706" s="131"/>
      <c r="V706" s="131"/>
      <c r="W706" s="131"/>
      <c r="X706" s="131"/>
    </row>
    <row r="707" spans="1:24" ht="13.5" customHeight="1">
      <c r="A707" s="132"/>
      <c r="B707" s="131"/>
      <c r="C707" s="131"/>
      <c r="D707" s="132"/>
      <c r="E707" s="132"/>
      <c r="F707" s="132"/>
      <c r="G707" s="132"/>
      <c r="H707" s="132"/>
      <c r="I707" s="131"/>
      <c r="J707" s="131"/>
      <c r="K707" s="131"/>
      <c r="L707" s="131"/>
      <c r="M707" s="131"/>
      <c r="N707" s="131"/>
      <c r="O707" s="131"/>
      <c r="P707" s="131"/>
      <c r="Q707" s="131"/>
      <c r="R707" s="131"/>
      <c r="S707" s="131"/>
      <c r="T707" s="131"/>
      <c r="U707" s="131"/>
      <c r="V707" s="131"/>
      <c r="W707" s="131"/>
      <c r="X707" s="131"/>
    </row>
    <row r="708" spans="1:24" ht="13.5" customHeight="1">
      <c r="A708" s="132"/>
      <c r="B708" s="131"/>
      <c r="C708" s="131"/>
      <c r="D708" s="132"/>
      <c r="E708" s="132"/>
      <c r="F708" s="132"/>
      <c r="G708" s="132"/>
      <c r="H708" s="132"/>
      <c r="I708" s="131"/>
      <c r="J708" s="131"/>
      <c r="K708" s="131"/>
      <c r="L708" s="131"/>
      <c r="M708" s="131"/>
      <c r="N708" s="131"/>
      <c r="O708" s="131"/>
      <c r="P708" s="131"/>
      <c r="Q708" s="131"/>
      <c r="R708" s="131"/>
      <c r="S708" s="131"/>
      <c r="T708" s="131"/>
      <c r="U708" s="131"/>
      <c r="V708" s="131"/>
      <c r="W708" s="131"/>
      <c r="X708" s="131"/>
    </row>
    <row r="709" spans="1:24" ht="13.5" customHeight="1">
      <c r="A709" s="132"/>
      <c r="B709" s="131"/>
      <c r="C709" s="131"/>
      <c r="D709" s="132"/>
      <c r="E709" s="132"/>
      <c r="F709" s="132"/>
      <c r="G709" s="132"/>
      <c r="H709" s="132"/>
      <c r="I709" s="131"/>
      <c r="J709" s="131"/>
      <c r="K709" s="131"/>
      <c r="L709" s="131"/>
      <c r="M709" s="131"/>
      <c r="N709" s="131"/>
      <c r="O709" s="131"/>
      <c r="P709" s="131"/>
      <c r="Q709" s="131"/>
      <c r="R709" s="131"/>
      <c r="S709" s="131"/>
      <c r="T709" s="131"/>
      <c r="U709" s="131"/>
      <c r="V709" s="131"/>
      <c r="W709" s="131"/>
      <c r="X709" s="131"/>
    </row>
    <row r="710" spans="1:24" ht="13.5" customHeight="1">
      <c r="A710" s="132"/>
      <c r="B710" s="131"/>
      <c r="C710" s="131"/>
      <c r="D710" s="132"/>
      <c r="E710" s="132"/>
      <c r="F710" s="132"/>
      <c r="G710" s="132"/>
      <c r="H710" s="132"/>
      <c r="I710" s="131"/>
      <c r="J710" s="131"/>
      <c r="K710" s="131"/>
      <c r="L710" s="131"/>
      <c r="M710" s="131"/>
      <c r="N710" s="131"/>
      <c r="O710" s="131"/>
      <c r="P710" s="131"/>
      <c r="Q710" s="131"/>
      <c r="R710" s="131"/>
      <c r="S710" s="131"/>
      <c r="T710" s="131"/>
      <c r="U710" s="131"/>
      <c r="V710" s="131"/>
      <c r="W710" s="131"/>
      <c r="X710" s="131"/>
    </row>
    <row r="711" spans="1:24" ht="13.5" customHeight="1">
      <c r="A711" s="132"/>
      <c r="B711" s="131"/>
      <c r="C711" s="131"/>
      <c r="D711" s="132"/>
      <c r="E711" s="132"/>
      <c r="F711" s="132"/>
      <c r="G711" s="132"/>
      <c r="H711" s="132"/>
      <c r="I711" s="131"/>
      <c r="J711" s="131"/>
      <c r="K711" s="131"/>
      <c r="L711" s="131"/>
      <c r="M711" s="131"/>
      <c r="N711" s="131"/>
      <c r="O711" s="131"/>
      <c r="P711" s="131"/>
      <c r="Q711" s="131"/>
      <c r="R711" s="131"/>
      <c r="S711" s="131"/>
      <c r="T711" s="131"/>
      <c r="U711" s="131"/>
      <c r="V711" s="131"/>
      <c r="W711" s="131"/>
      <c r="X711" s="131"/>
    </row>
    <row r="712" spans="1:24" ht="13.5" customHeight="1">
      <c r="A712" s="132"/>
      <c r="B712" s="131"/>
      <c r="C712" s="131"/>
      <c r="D712" s="132"/>
      <c r="E712" s="132"/>
      <c r="F712" s="132"/>
      <c r="G712" s="132"/>
      <c r="H712" s="132"/>
      <c r="I712" s="131"/>
      <c r="J712" s="131"/>
      <c r="K712" s="131"/>
      <c r="L712" s="131"/>
      <c r="M712" s="131"/>
      <c r="N712" s="131"/>
      <c r="O712" s="131"/>
      <c r="P712" s="131"/>
      <c r="Q712" s="131"/>
      <c r="R712" s="131"/>
      <c r="S712" s="131"/>
      <c r="T712" s="131"/>
      <c r="U712" s="131"/>
      <c r="V712" s="131"/>
      <c r="W712" s="131"/>
      <c r="X712" s="131"/>
    </row>
    <row r="713" spans="1:24" ht="13.5" customHeight="1">
      <c r="A713" s="132"/>
      <c r="B713" s="131"/>
      <c r="C713" s="131"/>
      <c r="D713" s="132"/>
      <c r="E713" s="132"/>
      <c r="F713" s="132"/>
      <c r="G713" s="132"/>
      <c r="H713" s="132"/>
      <c r="I713" s="131"/>
      <c r="J713" s="131"/>
      <c r="K713" s="131"/>
      <c r="L713" s="131"/>
      <c r="M713" s="131"/>
      <c r="N713" s="131"/>
      <c r="O713" s="131"/>
      <c r="P713" s="131"/>
      <c r="Q713" s="131"/>
      <c r="R713" s="131"/>
      <c r="S713" s="131"/>
      <c r="T713" s="131"/>
      <c r="U713" s="131"/>
      <c r="V713" s="131"/>
      <c r="W713" s="131"/>
      <c r="X713" s="131"/>
    </row>
    <row r="714" spans="1:24" ht="13.5" customHeight="1">
      <c r="A714" s="132"/>
      <c r="B714" s="131"/>
      <c r="C714" s="131"/>
      <c r="D714" s="132"/>
      <c r="E714" s="132"/>
      <c r="F714" s="132"/>
      <c r="G714" s="132"/>
      <c r="H714" s="132"/>
      <c r="I714" s="131"/>
      <c r="J714" s="131"/>
      <c r="K714" s="131"/>
      <c r="L714" s="131"/>
      <c r="M714" s="131"/>
      <c r="N714" s="131"/>
      <c r="O714" s="131"/>
      <c r="P714" s="131"/>
      <c r="Q714" s="131"/>
      <c r="R714" s="131"/>
      <c r="S714" s="131"/>
      <c r="T714" s="131"/>
      <c r="U714" s="131"/>
      <c r="V714" s="131"/>
      <c r="W714" s="131"/>
      <c r="X714" s="131"/>
    </row>
    <row r="715" spans="1:24" ht="13.5" customHeight="1">
      <c r="A715" s="132"/>
      <c r="B715" s="131"/>
      <c r="C715" s="131"/>
      <c r="D715" s="132"/>
      <c r="E715" s="132"/>
      <c r="F715" s="132"/>
      <c r="G715" s="132"/>
      <c r="H715" s="132"/>
      <c r="I715" s="131"/>
      <c r="J715" s="131"/>
      <c r="K715" s="131"/>
      <c r="L715" s="131"/>
      <c r="M715" s="131"/>
      <c r="N715" s="131"/>
      <c r="O715" s="131"/>
      <c r="P715" s="131"/>
      <c r="Q715" s="131"/>
      <c r="R715" s="131"/>
      <c r="S715" s="131"/>
      <c r="T715" s="131"/>
      <c r="U715" s="131"/>
      <c r="V715" s="131"/>
      <c r="W715" s="131"/>
      <c r="X715" s="131"/>
    </row>
    <row r="716" spans="1:24" ht="13.5" customHeight="1">
      <c r="A716" s="132"/>
      <c r="B716" s="131"/>
      <c r="C716" s="131"/>
      <c r="D716" s="132"/>
      <c r="E716" s="132"/>
      <c r="F716" s="132"/>
      <c r="G716" s="132"/>
      <c r="H716" s="132"/>
      <c r="I716" s="131"/>
      <c r="J716" s="131"/>
      <c r="K716" s="131"/>
      <c r="L716" s="131"/>
      <c r="M716" s="131"/>
      <c r="N716" s="131"/>
      <c r="O716" s="131"/>
      <c r="P716" s="131"/>
      <c r="Q716" s="131"/>
      <c r="R716" s="131"/>
      <c r="S716" s="131"/>
      <c r="T716" s="131"/>
      <c r="U716" s="131"/>
      <c r="V716" s="131"/>
      <c r="W716" s="131"/>
      <c r="X716" s="131"/>
    </row>
    <row r="717" spans="1:24" ht="13.5" customHeight="1">
      <c r="A717" s="132"/>
      <c r="B717" s="131"/>
      <c r="C717" s="131"/>
      <c r="D717" s="132"/>
      <c r="E717" s="132"/>
      <c r="F717" s="132"/>
      <c r="G717" s="132"/>
      <c r="H717" s="132"/>
      <c r="I717" s="131"/>
      <c r="J717" s="131"/>
      <c r="K717" s="131"/>
      <c r="L717" s="131"/>
      <c r="M717" s="131"/>
      <c r="N717" s="131"/>
      <c r="O717" s="131"/>
      <c r="P717" s="131"/>
      <c r="Q717" s="131"/>
      <c r="R717" s="131"/>
      <c r="S717" s="131"/>
      <c r="T717" s="131"/>
      <c r="U717" s="131"/>
      <c r="V717" s="131"/>
      <c r="W717" s="131"/>
      <c r="X717" s="131"/>
    </row>
    <row r="718" spans="1:24" ht="13.5" customHeight="1">
      <c r="A718" s="132"/>
      <c r="B718" s="131"/>
      <c r="C718" s="131"/>
      <c r="D718" s="132"/>
      <c r="E718" s="132"/>
      <c r="F718" s="132"/>
      <c r="G718" s="132"/>
      <c r="H718" s="132"/>
      <c r="I718" s="131"/>
      <c r="J718" s="131"/>
      <c r="K718" s="131"/>
      <c r="L718" s="131"/>
      <c r="M718" s="131"/>
      <c r="N718" s="131"/>
      <c r="O718" s="131"/>
      <c r="P718" s="131"/>
      <c r="Q718" s="131"/>
      <c r="R718" s="131"/>
      <c r="S718" s="131"/>
      <c r="T718" s="131"/>
      <c r="U718" s="131"/>
      <c r="V718" s="131"/>
      <c r="W718" s="131"/>
      <c r="X718" s="131"/>
    </row>
    <row r="719" spans="1:24" ht="13.5" customHeight="1">
      <c r="A719" s="132"/>
      <c r="B719" s="131"/>
      <c r="C719" s="131"/>
      <c r="D719" s="132"/>
      <c r="E719" s="132"/>
      <c r="F719" s="132"/>
      <c r="G719" s="132"/>
      <c r="H719" s="132"/>
      <c r="I719" s="131"/>
      <c r="J719" s="131"/>
      <c r="K719" s="131"/>
      <c r="L719" s="131"/>
      <c r="M719" s="131"/>
      <c r="N719" s="131"/>
      <c r="O719" s="131"/>
      <c r="P719" s="131"/>
      <c r="Q719" s="131"/>
      <c r="R719" s="131"/>
      <c r="S719" s="131"/>
      <c r="T719" s="131"/>
      <c r="U719" s="131"/>
      <c r="V719" s="131"/>
      <c r="W719" s="131"/>
      <c r="X719" s="131"/>
    </row>
    <row r="720" spans="1:24" ht="13.5" customHeight="1">
      <c r="A720" s="132"/>
      <c r="B720" s="131"/>
      <c r="C720" s="131"/>
      <c r="D720" s="132"/>
      <c r="E720" s="132"/>
      <c r="F720" s="132"/>
      <c r="G720" s="132"/>
      <c r="H720" s="132"/>
      <c r="I720" s="131"/>
      <c r="J720" s="131"/>
      <c r="K720" s="131"/>
      <c r="L720" s="131"/>
      <c r="M720" s="131"/>
      <c r="N720" s="131"/>
      <c r="O720" s="131"/>
      <c r="P720" s="131"/>
      <c r="Q720" s="131"/>
      <c r="R720" s="131"/>
      <c r="S720" s="131"/>
      <c r="T720" s="131"/>
      <c r="U720" s="131"/>
      <c r="V720" s="131"/>
      <c r="W720" s="131"/>
      <c r="X720" s="131"/>
    </row>
    <row r="721" spans="1:24" ht="13.5" customHeight="1">
      <c r="A721" s="132"/>
      <c r="B721" s="131"/>
      <c r="C721" s="131"/>
      <c r="D721" s="132"/>
      <c r="E721" s="132"/>
      <c r="F721" s="132"/>
      <c r="G721" s="132"/>
      <c r="H721" s="132"/>
      <c r="I721" s="131"/>
      <c r="J721" s="131"/>
      <c r="K721" s="131"/>
      <c r="L721" s="131"/>
      <c r="M721" s="131"/>
      <c r="N721" s="131"/>
      <c r="O721" s="131"/>
      <c r="P721" s="131"/>
      <c r="Q721" s="131"/>
      <c r="R721" s="131"/>
      <c r="S721" s="131"/>
      <c r="T721" s="131"/>
      <c r="U721" s="131"/>
      <c r="V721" s="131"/>
      <c r="W721" s="131"/>
      <c r="X721" s="131"/>
    </row>
    <row r="722" spans="1:24" ht="13.5" customHeight="1">
      <c r="A722" s="132"/>
      <c r="B722" s="131"/>
      <c r="C722" s="131"/>
      <c r="D722" s="132"/>
      <c r="E722" s="132"/>
      <c r="F722" s="132"/>
      <c r="G722" s="132"/>
      <c r="H722" s="132"/>
      <c r="I722" s="131"/>
      <c r="J722" s="131"/>
      <c r="K722" s="131"/>
      <c r="L722" s="131"/>
      <c r="M722" s="131"/>
      <c r="N722" s="131"/>
      <c r="O722" s="131"/>
      <c r="P722" s="131"/>
      <c r="Q722" s="131"/>
      <c r="R722" s="131"/>
      <c r="S722" s="131"/>
      <c r="T722" s="131"/>
      <c r="U722" s="131"/>
      <c r="V722" s="131"/>
      <c r="W722" s="131"/>
      <c r="X722" s="131"/>
    </row>
    <row r="723" spans="1:24" ht="13.5" customHeight="1">
      <c r="A723" s="132"/>
      <c r="B723" s="131"/>
      <c r="C723" s="131"/>
      <c r="D723" s="132"/>
      <c r="E723" s="132"/>
      <c r="F723" s="132"/>
      <c r="G723" s="132"/>
      <c r="H723" s="132"/>
      <c r="I723" s="131"/>
      <c r="J723" s="131"/>
      <c r="K723" s="131"/>
      <c r="L723" s="131"/>
      <c r="M723" s="131"/>
      <c r="N723" s="131"/>
      <c r="O723" s="131"/>
      <c r="P723" s="131"/>
      <c r="Q723" s="131"/>
      <c r="R723" s="131"/>
      <c r="S723" s="131"/>
      <c r="T723" s="131"/>
      <c r="U723" s="131"/>
      <c r="V723" s="131"/>
      <c r="W723" s="131"/>
      <c r="X723" s="131"/>
    </row>
    <row r="724" spans="1:24" ht="13.5" customHeight="1">
      <c r="A724" s="132"/>
      <c r="B724" s="131"/>
      <c r="C724" s="131"/>
      <c r="D724" s="132"/>
      <c r="E724" s="132"/>
      <c r="F724" s="132"/>
      <c r="G724" s="132"/>
      <c r="H724" s="132"/>
      <c r="I724" s="131"/>
      <c r="J724" s="131"/>
      <c r="K724" s="131"/>
      <c r="L724" s="131"/>
      <c r="M724" s="131"/>
      <c r="N724" s="131"/>
      <c r="O724" s="131"/>
      <c r="P724" s="131"/>
      <c r="Q724" s="131"/>
      <c r="R724" s="131"/>
      <c r="S724" s="131"/>
      <c r="T724" s="131"/>
      <c r="U724" s="131"/>
      <c r="V724" s="131"/>
      <c r="W724" s="131"/>
      <c r="X724" s="131"/>
    </row>
    <row r="725" spans="1:24" ht="13.5" customHeight="1">
      <c r="A725" s="132"/>
      <c r="B725" s="131"/>
      <c r="C725" s="131"/>
      <c r="D725" s="132"/>
      <c r="E725" s="132"/>
      <c r="F725" s="132"/>
      <c r="G725" s="132"/>
      <c r="H725" s="132"/>
      <c r="I725" s="131"/>
      <c r="J725" s="131"/>
      <c r="K725" s="131"/>
      <c r="L725" s="131"/>
      <c r="M725" s="131"/>
      <c r="N725" s="131"/>
      <c r="O725" s="131"/>
      <c r="P725" s="131"/>
      <c r="Q725" s="131"/>
      <c r="R725" s="131"/>
      <c r="S725" s="131"/>
      <c r="T725" s="131"/>
      <c r="U725" s="131"/>
      <c r="V725" s="131"/>
      <c r="W725" s="131"/>
      <c r="X725" s="131"/>
    </row>
    <row r="726" spans="1:24" ht="13.5" customHeight="1">
      <c r="A726" s="132"/>
      <c r="B726" s="131"/>
      <c r="C726" s="131"/>
      <c r="D726" s="132"/>
      <c r="E726" s="132"/>
      <c r="F726" s="132"/>
      <c r="G726" s="132"/>
      <c r="H726" s="132"/>
      <c r="I726" s="131"/>
      <c r="J726" s="131"/>
      <c r="K726" s="131"/>
      <c r="L726" s="131"/>
      <c r="M726" s="131"/>
      <c r="N726" s="131"/>
      <c r="O726" s="131"/>
      <c r="P726" s="131"/>
      <c r="Q726" s="131"/>
      <c r="R726" s="131"/>
      <c r="S726" s="131"/>
      <c r="T726" s="131"/>
      <c r="U726" s="131"/>
      <c r="V726" s="131"/>
      <c r="W726" s="131"/>
      <c r="X726" s="131"/>
    </row>
    <row r="727" spans="1:24" ht="13.5" customHeight="1">
      <c r="A727" s="132"/>
      <c r="B727" s="131"/>
      <c r="C727" s="131"/>
      <c r="D727" s="132"/>
      <c r="E727" s="132"/>
      <c r="F727" s="132"/>
      <c r="G727" s="132"/>
      <c r="H727" s="132"/>
      <c r="I727" s="131"/>
      <c r="J727" s="131"/>
      <c r="K727" s="131"/>
      <c r="L727" s="131"/>
      <c r="M727" s="131"/>
      <c r="N727" s="131"/>
      <c r="O727" s="131"/>
      <c r="P727" s="131"/>
      <c r="Q727" s="131"/>
      <c r="R727" s="131"/>
      <c r="S727" s="131"/>
      <c r="T727" s="131"/>
      <c r="U727" s="131"/>
      <c r="V727" s="131"/>
      <c r="W727" s="131"/>
      <c r="X727" s="131"/>
    </row>
    <row r="728" spans="1:24" ht="13.5" customHeight="1">
      <c r="A728" s="132"/>
      <c r="B728" s="131"/>
      <c r="C728" s="131"/>
      <c r="D728" s="132"/>
      <c r="E728" s="132"/>
      <c r="F728" s="132"/>
      <c r="G728" s="132"/>
      <c r="H728" s="132"/>
      <c r="I728" s="131"/>
      <c r="J728" s="131"/>
      <c r="K728" s="131"/>
      <c r="L728" s="131"/>
      <c r="M728" s="131"/>
      <c r="N728" s="131"/>
      <c r="O728" s="131"/>
      <c r="P728" s="131"/>
      <c r="Q728" s="131"/>
      <c r="R728" s="131"/>
      <c r="S728" s="131"/>
      <c r="T728" s="131"/>
      <c r="U728" s="131"/>
      <c r="V728" s="131"/>
      <c r="W728" s="131"/>
      <c r="X728" s="131"/>
    </row>
    <row r="729" spans="1:24" ht="13.5" customHeight="1">
      <c r="A729" s="132"/>
      <c r="B729" s="131"/>
      <c r="C729" s="131"/>
      <c r="D729" s="132"/>
      <c r="E729" s="132"/>
      <c r="F729" s="132"/>
      <c r="G729" s="132"/>
      <c r="H729" s="132"/>
      <c r="I729" s="131"/>
      <c r="J729" s="131"/>
      <c r="K729" s="131"/>
      <c r="L729" s="131"/>
      <c r="M729" s="131"/>
      <c r="N729" s="131"/>
      <c r="O729" s="131"/>
      <c r="P729" s="131"/>
      <c r="Q729" s="131"/>
      <c r="R729" s="131"/>
      <c r="S729" s="131"/>
      <c r="T729" s="131"/>
      <c r="U729" s="131"/>
      <c r="V729" s="131"/>
      <c r="W729" s="131"/>
      <c r="X729" s="131"/>
    </row>
    <row r="730" spans="1:24" ht="13.5" customHeight="1">
      <c r="A730" s="132"/>
      <c r="B730" s="131"/>
      <c r="C730" s="131"/>
      <c r="D730" s="132"/>
      <c r="E730" s="132"/>
      <c r="F730" s="132"/>
      <c r="G730" s="132"/>
      <c r="H730" s="132"/>
      <c r="I730" s="131"/>
      <c r="J730" s="131"/>
      <c r="K730" s="131"/>
      <c r="L730" s="131"/>
      <c r="M730" s="131"/>
      <c r="N730" s="131"/>
      <c r="O730" s="131"/>
      <c r="P730" s="131"/>
      <c r="Q730" s="131"/>
      <c r="R730" s="131"/>
      <c r="S730" s="131"/>
      <c r="T730" s="131"/>
      <c r="U730" s="131"/>
      <c r="V730" s="131"/>
      <c r="W730" s="131"/>
      <c r="X730" s="131"/>
    </row>
    <row r="731" spans="1:24" ht="13.5" customHeight="1">
      <c r="A731" s="132"/>
      <c r="B731" s="131"/>
      <c r="C731" s="131"/>
      <c r="D731" s="132"/>
      <c r="E731" s="132"/>
      <c r="F731" s="132"/>
      <c r="G731" s="132"/>
      <c r="H731" s="132"/>
      <c r="I731" s="131"/>
      <c r="J731" s="131"/>
      <c r="K731" s="131"/>
      <c r="L731" s="131"/>
      <c r="M731" s="131"/>
      <c r="N731" s="131"/>
      <c r="O731" s="131"/>
      <c r="P731" s="131"/>
      <c r="Q731" s="131"/>
      <c r="R731" s="131"/>
      <c r="S731" s="131"/>
      <c r="T731" s="131"/>
      <c r="U731" s="131"/>
      <c r="V731" s="131"/>
      <c r="W731" s="131"/>
      <c r="X731" s="131"/>
    </row>
    <row r="732" spans="1:24" ht="13.5" customHeight="1">
      <c r="A732" s="132"/>
      <c r="B732" s="131"/>
      <c r="C732" s="131"/>
      <c r="D732" s="132"/>
      <c r="E732" s="132"/>
      <c r="F732" s="132"/>
      <c r="G732" s="132"/>
      <c r="H732" s="132"/>
      <c r="I732" s="131"/>
      <c r="J732" s="131"/>
      <c r="K732" s="131"/>
      <c r="L732" s="131"/>
      <c r="M732" s="131"/>
      <c r="N732" s="131"/>
      <c r="O732" s="131"/>
      <c r="P732" s="131"/>
      <c r="Q732" s="131"/>
      <c r="R732" s="131"/>
      <c r="S732" s="131"/>
      <c r="T732" s="131"/>
      <c r="U732" s="131"/>
      <c r="V732" s="131"/>
      <c r="W732" s="131"/>
      <c r="X732" s="131"/>
    </row>
    <row r="733" spans="1:24" ht="13.5" customHeight="1">
      <c r="A733" s="132"/>
      <c r="B733" s="131"/>
      <c r="C733" s="131"/>
      <c r="D733" s="132"/>
      <c r="E733" s="132"/>
      <c r="F733" s="132"/>
      <c r="G733" s="132"/>
      <c r="H733" s="132"/>
      <c r="I733" s="131"/>
      <c r="J733" s="131"/>
      <c r="K733" s="131"/>
      <c r="L733" s="131"/>
      <c r="M733" s="131"/>
      <c r="N733" s="131"/>
      <c r="O733" s="131"/>
      <c r="P733" s="131"/>
      <c r="Q733" s="131"/>
      <c r="R733" s="131"/>
      <c r="S733" s="131"/>
      <c r="T733" s="131"/>
      <c r="U733" s="131"/>
      <c r="V733" s="131"/>
      <c r="W733" s="131"/>
      <c r="X733" s="131"/>
    </row>
    <row r="734" spans="1:24" ht="13.5" customHeight="1">
      <c r="A734" s="132"/>
      <c r="B734" s="131"/>
      <c r="C734" s="131"/>
      <c r="D734" s="132"/>
      <c r="E734" s="132"/>
      <c r="F734" s="132"/>
      <c r="G734" s="132"/>
      <c r="H734" s="132"/>
      <c r="I734" s="131"/>
      <c r="J734" s="131"/>
      <c r="K734" s="131"/>
      <c r="L734" s="131"/>
      <c r="M734" s="131"/>
      <c r="N734" s="131"/>
      <c r="O734" s="131"/>
      <c r="P734" s="131"/>
      <c r="Q734" s="131"/>
      <c r="R734" s="131"/>
      <c r="S734" s="131"/>
      <c r="T734" s="131"/>
      <c r="U734" s="131"/>
      <c r="V734" s="131"/>
      <c r="W734" s="131"/>
      <c r="X734" s="131"/>
    </row>
    <row r="735" spans="1:24" ht="13.5" customHeight="1">
      <c r="A735" s="132"/>
      <c r="B735" s="131"/>
      <c r="C735" s="131"/>
      <c r="D735" s="132"/>
      <c r="E735" s="132"/>
      <c r="F735" s="132"/>
      <c r="G735" s="132"/>
      <c r="H735" s="132"/>
      <c r="I735" s="131"/>
      <c r="J735" s="131"/>
      <c r="K735" s="131"/>
      <c r="L735" s="131"/>
      <c r="M735" s="131"/>
      <c r="N735" s="131"/>
      <c r="O735" s="131"/>
      <c r="P735" s="131"/>
      <c r="Q735" s="131"/>
      <c r="R735" s="131"/>
      <c r="S735" s="131"/>
      <c r="T735" s="131"/>
      <c r="U735" s="131"/>
      <c r="V735" s="131"/>
      <c r="W735" s="131"/>
      <c r="X735" s="131"/>
    </row>
    <row r="736" spans="1:24" ht="13.5" customHeight="1">
      <c r="A736" s="132"/>
      <c r="B736" s="131"/>
      <c r="C736" s="131"/>
      <c r="D736" s="132"/>
      <c r="E736" s="132"/>
      <c r="F736" s="132"/>
      <c r="G736" s="132"/>
      <c r="H736" s="132"/>
      <c r="I736" s="131"/>
      <c r="J736" s="131"/>
      <c r="K736" s="131"/>
      <c r="L736" s="131"/>
      <c r="M736" s="131"/>
      <c r="N736" s="131"/>
      <c r="O736" s="131"/>
      <c r="P736" s="131"/>
      <c r="Q736" s="131"/>
      <c r="R736" s="131"/>
      <c r="S736" s="131"/>
      <c r="T736" s="131"/>
      <c r="U736" s="131"/>
      <c r="V736" s="131"/>
      <c r="W736" s="131"/>
      <c r="X736" s="131"/>
    </row>
    <row r="737" spans="1:24" ht="13.5" customHeight="1">
      <c r="A737" s="132"/>
      <c r="B737" s="131"/>
      <c r="C737" s="131"/>
      <c r="D737" s="132"/>
      <c r="E737" s="132"/>
      <c r="F737" s="132"/>
      <c r="G737" s="132"/>
      <c r="H737" s="132"/>
      <c r="I737" s="131"/>
      <c r="J737" s="131"/>
      <c r="K737" s="131"/>
      <c r="L737" s="131"/>
      <c r="M737" s="131"/>
      <c r="N737" s="131"/>
      <c r="O737" s="131"/>
      <c r="P737" s="131"/>
      <c r="Q737" s="131"/>
      <c r="R737" s="131"/>
      <c r="S737" s="131"/>
      <c r="T737" s="131"/>
      <c r="U737" s="131"/>
      <c r="V737" s="131"/>
      <c r="W737" s="131"/>
      <c r="X737" s="131"/>
    </row>
    <row r="738" spans="1:24" ht="13.5" customHeight="1">
      <c r="A738" s="132"/>
      <c r="B738" s="131"/>
      <c r="C738" s="131"/>
      <c r="D738" s="132"/>
      <c r="E738" s="132"/>
      <c r="F738" s="132"/>
      <c r="G738" s="132"/>
      <c r="H738" s="132"/>
      <c r="I738" s="131"/>
      <c r="J738" s="131"/>
      <c r="K738" s="131"/>
      <c r="L738" s="131"/>
      <c r="M738" s="131"/>
      <c r="N738" s="131"/>
      <c r="O738" s="131"/>
      <c r="P738" s="131"/>
      <c r="Q738" s="131"/>
      <c r="R738" s="131"/>
      <c r="S738" s="131"/>
      <c r="T738" s="131"/>
      <c r="U738" s="131"/>
      <c r="V738" s="131"/>
      <c r="W738" s="131"/>
      <c r="X738" s="131"/>
    </row>
    <row r="739" spans="1:24" ht="13.5" customHeight="1">
      <c r="A739" s="132"/>
      <c r="B739" s="131"/>
      <c r="C739" s="131"/>
      <c r="D739" s="132"/>
      <c r="E739" s="132"/>
      <c r="F739" s="132"/>
      <c r="G739" s="132"/>
      <c r="H739" s="132"/>
      <c r="I739" s="131"/>
      <c r="J739" s="131"/>
      <c r="K739" s="131"/>
      <c r="L739" s="131"/>
      <c r="M739" s="131"/>
      <c r="N739" s="131"/>
      <c r="O739" s="131"/>
      <c r="P739" s="131"/>
      <c r="Q739" s="131"/>
      <c r="R739" s="131"/>
      <c r="S739" s="131"/>
      <c r="T739" s="131"/>
      <c r="U739" s="131"/>
      <c r="V739" s="131"/>
      <c r="W739" s="131"/>
      <c r="X739" s="131"/>
    </row>
    <row r="740" spans="1:24" ht="13.5" customHeight="1">
      <c r="A740" s="132"/>
      <c r="B740" s="131"/>
      <c r="C740" s="131"/>
      <c r="D740" s="132"/>
      <c r="E740" s="132"/>
      <c r="F740" s="132"/>
      <c r="G740" s="132"/>
      <c r="H740" s="132"/>
      <c r="I740" s="131"/>
      <c r="J740" s="131"/>
      <c r="K740" s="131"/>
      <c r="L740" s="131"/>
      <c r="M740" s="131"/>
      <c r="N740" s="131"/>
      <c r="O740" s="131"/>
      <c r="P740" s="131"/>
      <c r="Q740" s="131"/>
      <c r="R740" s="131"/>
      <c r="S740" s="131"/>
      <c r="T740" s="131"/>
      <c r="U740" s="131"/>
      <c r="V740" s="131"/>
      <c r="W740" s="131"/>
      <c r="X740" s="131"/>
    </row>
    <row r="741" spans="1:24" ht="13.5" customHeight="1">
      <c r="A741" s="132"/>
      <c r="B741" s="131"/>
      <c r="C741" s="131"/>
      <c r="D741" s="132"/>
      <c r="E741" s="132"/>
      <c r="F741" s="132"/>
      <c r="G741" s="132"/>
      <c r="H741" s="132"/>
      <c r="I741" s="131"/>
      <c r="J741" s="131"/>
      <c r="K741" s="131"/>
      <c r="L741" s="131"/>
      <c r="M741" s="131"/>
      <c r="N741" s="131"/>
      <c r="O741" s="131"/>
      <c r="P741" s="131"/>
      <c r="Q741" s="131"/>
      <c r="R741" s="131"/>
      <c r="S741" s="131"/>
      <c r="T741" s="131"/>
      <c r="U741" s="131"/>
      <c r="V741" s="131"/>
      <c r="W741" s="131"/>
      <c r="X741" s="131"/>
    </row>
    <row r="742" spans="1:24" ht="13.5" customHeight="1">
      <c r="A742" s="132"/>
      <c r="B742" s="131"/>
      <c r="C742" s="131"/>
      <c r="D742" s="132"/>
      <c r="E742" s="132"/>
      <c r="F742" s="132"/>
      <c r="G742" s="132"/>
      <c r="H742" s="132"/>
      <c r="I742" s="131"/>
      <c r="J742" s="131"/>
      <c r="K742" s="131"/>
      <c r="L742" s="131"/>
      <c r="M742" s="131"/>
      <c r="N742" s="131"/>
      <c r="O742" s="131"/>
      <c r="P742" s="131"/>
      <c r="Q742" s="131"/>
      <c r="R742" s="131"/>
      <c r="S742" s="131"/>
      <c r="T742" s="131"/>
      <c r="U742" s="131"/>
      <c r="V742" s="131"/>
      <c r="W742" s="131"/>
      <c r="X742" s="131"/>
    </row>
    <row r="743" spans="1:24" ht="13.5" customHeight="1">
      <c r="A743" s="132"/>
      <c r="B743" s="131"/>
      <c r="C743" s="131"/>
      <c r="D743" s="132"/>
      <c r="E743" s="132"/>
      <c r="F743" s="132"/>
      <c r="G743" s="132"/>
      <c r="H743" s="132"/>
      <c r="I743" s="131"/>
      <c r="J743" s="131"/>
      <c r="K743" s="131"/>
      <c r="L743" s="131"/>
      <c r="M743" s="131"/>
      <c r="N743" s="131"/>
      <c r="O743" s="131"/>
      <c r="P743" s="131"/>
      <c r="Q743" s="131"/>
      <c r="R743" s="131"/>
      <c r="S743" s="131"/>
      <c r="T743" s="131"/>
      <c r="U743" s="131"/>
      <c r="V743" s="131"/>
      <c r="W743" s="131"/>
      <c r="X743" s="131"/>
    </row>
    <row r="744" spans="1:24" ht="13.5" customHeight="1">
      <c r="A744" s="132"/>
      <c r="B744" s="131"/>
      <c r="C744" s="131"/>
      <c r="D744" s="132"/>
      <c r="E744" s="132"/>
      <c r="F744" s="132"/>
      <c r="G744" s="132"/>
      <c r="H744" s="132"/>
      <c r="I744" s="131"/>
      <c r="J744" s="131"/>
      <c r="K744" s="131"/>
      <c r="L744" s="131"/>
      <c r="M744" s="131"/>
      <c r="N744" s="131"/>
      <c r="O744" s="131"/>
      <c r="P744" s="131"/>
      <c r="Q744" s="131"/>
      <c r="R744" s="131"/>
      <c r="S744" s="131"/>
      <c r="T744" s="131"/>
      <c r="U744" s="131"/>
      <c r="V744" s="131"/>
      <c r="W744" s="131"/>
      <c r="X744" s="131"/>
    </row>
    <row r="745" spans="1:24" ht="13.5" customHeight="1">
      <c r="A745" s="132"/>
      <c r="B745" s="131"/>
      <c r="C745" s="131"/>
      <c r="D745" s="132"/>
      <c r="E745" s="132"/>
      <c r="F745" s="132"/>
      <c r="G745" s="132"/>
      <c r="H745" s="132"/>
      <c r="I745" s="131"/>
      <c r="J745" s="131"/>
      <c r="K745" s="131"/>
      <c r="L745" s="131"/>
      <c r="M745" s="131"/>
      <c r="N745" s="131"/>
      <c r="O745" s="131"/>
      <c r="P745" s="131"/>
      <c r="Q745" s="131"/>
      <c r="R745" s="131"/>
      <c r="S745" s="131"/>
      <c r="T745" s="131"/>
      <c r="U745" s="131"/>
      <c r="V745" s="131"/>
      <c r="W745" s="131"/>
      <c r="X745" s="131"/>
    </row>
    <row r="746" spans="1:24" ht="13.5" customHeight="1">
      <c r="A746" s="132"/>
      <c r="B746" s="131"/>
      <c r="C746" s="131"/>
      <c r="D746" s="132"/>
      <c r="E746" s="132"/>
      <c r="F746" s="132"/>
      <c r="G746" s="132"/>
      <c r="H746" s="132"/>
      <c r="I746" s="131"/>
      <c r="J746" s="131"/>
      <c r="K746" s="131"/>
      <c r="L746" s="131"/>
      <c r="M746" s="131"/>
      <c r="N746" s="131"/>
      <c r="O746" s="131"/>
      <c r="P746" s="131"/>
      <c r="Q746" s="131"/>
      <c r="R746" s="131"/>
      <c r="S746" s="131"/>
      <c r="T746" s="131"/>
      <c r="U746" s="131"/>
      <c r="V746" s="131"/>
      <c r="W746" s="131"/>
      <c r="X746" s="131"/>
    </row>
    <row r="747" spans="1:24" ht="13.5" customHeight="1">
      <c r="A747" s="132"/>
      <c r="B747" s="131"/>
      <c r="C747" s="131"/>
      <c r="D747" s="132"/>
      <c r="E747" s="132"/>
      <c r="F747" s="132"/>
      <c r="G747" s="132"/>
      <c r="H747" s="132"/>
      <c r="I747" s="131"/>
      <c r="J747" s="131"/>
      <c r="K747" s="131"/>
      <c r="L747" s="131"/>
      <c r="M747" s="131"/>
      <c r="N747" s="131"/>
      <c r="O747" s="131"/>
      <c r="P747" s="131"/>
      <c r="Q747" s="131"/>
      <c r="R747" s="131"/>
      <c r="S747" s="131"/>
      <c r="T747" s="131"/>
      <c r="U747" s="131"/>
      <c r="V747" s="131"/>
      <c r="W747" s="131"/>
      <c r="X747" s="131"/>
    </row>
    <row r="748" spans="1:24" ht="13.5" customHeight="1">
      <c r="A748" s="132"/>
      <c r="B748" s="131"/>
      <c r="C748" s="131"/>
      <c r="D748" s="132"/>
      <c r="E748" s="132"/>
      <c r="F748" s="132"/>
      <c r="G748" s="132"/>
      <c r="H748" s="132"/>
      <c r="I748" s="131"/>
      <c r="J748" s="131"/>
      <c r="K748" s="131"/>
      <c r="L748" s="131"/>
      <c r="M748" s="131"/>
      <c r="N748" s="131"/>
      <c r="O748" s="131"/>
      <c r="P748" s="131"/>
      <c r="Q748" s="131"/>
      <c r="R748" s="131"/>
      <c r="S748" s="131"/>
      <c r="T748" s="131"/>
      <c r="U748" s="131"/>
      <c r="V748" s="131"/>
      <c r="W748" s="131"/>
      <c r="X748" s="131"/>
    </row>
    <row r="749" spans="1:24" ht="13.5" customHeight="1">
      <c r="A749" s="132"/>
      <c r="B749" s="131"/>
      <c r="C749" s="131"/>
      <c r="D749" s="132"/>
      <c r="E749" s="132"/>
      <c r="F749" s="132"/>
      <c r="G749" s="132"/>
      <c r="H749" s="132"/>
      <c r="I749" s="131"/>
      <c r="J749" s="131"/>
      <c r="K749" s="131"/>
      <c r="L749" s="131"/>
      <c r="M749" s="131"/>
      <c r="N749" s="131"/>
      <c r="O749" s="131"/>
      <c r="P749" s="131"/>
      <c r="Q749" s="131"/>
      <c r="R749" s="131"/>
      <c r="S749" s="131"/>
      <c r="T749" s="131"/>
      <c r="U749" s="131"/>
      <c r="V749" s="131"/>
      <c r="W749" s="131"/>
      <c r="X749" s="131"/>
    </row>
    <row r="750" spans="1:24" ht="13.5" customHeight="1">
      <c r="A750" s="132"/>
      <c r="B750" s="131"/>
      <c r="C750" s="131"/>
      <c r="D750" s="132"/>
      <c r="E750" s="132"/>
      <c r="F750" s="132"/>
      <c r="G750" s="132"/>
      <c r="H750" s="132"/>
      <c r="I750" s="131"/>
      <c r="J750" s="131"/>
      <c r="K750" s="131"/>
      <c r="L750" s="131"/>
      <c r="M750" s="131"/>
      <c r="N750" s="131"/>
      <c r="O750" s="131"/>
      <c r="P750" s="131"/>
      <c r="Q750" s="131"/>
      <c r="R750" s="131"/>
      <c r="S750" s="131"/>
      <c r="T750" s="131"/>
      <c r="U750" s="131"/>
      <c r="V750" s="131"/>
      <c r="W750" s="131"/>
      <c r="X750" s="131"/>
    </row>
    <row r="751" spans="1:24" ht="13.5" customHeight="1">
      <c r="A751" s="132"/>
      <c r="B751" s="131"/>
      <c r="C751" s="131"/>
      <c r="D751" s="132"/>
      <c r="E751" s="132"/>
      <c r="F751" s="132"/>
      <c r="G751" s="132"/>
      <c r="H751" s="132"/>
      <c r="I751" s="131"/>
      <c r="J751" s="131"/>
      <c r="K751" s="131"/>
      <c r="L751" s="131"/>
      <c r="M751" s="131"/>
      <c r="N751" s="131"/>
      <c r="O751" s="131"/>
      <c r="P751" s="131"/>
      <c r="Q751" s="131"/>
      <c r="R751" s="131"/>
      <c r="S751" s="131"/>
      <c r="T751" s="131"/>
      <c r="U751" s="131"/>
      <c r="V751" s="131"/>
      <c r="W751" s="131"/>
      <c r="X751" s="131"/>
    </row>
    <row r="752" spans="1:24" ht="13.5" customHeight="1">
      <c r="A752" s="132"/>
      <c r="B752" s="131"/>
      <c r="C752" s="131"/>
      <c r="D752" s="132"/>
      <c r="E752" s="132"/>
      <c r="F752" s="132"/>
      <c r="G752" s="132"/>
      <c r="H752" s="132"/>
      <c r="I752" s="131"/>
      <c r="J752" s="131"/>
      <c r="K752" s="131"/>
      <c r="L752" s="131"/>
      <c r="M752" s="131"/>
      <c r="N752" s="131"/>
      <c r="O752" s="131"/>
      <c r="P752" s="131"/>
      <c r="Q752" s="131"/>
      <c r="R752" s="131"/>
      <c r="S752" s="131"/>
      <c r="T752" s="131"/>
      <c r="U752" s="131"/>
      <c r="V752" s="131"/>
      <c r="W752" s="131"/>
      <c r="X752" s="131"/>
    </row>
    <row r="753" spans="1:24" ht="13.5" customHeight="1">
      <c r="A753" s="132"/>
      <c r="B753" s="131"/>
      <c r="C753" s="131"/>
      <c r="D753" s="132"/>
      <c r="E753" s="132"/>
      <c r="F753" s="132"/>
      <c r="G753" s="132"/>
      <c r="H753" s="132"/>
      <c r="I753" s="131"/>
      <c r="J753" s="131"/>
      <c r="K753" s="131"/>
      <c r="L753" s="131"/>
      <c r="M753" s="131"/>
      <c r="N753" s="131"/>
      <c r="O753" s="131"/>
      <c r="P753" s="131"/>
      <c r="Q753" s="131"/>
      <c r="R753" s="131"/>
      <c r="S753" s="131"/>
      <c r="T753" s="131"/>
      <c r="U753" s="131"/>
      <c r="V753" s="131"/>
      <c r="W753" s="131"/>
      <c r="X753" s="131"/>
    </row>
    <row r="754" spans="1:24" ht="13.5" customHeight="1">
      <c r="A754" s="132"/>
      <c r="B754" s="131"/>
      <c r="C754" s="131"/>
      <c r="D754" s="132"/>
      <c r="E754" s="132"/>
      <c r="F754" s="132"/>
      <c r="G754" s="132"/>
      <c r="H754" s="132"/>
      <c r="I754" s="131"/>
      <c r="J754" s="131"/>
      <c r="K754" s="131"/>
      <c r="L754" s="131"/>
      <c r="M754" s="131"/>
      <c r="N754" s="131"/>
      <c r="O754" s="131"/>
      <c r="P754" s="131"/>
      <c r="Q754" s="131"/>
      <c r="R754" s="131"/>
      <c r="S754" s="131"/>
      <c r="T754" s="131"/>
      <c r="U754" s="131"/>
      <c r="V754" s="131"/>
      <c r="W754" s="131"/>
      <c r="X754" s="131"/>
    </row>
    <row r="755" spans="1:24" ht="13.5" customHeight="1">
      <c r="A755" s="132"/>
      <c r="B755" s="131"/>
      <c r="C755" s="131"/>
      <c r="D755" s="132"/>
      <c r="E755" s="132"/>
      <c r="F755" s="132"/>
      <c r="G755" s="132"/>
      <c r="H755" s="132"/>
      <c r="I755" s="131"/>
      <c r="J755" s="131"/>
      <c r="K755" s="131"/>
      <c r="L755" s="131"/>
      <c r="M755" s="131"/>
      <c r="N755" s="131"/>
      <c r="O755" s="131"/>
      <c r="P755" s="131"/>
      <c r="Q755" s="131"/>
      <c r="R755" s="131"/>
      <c r="S755" s="131"/>
      <c r="T755" s="131"/>
      <c r="U755" s="131"/>
      <c r="V755" s="131"/>
      <c r="W755" s="131"/>
      <c r="X755" s="131"/>
    </row>
    <row r="756" spans="1:24" ht="13.5" customHeight="1">
      <c r="A756" s="132"/>
      <c r="B756" s="131"/>
      <c r="C756" s="131"/>
      <c r="D756" s="132"/>
      <c r="E756" s="132"/>
      <c r="F756" s="132"/>
      <c r="G756" s="132"/>
      <c r="H756" s="132"/>
      <c r="I756" s="131"/>
      <c r="J756" s="131"/>
      <c r="K756" s="131"/>
      <c r="L756" s="131"/>
      <c r="M756" s="131"/>
      <c r="N756" s="131"/>
      <c r="O756" s="131"/>
      <c r="P756" s="131"/>
      <c r="Q756" s="131"/>
      <c r="R756" s="131"/>
      <c r="S756" s="131"/>
      <c r="T756" s="131"/>
      <c r="U756" s="131"/>
      <c r="V756" s="131"/>
      <c r="W756" s="131"/>
      <c r="X756" s="131"/>
    </row>
    <row r="757" spans="1:24" ht="13.5" customHeight="1">
      <c r="A757" s="132"/>
      <c r="B757" s="131"/>
      <c r="C757" s="131"/>
      <c r="D757" s="132"/>
      <c r="E757" s="132"/>
      <c r="F757" s="132"/>
      <c r="G757" s="132"/>
      <c r="H757" s="132"/>
      <c r="I757" s="131"/>
      <c r="J757" s="131"/>
      <c r="K757" s="131"/>
      <c r="L757" s="131"/>
      <c r="M757" s="131"/>
      <c r="N757" s="131"/>
      <c r="O757" s="131"/>
      <c r="P757" s="131"/>
      <c r="Q757" s="131"/>
      <c r="R757" s="131"/>
      <c r="S757" s="131"/>
      <c r="T757" s="131"/>
      <c r="U757" s="131"/>
      <c r="V757" s="131"/>
      <c r="W757" s="131"/>
      <c r="X757" s="131"/>
    </row>
    <row r="758" spans="1:24" ht="13.5" customHeight="1">
      <c r="A758" s="132"/>
      <c r="B758" s="131"/>
      <c r="C758" s="131"/>
      <c r="D758" s="132"/>
      <c r="E758" s="132"/>
      <c r="F758" s="132"/>
      <c r="G758" s="132"/>
      <c r="H758" s="132"/>
      <c r="I758" s="131"/>
      <c r="J758" s="131"/>
      <c r="K758" s="131"/>
      <c r="L758" s="131"/>
      <c r="M758" s="131"/>
      <c r="N758" s="131"/>
      <c r="O758" s="131"/>
      <c r="P758" s="131"/>
      <c r="Q758" s="131"/>
      <c r="R758" s="131"/>
      <c r="S758" s="131"/>
      <c r="T758" s="131"/>
      <c r="U758" s="131"/>
      <c r="V758" s="131"/>
      <c r="W758" s="131"/>
      <c r="X758" s="131"/>
    </row>
    <row r="759" spans="1:24" ht="13.5" customHeight="1">
      <c r="A759" s="132"/>
      <c r="B759" s="131"/>
      <c r="C759" s="131"/>
      <c r="D759" s="132"/>
      <c r="E759" s="132"/>
      <c r="F759" s="132"/>
      <c r="G759" s="132"/>
      <c r="H759" s="132"/>
      <c r="I759" s="131"/>
      <c r="J759" s="131"/>
      <c r="K759" s="131"/>
      <c r="L759" s="131"/>
      <c r="M759" s="131"/>
      <c r="N759" s="131"/>
      <c r="O759" s="131"/>
      <c r="P759" s="131"/>
      <c r="Q759" s="131"/>
      <c r="R759" s="131"/>
      <c r="S759" s="131"/>
      <c r="T759" s="131"/>
      <c r="U759" s="131"/>
      <c r="V759" s="131"/>
      <c r="W759" s="131"/>
      <c r="X759" s="131"/>
    </row>
    <row r="760" spans="1:24" ht="13.5" customHeight="1">
      <c r="A760" s="132"/>
      <c r="B760" s="131"/>
      <c r="C760" s="131"/>
      <c r="D760" s="132"/>
      <c r="E760" s="132"/>
      <c r="F760" s="132"/>
      <c r="G760" s="132"/>
      <c r="H760" s="132"/>
      <c r="I760" s="131"/>
      <c r="J760" s="131"/>
      <c r="K760" s="131"/>
      <c r="L760" s="131"/>
      <c r="M760" s="131"/>
      <c r="N760" s="131"/>
      <c r="O760" s="131"/>
      <c r="P760" s="131"/>
      <c r="Q760" s="131"/>
      <c r="R760" s="131"/>
      <c r="S760" s="131"/>
      <c r="T760" s="131"/>
      <c r="U760" s="131"/>
      <c r="V760" s="131"/>
      <c r="W760" s="131"/>
      <c r="X760" s="131"/>
    </row>
    <row r="761" spans="1:24" ht="13.5" customHeight="1">
      <c r="A761" s="132"/>
      <c r="B761" s="131"/>
      <c r="C761" s="131"/>
      <c r="D761" s="132"/>
      <c r="E761" s="132"/>
      <c r="F761" s="132"/>
      <c r="G761" s="132"/>
      <c r="H761" s="132"/>
      <c r="I761" s="131"/>
      <c r="J761" s="131"/>
      <c r="K761" s="131"/>
      <c r="L761" s="131"/>
      <c r="M761" s="131"/>
      <c r="N761" s="131"/>
      <c r="O761" s="131"/>
      <c r="P761" s="131"/>
      <c r="Q761" s="131"/>
      <c r="R761" s="131"/>
      <c r="S761" s="131"/>
      <c r="T761" s="131"/>
      <c r="U761" s="131"/>
      <c r="V761" s="131"/>
      <c r="W761" s="131"/>
      <c r="X761" s="131"/>
    </row>
    <row r="762" spans="1:24" ht="13.5" customHeight="1">
      <c r="A762" s="132"/>
      <c r="B762" s="131"/>
      <c r="C762" s="131"/>
      <c r="D762" s="132"/>
      <c r="E762" s="132"/>
      <c r="F762" s="132"/>
      <c r="G762" s="132"/>
      <c r="H762" s="132"/>
      <c r="I762" s="131"/>
      <c r="J762" s="131"/>
      <c r="K762" s="131"/>
      <c r="L762" s="131"/>
      <c r="M762" s="131"/>
      <c r="N762" s="131"/>
      <c r="O762" s="131"/>
      <c r="P762" s="131"/>
      <c r="Q762" s="131"/>
      <c r="R762" s="131"/>
      <c r="S762" s="131"/>
      <c r="T762" s="131"/>
      <c r="U762" s="131"/>
      <c r="V762" s="131"/>
      <c r="W762" s="131"/>
      <c r="X762" s="131"/>
    </row>
    <row r="763" spans="1:24" ht="13.5" customHeight="1">
      <c r="A763" s="132"/>
      <c r="B763" s="131"/>
      <c r="C763" s="131"/>
      <c r="D763" s="132"/>
      <c r="E763" s="132"/>
      <c r="F763" s="132"/>
      <c r="G763" s="132"/>
      <c r="H763" s="132"/>
      <c r="I763" s="131"/>
      <c r="J763" s="131"/>
      <c r="K763" s="131"/>
      <c r="L763" s="131"/>
      <c r="M763" s="131"/>
      <c r="N763" s="131"/>
      <c r="O763" s="131"/>
      <c r="P763" s="131"/>
      <c r="Q763" s="131"/>
      <c r="R763" s="131"/>
      <c r="S763" s="131"/>
      <c r="T763" s="131"/>
      <c r="U763" s="131"/>
      <c r="V763" s="131"/>
      <c r="W763" s="131"/>
      <c r="X763" s="131"/>
    </row>
    <row r="764" spans="1:24" ht="13.5" customHeight="1">
      <c r="A764" s="132"/>
      <c r="B764" s="131"/>
      <c r="C764" s="131"/>
      <c r="D764" s="132"/>
      <c r="E764" s="132"/>
      <c r="F764" s="132"/>
      <c r="G764" s="132"/>
      <c r="H764" s="132"/>
      <c r="I764" s="131"/>
      <c r="J764" s="131"/>
      <c r="K764" s="131"/>
      <c r="L764" s="131"/>
      <c r="M764" s="131"/>
      <c r="N764" s="131"/>
      <c r="O764" s="131"/>
      <c r="P764" s="131"/>
      <c r="Q764" s="131"/>
      <c r="R764" s="131"/>
      <c r="S764" s="131"/>
      <c r="T764" s="131"/>
      <c r="U764" s="131"/>
      <c r="V764" s="131"/>
      <c r="W764" s="131"/>
      <c r="X764" s="131"/>
    </row>
    <row r="765" spans="1:24" ht="13.5" customHeight="1">
      <c r="A765" s="132"/>
      <c r="B765" s="131"/>
      <c r="C765" s="131"/>
      <c r="D765" s="132"/>
      <c r="E765" s="132"/>
      <c r="F765" s="132"/>
      <c r="G765" s="132"/>
      <c r="H765" s="132"/>
      <c r="I765" s="131"/>
      <c r="J765" s="131"/>
      <c r="K765" s="131"/>
      <c r="L765" s="131"/>
      <c r="M765" s="131"/>
      <c r="N765" s="131"/>
      <c r="O765" s="131"/>
      <c r="P765" s="131"/>
      <c r="Q765" s="131"/>
      <c r="R765" s="131"/>
      <c r="S765" s="131"/>
      <c r="T765" s="131"/>
      <c r="U765" s="131"/>
      <c r="V765" s="131"/>
      <c r="W765" s="131"/>
      <c r="X765" s="131"/>
    </row>
    <row r="766" spans="1:24" ht="13.5" customHeight="1">
      <c r="A766" s="132"/>
      <c r="B766" s="131"/>
      <c r="C766" s="131"/>
      <c r="D766" s="132"/>
      <c r="E766" s="132"/>
      <c r="F766" s="132"/>
      <c r="G766" s="132"/>
      <c r="H766" s="132"/>
      <c r="I766" s="131"/>
      <c r="J766" s="131"/>
      <c r="K766" s="131"/>
      <c r="L766" s="131"/>
      <c r="M766" s="131"/>
      <c r="N766" s="131"/>
      <c r="O766" s="131"/>
      <c r="P766" s="131"/>
      <c r="Q766" s="131"/>
      <c r="R766" s="131"/>
      <c r="S766" s="131"/>
      <c r="T766" s="131"/>
      <c r="U766" s="131"/>
      <c r="V766" s="131"/>
      <c r="W766" s="131"/>
      <c r="X766" s="131"/>
    </row>
    <row r="767" spans="1:24" ht="13.5" customHeight="1">
      <c r="A767" s="132"/>
      <c r="B767" s="131"/>
      <c r="C767" s="131"/>
      <c r="D767" s="132"/>
      <c r="E767" s="132"/>
      <c r="F767" s="132"/>
      <c r="G767" s="132"/>
      <c r="H767" s="132"/>
      <c r="I767" s="131"/>
      <c r="J767" s="131"/>
      <c r="K767" s="131"/>
      <c r="L767" s="131"/>
      <c r="M767" s="131"/>
      <c r="N767" s="131"/>
      <c r="O767" s="131"/>
      <c r="P767" s="131"/>
      <c r="Q767" s="131"/>
      <c r="R767" s="131"/>
      <c r="S767" s="131"/>
      <c r="T767" s="131"/>
      <c r="U767" s="131"/>
      <c r="V767" s="131"/>
      <c r="W767" s="131"/>
      <c r="X767" s="131"/>
    </row>
    <row r="768" spans="1:24" ht="13.5" customHeight="1">
      <c r="A768" s="132"/>
      <c r="B768" s="131"/>
      <c r="C768" s="131"/>
      <c r="D768" s="132"/>
      <c r="E768" s="132"/>
      <c r="F768" s="132"/>
      <c r="G768" s="132"/>
      <c r="H768" s="132"/>
      <c r="I768" s="131"/>
      <c r="J768" s="131"/>
      <c r="K768" s="131"/>
      <c r="L768" s="131"/>
      <c r="M768" s="131"/>
      <c r="N768" s="131"/>
      <c r="O768" s="131"/>
      <c r="P768" s="131"/>
      <c r="Q768" s="131"/>
      <c r="R768" s="131"/>
      <c r="S768" s="131"/>
      <c r="T768" s="131"/>
      <c r="U768" s="131"/>
      <c r="V768" s="131"/>
      <c r="W768" s="131"/>
      <c r="X768" s="131"/>
    </row>
    <row r="769" spans="1:24" ht="13.5" customHeight="1">
      <c r="A769" s="132"/>
      <c r="B769" s="131"/>
      <c r="C769" s="131"/>
      <c r="D769" s="132"/>
      <c r="E769" s="132"/>
      <c r="F769" s="132"/>
      <c r="G769" s="132"/>
      <c r="H769" s="132"/>
      <c r="I769" s="131"/>
      <c r="J769" s="131"/>
      <c r="K769" s="131"/>
      <c r="L769" s="131"/>
      <c r="M769" s="131"/>
      <c r="N769" s="131"/>
      <c r="O769" s="131"/>
      <c r="P769" s="131"/>
      <c r="Q769" s="131"/>
      <c r="R769" s="131"/>
      <c r="S769" s="131"/>
      <c r="T769" s="131"/>
      <c r="U769" s="131"/>
      <c r="V769" s="131"/>
      <c r="W769" s="131"/>
      <c r="X769" s="131"/>
    </row>
    <row r="770" spans="1:24" ht="13.5" customHeight="1">
      <c r="A770" s="132"/>
      <c r="B770" s="131"/>
      <c r="C770" s="131"/>
      <c r="D770" s="132"/>
      <c r="E770" s="132"/>
      <c r="F770" s="132"/>
      <c r="G770" s="132"/>
      <c r="H770" s="132"/>
      <c r="I770" s="131"/>
      <c r="J770" s="131"/>
      <c r="K770" s="131"/>
      <c r="L770" s="131"/>
      <c r="M770" s="131"/>
      <c r="N770" s="131"/>
      <c r="O770" s="131"/>
      <c r="P770" s="131"/>
      <c r="Q770" s="131"/>
      <c r="R770" s="131"/>
      <c r="S770" s="131"/>
      <c r="T770" s="131"/>
      <c r="U770" s="131"/>
      <c r="V770" s="131"/>
      <c r="W770" s="131"/>
      <c r="X770" s="131"/>
    </row>
    <row r="771" spans="1:24" ht="13.5" customHeight="1">
      <c r="A771" s="132"/>
      <c r="B771" s="131"/>
      <c r="C771" s="131"/>
      <c r="D771" s="132"/>
      <c r="E771" s="132"/>
      <c r="F771" s="132"/>
      <c r="G771" s="132"/>
      <c r="H771" s="132"/>
      <c r="I771" s="131"/>
      <c r="J771" s="131"/>
      <c r="K771" s="131"/>
      <c r="L771" s="131"/>
      <c r="M771" s="131"/>
      <c r="N771" s="131"/>
      <c r="O771" s="131"/>
      <c r="P771" s="131"/>
      <c r="Q771" s="131"/>
      <c r="R771" s="131"/>
      <c r="S771" s="131"/>
      <c r="T771" s="131"/>
      <c r="U771" s="131"/>
      <c r="V771" s="131"/>
      <c r="W771" s="131"/>
      <c r="X771" s="131"/>
    </row>
    <row r="772" spans="1:24" ht="13.5" customHeight="1">
      <c r="A772" s="132"/>
      <c r="B772" s="131"/>
      <c r="C772" s="131"/>
      <c r="D772" s="132"/>
      <c r="E772" s="132"/>
      <c r="F772" s="132"/>
      <c r="G772" s="132"/>
      <c r="H772" s="132"/>
      <c r="I772" s="131"/>
      <c r="J772" s="131"/>
      <c r="K772" s="131"/>
      <c r="L772" s="131"/>
      <c r="M772" s="131"/>
      <c r="N772" s="131"/>
      <c r="O772" s="131"/>
      <c r="P772" s="131"/>
      <c r="Q772" s="131"/>
      <c r="R772" s="131"/>
      <c r="S772" s="131"/>
      <c r="T772" s="131"/>
      <c r="U772" s="131"/>
      <c r="V772" s="131"/>
      <c r="W772" s="131"/>
      <c r="X772" s="131"/>
    </row>
    <row r="773" spans="1:24" ht="13.5" customHeight="1">
      <c r="A773" s="132"/>
      <c r="B773" s="131"/>
      <c r="C773" s="131"/>
      <c r="D773" s="132"/>
      <c r="E773" s="132"/>
      <c r="F773" s="132"/>
      <c r="G773" s="132"/>
      <c r="H773" s="132"/>
      <c r="I773" s="131"/>
      <c r="J773" s="131"/>
      <c r="K773" s="131"/>
      <c r="L773" s="131"/>
      <c r="M773" s="131"/>
      <c r="N773" s="131"/>
      <c r="O773" s="131"/>
      <c r="P773" s="131"/>
      <c r="Q773" s="131"/>
      <c r="R773" s="131"/>
      <c r="S773" s="131"/>
      <c r="T773" s="131"/>
      <c r="U773" s="131"/>
      <c r="V773" s="131"/>
      <c r="W773" s="131"/>
      <c r="X773" s="131"/>
    </row>
    <row r="774" spans="1:24" ht="13.5" customHeight="1">
      <c r="A774" s="132"/>
      <c r="B774" s="131"/>
      <c r="C774" s="131"/>
      <c r="D774" s="132"/>
      <c r="E774" s="132"/>
      <c r="F774" s="132"/>
      <c r="G774" s="132"/>
      <c r="H774" s="132"/>
      <c r="I774" s="131"/>
      <c r="J774" s="131"/>
      <c r="K774" s="131"/>
      <c r="L774" s="131"/>
      <c r="M774" s="131"/>
      <c r="N774" s="131"/>
      <c r="O774" s="131"/>
      <c r="P774" s="131"/>
      <c r="Q774" s="131"/>
      <c r="R774" s="131"/>
      <c r="S774" s="131"/>
      <c r="T774" s="131"/>
      <c r="U774" s="131"/>
      <c r="V774" s="131"/>
      <c r="W774" s="131"/>
      <c r="X774" s="131"/>
    </row>
    <row r="775" spans="1:24" ht="13.5" customHeight="1">
      <c r="A775" s="132"/>
      <c r="B775" s="131"/>
      <c r="C775" s="131"/>
      <c r="D775" s="132"/>
      <c r="E775" s="132"/>
      <c r="F775" s="132"/>
      <c r="G775" s="132"/>
      <c r="H775" s="132"/>
      <c r="I775" s="131"/>
      <c r="J775" s="131"/>
      <c r="K775" s="131"/>
      <c r="L775" s="131"/>
      <c r="M775" s="131"/>
      <c r="N775" s="131"/>
      <c r="O775" s="131"/>
      <c r="P775" s="131"/>
      <c r="Q775" s="131"/>
      <c r="R775" s="131"/>
      <c r="S775" s="131"/>
      <c r="T775" s="131"/>
      <c r="U775" s="131"/>
      <c r="V775" s="131"/>
      <c r="W775" s="131"/>
      <c r="X775" s="131"/>
    </row>
    <row r="776" spans="1:24" ht="13.5" customHeight="1">
      <c r="A776" s="132"/>
      <c r="B776" s="131"/>
      <c r="C776" s="131"/>
      <c r="D776" s="132"/>
      <c r="E776" s="132"/>
      <c r="F776" s="132"/>
      <c r="G776" s="132"/>
      <c r="H776" s="132"/>
      <c r="I776" s="131"/>
      <c r="J776" s="131"/>
      <c r="K776" s="131"/>
      <c r="L776" s="131"/>
      <c r="M776" s="131"/>
      <c r="N776" s="131"/>
      <c r="O776" s="131"/>
      <c r="P776" s="131"/>
      <c r="Q776" s="131"/>
      <c r="R776" s="131"/>
      <c r="S776" s="131"/>
      <c r="T776" s="131"/>
      <c r="U776" s="131"/>
      <c r="V776" s="131"/>
      <c r="W776" s="131"/>
      <c r="X776" s="131"/>
    </row>
    <row r="777" spans="1:24" ht="13.5" customHeight="1">
      <c r="A777" s="132"/>
      <c r="B777" s="131"/>
      <c r="C777" s="131"/>
      <c r="D777" s="132"/>
      <c r="E777" s="132"/>
      <c r="F777" s="132"/>
      <c r="G777" s="132"/>
      <c r="H777" s="132"/>
      <c r="I777" s="131"/>
      <c r="J777" s="131"/>
      <c r="K777" s="131"/>
      <c r="L777" s="131"/>
      <c r="M777" s="131"/>
      <c r="N777" s="131"/>
      <c r="O777" s="131"/>
      <c r="P777" s="131"/>
      <c r="Q777" s="131"/>
      <c r="R777" s="131"/>
      <c r="S777" s="131"/>
      <c r="T777" s="131"/>
      <c r="U777" s="131"/>
      <c r="V777" s="131"/>
      <c r="W777" s="131"/>
      <c r="X777" s="131"/>
    </row>
    <row r="778" spans="1:24" ht="13.5" customHeight="1">
      <c r="A778" s="132"/>
      <c r="B778" s="131"/>
      <c r="C778" s="131"/>
      <c r="D778" s="132"/>
      <c r="E778" s="132"/>
      <c r="F778" s="132"/>
      <c r="G778" s="132"/>
      <c r="H778" s="132"/>
      <c r="I778" s="131"/>
      <c r="J778" s="131"/>
      <c r="K778" s="131"/>
      <c r="L778" s="131"/>
      <c r="M778" s="131"/>
      <c r="N778" s="131"/>
      <c r="O778" s="131"/>
      <c r="P778" s="131"/>
      <c r="Q778" s="131"/>
      <c r="R778" s="131"/>
      <c r="S778" s="131"/>
      <c r="T778" s="131"/>
      <c r="U778" s="131"/>
      <c r="V778" s="131"/>
      <c r="W778" s="131"/>
      <c r="X778" s="131"/>
    </row>
    <row r="779" spans="1:24" ht="13.5" customHeight="1">
      <c r="A779" s="132"/>
      <c r="B779" s="131"/>
      <c r="C779" s="131"/>
      <c r="D779" s="132"/>
      <c r="E779" s="132"/>
      <c r="F779" s="132"/>
      <c r="G779" s="132"/>
      <c r="H779" s="132"/>
      <c r="I779" s="131"/>
      <c r="J779" s="131"/>
      <c r="K779" s="131"/>
      <c r="L779" s="131"/>
      <c r="M779" s="131"/>
      <c r="N779" s="131"/>
      <c r="O779" s="131"/>
      <c r="P779" s="131"/>
      <c r="Q779" s="131"/>
      <c r="R779" s="131"/>
      <c r="S779" s="131"/>
      <c r="T779" s="131"/>
      <c r="U779" s="131"/>
      <c r="V779" s="131"/>
      <c r="W779" s="131"/>
      <c r="X779" s="131"/>
    </row>
    <row r="780" spans="1:24" ht="13.5" customHeight="1">
      <c r="A780" s="132"/>
      <c r="B780" s="131"/>
      <c r="C780" s="131"/>
      <c r="D780" s="132"/>
      <c r="E780" s="132"/>
      <c r="F780" s="132"/>
      <c r="G780" s="132"/>
      <c r="H780" s="132"/>
      <c r="I780" s="131"/>
      <c r="J780" s="131"/>
      <c r="K780" s="131"/>
      <c r="L780" s="131"/>
      <c r="M780" s="131"/>
      <c r="N780" s="131"/>
      <c r="O780" s="131"/>
      <c r="P780" s="131"/>
      <c r="Q780" s="131"/>
      <c r="R780" s="131"/>
      <c r="S780" s="131"/>
      <c r="T780" s="131"/>
      <c r="U780" s="131"/>
      <c r="V780" s="131"/>
      <c r="W780" s="131"/>
      <c r="X780" s="131"/>
    </row>
    <row r="781" spans="1:24" ht="13.5" customHeight="1">
      <c r="A781" s="132"/>
      <c r="B781" s="131"/>
      <c r="C781" s="131"/>
      <c r="D781" s="132"/>
      <c r="E781" s="132"/>
      <c r="F781" s="132"/>
      <c r="G781" s="132"/>
      <c r="H781" s="132"/>
      <c r="I781" s="131"/>
      <c r="J781" s="131"/>
      <c r="K781" s="131"/>
      <c r="L781" s="131"/>
      <c r="M781" s="131"/>
      <c r="N781" s="131"/>
      <c r="O781" s="131"/>
      <c r="P781" s="131"/>
      <c r="Q781" s="131"/>
      <c r="R781" s="131"/>
      <c r="S781" s="131"/>
      <c r="T781" s="131"/>
      <c r="U781" s="131"/>
      <c r="V781" s="131"/>
      <c r="W781" s="131"/>
      <c r="X781" s="131"/>
    </row>
    <row r="782" spans="1:24" ht="13.5" customHeight="1">
      <c r="A782" s="132"/>
      <c r="B782" s="131"/>
      <c r="C782" s="131"/>
      <c r="D782" s="132"/>
      <c r="E782" s="132"/>
      <c r="F782" s="132"/>
      <c r="G782" s="132"/>
      <c r="H782" s="132"/>
      <c r="I782" s="131"/>
      <c r="J782" s="131"/>
      <c r="K782" s="131"/>
      <c r="L782" s="131"/>
      <c r="M782" s="131"/>
      <c r="N782" s="131"/>
      <c r="O782" s="131"/>
      <c r="P782" s="131"/>
      <c r="Q782" s="131"/>
      <c r="R782" s="131"/>
      <c r="S782" s="131"/>
      <c r="T782" s="131"/>
      <c r="U782" s="131"/>
      <c r="V782" s="131"/>
      <c r="W782" s="131"/>
      <c r="X782" s="131"/>
    </row>
    <row r="783" spans="1:24" ht="13.5" customHeight="1">
      <c r="A783" s="132"/>
      <c r="B783" s="131"/>
      <c r="C783" s="131"/>
      <c r="D783" s="132"/>
      <c r="E783" s="132"/>
      <c r="F783" s="132"/>
      <c r="G783" s="132"/>
      <c r="H783" s="132"/>
      <c r="I783" s="131"/>
      <c r="J783" s="131"/>
      <c r="K783" s="131"/>
      <c r="L783" s="131"/>
      <c r="M783" s="131"/>
      <c r="N783" s="131"/>
      <c r="O783" s="131"/>
      <c r="P783" s="131"/>
      <c r="Q783" s="131"/>
      <c r="R783" s="131"/>
      <c r="S783" s="131"/>
      <c r="T783" s="131"/>
      <c r="U783" s="131"/>
      <c r="V783" s="131"/>
      <c r="W783" s="131"/>
      <c r="X783" s="131"/>
    </row>
    <row r="784" spans="1:24" ht="13.5" customHeight="1">
      <c r="A784" s="132"/>
      <c r="B784" s="131"/>
      <c r="C784" s="131"/>
      <c r="D784" s="132"/>
      <c r="E784" s="132"/>
      <c r="F784" s="132"/>
      <c r="G784" s="132"/>
      <c r="H784" s="132"/>
      <c r="I784" s="131"/>
      <c r="J784" s="131"/>
      <c r="K784" s="131"/>
      <c r="L784" s="131"/>
      <c r="M784" s="131"/>
      <c r="N784" s="131"/>
      <c r="O784" s="131"/>
      <c r="P784" s="131"/>
      <c r="Q784" s="131"/>
      <c r="R784" s="131"/>
      <c r="S784" s="131"/>
      <c r="T784" s="131"/>
      <c r="U784" s="131"/>
      <c r="V784" s="131"/>
      <c r="W784" s="131"/>
      <c r="X784" s="131"/>
    </row>
    <row r="785" spans="1:24" ht="13.5" customHeight="1">
      <c r="A785" s="132"/>
      <c r="B785" s="131"/>
      <c r="C785" s="131"/>
      <c r="D785" s="132"/>
      <c r="E785" s="132"/>
      <c r="F785" s="132"/>
      <c r="G785" s="132"/>
      <c r="H785" s="132"/>
      <c r="I785" s="131"/>
      <c r="J785" s="131"/>
      <c r="K785" s="131"/>
      <c r="L785" s="131"/>
      <c r="M785" s="131"/>
      <c r="N785" s="131"/>
      <c r="O785" s="131"/>
      <c r="P785" s="131"/>
      <c r="Q785" s="131"/>
      <c r="R785" s="131"/>
      <c r="S785" s="131"/>
      <c r="T785" s="131"/>
      <c r="U785" s="131"/>
      <c r="V785" s="131"/>
      <c r="W785" s="131"/>
      <c r="X785" s="131"/>
    </row>
    <row r="786" spans="1:24" ht="13.5" customHeight="1">
      <c r="A786" s="132"/>
      <c r="B786" s="131"/>
      <c r="C786" s="131"/>
      <c r="D786" s="132"/>
      <c r="E786" s="132"/>
      <c r="F786" s="132"/>
      <c r="G786" s="132"/>
      <c r="H786" s="132"/>
      <c r="I786" s="131"/>
      <c r="J786" s="131"/>
      <c r="K786" s="131"/>
      <c r="L786" s="131"/>
      <c r="M786" s="131"/>
      <c r="N786" s="131"/>
      <c r="O786" s="131"/>
      <c r="P786" s="131"/>
      <c r="Q786" s="131"/>
      <c r="R786" s="131"/>
      <c r="S786" s="131"/>
      <c r="T786" s="131"/>
      <c r="U786" s="131"/>
      <c r="V786" s="131"/>
      <c r="W786" s="131"/>
      <c r="X786" s="131"/>
    </row>
    <row r="787" spans="1:24" ht="13.5" customHeight="1">
      <c r="A787" s="132"/>
      <c r="B787" s="131"/>
      <c r="C787" s="131"/>
      <c r="D787" s="132"/>
      <c r="E787" s="132"/>
      <c r="F787" s="132"/>
      <c r="G787" s="132"/>
      <c r="H787" s="132"/>
      <c r="I787" s="131"/>
      <c r="J787" s="131"/>
      <c r="K787" s="131"/>
      <c r="L787" s="131"/>
      <c r="M787" s="131"/>
      <c r="N787" s="131"/>
      <c r="O787" s="131"/>
      <c r="P787" s="131"/>
      <c r="Q787" s="131"/>
      <c r="R787" s="131"/>
      <c r="S787" s="131"/>
      <c r="T787" s="131"/>
      <c r="U787" s="131"/>
      <c r="V787" s="131"/>
      <c r="W787" s="131"/>
      <c r="X787" s="131"/>
    </row>
    <row r="788" spans="1:24" ht="13.5" customHeight="1">
      <c r="A788" s="132"/>
      <c r="B788" s="131"/>
      <c r="C788" s="131"/>
      <c r="D788" s="132"/>
      <c r="E788" s="132"/>
      <c r="F788" s="132"/>
      <c r="G788" s="132"/>
      <c r="H788" s="132"/>
      <c r="I788" s="131"/>
      <c r="J788" s="131"/>
      <c r="K788" s="131"/>
      <c r="L788" s="131"/>
      <c r="M788" s="131"/>
      <c r="N788" s="131"/>
      <c r="O788" s="131"/>
      <c r="P788" s="131"/>
      <c r="Q788" s="131"/>
      <c r="R788" s="131"/>
      <c r="S788" s="131"/>
      <c r="T788" s="131"/>
      <c r="U788" s="131"/>
      <c r="V788" s="131"/>
      <c r="W788" s="131"/>
      <c r="X788" s="131"/>
    </row>
    <row r="789" spans="1:24" ht="13.5" customHeight="1">
      <c r="A789" s="132"/>
      <c r="B789" s="131"/>
      <c r="C789" s="131"/>
      <c r="D789" s="132"/>
      <c r="E789" s="132"/>
      <c r="F789" s="132"/>
      <c r="G789" s="132"/>
      <c r="H789" s="132"/>
      <c r="I789" s="131"/>
      <c r="J789" s="131"/>
      <c r="K789" s="131"/>
      <c r="L789" s="131"/>
      <c r="M789" s="131"/>
      <c r="N789" s="131"/>
      <c r="O789" s="131"/>
      <c r="P789" s="131"/>
      <c r="Q789" s="131"/>
      <c r="R789" s="131"/>
      <c r="S789" s="131"/>
      <c r="T789" s="131"/>
      <c r="U789" s="131"/>
      <c r="V789" s="131"/>
      <c r="W789" s="131"/>
      <c r="X789" s="131"/>
    </row>
    <row r="790" spans="1:24" ht="13.5" customHeight="1">
      <c r="A790" s="132"/>
      <c r="B790" s="131"/>
      <c r="C790" s="131"/>
      <c r="D790" s="132"/>
      <c r="E790" s="132"/>
      <c r="F790" s="132"/>
      <c r="G790" s="132"/>
      <c r="H790" s="132"/>
      <c r="I790" s="131"/>
      <c r="J790" s="131"/>
      <c r="K790" s="131"/>
      <c r="L790" s="131"/>
      <c r="M790" s="131"/>
      <c r="N790" s="131"/>
      <c r="O790" s="131"/>
      <c r="P790" s="131"/>
      <c r="Q790" s="131"/>
      <c r="R790" s="131"/>
      <c r="S790" s="131"/>
      <c r="T790" s="131"/>
      <c r="U790" s="131"/>
      <c r="V790" s="131"/>
      <c r="W790" s="131"/>
      <c r="X790" s="131"/>
    </row>
    <row r="791" spans="1:24" ht="13.5" customHeight="1">
      <c r="A791" s="132"/>
      <c r="B791" s="131"/>
      <c r="C791" s="131"/>
      <c r="D791" s="132"/>
      <c r="E791" s="132"/>
      <c r="F791" s="132"/>
      <c r="G791" s="132"/>
      <c r="H791" s="132"/>
      <c r="I791" s="131"/>
      <c r="J791" s="131"/>
      <c r="K791" s="131"/>
      <c r="L791" s="131"/>
      <c r="M791" s="131"/>
      <c r="N791" s="131"/>
      <c r="O791" s="131"/>
      <c r="P791" s="131"/>
      <c r="Q791" s="131"/>
      <c r="R791" s="131"/>
      <c r="S791" s="131"/>
      <c r="T791" s="131"/>
      <c r="U791" s="131"/>
      <c r="V791" s="131"/>
      <c r="W791" s="131"/>
      <c r="X791" s="131"/>
    </row>
    <row r="792" spans="1:24" ht="13.5" customHeight="1">
      <c r="A792" s="132"/>
      <c r="B792" s="131"/>
      <c r="C792" s="131"/>
      <c r="D792" s="132"/>
      <c r="E792" s="132"/>
      <c r="F792" s="132"/>
      <c r="G792" s="132"/>
      <c r="H792" s="132"/>
      <c r="I792" s="131"/>
      <c r="J792" s="131"/>
      <c r="K792" s="131"/>
      <c r="L792" s="131"/>
      <c r="M792" s="131"/>
      <c r="N792" s="131"/>
      <c r="O792" s="131"/>
      <c r="P792" s="131"/>
      <c r="Q792" s="131"/>
      <c r="R792" s="131"/>
      <c r="S792" s="131"/>
      <c r="T792" s="131"/>
      <c r="U792" s="131"/>
      <c r="V792" s="131"/>
      <c r="W792" s="131"/>
      <c r="X792" s="131"/>
    </row>
    <row r="793" spans="1:24" ht="13.5" customHeight="1">
      <c r="A793" s="132"/>
      <c r="B793" s="131"/>
      <c r="C793" s="131"/>
      <c r="D793" s="132"/>
      <c r="E793" s="132"/>
      <c r="F793" s="132"/>
      <c r="G793" s="132"/>
      <c r="H793" s="132"/>
      <c r="I793" s="131"/>
      <c r="J793" s="131"/>
      <c r="K793" s="131"/>
      <c r="L793" s="131"/>
      <c r="M793" s="131"/>
      <c r="N793" s="131"/>
      <c r="O793" s="131"/>
      <c r="P793" s="131"/>
      <c r="Q793" s="131"/>
      <c r="R793" s="131"/>
      <c r="S793" s="131"/>
      <c r="T793" s="131"/>
      <c r="U793" s="131"/>
      <c r="V793" s="131"/>
      <c r="W793" s="131"/>
      <c r="X793" s="131"/>
    </row>
    <row r="794" spans="1:24" ht="13.5" customHeight="1">
      <c r="A794" s="132"/>
      <c r="B794" s="131"/>
      <c r="C794" s="131"/>
      <c r="D794" s="132"/>
      <c r="E794" s="132"/>
      <c r="F794" s="132"/>
      <c r="G794" s="132"/>
      <c r="H794" s="132"/>
      <c r="I794" s="131"/>
      <c r="J794" s="131"/>
      <c r="K794" s="131"/>
      <c r="L794" s="131"/>
      <c r="M794" s="131"/>
      <c r="N794" s="131"/>
      <c r="O794" s="131"/>
      <c r="P794" s="131"/>
      <c r="Q794" s="131"/>
      <c r="R794" s="131"/>
      <c r="S794" s="131"/>
      <c r="T794" s="131"/>
      <c r="U794" s="131"/>
      <c r="V794" s="131"/>
      <c r="W794" s="131"/>
      <c r="X794" s="131"/>
    </row>
    <row r="795" spans="1:24" ht="13.5" customHeight="1">
      <c r="A795" s="132"/>
      <c r="B795" s="131"/>
      <c r="C795" s="131"/>
      <c r="D795" s="132"/>
      <c r="E795" s="132"/>
      <c r="F795" s="132"/>
      <c r="G795" s="132"/>
      <c r="H795" s="132"/>
      <c r="I795" s="131"/>
      <c r="J795" s="131"/>
      <c r="K795" s="131"/>
      <c r="L795" s="131"/>
      <c r="M795" s="131"/>
      <c r="N795" s="131"/>
      <c r="O795" s="131"/>
      <c r="P795" s="131"/>
      <c r="Q795" s="131"/>
      <c r="R795" s="131"/>
      <c r="S795" s="131"/>
      <c r="T795" s="131"/>
      <c r="U795" s="131"/>
      <c r="V795" s="131"/>
      <c r="W795" s="131"/>
      <c r="X795" s="131"/>
    </row>
    <row r="796" spans="1:24" ht="13.5" customHeight="1">
      <c r="A796" s="132"/>
      <c r="B796" s="131"/>
      <c r="C796" s="131"/>
      <c r="D796" s="132"/>
      <c r="E796" s="132"/>
      <c r="F796" s="132"/>
      <c r="G796" s="132"/>
      <c r="H796" s="132"/>
      <c r="I796" s="131"/>
      <c r="J796" s="131"/>
      <c r="K796" s="131"/>
      <c r="L796" s="131"/>
      <c r="M796" s="131"/>
      <c r="N796" s="131"/>
      <c r="O796" s="131"/>
      <c r="P796" s="131"/>
      <c r="Q796" s="131"/>
      <c r="R796" s="131"/>
      <c r="S796" s="131"/>
      <c r="T796" s="131"/>
      <c r="U796" s="131"/>
      <c r="V796" s="131"/>
      <c r="W796" s="131"/>
      <c r="X796" s="131"/>
    </row>
    <row r="797" spans="1:24" ht="13.5" customHeight="1">
      <c r="A797" s="132"/>
      <c r="B797" s="131"/>
      <c r="C797" s="131"/>
      <c r="D797" s="132"/>
      <c r="E797" s="132"/>
      <c r="F797" s="132"/>
      <c r="G797" s="132"/>
      <c r="H797" s="132"/>
      <c r="I797" s="131"/>
      <c r="J797" s="131"/>
      <c r="K797" s="131"/>
      <c r="L797" s="131"/>
      <c r="M797" s="131"/>
      <c r="N797" s="131"/>
      <c r="O797" s="131"/>
      <c r="P797" s="131"/>
      <c r="Q797" s="131"/>
      <c r="R797" s="131"/>
      <c r="S797" s="131"/>
      <c r="T797" s="131"/>
      <c r="U797" s="131"/>
      <c r="V797" s="131"/>
      <c r="W797" s="131"/>
      <c r="X797" s="131"/>
    </row>
    <row r="798" spans="1:24" ht="13.5" customHeight="1">
      <c r="A798" s="132"/>
      <c r="B798" s="131"/>
      <c r="C798" s="131"/>
      <c r="D798" s="132"/>
      <c r="E798" s="132"/>
      <c r="F798" s="132"/>
      <c r="G798" s="132"/>
      <c r="H798" s="132"/>
      <c r="I798" s="131"/>
      <c r="J798" s="131"/>
      <c r="K798" s="131"/>
      <c r="L798" s="131"/>
      <c r="M798" s="131"/>
      <c r="N798" s="131"/>
      <c r="O798" s="131"/>
      <c r="P798" s="131"/>
      <c r="Q798" s="131"/>
      <c r="R798" s="131"/>
      <c r="S798" s="131"/>
      <c r="T798" s="131"/>
      <c r="U798" s="131"/>
      <c r="V798" s="131"/>
      <c r="W798" s="131"/>
      <c r="X798" s="131"/>
    </row>
    <row r="799" spans="1:24" ht="13.5" customHeight="1">
      <c r="A799" s="132"/>
      <c r="B799" s="131"/>
      <c r="C799" s="131"/>
      <c r="D799" s="132"/>
      <c r="E799" s="132"/>
      <c r="F799" s="132"/>
      <c r="G799" s="132"/>
      <c r="H799" s="132"/>
      <c r="I799" s="131"/>
      <c r="J799" s="131"/>
      <c r="K799" s="131"/>
      <c r="L799" s="131"/>
      <c r="M799" s="131"/>
      <c r="N799" s="131"/>
      <c r="O799" s="131"/>
      <c r="P799" s="131"/>
      <c r="Q799" s="131"/>
      <c r="R799" s="131"/>
      <c r="S799" s="131"/>
      <c r="T799" s="131"/>
      <c r="U799" s="131"/>
      <c r="V799" s="131"/>
      <c r="W799" s="131"/>
      <c r="X799" s="131"/>
    </row>
    <row r="800" spans="1:24" ht="13.5" customHeight="1">
      <c r="A800" s="132"/>
      <c r="B800" s="131"/>
      <c r="C800" s="131"/>
      <c r="D800" s="132"/>
      <c r="E800" s="132"/>
      <c r="F800" s="132"/>
      <c r="G800" s="132"/>
      <c r="H800" s="132"/>
      <c r="I800" s="131"/>
      <c r="J800" s="131"/>
      <c r="K800" s="131"/>
      <c r="L800" s="131"/>
      <c r="M800" s="131"/>
      <c r="N800" s="131"/>
      <c r="O800" s="131"/>
      <c r="P800" s="131"/>
      <c r="Q800" s="131"/>
      <c r="R800" s="131"/>
      <c r="S800" s="131"/>
      <c r="T800" s="131"/>
      <c r="U800" s="131"/>
      <c r="V800" s="131"/>
      <c r="W800" s="131"/>
      <c r="X800" s="131"/>
    </row>
    <row r="801" spans="1:24" ht="13.5" customHeight="1">
      <c r="A801" s="132"/>
      <c r="B801" s="131"/>
      <c r="C801" s="131"/>
      <c r="D801" s="132"/>
      <c r="E801" s="132"/>
      <c r="F801" s="132"/>
      <c r="G801" s="132"/>
      <c r="H801" s="132"/>
      <c r="I801" s="131"/>
      <c r="J801" s="131"/>
      <c r="K801" s="131"/>
      <c r="L801" s="131"/>
      <c r="M801" s="131"/>
      <c r="N801" s="131"/>
      <c r="O801" s="131"/>
      <c r="P801" s="131"/>
      <c r="Q801" s="131"/>
      <c r="R801" s="131"/>
      <c r="S801" s="131"/>
      <c r="T801" s="131"/>
      <c r="U801" s="131"/>
      <c r="V801" s="131"/>
      <c r="W801" s="131"/>
      <c r="X801" s="131"/>
    </row>
    <row r="802" spans="1:24" ht="13.5" customHeight="1">
      <c r="A802" s="132"/>
      <c r="B802" s="131"/>
      <c r="C802" s="131"/>
      <c r="D802" s="132"/>
      <c r="E802" s="132"/>
      <c r="F802" s="132"/>
      <c r="G802" s="132"/>
      <c r="H802" s="132"/>
      <c r="I802" s="131"/>
      <c r="J802" s="131"/>
      <c r="K802" s="131"/>
      <c r="L802" s="131"/>
      <c r="M802" s="131"/>
      <c r="N802" s="131"/>
      <c r="O802" s="131"/>
      <c r="P802" s="131"/>
      <c r="Q802" s="131"/>
      <c r="R802" s="131"/>
      <c r="S802" s="131"/>
      <c r="T802" s="131"/>
      <c r="U802" s="131"/>
      <c r="V802" s="131"/>
      <c r="W802" s="131"/>
      <c r="X802" s="131"/>
    </row>
    <row r="803" spans="1:24" ht="13.5" customHeight="1">
      <c r="A803" s="132"/>
      <c r="B803" s="131"/>
      <c r="C803" s="131"/>
      <c r="D803" s="132"/>
      <c r="E803" s="132"/>
      <c r="F803" s="132"/>
      <c r="G803" s="132"/>
      <c r="H803" s="132"/>
      <c r="I803" s="131"/>
      <c r="J803" s="131"/>
      <c r="K803" s="131"/>
      <c r="L803" s="131"/>
      <c r="M803" s="131"/>
      <c r="N803" s="131"/>
      <c r="O803" s="131"/>
      <c r="P803" s="131"/>
      <c r="Q803" s="131"/>
      <c r="R803" s="131"/>
      <c r="S803" s="131"/>
      <c r="T803" s="131"/>
      <c r="U803" s="131"/>
      <c r="V803" s="131"/>
      <c r="W803" s="131"/>
      <c r="X803" s="131"/>
    </row>
    <row r="804" spans="1:24" ht="13.5" customHeight="1">
      <c r="A804" s="132"/>
      <c r="B804" s="131"/>
      <c r="C804" s="131"/>
      <c r="D804" s="132"/>
      <c r="E804" s="132"/>
      <c r="F804" s="132"/>
      <c r="G804" s="132"/>
      <c r="H804" s="132"/>
      <c r="I804" s="131"/>
      <c r="J804" s="131"/>
      <c r="K804" s="131"/>
      <c r="L804" s="131"/>
      <c r="M804" s="131"/>
      <c r="N804" s="131"/>
      <c r="O804" s="131"/>
      <c r="P804" s="131"/>
      <c r="Q804" s="131"/>
      <c r="R804" s="131"/>
      <c r="S804" s="131"/>
      <c r="T804" s="131"/>
      <c r="U804" s="131"/>
      <c r="V804" s="131"/>
      <c r="W804" s="131"/>
      <c r="X804" s="131"/>
    </row>
    <row r="805" spans="1:24" ht="13.5" customHeight="1">
      <c r="A805" s="132"/>
      <c r="B805" s="131"/>
      <c r="C805" s="131"/>
      <c r="D805" s="132"/>
      <c r="E805" s="132"/>
      <c r="F805" s="132"/>
      <c r="G805" s="132"/>
      <c r="H805" s="132"/>
      <c r="I805" s="131"/>
      <c r="J805" s="131"/>
      <c r="K805" s="131"/>
      <c r="L805" s="131"/>
      <c r="M805" s="131"/>
      <c r="N805" s="131"/>
      <c r="O805" s="131"/>
      <c r="P805" s="131"/>
      <c r="Q805" s="131"/>
      <c r="R805" s="131"/>
      <c r="S805" s="131"/>
      <c r="T805" s="131"/>
      <c r="U805" s="131"/>
      <c r="V805" s="131"/>
      <c r="W805" s="131"/>
      <c r="X805" s="131"/>
    </row>
    <row r="806" spans="1:24" ht="15" customHeight="1">
      <c r="A806" s="132"/>
      <c r="B806" s="131"/>
      <c r="C806" s="131"/>
      <c r="D806" s="132"/>
      <c r="E806" s="132"/>
      <c r="F806" s="132"/>
      <c r="G806" s="132"/>
      <c r="H806" s="132"/>
    </row>
    <row r="807" spans="1:24" ht="15" customHeight="1">
      <c r="A807" s="132"/>
      <c r="B807" s="131"/>
      <c r="C807" s="131"/>
      <c r="D807" s="132"/>
      <c r="E807" s="132"/>
      <c r="F807" s="132"/>
      <c r="G807" s="132"/>
      <c r="H807" s="132"/>
    </row>
    <row r="808" spans="1:24" ht="15" customHeight="1">
      <c r="A808" s="132"/>
      <c r="B808" s="131"/>
      <c r="C808" s="131"/>
      <c r="D808" s="132"/>
      <c r="E808" s="132"/>
      <c r="F808" s="132"/>
      <c r="G808" s="132"/>
      <c r="H808" s="132"/>
    </row>
    <row r="809" spans="1:24" ht="15" customHeight="1">
      <c r="A809" s="132"/>
      <c r="B809" s="131"/>
      <c r="C809" s="131"/>
      <c r="D809" s="132"/>
      <c r="E809" s="132"/>
      <c r="F809" s="132"/>
      <c r="G809" s="132"/>
      <c r="H809" s="132"/>
    </row>
    <row r="810" spans="1:24" ht="15" customHeight="1">
      <c r="A810" s="132"/>
      <c r="B810" s="131"/>
      <c r="C810" s="131"/>
      <c r="D810" s="132"/>
      <c r="E810" s="132"/>
      <c r="F810" s="132"/>
      <c r="G810" s="132"/>
      <c r="H810" s="132"/>
    </row>
    <row r="811" spans="1:24" ht="15" customHeight="1">
      <c r="A811" s="132"/>
      <c r="B811" s="131"/>
      <c r="C811" s="131"/>
      <c r="D811" s="132"/>
      <c r="E811" s="132"/>
      <c r="F811" s="132"/>
      <c r="G811" s="132"/>
      <c r="H811" s="132"/>
    </row>
    <row r="812" spans="1:24" ht="15" customHeight="1">
      <c r="A812" s="132"/>
      <c r="B812" s="131"/>
      <c r="C812" s="131"/>
      <c r="D812" s="132"/>
      <c r="E812" s="132"/>
      <c r="F812" s="132"/>
      <c r="G812" s="132"/>
      <c r="H812" s="132"/>
    </row>
    <row r="813" spans="1:24" ht="15" customHeight="1">
      <c r="A813" s="132"/>
      <c r="B813" s="131"/>
      <c r="C813" s="131"/>
      <c r="D813" s="132"/>
      <c r="E813" s="132"/>
      <c r="F813" s="132"/>
      <c r="G813" s="132"/>
      <c r="H813" s="132"/>
    </row>
    <row r="814" spans="1:24" ht="15" customHeight="1">
      <c r="A814" s="132"/>
      <c r="B814" s="131"/>
      <c r="C814" s="131"/>
      <c r="D814" s="132"/>
      <c r="E814" s="132"/>
      <c r="F814" s="132"/>
      <c r="G814" s="132"/>
      <c r="H814" s="132"/>
    </row>
    <row r="815" spans="1:24" ht="15" customHeight="1">
      <c r="A815" s="132"/>
      <c r="B815" s="131"/>
      <c r="C815" s="131"/>
      <c r="D815" s="132"/>
      <c r="E815" s="132"/>
      <c r="F815" s="132"/>
      <c r="G815" s="132"/>
      <c r="H815" s="132"/>
    </row>
    <row r="816" spans="1:24" ht="15" customHeight="1">
      <c r="A816" s="132"/>
      <c r="B816" s="131"/>
      <c r="C816" s="131"/>
      <c r="D816" s="132"/>
      <c r="E816" s="132"/>
      <c r="F816" s="132"/>
      <c r="G816" s="132"/>
      <c r="H816" s="132"/>
    </row>
    <row r="817" spans="1:8" ht="15" customHeight="1">
      <c r="A817" s="132"/>
      <c r="B817" s="131"/>
      <c r="C817" s="131"/>
      <c r="D817" s="132"/>
      <c r="E817" s="132"/>
      <c r="F817" s="132"/>
      <c r="G817" s="132"/>
      <c r="H817" s="132"/>
    </row>
    <row r="818" spans="1:8" ht="15" customHeight="1">
      <c r="A818" s="132"/>
      <c r="B818" s="131"/>
      <c r="C818" s="131"/>
      <c r="D818" s="132"/>
      <c r="E818" s="132"/>
      <c r="F818" s="132"/>
      <c r="G818" s="132"/>
      <c r="H818" s="132"/>
    </row>
    <row r="819" spans="1:8" ht="15" customHeight="1">
      <c r="A819" s="132"/>
      <c r="B819" s="131"/>
      <c r="C819" s="131"/>
      <c r="D819" s="132"/>
      <c r="E819" s="132"/>
      <c r="F819" s="132"/>
      <c r="G819" s="132"/>
      <c r="H819" s="132"/>
    </row>
    <row r="820" spans="1:8" ht="15" customHeight="1">
      <c r="A820" s="132"/>
      <c r="B820" s="131"/>
      <c r="C820" s="131"/>
      <c r="D820" s="132"/>
      <c r="E820" s="132"/>
      <c r="F820" s="132"/>
      <c r="G820" s="132"/>
      <c r="H820" s="132"/>
    </row>
    <row r="821" spans="1:8" ht="15" customHeight="1">
      <c r="A821" s="132"/>
      <c r="B821" s="131"/>
      <c r="C821" s="131"/>
      <c r="D821" s="132"/>
      <c r="E821" s="132"/>
      <c r="F821" s="132"/>
      <c r="G821" s="132"/>
      <c r="H821" s="132"/>
    </row>
    <row r="822" spans="1:8" ht="15" customHeight="1">
      <c r="A822" s="132"/>
      <c r="B822" s="131"/>
      <c r="C822" s="131"/>
      <c r="D822" s="132"/>
      <c r="E822" s="132"/>
      <c r="F822" s="132"/>
      <c r="G822" s="132"/>
      <c r="H822" s="132"/>
    </row>
    <row r="823" spans="1:8" ht="15" customHeight="1">
      <c r="A823" s="132"/>
      <c r="B823" s="131"/>
      <c r="C823" s="131"/>
      <c r="D823" s="132"/>
      <c r="E823" s="132"/>
      <c r="F823" s="132"/>
      <c r="G823" s="132"/>
      <c r="H823" s="132"/>
    </row>
    <row r="824" spans="1:8" ht="15" customHeight="1">
      <c r="A824" s="132"/>
      <c r="B824" s="131"/>
      <c r="C824" s="131"/>
      <c r="D824" s="132"/>
      <c r="E824" s="132"/>
      <c r="F824" s="132"/>
      <c r="G824" s="132"/>
      <c r="H824" s="132"/>
    </row>
    <row r="825" spans="1:8" ht="15" customHeight="1">
      <c r="A825" s="132"/>
      <c r="B825" s="131"/>
      <c r="C825" s="131"/>
      <c r="D825" s="132"/>
      <c r="E825" s="132"/>
      <c r="F825" s="132"/>
      <c r="G825" s="132"/>
      <c r="H825" s="132"/>
    </row>
    <row r="826" spans="1:8" ht="15" customHeight="1">
      <c r="A826" s="132"/>
      <c r="B826" s="131"/>
      <c r="C826" s="131"/>
      <c r="D826" s="132"/>
      <c r="E826" s="132"/>
      <c r="F826" s="132"/>
      <c r="G826" s="132"/>
      <c r="H826" s="132"/>
    </row>
    <row r="827" spans="1:8" ht="15" customHeight="1">
      <c r="A827" s="132"/>
      <c r="B827" s="131"/>
      <c r="C827" s="131"/>
      <c r="D827" s="132"/>
      <c r="E827" s="132"/>
      <c r="F827" s="132"/>
      <c r="G827" s="132"/>
      <c r="H827" s="132"/>
    </row>
    <row r="828" spans="1:8" ht="15" customHeight="1">
      <c r="A828" s="132"/>
      <c r="B828" s="131"/>
      <c r="C828" s="131"/>
      <c r="D828" s="132"/>
      <c r="E828" s="132"/>
      <c r="F828" s="132"/>
      <c r="G828" s="132"/>
      <c r="H828" s="132"/>
    </row>
    <row r="829" spans="1:8" ht="15" customHeight="1">
      <c r="A829" s="132"/>
      <c r="B829" s="131"/>
      <c r="C829" s="131"/>
      <c r="D829" s="132"/>
      <c r="E829" s="132"/>
      <c r="F829" s="132"/>
      <c r="G829" s="132"/>
      <c r="H829" s="132"/>
    </row>
    <row r="830" spans="1:8" ht="15" customHeight="1">
      <c r="A830" s="132"/>
      <c r="B830" s="131"/>
      <c r="C830" s="131"/>
      <c r="D830" s="132"/>
      <c r="E830" s="132"/>
      <c r="F830" s="132"/>
      <c r="G830" s="132"/>
      <c r="H830" s="132"/>
    </row>
    <row r="831" spans="1:8" ht="15" customHeight="1">
      <c r="A831" s="132"/>
      <c r="B831" s="131"/>
      <c r="C831" s="131"/>
      <c r="D831" s="132"/>
      <c r="E831" s="132"/>
      <c r="F831" s="132"/>
      <c r="G831" s="132"/>
      <c r="H831" s="132"/>
    </row>
  </sheetData>
  <mergeCells count="1">
    <mergeCell ref="A2:H2"/>
  </mergeCells>
  <pageMargins left="0.25" right="0.25" top="0.75" bottom="0.75" header="0" footer="0"/>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91FAA-9EFF-4FAC-96C5-6F4A40C8A2D4}">
  <dimension ref="A1:V2083"/>
  <sheetViews>
    <sheetView zoomScale="55" zoomScaleNormal="55" workbookViewId="0">
      <pane xSplit="4" ySplit="2" topLeftCell="E1911" activePane="bottomRight" state="frozen"/>
      <selection pane="topRight" activeCell="E1" sqref="E1"/>
      <selection pane="bottomLeft" activeCell="A3" sqref="A3"/>
      <selection pane="bottomRight" activeCell="O1934" sqref="O1934"/>
    </sheetView>
  </sheetViews>
  <sheetFormatPr defaultColWidth="8.88671875" defaultRowHeight="13.2"/>
  <cols>
    <col min="1" max="1" width="8.6640625" style="459" customWidth="1"/>
    <col min="2" max="2" width="47.44140625" style="459" bestFit="1" customWidth="1"/>
    <col min="3" max="3" width="9.6640625" style="459" customWidth="1"/>
    <col min="4" max="4" width="10.33203125" style="459" customWidth="1"/>
    <col min="5" max="5" width="10.33203125" style="459" bestFit="1" customWidth="1"/>
    <col min="6" max="6" width="18" style="459" bestFit="1" customWidth="1"/>
    <col min="7" max="7" width="11.6640625" style="459" bestFit="1" customWidth="1"/>
    <col min="8" max="8" width="6.6640625" style="459" bestFit="1" customWidth="1"/>
    <col min="9" max="9" width="36.6640625" style="459" bestFit="1" customWidth="1"/>
    <col min="10" max="10" width="10.88671875" style="459" customWidth="1"/>
    <col min="11" max="11" width="13.44140625" style="459" customWidth="1"/>
    <col min="12" max="12" width="14.88671875" style="459" bestFit="1" customWidth="1"/>
    <col min="13" max="13" width="7.88671875" style="459" bestFit="1" customWidth="1"/>
    <col min="14" max="14" width="11.44140625" style="459" bestFit="1" customWidth="1"/>
    <col min="15" max="15" width="11.6640625" style="459" bestFit="1" customWidth="1"/>
    <col min="16" max="16" width="16.6640625" style="459" bestFit="1" customWidth="1"/>
    <col min="17" max="17" width="8.88671875" style="459"/>
    <col min="18" max="18" width="20.6640625" style="459" bestFit="1" customWidth="1"/>
    <col min="19" max="16384" width="8.88671875" style="461"/>
  </cols>
  <sheetData>
    <row r="1" spans="1:22">
      <c r="C1" s="460" t="s">
        <v>649</v>
      </c>
      <c r="D1" s="460">
        <v>3.1</v>
      </c>
    </row>
    <row r="2" spans="1:22" s="464" customFormat="1" ht="26.4">
      <c r="A2" s="462" t="s">
        <v>197</v>
      </c>
      <c r="B2" s="462" t="s">
        <v>289</v>
      </c>
      <c r="C2" s="462" t="s">
        <v>650</v>
      </c>
      <c r="D2" s="462" t="s">
        <v>651</v>
      </c>
      <c r="E2" s="462" t="s">
        <v>562</v>
      </c>
      <c r="F2" s="462" t="s">
        <v>230</v>
      </c>
      <c r="G2" s="462" t="s">
        <v>652</v>
      </c>
      <c r="H2" s="462" t="s">
        <v>315</v>
      </c>
      <c r="I2" s="462" t="s">
        <v>653</v>
      </c>
      <c r="J2" s="462" t="s">
        <v>654</v>
      </c>
      <c r="K2" s="462" t="s">
        <v>655</v>
      </c>
      <c r="L2" s="462" t="s">
        <v>205</v>
      </c>
      <c r="M2" s="463"/>
      <c r="N2" s="463" t="s">
        <v>656</v>
      </c>
      <c r="O2" s="463" t="s">
        <v>657</v>
      </c>
      <c r="P2" s="463" t="s">
        <v>6</v>
      </c>
      <c r="Q2" s="463"/>
      <c r="R2" s="463" t="s">
        <v>658</v>
      </c>
    </row>
    <row r="3" spans="1:22" s="474" customFormat="1" ht="13.5" customHeight="1">
      <c r="A3" s="465" t="s">
        <v>628</v>
      </c>
      <c r="B3" s="466" t="str">
        <f>'Flat Sizes'!B4</f>
        <v>Flat 1A</v>
      </c>
      <c r="C3" s="467"/>
      <c r="D3" s="467"/>
      <c r="E3" s="467"/>
      <c r="F3" s="454"/>
      <c r="G3" s="467"/>
      <c r="H3" s="468"/>
      <c r="I3" s="469"/>
      <c r="J3" s="470"/>
      <c r="K3" s="470"/>
      <c r="L3" s="467"/>
      <c r="M3" s="471"/>
      <c r="N3" s="472">
        <f>'Flat Sizes'!H4</f>
        <v>10</v>
      </c>
      <c r="O3" s="473"/>
      <c r="P3" s="473"/>
      <c r="Q3" s="473"/>
      <c r="R3" s="473"/>
      <c r="S3" s="473"/>
      <c r="T3" s="473"/>
      <c r="U3" s="473"/>
      <c r="V3" s="473"/>
    </row>
    <row r="4" spans="1:22" s="479" customFormat="1" ht="13.5" customHeight="1">
      <c r="A4" s="475" t="s">
        <v>628</v>
      </c>
      <c r="B4" s="476" t="str">
        <f>'Flat Sizes'!B5</f>
        <v>Multi Purpose Room</v>
      </c>
      <c r="C4" s="477">
        <f>'Flat Sizes'!D5</f>
        <v>22.05</v>
      </c>
      <c r="D4" s="477">
        <f>'Flat Sizes'!G5</f>
        <v>19.39</v>
      </c>
      <c r="E4" s="477"/>
      <c r="F4" s="454"/>
      <c r="G4" s="477"/>
      <c r="H4" s="477"/>
      <c r="I4" s="477"/>
      <c r="J4" s="477"/>
      <c r="K4" s="477"/>
      <c r="L4" s="477"/>
      <c r="M4" s="459">
        <f>SUM(L5:L16)/C4/10.764</f>
        <v>351.195147190054</v>
      </c>
      <c r="N4" s="478"/>
      <c r="O4" s="478"/>
      <c r="P4" s="478"/>
      <c r="Q4" s="478"/>
      <c r="R4" s="478"/>
    </row>
    <row r="5" spans="1:22">
      <c r="A5" s="454"/>
      <c r="B5" s="454" t="str">
        <f>'Rate List - Flats'!B6</f>
        <v>Flooring</v>
      </c>
      <c r="C5" s="454"/>
      <c r="D5" s="454"/>
      <c r="E5" s="454">
        <f>C4</f>
        <v>22.05</v>
      </c>
      <c r="F5" s="454"/>
      <c r="G5" s="454">
        <f>E5+F5</f>
        <v>22.05</v>
      </c>
      <c r="H5" s="454" t="str">
        <f>'Rate List - Flats'!H6</f>
        <v>Sq M</v>
      </c>
      <c r="I5" s="454" t="str">
        <f>'Rate List - Flats'!C6</f>
        <v>2'x2' Vitrified tiles</v>
      </c>
      <c r="J5" s="454">
        <f>'Rate List - Flats'!E6</f>
        <v>45</v>
      </c>
      <c r="K5" s="454">
        <f>'Rate List - Flats'!G6</f>
        <v>1340.1179999999999</v>
      </c>
      <c r="L5" s="454">
        <f>G5*K5</f>
        <v>29549.601899999998</v>
      </c>
      <c r="O5" s="459">
        <f>IF(I5="N.A",0,G5*$N$3)</f>
        <v>220.5</v>
      </c>
      <c r="P5" s="459">
        <f>L5*$N$3</f>
        <v>295496.01899999997</v>
      </c>
      <c r="R5" s="480" t="s">
        <v>659</v>
      </c>
    </row>
    <row r="6" spans="1:22">
      <c r="A6" s="454"/>
      <c r="B6" s="454" t="str">
        <f>'Rate List - Flats'!B7</f>
        <v>Skirting</v>
      </c>
      <c r="C6" s="454"/>
      <c r="D6" s="454"/>
      <c r="E6" s="454">
        <f>D4</f>
        <v>19.39</v>
      </c>
      <c r="F6" s="454">
        <f>-(Doors!H5+Doors!H6+Doors!H7+Doors!H9)</f>
        <v>-7.8750000000000009</v>
      </c>
      <c r="G6" s="454">
        <f t="shared" ref="G6:G15" si="0">E6+F6</f>
        <v>11.515000000000001</v>
      </c>
      <c r="H6" s="454" t="str">
        <f>'Rate List - Flats'!H7</f>
        <v>RM</v>
      </c>
      <c r="I6" s="454" t="str">
        <f>'Rate List - Flats'!C7</f>
        <v xml:space="preserve">2'x2' Vitrified tiles </v>
      </c>
      <c r="J6" s="454">
        <f>'Rate List - Flats'!E7</f>
        <v>45</v>
      </c>
      <c r="K6" s="454">
        <f>'Rate List - Flats'!G7</f>
        <v>391.96</v>
      </c>
      <c r="L6" s="454">
        <f t="shared" ref="L6:L68" si="1">G6*K6</f>
        <v>4513.4193999999998</v>
      </c>
      <c r="O6" s="459">
        <f t="shared" ref="O6:O68" si="2">IF(I6="N.A",0,G6*$N$3)</f>
        <v>115.15</v>
      </c>
      <c r="P6" s="459">
        <f t="shared" ref="P6:P68" si="3">L6*$N$3</f>
        <v>45134.193999999996</v>
      </c>
      <c r="R6" s="480" t="s">
        <v>660</v>
      </c>
    </row>
    <row r="7" spans="1:22">
      <c r="A7" s="454"/>
      <c r="B7" s="454" t="str">
        <f>'Rate List - Flats'!B8</f>
        <v>Dado</v>
      </c>
      <c r="C7" s="454"/>
      <c r="D7" s="454"/>
      <c r="E7" s="454"/>
      <c r="F7" s="454"/>
      <c r="G7" s="454">
        <f t="shared" si="0"/>
        <v>0</v>
      </c>
      <c r="H7" s="454" t="str">
        <f>'Rate List - Flats'!H8</f>
        <v>Sq M</v>
      </c>
      <c r="I7" s="454" t="str">
        <f>'Rate List - Flats'!C8</f>
        <v>N.A.</v>
      </c>
      <c r="J7" s="454"/>
      <c r="K7" s="454"/>
      <c r="L7" s="454">
        <f t="shared" si="1"/>
        <v>0</v>
      </c>
      <c r="O7" s="459">
        <f t="shared" si="2"/>
        <v>0</v>
      </c>
      <c r="P7" s="459">
        <f t="shared" si="3"/>
        <v>0</v>
      </c>
      <c r="R7" s="480"/>
    </row>
    <row r="8" spans="1:22">
      <c r="A8" s="454"/>
      <c r="B8" s="454" t="str">
        <f>'Rate List - Flats'!B9</f>
        <v>Wall finishes plaster</v>
      </c>
      <c r="C8" s="454"/>
      <c r="D8" s="454"/>
      <c r="E8" s="454">
        <f>D4*(D1-0.15)</f>
        <v>57.200500000000005</v>
      </c>
      <c r="F8" s="454">
        <f>-(Doors!H5+Doors!H6+Doors!H7+Doors!H9+Windows!H4)</f>
        <v>-19.27</v>
      </c>
      <c r="G8" s="454">
        <f t="shared" si="0"/>
        <v>37.930500000000009</v>
      </c>
      <c r="H8" s="454" t="str">
        <f>'Rate List - Flats'!H9</f>
        <v>Sq M</v>
      </c>
      <c r="I8" s="454" t="str">
        <f>'Rate List - Flats'!C9</f>
        <v>Gypsum Plaster</v>
      </c>
      <c r="J8" s="454">
        <f>'Rate List - Flats'!E9</f>
        <v>32</v>
      </c>
      <c r="K8" s="454">
        <f>'Rate List - Flats'!G9</f>
        <v>344.44799999999998</v>
      </c>
      <c r="L8" s="454">
        <f t="shared" si="1"/>
        <v>13065.084864000002</v>
      </c>
      <c r="O8" s="459">
        <f t="shared" si="2"/>
        <v>379.30500000000006</v>
      </c>
      <c r="P8" s="459">
        <f t="shared" si="3"/>
        <v>130650.84864000003</v>
      </c>
      <c r="R8" s="480" t="s">
        <v>661</v>
      </c>
    </row>
    <row r="9" spans="1:22">
      <c r="A9" s="454"/>
      <c r="B9" s="454" t="str">
        <f>'Rate List - Flats'!B10</f>
        <v>Ceiling plaster</v>
      </c>
      <c r="C9" s="454"/>
      <c r="D9" s="454"/>
      <c r="E9" s="454">
        <f>E5</f>
        <v>22.05</v>
      </c>
      <c r="F9" s="454"/>
      <c r="G9" s="454">
        <f t="shared" si="0"/>
        <v>22.05</v>
      </c>
      <c r="H9" s="454" t="str">
        <f>'Rate List - Flats'!H10</f>
        <v>Sq M</v>
      </c>
      <c r="I9" s="454" t="str">
        <f>'Rate List - Flats'!C10</f>
        <v>Gypsum Plaster</v>
      </c>
      <c r="J9" s="454">
        <f>'Rate List - Flats'!E10</f>
        <v>32</v>
      </c>
      <c r="K9" s="454">
        <f>'Rate List - Flats'!G10</f>
        <v>344.44799999999998</v>
      </c>
      <c r="L9" s="454">
        <f t="shared" si="1"/>
        <v>7595.0783999999994</v>
      </c>
      <c r="O9" s="459">
        <f t="shared" si="2"/>
        <v>220.5</v>
      </c>
      <c r="P9" s="459">
        <f t="shared" si="3"/>
        <v>75950.784</v>
      </c>
      <c r="R9" s="480" t="s">
        <v>662</v>
      </c>
    </row>
    <row r="10" spans="1:22">
      <c r="A10" s="454"/>
      <c r="B10" s="454" t="str">
        <f>'Rate List - Flats'!B11</f>
        <v>False ceiling</v>
      </c>
      <c r="C10" s="454"/>
      <c r="D10" s="454"/>
      <c r="E10" s="454"/>
      <c r="F10" s="454"/>
      <c r="G10" s="454">
        <f t="shared" si="0"/>
        <v>0</v>
      </c>
      <c r="H10" s="454" t="str">
        <f>'Rate List - Flats'!H11</f>
        <v>Sq M</v>
      </c>
      <c r="I10" s="454" t="str">
        <f>'Rate List - Flats'!C11</f>
        <v>N.A.</v>
      </c>
      <c r="J10" s="454"/>
      <c r="K10" s="454"/>
      <c r="L10" s="454">
        <f t="shared" si="1"/>
        <v>0</v>
      </c>
      <c r="O10" s="459">
        <f t="shared" si="2"/>
        <v>0</v>
      </c>
      <c r="P10" s="459">
        <f t="shared" si="3"/>
        <v>0</v>
      </c>
      <c r="R10" s="480"/>
    </row>
    <row r="11" spans="1:22">
      <c r="A11" s="454"/>
      <c r="B11" s="454" t="str">
        <f>'Rate List - Flats'!B12</f>
        <v>Wall finishes Paint</v>
      </c>
      <c r="C11" s="454"/>
      <c r="D11" s="454"/>
      <c r="E11" s="454">
        <f>E8</f>
        <v>57.200500000000005</v>
      </c>
      <c r="F11" s="454">
        <f>F8</f>
        <v>-19.27</v>
      </c>
      <c r="G11" s="454">
        <f t="shared" si="0"/>
        <v>37.930500000000009</v>
      </c>
      <c r="H11" s="454" t="str">
        <f>'Rate List - Flats'!H12</f>
        <v>Sq M</v>
      </c>
      <c r="I11" s="454" t="str">
        <f>'Rate List - Flats'!C12</f>
        <v>Plastic paint</v>
      </c>
      <c r="J11" s="454">
        <f>'Rate List - Flats'!E12</f>
        <v>20</v>
      </c>
      <c r="K11" s="454">
        <f>'Rate List - Flats'!G12</f>
        <v>215.27999999999997</v>
      </c>
      <c r="L11" s="454">
        <f t="shared" si="1"/>
        <v>8165.6780400000007</v>
      </c>
      <c r="O11" s="459">
        <f t="shared" si="2"/>
        <v>379.30500000000006</v>
      </c>
      <c r="P11" s="459">
        <f t="shared" si="3"/>
        <v>81656.780400000003</v>
      </c>
      <c r="R11" s="480" t="s">
        <v>663</v>
      </c>
    </row>
    <row r="12" spans="1:22">
      <c r="A12" s="454"/>
      <c r="B12" s="454" t="str">
        <f>'Rate List - Flats'!B13</f>
        <v>Ceiling Paint</v>
      </c>
      <c r="C12" s="454"/>
      <c r="D12" s="454"/>
      <c r="E12" s="454">
        <f>E9</f>
        <v>22.05</v>
      </c>
      <c r="F12" s="454"/>
      <c r="G12" s="454">
        <f t="shared" si="0"/>
        <v>22.05</v>
      </c>
      <c r="H12" s="454" t="str">
        <f>'Rate List - Flats'!H13</f>
        <v>Sq M</v>
      </c>
      <c r="I12" s="454" t="str">
        <f>'Rate List - Flats'!C13</f>
        <v>Plastic paint</v>
      </c>
      <c r="J12" s="454">
        <f>'Rate List - Flats'!E13</f>
        <v>20</v>
      </c>
      <c r="K12" s="454">
        <f>'Rate List - Flats'!G13</f>
        <v>215.27999999999997</v>
      </c>
      <c r="L12" s="454">
        <f t="shared" si="1"/>
        <v>4746.924</v>
      </c>
      <c r="O12" s="459">
        <f t="shared" si="2"/>
        <v>220.5</v>
      </c>
      <c r="P12" s="459">
        <f t="shared" si="3"/>
        <v>47469.24</v>
      </c>
      <c r="R12" s="480" t="s">
        <v>664</v>
      </c>
    </row>
    <row r="13" spans="1:22">
      <c r="A13" s="454"/>
      <c r="B13" s="454" t="str">
        <f>'Rate List - Flats'!B14</f>
        <v>Door Frames</v>
      </c>
      <c r="C13" s="454"/>
      <c r="D13" s="454"/>
      <c r="E13" s="454"/>
      <c r="F13" s="454"/>
      <c r="G13" s="454">
        <f t="shared" si="0"/>
        <v>0</v>
      </c>
      <c r="H13" s="454" t="str">
        <f>'Rate List - Flats'!H14</f>
        <v>RM</v>
      </c>
      <c r="I13" s="454" t="str">
        <f>'Rate List - Flats'!C14</f>
        <v>N.A.</v>
      </c>
      <c r="J13" s="454"/>
      <c r="K13" s="454"/>
      <c r="L13" s="454">
        <f t="shared" si="1"/>
        <v>0</v>
      </c>
      <c r="O13" s="459">
        <f t="shared" si="2"/>
        <v>0</v>
      </c>
      <c r="P13" s="459">
        <f t="shared" si="3"/>
        <v>0</v>
      </c>
      <c r="R13" s="480" t="s">
        <v>742</v>
      </c>
    </row>
    <row r="14" spans="1:22">
      <c r="A14" s="454"/>
      <c r="B14" s="454" t="str">
        <f>'Rate List - Flats'!B15</f>
        <v>Window Frames - Internal</v>
      </c>
      <c r="C14" s="454"/>
      <c r="D14" s="454"/>
      <c r="E14" s="454">
        <f>Windows!F4*2+Windows!G4*2</f>
        <v>14.899999999999999</v>
      </c>
      <c r="F14" s="454"/>
      <c r="G14" s="454">
        <f t="shared" si="0"/>
        <v>14.899999999999999</v>
      </c>
      <c r="H14" s="454" t="str">
        <f>'Rate List - Flats'!H15</f>
        <v>RM</v>
      </c>
      <c r="I14" s="454" t="str">
        <f>'Rate List - Flats'!C15</f>
        <v>Granite Window Frame</v>
      </c>
      <c r="J14" s="454">
        <f>'Rate List - Flats'!E15</f>
        <v>180</v>
      </c>
      <c r="K14" s="454">
        <f>'Rate List - Flats'!G15</f>
        <v>655.92719999999997</v>
      </c>
      <c r="L14" s="454">
        <f t="shared" si="1"/>
        <v>9773.3152799999989</v>
      </c>
      <c r="O14" s="459">
        <f t="shared" si="2"/>
        <v>149</v>
      </c>
      <c r="P14" s="459">
        <f t="shared" si="3"/>
        <v>97733.152799999982</v>
      </c>
      <c r="R14" s="480" t="s">
        <v>743</v>
      </c>
    </row>
    <row r="15" spans="1:22">
      <c r="A15" s="454"/>
      <c r="B15" s="454" t="str">
        <f>'Rate List - Flats'!B16</f>
        <v>Window Frames - External</v>
      </c>
      <c r="C15" s="454"/>
      <c r="D15" s="454"/>
      <c r="E15" s="454">
        <f>E14</f>
        <v>14.899999999999999</v>
      </c>
      <c r="F15" s="454"/>
      <c r="G15" s="454">
        <f t="shared" si="0"/>
        <v>14.899999999999999</v>
      </c>
      <c r="H15" s="454" t="str">
        <f>'Rate List - Flats'!H16</f>
        <v>RM</v>
      </c>
      <c r="I15" s="454" t="str">
        <f>'Rate List - Flats'!C16</f>
        <v>Marble Window Frames with Sill</v>
      </c>
      <c r="J15" s="454">
        <f>'Rate List - Flats'!E16</f>
        <v>60</v>
      </c>
      <c r="K15" s="454">
        <f>'Rate List - Flats'!G16</f>
        <v>399.04239999999999</v>
      </c>
      <c r="L15" s="454">
        <f t="shared" si="1"/>
        <v>5945.7317599999997</v>
      </c>
      <c r="O15" s="459">
        <f t="shared" si="2"/>
        <v>149</v>
      </c>
      <c r="P15" s="459">
        <f t="shared" si="3"/>
        <v>59457.317599999995</v>
      </c>
      <c r="R15" s="480" t="s">
        <v>409</v>
      </c>
    </row>
    <row r="16" spans="1:22">
      <c r="A16" s="454"/>
      <c r="B16" s="454" t="str">
        <f>'Rate List - Flats'!B17</f>
        <v>Others</v>
      </c>
      <c r="C16" s="454"/>
      <c r="D16" s="454"/>
      <c r="E16" s="454"/>
      <c r="F16" s="454"/>
      <c r="G16" s="454"/>
      <c r="H16" s="454" t="str">
        <f>'Rate List - Flats'!H17</f>
        <v>-</v>
      </c>
      <c r="I16" s="454" t="str">
        <f>'Rate List - Flats'!C17</f>
        <v>N.A.</v>
      </c>
      <c r="J16" s="481" t="str">
        <f>'Rate List - Flats'!E17</f>
        <v>-</v>
      </c>
      <c r="K16" s="481" t="str">
        <f>'Rate List - Flats'!G17</f>
        <v>-</v>
      </c>
      <c r="L16" s="481" t="s">
        <v>708</v>
      </c>
      <c r="O16" s="459">
        <f t="shared" si="2"/>
        <v>0</v>
      </c>
      <c r="P16" s="459">
        <v>0</v>
      </c>
    </row>
    <row r="17" spans="1:18" s="479" customFormat="1" ht="13.5" customHeight="1">
      <c r="A17" s="475" t="s">
        <v>628</v>
      </c>
      <c r="B17" s="476" t="str">
        <f>'Flat Sizes'!B6</f>
        <v>Study Room</v>
      </c>
      <c r="C17" s="477">
        <f>'Flat Sizes'!D6</f>
        <v>5.47</v>
      </c>
      <c r="D17" s="477">
        <f>'Flat Sizes'!G6</f>
        <v>9.77</v>
      </c>
      <c r="E17" s="477"/>
      <c r="F17" s="454"/>
      <c r="G17" s="477"/>
      <c r="H17" s="477"/>
      <c r="I17" s="477"/>
      <c r="J17" s="477"/>
      <c r="K17" s="477"/>
      <c r="L17" s="477"/>
      <c r="M17" s="459">
        <f>SUM(L18:L29)/C17/10.764</f>
        <v>583.54945444120403</v>
      </c>
      <c r="N17" s="478"/>
      <c r="O17" s="459">
        <f t="shared" si="2"/>
        <v>0</v>
      </c>
      <c r="P17" s="459">
        <f t="shared" si="3"/>
        <v>0</v>
      </c>
      <c r="Q17" s="478"/>
      <c r="R17" s="478"/>
    </row>
    <row r="18" spans="1:18">
      <c r="A18" s="454"/>
      <c r="B18" s="454" t="str" cm="1">
        <f t="array" ref="B18:B29">'Rate List - Flats'!B20:B31</f>
        <v>Flooring</v>
      </c>
      <c r="C18" s="454"/>
      <c r="D18" s="454"/>
      <c r="E18" s="454">
        <f>C17</f>
        <v>5.47</v>
      </c>
      <c r="F18" s="454"/>
      <c r="G18" s="454">
        <f t="shared" ref="G18:G68" si="4">E18+F18</f>
        <v>5.47</v>
      </c>
      <c r="H18" s="454" t="str" cm="1">
        <f t="array" ref="H18:H29">'Rate List - Flats'!H20:H31</f>
        <v>Sq M</v>
      </c>
      <c r="I18" s="454" t="str" cm="1">
        <f t="array" ref="I18:I29">'Rate List - Flats'!C20:C31</f>
        <v>2'x2' Vitrified tiles</v>
      </c>
      <c r="J18" s="454" cm="1">
        <f t="array" ref="J18:J29">'Rate List - Flats'!E20:E31</f>
        <v>45</v>
      </c>
      <c r="K18" s="454" cm="1">
        <f t="array" ref="K18:K29">'Rate List - Flats'!G20:G31</f>
        <v>1340.1179999999999</v>
      </c>
      <c r="L18" s="454">
        <f t="shared" si="1"/>
        <v>7330.445459999999</v>
      </c>
      <c r="O18" s="459">
        <f t="shared" si="2"/>
        <v>54.699999999999996</v>
      </c>
      <c r="P18" s="459">
        <f t="shared" si="3"/>
        <v>73304.454599999997</v>
      </c>
      <c r="R18" s="480" t="s">
        <v>659</v>
      </c>
    </row>
    <row r="19" spans="1:18">
      <c r="A19" s="454"/>
      <c r="B19" s="454" t="str">
        <v>Skirting</v>
      </c>
      <c r="C19" s="454"/>
      <c r="D19" s="454"/>
      <c r="E19" s="454">
        <f>D17</f>
        <v>9.77</v>
      </c>
      <c r="F19" s="454">
        <f>-(Doors!F6)</f>
        <v>-0.9</v>
      </c>
      <c r="G19" s="454">
        <f t="shared" si="4"/>
        <v>8.8699999999999992</v>
      </c>
      <c r="H19" s="454" t="str">
        <v>RM</v>
      </c>
      <c r="I19" s="454" t="str">
        <v xml:space="preserve">2'x2' Vitrified tiles </v>
      </c>
      <c r="J19" s="454">
        <v>45</v>
      </c>
      <c r="K19" s="454">
        <v>391.96</v>
      </c>
      <c r="L19" s="454">
        <f t="shared" si="1"/>
        <v>3476.6851999999994</v>
      </c>
      <c r="O19" s="459">
        <f t="shared" si="2"/>
        <v>88.699999999999989</v>
      </c>
      <c r="P19" s="459">
        <f t="shared" si="3"/>
        <v>34766.851999999992</v>
      </c>
      <c r="R19" s="480" t="s">
        <v>660</v>
      </c>
    </row>
    <row r="20" spans="1:18">
      <c r="A20" s="454"/>
      <c r="B20" s="454" t="str">
        <v>Dado</v>
      </c>
      <c r="C20" s="454"/>
      <c r="D20" s="454"/>
      <c r="E20" s="454"/>
      <c r="F20" s="454"/>
      <c r="G20" s="454">
        <f t="shared" si="4"/>
        <v>0</v>
      </c>
      <c r="H20" s="454" t="str">
        <v>Sq M</v>
      </c>
      <c r="I20" s="454" t="str">
        <v>N.A.</v>
      </c>
      <c r="J20" s="454">
        <v>0</v>
      </c>
      <c r="K20" s="454">
        <v>0</v>
      </c>
      <c r="L20" s="454">
        <f t="shared" si="1"/>
        <v>0</v>
      </c>
      <c r="O20" s="459">
        <f t="shared" si="2"/>
        <v>0</v>
      </c>
      <c r="P20" s="459">
        <f t="shared" si="3"/>
        <v>0</v>
      </c>
      <c r="R20" s="480"/>
    </row>
    <row r="21" spans="1:18">
      <c r="A21" s="454"/>
      <c r="B21" s="454" t="str">
        <v>Wall finishes plaster</v>
      </c>
      <c r="C21" s="454"/>
      <c r="D21" s="454"/>
      <c r="E21" s="454">
        <f>D17*(D1-0.15)</f>
        <v>28.8215</v>
      </c>
      <c r="F21" s="454">
        <f>-(Doors!H6+Windows!H5)</f>
        <v>-3.9754999999999998</v>
      </c>
      <c r="G21" s="454">
        <f t="shared" si="4"/>
        <v>24.846</v>
      </c>
      <c r="H21" s="454" t="str">
        <v>Sq M</v>
      </c>
      <c r="I21" s="454" t="str">
        <v>Gypsum Plaster</v>
      </c>
      <c r="J21" s="454">
        <v>32</v>
      </c>
      <c r="K21" s="454">
        <v>344.44799999999998</v>
      </c>
      <c r="L21" s="454">
        <f t="shared" si="1"/>
        <v>8558.1550079999997</v>
      </c>
      <c r="O21" s="459">
        <f t="shared" si="2"/>
        <v>248.46</v>
      </c>
      <c r="P21" s="459">
        <f t="shared" si="3"/>
        <v>85581.550080000001</v>
      </c>
      <c r="R21" s="480" t="s">
        <v>661</v>
      </c>
    </row>
    <row r="22" spans="1:18">
      <c r="A22" s="454"/>
      <c r="B22" s="454" t="str">
        <v>Ceiling plaster</v>
      </c>
      <c r="C22" s="454"/>
      <c r="D22" s="454"/>
      <c r="E22" s="454">
        <f>E18</f>
        <v>5.47</v>
      </c>
      <c r="F22" s="454"/>
      <c r="G22" s="454">
        <f t="shared" si="4"/>
        <v>5.47</v>
      </c>
      <c r="H22" s="454" t="str">
        <v>Sq M</v>
      </c>
      <c r="I22" s="454" t="str">
        <v>Gypsum Plaster</v>
      </c>
      <c r="J22" s="454">
        <v>32</v>
      </c>
      <c r="K22" s="454">
        <v>344.44799999999998</v>
      </c>
      <c r="L22" s="454">
        <f t="shared" si="1"/>
        <v>1884.1305599999998</v>
      </c>
      <c r="O22" s="459">
        <f t="shared" si="2"/>
        <v>54.699999999999996</v>
      </c>
      <c r="P22" s="459">
        <f t="shared" si="3"/>
        <v>18841.3056</v>
      </c>
      <c r="R22" s="480" t="s">
        <v>662</v>
      </c>
    </row>
    <row r="23" spans="1:18">
      <c r="A23" s="454"/>
      <c r="B23" s="454" t="str">
        <v>False ceiling</v>
      </c>
      <c r="C23" s="454"/>
      <c r="D23" s="454"/>
      <c r="E23" s="454"/>
      <c r="F23" s="454"/>
      <c r="G23" s="454">
        <f t="shared" si="4"/>
        <v>0</v>
      </c>
      <c r="H23" s="454" t="str">
        <v>Sq M</v>
      </c>
      <c r="I23" s="454" t="str">
        <v>N.A.</v>
      </c>
      <c r="J23" s="454">
        <v>0</v>
      </c>
      <c r="K23" s="454">
        <v>0</v>
      </c>
      <c r="L23" s="454">
        <f t="shared" si="1"/>
        <v>0</v>
      </c>
      <c r="O23" s="459">
        <f t="shared" si="2"/>
        <v>0</v>
      </c>
      <c r="P23" s="459">
        <f t="shared" si="3"/>
        <v>0</v>
      </c>
      <c r="R23" s="480"/>
    </row>
    <row r="24" spans="1:18">
      <c r="A24" s="454"/>
      <c r="B24" s="454" t="str">
        <v>Wall finishes Paint</v>
      </c>
      <c r="C24" s="454"/>
      <c r="D24" s="454"/>
      <c r="E24" s="454">
        <f>E21</f>
        <v>28.8215</v>
      </c>
      <c r="F24" s="454">
        <f>F21</f>
        <v>-3.9754999999999998</v>
      </c>
      <c r="G24" s="454">
        <f t="shared" si="4"/>
        <v>24.846</v>
      </c>
      <c r="H24" s="454" t="str">
        <v>Sq M</v>
      </c>
      <c r="I24" s="454" t="str">
        <v>Plastic paint</v>
      </c>
      <c r="J24" s="454">
        <v>20</v>
      </c>
      <c r="K24" s="454">
        <v>215.27999999999997</v>
      </c>
      <c r="L24" s="454">
        <f t="shared" si="1"/>
        <v>5348.8468799999991</v>
      </c>
      <c r="O24" s="459">
        <f t="shared" si="2"/>
        <v>248.46</v>
      </c>
      <c r="P24" s="459">
        <f t="shared" si="3"/>
        <v>53488.468799999988</v>
      </c>
      <c r="R24" s="480" t="s">
        <v>663</v>
      </c>
    </row>
    <row r="25" spans="1:18">
      <c r="A25" s="454"/>
      <c r="B25" s="454" t="str">
        <v>Ceiling Paint</v>
      </c>
      <c r="C25" s="454"/>
      <c r="D25" s="454"/>
      <c r="E25" s="454">
        <f>E22</f>
        <v>5.47</v>
      </c>
      <c r="F25" s="454"/>
      <c r="G25" s="454">
        <f t="shared" si="4"/>
        <v>5.47</v>
      </c>
      <c r="H25" s="454" t="str">
        <v>Sq M</v>
      </c>
      <c r="I25" s="454" t="str">
        <v>Plastic paint</v>
      </c>
      <c r="J25" s="454">
        <v>20</v>
      </c>
      <c r="K25" s="454">
        <v>215.27999999999997</v>
      </c>
      <c r="L25" s="454">
        <f t="shared" si="1"/>
        <v>1177.5815999999998</v>
      </c>
      <c r="O25" s="459">
        <f t="shared" si="2"/>
        <v>54.699999999999996</v>
      </c>
      <c r="P25" s="459">
        <f t="shared" si="3"/>
        <v>11775.815999999997</v>
      </c>
      <c r="R25" s="480" t="s">
        <v>664</v>
      </c>
    </row>
    <row r="26" spans="1:18">
      <c r="A26" s="454"/>
      <c r="B26" s="454" t="str">
        <v>Door Frames</v>
      </c>
      <c r="C26" s="454"/>
      <c r="D26" s="454"/>
      <c r="E26" s="454"/>
      <c r="F26" s="454"/>
      <c r="G26" s="454">
        <f t="shared" si="4"/>
        <v>0</v>
      </c>
      <c r="H26" s="454" t="str">
        <v>RM</v>
      </c>
      <c r="I26" s="454" t="str">
        <v>N.A.</v>
      </c>
      <c r="J26" s="454">
        <v>0</v>
      </c>
      <c r="K26" s="454">
        <v>0</v>
      </c>
      <c r="L26" s="454">
        <f t="shared" si="1"/>
        <v>0</v>
      </c>
      <c r="O26" s="459">
        <f t="shared" si="2"/>
        <v>0</v>
      </c>
      <c r="P26" s="459">
        <f t="shared" si="3"/>
        <v>0</v>
      </c>
      <c r="R26" s="480"/>
    </row>
    <row r="27" spans="1:18">
      <c r="A27" s="454"/>
      <c r="B27" s="454" t="str">
        <v>Window Frames - Internal</v>
      </c>
      <c r="C27" s="454"/>
      <c r="D27" s="454"/>
      <c r="E27" s="454">
        <f>(Windows!F5*2)+(Windows!G5*2)</f>
        <v>6.24</v>
      </c>
      <c r="F27" s="454"/>
      <c r="G27" s="454">
        <f t="shared" si="4"/>
        <v>6.24</v>
      </c>
      <c r="H27" s="454" t="str">
        <v>RM</v>
      </c>
      <c r="I27" s="454" t="str">
        <v>Granite Window Frame</v>
      </c>
      <c r="J27" s="454">
        <v>180</v>
      </c>
      <c r="K27" s="454">
        <v>655.92719999999997</v>
      </c>
      <c r="L27" s="454">
        <f t="shared" si="1"/>
        <v>4092.9857280000001</v>
      </c>
      <c r="O27" s="459">
        <f t="shared" si="2"/>
        <v>62.400000000000006</v>
      </c>
      <c r="P27" s="459">
        <f t="shared" si="3"/>
        <v>40929.857280000004</v>
      </c>
      <c r="R27" s="480" t="s">
        <v>743</v>
      </c>
    </row>
    <row r="28" spans="1:18">
      <c r="A28" s="454"/>
      <c r="B28" s="454" t="str">
        <v>Window Frames - External</v>
      </c>
      <c r="C28" s="454"/>
      <c r="D28" s="454"/>
      <c r="E28" s="454">
        <f>E27</f>
        <v>6.24</v>
      </c>
      <c r="F28" s="454"/>
      <c r="G28" s="454">
        <f t="shared" si="4"/>
        <v>6.24</v>
      </c>
      <c r="H28" s="454" t="str">
        <v>RM</v>
      </c>
      <c r="I28" s="454" t="str">
        <v>Marble Window Frames with Sill</v>
      </c>
      <c r="J28" s="454">
        <v>60</v>
      </c>
      <c r="K28" s="454">
        <v>399.04239999999999</v>
      </c>
      <c r="L28" s="454">
        <f t="shared" si="1"/>
        <v>2490.0245759999998</v>
      </c>
      <c r="O28" s="459">
        <f t="shared" si="2"/>
        <v>62.400000000000006</v>
      </c>
      <c r="P28" s="459">
        <f t="shared" si="3"/>
        <v>24900.245759999998</v>
      </c>
      <c r="R28" s="480" t="s">
        <v>409</v>
      </c>
    </row>
    <row r="29" spans="1:18">
      <c r="A29" s="454"/>
      <c r="B29" s="454" t="str">
        <v>Others</v>
      </c>
      <c r="C29" s="454"/>
      <c r="D29" s="454"/>
      <c r="E29" s="454"/>
      <c r="F29" s="454"/>
      <c r="G29" s="454">
        <f t="shared" si="4"/>
        <v>0</v>
      </c>
      <c r="H29" s="454" t="str">
        <v>-</v>
      </c>
      <c r="I29" s="454" t="str">
        <v>N.A.</v>
      </c>
      <c r="J29" s="454">
        <v>0</v>
      </c>
      <c r="K29" s="454">
        <v>0</v>
      </c>
      <c r="L29" s="454">
        <f t="shared" si="1"/>
        <v>0</v>
      </c>
      <c r="O29" s="459">
        <f t="shared" si="2"/>
        <v>0</v>
      </c>
      <c r="P29" s="459">
        <f t="shared" si="3"/>
        <v>0</v>
      </c>
    </row>
    <row r="30" spans="1:18" s="479" customFormat="1" ht="13.5" customHeight="1">
      <c r="A30" s="475" t="s">
        <v>628</v>
      </c>
      <c r="B30" s="476" t="str">
        <f>'Flat Sizes'!B7</f>
        <v>M. Bedroom</v>
      </c>
      <c r="C30" s="477">
        <f>'Flat Sizes'!D7</f>
        <v>12.42</v>
      </c>
      <c r="D30" s="477">
        <f>'Flat Sizes'!G7</f>
        <v>14.75</v>
      </c>
      <c r="E30" s="477"/>
      <c r="F30" s="454"/>
      <c r="G30" s="477"/>
      <c r="H30" s="477"/>
      <c r="I30" s="477"/>
      <c r="J30" s="477"/>
      <c r="K30" s="477"/>
      <c r="L30" s="477"/>
      <c r="M30" s="459">
        <f>SUM(L31:L42)/C30/10.764</f>
        <v>453.33150879863757</v>
      </c>
      <c r="N30" s="478"/>
      <c r="O30" s="459">
        <f t="shared" si="2"/>
        <v>0</v>
      </c>
      <c r="P30" s="459">
        <f t="shared" si="3"/>
        <v>0</v>
      </c>
      <c r="Q30" s="478"/>
      <c r="R30" s="478"/>
    </row>
    <row r="31" spans="1:18">
      <c r="A31" s="454"/>
      <c r="B31" s="454" t="str">
        <f>'Rate List - Flats'!B20</f>
        <v>Flooring</v>
      </c>
      <c r="C31" s="454"/>
      <c r="D31" s="454"/>
      <c r="E31" s="454">
        <f>C30</f>
        <v>12.42</v>
      </c>
      <c r="F31" s="454"/>
      <c r="G31" s="454">
        <f t="shared" si="4"/>
        <v>12.42</v>
      </c>
      <c r="H31" s="454" t="str">
        <f>'Rate List - Flats'!H20</f>
        <v>Sq M</v>
      </c>
      <c r="I31" s="454" t="str">
        <f>'Rate List - Flats'!C20</f>
        <v>2'x2' Vitrified tiles</v>
      </c>
      <c r="J31" s="454">
        <f>'Rate List - Flats'!E20</f>
        <v>45</v>
      </c>
      <c r="K31" s="454">
        <f>'Rate List - Flats'!G20</f>
        <v>1340.1179999999999</v>
      </c>
      <c r="L31" s="454">
        <f t="shared" si="1"/>
        <v>16644.26556</v>
      </c>
      <c r="O31" s="459">
        <f t="shared" si="2"/>
        <v>124.2</v>
      </c>
      <c r="P31" s="459">
        <f t="shared" si="3"/>
        <v>166442.6556</v>
      </c>
      <c r="R31" s="480" t="s">
        <v>659</v>
      </c>
    </row>
    <row r="32" spans="1:18">
      <c r="A32" s="454"/>
      <c r="B32" s="454" t="str">
        <f>'Rate List - Flats'!B21</f>
        <v>Skirting</v>
      </c>
      <c r="C32" s="454"/>
      <c r="D32" s="454"/>
      <c r="E32" s="454">
        <f>D30</f>
        <v>14.75</v>
      </c>
      <c r="F32" s="454">
        <f>-(Doors!F7+Doors!F8)</f>
        <v>-1.65</v>
      </c>
      <c r="G32" s="454">
        <f t="shared" si="4"/>
        <v>13.1</v>
      </c>
      <c r="H32" s="454" t="str">
        <f>'Rate List - Flats'!H21</f>
        <v>RM</v>
      </c>
      <c r="I32" s="454" t="str">
        <f>'Rate List - Flats'!C21</f>
        <v xml:space="preserve">2'x2' Vitrified tiles </v>
      </c>
      <c r="J32" s="454">
        <f>'Rate List - Flats'!E21</f>
        <v>45</v>
      </c>
      <c r="K32" s="454">
        <f>'Rate List - Flats'!G21</f>
        <v>391.96</v>
      </c>
      <c r="L32" s="454">
        <f t="shared" si="1"/>
        <v>5134.6759999999995</v>
      </c>
      <c r="O32" s="459">
        <f t="shared" si="2"/>
        <v>131</v>
      </c>
      <c r="P32" s="459">
        <f t="shared" si="3"/>
        <v>51346.759999999995</v>
      </c>
      <c r="R32" s="480" t="s">
        <v>660</v>
      </c>
    </row>
    <row r="33" spans="1:18">
      <c r="A33" s="454"/>
      <c r="B33" s="454" t="str">
        <f>'Rate List - Flats'!B22</f>
        <v>Dado</v>
      </c>
      <c r="C33" s="454"/>
      <c r="D33" s="454"/>
      <c r="E33" s="454"/>
      <c r="F33" s="454"/>
      <c r="G33" s="454">
        <f t="shared" si="4"/>
        <v>0</v>
      </c>
      <c r="H33" s="454" t="str">
        <f>'Rate List - Flats'!H22</f>
        <v>Sq M</v>
      </c>
      <c r="I33" s="454" t="str">
        <f>'Rate List - Flats'!C22</f>
        <v>N.A.</v>
      </c>
      <c r="J33" s="454">
        <f>'Rate List - Flats'!E22</f>
        <v>0</v>
      </c>
      <c r="K33" s="454">
        <f>'Rate List - Flats'!G22</f>
        <v>0</v>
      </c>
      <c r="L33" s="454">
        <f t="shared" si="1"/>
        <v>0</v>
      </c>
      <c r="O33" s="459">
        <f t="shared" si="2"/>
        <v>0</v>
      </c>
      <c r="P33" s="459">
        <f t="shared" si="3"/>
        <v>0</v>
      </c>
      <c r="R33" s="480"/>
    </row>
    <row r="34" spans="1:18">
      <c r="A34" s="454"/>
      <c r="B34" s="454" t="str">
        <f>'Rate List - Flats'!B23</f>
        <v>Wall finishes plaster</v>
      </c>
      <c r="C34" s="454"/>
      <c r="D34" s="454"/>
      <c r="E34" s="454">
        <f>D30*(D1-0.15)</f>
        <v>43.512500000000003</v>
      </c>
      <c r="F34" s="454">
        <f>-(Doors!H7+Doors!H8+Windows!H6)</f>
        <v>-10.022499999999999</v>
      </c>
      <c r="G34" s="454">
        <f t="shared" si="4"/>
        <v>33.49</v>
      </c>
      <c r="H34" s="454" t="str">
        <f>'Rate List - Flats'!H23</f>
        <v>Sq M</v>
      </c>
      <c r="I34" s="454" t="str">
        <f>'Rate List - Flats'!C23</f>
        <v>Gypsum Plaster</v>
      </c>
      <c r="J34" s="454">
        <f>'Rate List - Flats'!E23</f>
        <v>32</v>
      </c>
      <c r="K34" s="454">
        <f>'Rate List - Flats'!G23</f>
        <v>344.44799999999998</v>
      </c>
      <c r="L34" s="454">
        <f t="shared" si="1"/>
        <v>11535.56352</v>
      </c>
      <c r="O34" s="459">
        <f t="shared" si="2"/>
        <v>334.90000000000003</v>
      </c>
      <c r="P34" s="459">
        <f t="shared" si="3"/>
        <v>115355.63519999999</v>
      </c>
      <c r="R34" s="480" t="s">
        <v>661</v>
      </c>
    </row>
    <row r="35" spans="1:18">
      <c r="A35" s="454"/>
      <c r="B35" s="454" t="str">
        <f>'Rate List - Flats'!B24</f>
        <v>Ceiling plaster</v>
      </c>
      <c r="C35" s="454"/>
      <c r="D35" s="454"/>
      <c r="E35" s="454">
        <f>E31</f>
        <v>12.42</v>
      </c>
      <c r="F35" s="454"/>
      <c r="G35" s="454">
        <f t="shared" si="4"/>
        <v>12.42</v>
      </c>
      <c r="H35" s="454" t="str">
        <f>'Rate List - Flats'!H24</f>
        <v>Sq M</v>
      </c>
      <c r="I35" s="454" t="str">
        <f>'Rate List - Flats'!C24</f>
        <v>Gypsum Plaster</v>
      </c>
      <c r="J35" s="454">
        <f>'Rate List - Flats'!E24</f>
        <v>32</v>
      </c>
      <c r="K35" s="454">
        <f>'Rate List - Flats'!G24</f>
        <v>344.44799999999998</v>
      </c>
      <c r="L35" s="454">
        <f t="shared" si="1"/>
        <v>4278.0441599999995</v>
      </c>
      <c r="O35" s="459">
        <f t="shared" si="2"/>
        <v>124.2</v>
      </c>
      <c r="P35" s="459">
        <f t="shared" si="3"/>
        <v>42780.441599999991</v>
      </c>
      <c r="R35" s="480" t="s">
        <v>662</v>
      </c>
    </row>
    <row r="36" spans="1:18">
      <c r="A36" s="454"/>
      <c r="B36" s="454" t="str">
        <f>'Rate List - Flats'!B25</f>
        <v>False ceiling</v>
      </c>
      <c r="C36" s="454"/>
      <c r="D36" s="454"/>
      <c r="E36" s="454"/>
      <c r="F36" s="454"/>
      <c r="G36" s="454">
        <f t="shared" si="4"/>
        <v>0</v>
      </c>
      <c r="H36" s="454" t="str">
        <f>'Rate List - Flats'!H25</f>
        <v>Sq M</v>
      </c>
      <c r="I36" s="454" t="str">
        <f>'Rate List - Flats'!C25</f>
        <v>N.A.</v>
      </c>
      <c r="J36" s="454">
        <f>'Rate List - Flats'!E25</f>
        <v>0</v>
      </c>
      <c r="K36" s="454">
        <f>'Rate List - Flats'!G25</f>
        <v>0</v>
      </c>
      <c r="L36" s="454">
        <f t="shared" si="1"/>
        <v>0</v>
      </c>
      <c r="O36" s="459">
        <f t="shared" si="2"/>
        <v>0</v>
      </c>
      <c r="P36" s="459">
        <f t="shared" si="3"/>
        <v>0</v>
      </c>
      <c r="R36" s="480"/>
    </row>
    <row r="37" spans="1:18">
      <c r="A37" s="454"/>
      <c r="B37" s="454" t="str">
        <f>'Rate List - Flats'!B26</f>
        <v>Wall finishes Paint</v>
      </c>
      <c r="C37" s="454"/>
      <c r="D37" s="454"/>
      <c r="E37" s="454">
        <f>E34</f>
        <v>43.512500000000003</v>
      </c>
      <c r="F37" s="454"/>
      <c r="G37" s="454">
        <f t="shared" si="4"/>
        <v>43.512500000000003</v>
      </c>
      <c r="H37" s="454" t="str">
        <f>'Rate List - Flats'!H26</f>
        <v>Sq M</v>
      </c>
      <c r="I37" s="454" t="str">
        <f>'Rate List - Flats'!C26</f>
        <v>Plastic paint</v>
      </c>
      <c r="J37" s="454">
        <f>'Rate List - Flats'!E26</f>
        <v>20</v>
      </c>
      <c r="K37" s="454">
        <f>'Rate List - Flats'!G26</f>
        <v>215.27999999999997</v>
      </c>
      <c r="L37" s="454">
        <f t="shared" si="1"/>
        <v>9367.3709999999992</v>
      </c>
      <c r="O37" s="459">
        <f t="shared" si="2"/>
        <v>435.125</v>
      </c>
      <c r="P37" s="459">
        <f t="shared" si="3"/>
        <v>93673.709999999992</v>
      </c>
      <c r="R37" s="480" t="s">
        <v>663</v>
      </c>
    </row>
    <row r="38" spans="1:18">
      <c r="A38" s="454"/>
      <c r="B38" s="454" t="str">
        <f>'Rate List - Flats'!B27</f>
        <v>Ceiling Paint</v>
      </c>
      <c r="C38" s="454"/>
      <c r="D38" s="454"/>
      <c r="E38" s="454">
        <f>E35</f>
        <v>12.42</v>
      </c>
      <c r="F38" s="454"/>
      <c r="G38" s="454">
        <f t="shared" si="4"/>
        <v>12.42</v>
      </c>
      <c r="H38" s="454" t="str">
        <f>'Rate List - Flats'!H27</f>
        <v>Sq M</v>
      </c>
      <c r="I38" s="454" t="str">
        <f>'Rate List - Flats'!C27</f>
        <v>Plastic paint</v>
      </c>
      <c r="J38" s="454">
        <f>'Rate List - Flats'!E27</f>
        <v>20</v>
      </c>
      <c r="K38" s="454">
        <f>'Rate List - Flats'!G27</f>
        <v>215.27999999999997</v>
      </c>
      <c r="L38" s="454">
        <f t="shared" si="1"/>
        <v>2673.7775999999994</v>
      </c>
      <c r="O38" s="459">
        <f t="shared" si="2"/>
        <v>124.2</v>
      </c>
      <c r="P38" s="459">
        <f t="shared" si="3"/>
        <v>26737.775999999994</v>
      </c>
      <c r="R38" s="480" t="s">
        <v>664</v>
      </c>
    </row>
    <row r="39" spans="1:18">
      <c r="A39" s="454"/>
      <c r="B39" s="454" t="str">
        <f>'Rate List - Flats'!B28</f>
        <v>Door Frames</v>
      </c>
      <c r="C39" s="454"/>
      <c r="D39" s="454"/>
      <c r="E39" s="454"/>
      <c r="F39" s="454"/>
      <c r="G39" s="454">
        <f t="shared" si="4"/>
        <v>0</v>
      </c>
      <c r="H39" s="454" t="str">
        <f>'Rate List - Flats'!H28</f>
        <v>RM</v>
      </c>
      <c r="I39" s="454" t="str">
        <f>'Rate List - Flats'!C28</f>
        <v>N.A.</v>
      </c>
      <c r="J39" s="454">
        <f>'Rate List - Flats'!E28</f>
        <v>0</v>
      </c>
      <c r="K39" s="454">
        <f>'Rate List - Flats'!G28</f>
        <v>0</v>
      </c>
      <c r="L39" s="454">
        <f t="shared" si="1"/>
        <v>0</v>
      </c>
      <c r="O39" s="459">
        <f t="shared" si="2"/>
        <v>0</v>
      </c>
      <c r="P39" s="459">
        <f t="shared" si="3"/>
        <v>0</v>
      </c>
      <c r="R39" s="480"/>
    </row>
    <row r="40" spans="1:18">
      <c r="A40" s="454"/>
      <c r="B40" s="454" t="str">
        <f>'Rate List - Flats'!B29</f>
        <v>Window Frames - Internal</v>
      </c>
      <c r="C40" s="454"/>
      <c r="D40" s="454"/>
      <c r="E40" s="454">
        <f>Windows!F6*2+Windows!G6*2</f>
        <v>10.399999999999999</v>
      </c>
      <c r="F40" s="454"/>
      <c r="G40" s="454">
        <f t="shared" si="4"/>
        <v>10.399999999999999</v>
      </c>
      <c r="H40" s="454" t="str">
        <f>'Rate List - Flats'!H29</f>
        <v>RM</v>
      </c>
      <c r="I40" s="454" t="str">
        <f>'Rate List - Flats'!C29</f>
        <v>Granite Window Frame</v>
      </c>
      <c r="J40" s="454">
        <f>'Rate List - Flats'!E29</f>
        <v>180</v>
      </c>
      <c r="K40" s="454">
        <f>'Rate List - Flats'!G29</f>
        <v>655.92719999999997</v>
      </c>
      <c r="L40" s="454">
        <f t="shared" si="1"/>
        <v>6821.6428799999985</v>
      </c>
      <c r="O40" s="459">
        <f t="shared" si="2"/>
        <v>103.99999999999999</v>
      </c>
      <c r="P40" s="459">
        <f t="shared" si="3"/>
        <v>68216.42879999998</v>
      </c>
      <c r="R40" s="480" t="s">
        <v>743</v>
      </c>
    </row>
    <row r="41" spans="1:18">
      <c r="A41" s="454"/>
      <c r="B41" s="454" t="str">
        <f>'Rate List - Flats'!B30</f>
        <v>Window Frames - External</v>
      </c>
      <c r="C41" s="454"/>
      <c r="D41" s="454"/>
      <c r="E41" s="454">
        <f>E40</f>
        <v>10.399999999999999</v>
      </c>
      <c r="F41" s="454"/>
      <c r="G41" s="454">
        <f t="shared" si="4"/>
        <v>10.399999999999999</v>
      </c>
      <c r="H41" s="454" t="str">
        <f>'Rate List - Flats'!H30</f>
        <v>RM</v>
      </c>
      <c r="I41" s="454" t="str">
        <f>'Rate List - Flats'!C30</f>
        <v>Marble Window Frames with Sill</v>
      </c>
      <c r="J41" s="454">
        <f>'Rate List - Flats'!E30</f>
        <v>60</v>
      </c>
      <c r="K41" s="454">
        <f>'Rate List - Flats'!G30</f>
        <v>399.04239999999999</v>
      </c>
      <c r="L41" s="454">
        <f t="shared" si="1"/>
        <v>4150.0409599999994</v>
      </c>
      <c r="O41" s="459">
        <f t="shared" si="2"/>
        <v>103.99999999999999</v>
      </c>
      <c r="P41" s="459">
        <f t="shared" si="3"/>
        <v>41500.409599999992</v>
      </c>
      <c r="R41" s="480" t="s">
        <v>409</v>
      </c>
    </row>
    <row r="42" spans="1:18">
      <c r="A42" s="454"/>
      <c r="B42" s="454" t="str">
        <f>'Rate List - Flats'!B31</f>
        <v>Others</v>
      </c>
      <c r="C42" s="454"/>
      <c r="D42" s="454"/>
      <c r="E42" s="454"/>
      <c r="F42" s="454"/>
      <c r="G42" s="454">
        <f t="shared" si="4"/>
        <v>0</v>
      </c>
      <c r="H42" s="454" t="str">
        <f>'Rate List - Flats'!H31</f>
        <v>-</v>
      </c>
      <c r="I42" s="454" t="str">
        <f>'Rate List - Flats'!C31</f>
        <v>N.A.</v>
      </c>
      <c r="J42" s="454">
        <f>'Rate List - Flats'!E31</f>
        <v>0</v>
      </c>
      <c r="K42" s="454">
        <f>'Rate List - Flats'!G31</f>
        <v>0</v>
      </c>
      <c r="L42" s="454">
        <f t="shared" si="1"/>
        <v>0</v>
      </c>
      <c r="O42" s="459">
        <f t="shared" si="2"/>
        <v>0</v>
      </c>
      <c r="P42" s="459">
        <f t="shared" si="3"/>
        <v>0</v>
      </c>
    </row>
    <row r="43" spans="1:18" s="479" customFormat="1" ht="13.5" customHeight="1">
      <c r="A43" s="475" t="s">
        <v>628</v>
      </c>
      <c r="B43" s="476" t="str">
        <f>'Flat Sizes'!B8</f>
        <v>M. Toilet</v>
      </c>
      <c r="C43" s="477">
        <f>'Flat Sizes'!D8</f>
        <v>3.46</v>
      </c>
      <c r="D43" s="477">
        <f>'Flat Sizes'!G8</f>
        <v>7.91</v>
      </c>
      <c r="E43" s="477"/>
      <c r="F43" s="454"/>
      <c r="G43" s="477"/>
      <c r="H43" s="477"/>
      <c r="I43" s="477"/>
      <c r="J43" s="477"/>
      <c r="K43" s="477"/>
      <c r="L43" s="477"/>
      <c r="M43" s="459">
        <f>SUM(L44:L55)/C43/10.764</f>
        <v>1277.6037306435715</v>
      </c>
      <c r="N43" s="478"/>
      <c r="O43" s="459">
        <f t="shared" si="2"/>
        <v>0</v>
      </c>
      <c r="P43" s="459">
        <f t="shared" si="3"/>
        <v>0</v>
      </c>
      <c r="Q43" s="478"/>
      <c r="R43" s="478"/>
    </row>
    <row r="44" spans="1:18">
      <c r="A44" s="454"/>
      <c r="B44" s="454" t="str">
        <f>'Rate List - Flats'!B62</f>
        <v>Flooring</v>
      </c>
      <c r="C44" s="454"/>
      <c r="D44" s="454"/>
      <c r="E44" s="454">
        <f>C43</f>
        <v>3.46</v>
      </c>
      <c r="F44" s="454"/>
      <c r="G44" s="454">
        <f t="shared" si="4"/>
        <v>3.46</v>
      </c>
      <c r="H44" s="454" t="str">
        <f>'Rate List - Flats'!H62</f>
        <v>Sq M</v>
      </c>
      <c r="I44" s="454" t="str">
        <f>'Rate List - Flats'!C62</f>
        <v>Ceramic tiles/vitrified anti-skid tiles</v>
      </c>
      <c r="J44" s="454">
        <f>'Rate List - Flats'!E62</f>
        <v>50</v>
      </c>
      <c r="K44" s="454">
        <f>'Rate List - Flats'!G62</f>
        <v>1399.32</v>
      </c>
      <c r="L44" s="454">
        <f t="shared" si="1"/>
        <v>4841.6471999999994</v>
      </c>
      <c r="O44" s="459">
        <f t="shared" si="2"/>
        <v>34.6</v>
      </c>
      <c r="P44" s="459">
        <f t="shared" si="3"/>
        <v>48416.471999999994</v>
      </c>
      <c r="R44" s="480" t="s">
        <v>667</v>
      </c>
    </row>
    <row r="45" spans="1:18">
      <c r="A45" s="454"/>
      <c r="B45" s="454" t="str">
        <f>'Rate List - Flats'!B63</f>
        <v>Skirting</v>
      </c>
      <c r="C45" s="454"/>
      <c r="D45" s="454"/>
      <c r="E45" s="454"/>
      <c r="F45" s="454"/>
      <c r="G45" s="454">
        <f t="shared" si="4"/>
        <v>0</v>
      </c>
      <c r="H45" s="454" t="str">
        <f>'Rate List - Flats'!H63</f>
        <v xml:space="preserve">RM </v>
      </c>
      <c r="I45" s="454" t="str">
        <f>'Rate List - Flats'!C63</f>
        <v>N.A.</v>
      </c>
      <c r="J45" s="454">
        <f>'Rate List - Flats'!E63</f>
        <v>0</v>
      </c>
      <c r="K45" s="454">
        <f>'Rate List - Flats'!G63</f>
        <v>0</v>
      </c>
      <c r="L45" s="454">
        <f t="shared" si="1"/>
        <v>0</v>
      </c>
      <c r="O45" s="459">
        <f t="shared" si="2"/>
        <v>0</v>
      </c>
      <c r="P45" s="459">
        <f t="shared" si="3"/>
        <v>0</v>
      </c>
      <c r="R45" s="480"/>
    </row>
    <row r="46" spans="1:18">
      <c r="A46" s="454"/>
      <c r="B46" s="454" t="str">
        <f>'Rate List - Flats'!B64</f>
        <v>Dado</v>
      </c>
      <c r="C46" s="454"/>
      <c r="D46" s="454">
        <f>D1-0.7</f>
        <v>2.4000000000000004</v>
      </c>
      <c r="E46" s="454">
        <f>D43*D46</f>
        <v>18.984000000000002</v>
      </c>
      <c r="F46" s="454">
        <f>-(Doors!H8+Windows!H7)</f>
        <v>-2.0250000000000004</v>
      </c>
      <c r="G46" s="454">
        <f t="shared" si="4"/>
        <v>16.959000000000003</v>
      </c>
      <c r="H46" s="454" t="str">
        <f>'Rate List - Flats'!H64</f>
        <v>Sq M</v>
      </c>
      <c r="I46" s="454" t="str">
        <f>'Rate List - Flats'!C64</f>
        <v>Vitrified tiles</v>
      </c>
      <c r="J46" s="454">
        <f>'Rate List - Flats'!E64</f>
        <v>50</v>
      </c>
      <c r="K46" s="454">
        <f>'Rate List - Flats'!G64</f>
        <v>1480.05</v>
      </c>
      <c r="L46" s="454">
        <f t="shared" si="1"/>
        <v>25100.167950000003</v>
      </c>
      <c r="O46" s="459">
        <f t="shared" si="2"/>
        <v>169.59000000000003</v>
      </c>
      <c r="P46" s="459">
        <f t="shared" si="3"/>
        <v>251001.67950000003</v>
      </c>
      <c r="R46" s="480" t="s">
        <v>668</v>
      </c>
    </row>
    <row r="47" spans="1:18">
      <c r="A47" s="454"/>
      <c r="B47" s="454" t="str">
        <f>'Rate List - Flats'!B65</f>
        <v>Wall finishes plaster</v>
      </c>
      <c r="C47" s="454"/>
      <c r="D47" s="454">
        <f>D1-D46</f>
        <v>0.69999999999999973</v>
      </c>
      <c r="E47" s="454">
        <f>D43*D47</f>
        <v>5.5369999999999981</v>
      </c>
      <c r="F47" s="454"/>
      <c r="G47" s="454">
        <f t="shared" si="4"/>
        <v>5.5369999999999981</v>
      </c>
      <c r="H47" s="454" t="str">
        <f>'Rate List - Flats'!H65</f>
        <v>Sq M</v>
      </c>
      <c r="I47" s="454" t="str">
        <f>'Rate List - Flats'!C65</f>
        <v>Gypsum Plaster</v>
      </c>
      <c r="J47" s="454">
        <f>'Rate List - Flats'!E65</f>
        <v>32</v>
      </c>
      <c r="K47" s="454">
        <f>'Rate List - Flats'!G65</f>
        <v>344.44799999999998</v>
      </c>
      <c r="L47" s="454">
        <f t="shared" si="1"/>
        <v>1907.2085759999993</v>
      </c>
      <c r="O47" s="459">
        <f t="shared" si="2"/>
        <v>55.369999999999983</v>
      </c>
      <c r="P47" s="459">
        <f t="shared" si="3"/>
        <v>19072.085759999994</v>
      </c>
      <c r="R47" s="480" t="s">
        <v>661</v>
      </c>
    </row>
    <row r="48" spans="1:18">
      <c r="A48" s="454"/>
      <c r="B48" s="454" t="str">
        <f>'Rate List - Flats'!B66</f>
        <v>Ceiling plaster</v>
      </c>
      <c r="C48" s="454"/>
      <c r="D48" s="454"/>
      <c r="E48" s="454">
        <f>E44</f>
        <v>3.46</v>
      </c>
      <c r="F48" s="454"/>
      <c r="G48" s="454">
        <f t="shared" si="4"/>
        <v>3.46</v>
      </c>
      <c r="H48" s="454" t="str">
        <f>'Rate List - Flats'!H66</f>
        <v>Sq M</v>
      </c>
      <c r="I48" s="454" t="str">
        <f>'Rate List - Flats'!C66</f>
        <v>Gypsum Plaster</v>
      </c>
      <c r="J48" s="454">
        <f>'Rate List - Flats'!E66</f>
        <v>32</v>
      </c>
      <c r="K48" s="454">
        <f>'Rate List - Flats'!G66</f>
        <v>344.44799999999998</v>
      </c>
      <c r="L48" s="454">
        <f t="shared" si="1"/>
        <v>1191.79008</v>
      </c>
      <c r="O48" s="459">
        <f t="shared" si="2"/>
        <v>34.6</v>
      </c>
      <c r="P48" s="459">
        <f t="shared" si="3"/>
        <v>11917.900799999999</v>
      </c>
      <c r="R48" s="480" t="s">
        <v>662</v>
      </c>
    </row>
    <row r="49" spans="1:18">
      <c r="A49" s="454"/>
      <c r="B49" s="454" t="str">
        <f>'Rate List - Flats'!B67</f>
        <v>False ceiling</v>
      </c>
      <c r="C49" s="454"/>
      <c r="D49" s="454"/>
      <c r="E49" s="454"/>
      <c r="F49" s="454"/>
      <c r="G49" s="454">
        <f t="shared" si="4"/>
        <v>0</v>
      </c>
      <c r="H49" s="454" t="str">
        <f>'Rate List - Flats'!H67</f>
        <v>Sq M</v>
      </c>
      <c r="I49" s="454" t="str">
        <f>'Rate List - Flats'!C67</f>
        <v>N.A.</v>
      </c>
      <c r="J49" s="454">
        <f>'Rate List - Flats'!E67</f>
        <v>0</v>
      </c>
      <c r="K49" s="454">
        <f>'Rate List - Flats'!G67</f>
        <v>0</v>
      </c>
      <c r="L49" s="454">
        <f t="shared" si="1"/>
        <v>0</v>
      </c>
      <c r="O49" s="459">
        <f t="shared" si="2"/>
        <v>0</v>
      </c>
      <c r="P49" s="459">
        <f t="shared" si="3"/>
        <v>0</v>
      </c>
      <c r="R49" s="480"/>
    </row>
    <row r="50" spans="1:18">
      <c r="A50" s="454"/>
      <c r="B50" s="454" t="str">
        <f>'Rate List - Flats'!B68</f>
        <v>Wall finishes Paint</v>
      </c>
      <c r="C50" s="454"/>
      <c r="D50" s="454"/>
      <c r="E50" s="454">
        <f>E47</f>
        <v>5.5369999999999981</v>
      </c>
      <c r="F50" s="454"/>
      <c r="G50" s="454">
        <f t="shared" si="4"/>
        <v>5.5369999999999981</v>
      </c>
      <c r="H50" s="454" t="str">
        <f>'Rate List - Flats'!H68</f>
        <v>Sq M</v>
      </c>
      <c r="I50" s="454" t="str">
        <f>'Rate List - Flats'!C68</f>
        <v>Plastic paint</v>
      </c>
      <c r="J50" s="454">
        <f>'Rate List - Flats'!E68</f>
        <v>20</v>
      </c>
      <c r="K50" s="454">
        <f>'Rate List - Flats'!G68</f>
        <v>215.27999999999997</v>
      </c>
      <c r="L50" s="454">
        <f t="shared" si="1"/>
        <v>1192.0053599999994</v>
      </c>
      <c r="O50" s="459">
        <f t="shared" si="2"/>
        <v>55.369999999999983</v>
      </c>
      <c r="P50" s="459">
        <f t="shared" si="3"/>
        <v>11920.053599999994</v>
      </c>
      <c r="R50" s="480" t="s">
        <v>663</v>
      </c>
    </row>
    <row r="51" spans="1:18">
      <c r="A51" s="454"/>
      <c r="B51" s="454" t="str">
        <f>'Rate List - Flats'!B69</f>
        <v>Ceiling Paint</v>
      </c>
      <c r="C51" s="454"/>
      <c r="D51" s="454"/>
      <c r="E51" s="454">
        <f>E48</f>
        <v>3.46</v>
      </c>
      <c r="F51" s="454"/>
      <c r="G51" s="454">
        <f t="shared" si="4"/>
        <v>3.46</v>
      </c>
      <c r="H51" s="454" t="str">
        <f>'Rate List - Flats'!H69</f>
        <v>Sq M</v>
      </c>
      <c r="I51" s="454" t="str">
        <f>'Rate List - Flats'!C69</f>
        <v>Plastic paint</v>
      </c>
      <c r="J51" s="454">
        <f>'Rate List - Flats'!E69</f>
        <v>20</v>
      </c>
      <c r="K51" s="454">
        <f>'Rate List - Flats'!G69</f>
        <v>215.27999999999997</v>
      </c>
      <c r="L51" s="454">
        <f t="shared" si="1"/>
        <v>744.86879999999985</v>
      </c>
      <c r="O51" s="459">
        <f t="shared" si="2"/>
        <v>34.6</v>
      </c>
      <c r="P51" s="459">
        <f t="shared" si="3"/>
        <v>7448.6879999999983</v>
      </c>
      <c r="R51" s="480" t="s">
        <v>664</v>
      </c>
    </row>
    <row r="52" spans="1:18">
      <c r="A52" s="454"/>
      <c r="B52" s="454" t="str">
        <f>'Rate List - Flats'!B70</f>
        <v>Door Frames</v>
      </c>
      <c r="C52" s="454"/>
      <c r="D52" s="454"/>
      <c r="E52" s="454">
        <f>Doors!F8*4+Doors!G8*4</f>
        <v>11.4</v>
      </c>
      <c r="F52" s="454"/>
      <c r="G52" s="454">
        <f t="shared" si="4"/>
        <v>11.4</v>
      </c>
      <c r="H52" s="454" t="str">
        <f>'Rate List - Flats'!H70</f>
        <v>RM</v>
      </c>
      <c r="I52" s="454" t="str">
        <f>'Rate List - Flats'!C70</f>
        <v>Granite Frames</v>
      </c>
      <c r="J52" s="454">
        <f>'Rate List - Flats'!E70</f>
        <v>180</v>
      </c>
      <c r="K52" s="454">
        <f>'Rate List - Flats'!G70</f>
        <v>655.92719999999997</v>
      </c>
      <c r="L52" s="454">
        <f t="shared" si="1"/>
        <v>7477.5700799999995</v>
      </c>
      <c r="O52" s="459">
        <f t="shared" si="2"/>
        <v>114</v>
      </c>
      <c r="P52" s="459">
        <f t="shared" si="3"/>
        <v>74775.700799999991</v>
      </c>
      <c r="R52" s="480" t="s">
        <v>669</v>
      </c>
    </row>
    <row r="53" spans="1:18">
      <c r="A53" s="454"/>
      <c r="B53" s="454" t="str">
        <f>'Rate List - Flats'!B71</f>
        <v>Window Frames - Internal</v>
      </c>
      <c r="C53" s="454"/>
      <c r="D53" s="454"/>
      <c r="E53" s="454">
        <f>Windows!F7*2+Windows!G7*2</f>
        <v>2.7</v>
      </c>
      <c r="F53" s="454"/>
      <c r="G53" s="454">
        <f t="shared" si="4"/>
        <v>2.7</v>
      </c>
      <c r="H53" s="454" t="str">
        <f>'Rate List - Flats'!H71</f>
        <v>RM</v>
      </c>
      <c r="I53" s="454" t="str">
        <f>'Rate List - Flats'!C71</f>
        <v>Granite Window Frame</v>
      </c>
      <c r="J53" s="454">
        <f>'Rate List - Flats'!E71</f>
        <v>180</v>
      </c>
      <c r="K53" s="454">
        <f>'Rate List - Flats'!G71</f>
        <v>655.92719999999997</v>
      </c>
      <c r="L53" s="454">
        <f t="shared" si="1"/>
        <v>1771.00344</v>
      </c>
      <c r="O53" s="459">
        <f t="shared" si="2"/>
        <v>27</v>
      </c>
      <c r="P53" s="459">
        <f t="shared" si="3"/>
        <v>17710.0344</v>
      </c>
      <c r="R53" s="480" t="s">
        <v>743</v>
      </c>
    </row>
    <row r="54" spans="1:18">
      <c r="A54" s="454"/>
      <c r="B54" s="454" t="str">
        <f>'Rate List - Flats'!B72</f>
        <v>Window Frames - External</v>
      </c>
      <c r="C54" s="454"/>
      <c r="D54" s="454"/>
      <c r="E54" s="454">
        <f>E53</f>
        <v>2.7</v>
      </c>
      <c r="F54" s="454"/>
      <c r="G54" s="454">
        <f t="shared" si="4"/>
        <v>2.7</v>
      </c>
      <c r="H54" s="454" t="str">
        <f>'Rate List - Flats'!H72</f>
        <v>RM</v>
      </c>
      <c r="I54" s="454" t="str">
        <f>'Rate List - Flats'!C72</f>
        <v>Marble Window Frames with Sill</v>
      </c>
      <c r="J54" s="454">
        <f>'Rate List - Flats'!E72</f>
        <v>60</v>
      </c>
      <c r="K54" s="454">
        <f>'Rate List - Flats'!G72</f>
        <v>399.04239999999999</v>
      </c>
      <c r="L54" s="454">
        <f t="shared" si="1"/>
        <v>1077.4144800000001</v>
      </c>
      <c r="O54" s="459">
        <f t="shared" si="2"/>
        <v>27</v>
      </c>
      <c r="P54" s="459">
        <f t="shared" si="3"/>
        <v>10774.144800000002</v>
      </c>
      <c r="R54" s="480" t="s">
        <v>409</v>
      </c>
    </row>
    <row r="55" spans="1:18">
      <c r="A55" s="454"/>
      <c r="B55" s="454" t="str">
        <f>'Rate List - Flats'!B73</f>
        <v>Others - Counter</v>
      </c>
      <c r="C55" s="454"/>
      <c r="D55" s="454"/>
      <c r="E55" s="454">
        <f>0.6*0.6</f>
        <v>0.36</v>
      </c>
      <c r="F55" s="454"/>
      <c r="G55" s="454">
        <f t="shared" si="4"/>
        <v>0.36</v>
      </c>
      <c r="H55" s="454" t="str">
        <f>'Rate List - Flats'!H73</f>
        <v>Sq M</v>
      </c>
      <c r="I55" s="454" t="str">
        <f>'Rate List - Flats'!C73</f>
        <v>Basin Counter 1'6" - Granite Basin Counter</v>
      </c>
      <c r="J55" s="454">
        <f>'Rate List - Flats'!E73</f>
        <v>180</v>
      </c>
      <c r="K55" s="454">
        <f>'Rate List - Flats'!G73</f>
        <v>6329.6720000000005</v>
      </c>
      <c r="L55" s="454">
        <f t="shared" si="1"/>
        <v>2278.68192</v>
      </c>
      <c r="O55" s="459">
        <f t="shared" si="2"/>
        <v>3.5999999999999996</v>
      </c>
      <c r="P55" s="459">
        <f t="shared" si="3"/>
        <v>22786.819199999998</v>
      </c>
      <c r="R55" s="480" t="s">
        <v>670</v>
      </c>
    </row>
    <row r="56" spans="1:18" s="479" customFormat="1" ht="13.5" customHeight="1">
      <c r="A56" s="475" t="s">
        <v>628</v>
      </c>
      <c r="B56" s="476" t="str">
        <f>'Flat Sizes'!B9</f>
        <v>C. Toilet</v>
      </c>
      <c r="C56" s="477">
        <f>'Flat Sizes'!D9</f>
        <v>3.35</v>
      </c>
      <c r="D56" s="477">
        <f>'Flat Sizes'!G9</f>
        <v>7.76</v>
      </c>
      <c r="E56" s="477"/>
      <c r="F56" s="454"/>
      <c r="G56" s="477"/>
      <c r="H56" s="477"/>
      <c r="I56" s="477"/>
      <c r="J56" s="477"/>
      <c r="K56" s="477"/>
      <c r="L56" s="477"/>
      <c r="M56" s="459">
        <f>SUM(L57:L68)/C56/10.764</f>
        <v>1297.172808366196</v>
      </c>
      <c r="N56" s="478"/>
      <c r="O56" s="459">
        <f t="shared" si="2"/>
        <v>0</v>
      </c>
      <c r="P56" s="459">
        <f t="shared" si="3"/>
        <v>0</v>
      </c>
      <c r="Q56" s="478"/>
      <c r="R56" s="478"/>
    </row>
    <row r="57" spans="1:18">
      <c r="A57" s="454"/>
      <c r="B57" s="454" t="str">
        <f>'Rate List - Flats'!B76</f>
        <v>Flooring</v>
      </c>
      <c r="C57" s="454"/>
      <c r="D57" s="454"/>
      <c r="E57" s="454">
        <f>C56</f>
        <v>3.35</v>
      </c>
      <c r="F57" s="454"/>
      <c r="G57" s="454">
        <f t="shared" si="4"/>
        <v>3.35</v>
      </c>
      <c r="H57" s="454" t="str">
        <f>'Rate List - Flats'!H76</f>
        <v>Sq M</v>
      </c>
      <c r="I57" s="454" t="str">
        <f>'Rate List - Flats'!C76</f>
        <v>ceramic tiles/vitrified anti-skid tiles</v>
      </c>
      <c r="J57" s="454">
        <f>'Rate List - Flats'!E76</f>
        <v>50</v>
      </c>
      <c r="K57" s="454">
        <f>'Rate List - Flats'!G76</f>
        <v>1399.32</v>
      </c>
      <c r="L57" s="454">
        <f t="shared" si="1"/>
        <v>4687.7219999999998</v>
      </c>
      <c r="O57" s="459">
        <f t="shared" si="2"/>
        <v>33.5</v>
      </c>
      <c r="P57" s="459">
        <f t="shared" si="3"/>
        <v>46877.22</v>
      </c>
      <c r="R57" s="480" t="s">
        <v>667</v>
      </c>
    </row>
    <row r="58" spans="1:18">
      <c r="A58" s="454"/>
      <c r="B58" s="454" t="str">
        <f>'Rate List - Flats'!B77</f>
        <v>Skirting</v>
      </c>
      <c r="C58" s="454"/>
      <c r="D58" s="454"/>
      <c r="E58" s="454"/>
      <c r="F58" s="454"/>
      <c r="G58" s="454">
        <f t="shared" si="4"/>
        <v>0</v>
      </c>
      <c r="H58" s="454" t="str">
        <f>'Rate List - Flats'!H77</f>
        <v xml:space="preserve">RM </v>
      </c>
      <c r="I58" s="454" t="str">
        <f>'Rate List - Flats'!C77</f>
        <v>N.A.</v>
      </c>
      <c r="J58" s="454">
        <f>'Rate List - Flats'!E77</f>
        <v>0</v>
      </c>
      <c r="K58" s="454">
        <f>'Rate List - Flats'!G77</f>
        <v>0</v>
      </c>
      <c r="L58" s="454">
        <f t="shared" si="1"/>
        <v>0</v>
      </c>
      <c r="O58" s="459">
        <f t="shared" si="2"/>
        <v>0</v>
      </c>
      <c r="P58" s="459">
        <f t="shared" si="3"/>
        <v>0</v>
      </c>
      <c r="R58" s="480"/>
    </row>
    <row r="59" spans="1:18">
      <c r="A59" s="454"/>
      <c r="B59" s="454" t="str">
        <f>'Rate List - Flats'!B78</f>
        <v>Dado</v>
      </c>
      <c r="C59" s="454"/>
      <c r="D59" s="454">
        <f>D1-0.7</f>
        <v>2.4000000000000004</v>
      </c>
      <c r="E59" s="454">
        <f>D56*D59</f>
        <v>18.624000000000002</v>
      </c>
      <c r="F59" s="454">
        <f>-(Doors!H9+Windows!H8)</f>
        <v>-2.0250000000000004</v>
      </c>
      <c r="G59" s="454">
        <f t="shared" si="4"/>
        <v>16.599000000000004</v>
      </c>
      <c r="H59" s="454" t="str">
        <f>'Rate List - Flats'!H78</f>
        <v>Sq M</v>
      </c>
      <c r="I59" s="454" t="str">
        <f>'Rate List - Flats'!C78</f>
        <v>Vitrified tiles</v>
      </c>
      <c r="J59" s="454">
        <f>'Rate List - Flats'!E78</f>
        <v>50</v>
      </c>
      <c r="K59" s="454">
        <f>'Rate List - Flats'!G78</f>
        <v>1480.05</v>
      </c>
      <c r="L59" s="454">
        <f t="shared" si="1"/>
        <v>24567.349950000003</v>
      </c>
      <c r="O59" s="459">
        <f t="shared" si="2"/>
        <v>165.99000000000004</v>
      </c>
      <c r="P59" s="459">
        <f t="shared" si="3"/>
        <v>245673.49950000003</v>
      </c>
      <c r="R59" s="480" t="s">
        <v>668</v>
      </c>
    </row>
    <row r="60" spans="1:18">
      <c r="A60" s="454"/>
      <c r="B60" s="454" t="str">
        <f>'Rate List - Flats'!B79</f>
        <v>Wall finishes plaster</v>
      </c>
      <c r="C60" s="454"/>
      <c r="D60" s="454">
        <f>D1-D59</f>
        <v>0.69999999999999973</v>
      </c>
      <c r="E60" s="454">
        <f>D56*D60</f>
        <v>5.4319999999999977</v>
      </c>
      <c r="F60" s="454"/>
      <c r="G60" s="454">
        <f t="shared" si="4"/>
        <v>5.4319999999999977</v>
      </c>
      <c r="H60" s="454" t="str">
        <f>'Rate List - Flats'!H79</f>
        <v>Sq M</v>
      </c>
      <c r="I60" s="454" t="str">
        <f>'Rate List - Flats'!C79</f>
        <v>Gypsum Plaster</v>
      </c>
      <c r="J60" s="454">
        <f>'Rate List - Flats'!E79</f>
        <v>32</v>
      </c>
      <c r="K60" s="454">
        <f>'Rate List - Flats'!G79</f>
        <v>344.44799999999998</v>
      </c>
      <c r="L60" s="454">
        <f t="shared" si="1"/>
        <v>1871.041535999999</v>
      </c>
      <c r="O60" s="459">
        <f t="shared" si="2"/>
        <v>54.319999999999979</v>
      </c>
      <c r="P60" s="459">
        <f t="shared" si="3"/>
        <v>18710.415359999992</v>
      </c>
      <c r="R60" s="480" t="s">
        <v>661</v>
      </c>
    </row>
    <row r="61" spans="1:18">
      <c r="A61" s="454"/>
      <c r="B61" s="454" t="str">
        <f>'Rate List - Flats'!B80</f>
        <v>Ceiling plaster</v>
      </c>
      <c r="C61" s="454"/>
      <c r="D61" s="454"/>
      <c r="E61" s="454">
        <f>E57</f>
        <v>3.35</v>
      </c>
      <c r="F61" s="454"/>
      <c r="G61" s="454">
        <f t="shared" si="4"/>
        <v>3.35</v>
      </c>
      <c r="H61" s="454" t="str">
        <f>'Rate List - Flats'!H80</f>
        <v>Sq M</v>
      </c>
      <c r="I61" s="454" t="str">
        <f>'Rate List - Flats'!C80</f>
        <v>Gypsum Plaster</v>
      </c>
      <c r="J61" s="454">
        <f>'Rate List - Flats'!E80</f>
        <v>32</v>
      </c>
      <c r="K61" s="454">
        <f>'Rate List - Flats'!G80</f>
        <v>344.44799999999998</v>
      </c>
      <c r="L61" s="454">
        <f t="shared" si="1"/>
        <v>1153.9007999999999</v>
      </c>
      <c r="O61" s="459">
        <f t="shared" si="2"/>
        <v>33.5</v>
      </c>
      <c r="P61" s="459">
        <f t="shared" si="3"/>
        <v>11539.007999999998</v>
      </c>
      <c r="R61" s="480" t="s">
        <v>662</v>
      </c>
    </row>
    <row r="62" spans="1:18">
      <c r="A62" s="454"/>
      <c r="B62" s="454" t="str">
        <f>'Rate List - Flats'!B81</f>
        <v>False ceiling</v>
      </c>
      <c r="C62" s="454"/>
      <c r="D62" s="454"/>
      <c r="E62" s="454"/>
      <c r="F62" s="454"/>
      <c r="G62" s="454">
        <f t="shared" si="4"/>
        <v>0</v>
      </c>
      <c r="H62" s="454" t="str">
        <f>'Rate List - Flats'!H81</f>
        <v>Sq M</v>
      </c>
      <c r="I62" s="454" t="str">
        <f>'Rate List - Flats'!C81</f>
        <v>N.A.</v>
      </c>
      <c r="J62" s="454">
        <f>'Rate List - Flats'!E81</f>
        <v>0</v>
      </c>
      <c r="K62" s="454">
        <f>'Rate List - Flats'!G81</f>
        <v>0</v>
      </c>
      <c r="L62" s="454">
        <f t="shared" si="1"/>
        <v>0</v>
      </c>
      <c r="O62" s="459">
        <f t="shared" si="2"/>
        <v>0</v>
      </c>
      <c r="P62" s="459">
        <f t="shared" si="3"/>
        <v>0</v>
      </c>
      <c r="R62" s="480"/>
    </row>
    <row r="63" spans="1:18">
      <c r="A63" s="454"/>
      <c r="B63" s="454" t="str">
        <f>'Rate List - Flats'!B82</f>
        <v>Wall finishes Paint</v>
      </c>
      <c r="C63" s="454"/>
      <c r="D63" s="454"/>
      <c r="E63" s="454">
        <f>E60</f>
        <v>5.4319999999999977</v>
      </c>
      <c r="F63" s="454"/>
      <c r="G63" s="454">
        <f t="shared" si="4"/>
        <v>5.4319999999999977</v>
      </c>
      <c r="H63" s="454" t="str">
        <f>'Rate List - Flats'!H82</f>
        <v>Sq M</v>
      </c>
      <c r="I63" s="454" t="str">
        <f>'Rate List - Flats'!C82</f>
        <v>Plastic paint</v>
      </c>
      <c r="J63" s="454">
        <f>'Rate List - Flats'!E82</f>
        <v>20</v>
      </c>
      <c r="K63" s="454">
        <f>'Rate List - Flats'!G82</f>
        <v>215.27999999999997</v>
      </c>
      <c r="L63" s="454">
        <f t="shared" si="1"/>
        <v>1169.4009599999993</v>
      </c>
      <c r="O63" s="459">
        <f t="shared" si="2"/>
        <v>54.319999999999979</v>
      </c>
      <c r="P63" s="459">
        <f t="shared" si="3"/>
        <v>11694.009599999992</v>
      </c>
      <c r="R63" s="480" t="s">
        <v>663</v>
      </c>
    </row>
    <row r="64" spans="1:18">
      <c r="A64" s="454"/>
      <c r="B64" s="454" t="str">
        <f>'Rate List - Flats'!B83</f>
        <v>Ceiling Paint</v>
      </c>
      <c r="C64" s="454"/>
      <c r="D64" s="454"/>
      <c r="E64" s="454">
        <f>E61</f>
        <v>3.35</v>
      </c>
      <c r="F64" s="454"/>
      <c r="G64" s="454">
        <f t="shared" si="4"/>
        <v>3.35</v>
      </c>
      <c r="H64" s="454" t="str">
        <f>'Rate List - Flats'!H83</f>
        <v>Sq M</v>
      </c>
      <c r="I64" s="454" t="str">
        <f>'Rate List - Flats'!C83</f>
        <v>Plastic paint</v>
      </c>
      <c r="J64" s="454">
        <f>'Rate List - Flats'!E83</f>
        <v>20</v>
      </c>
      <c r="K64" s="454">
        <f>'Rate List - Flats'!G83</f>
        <v>215.27999999999997</v>
      </c>
      <c r="L64" s="454">
        <f t="shared" si="1"/>
        <v>721.18799999999987</v>
      </c>
      <c r="O64" s="459">
        <f t="shared" si="2"/>
        <v>33.5</v>
      </c>
      <c r="P64" s="459">
        <f t="shared" si="3"/>
        <v>7211.8799999999992</v>
      </c>
      <c r="R64" s="480" t="s">
        <v>664</v>
      </c>
    </row>
    <row r="65" spans="1:18">
      <c r="A65" s="454"/>
      <c r="B65" s="454" t="str">
        <f>'Rate List - Flats'!B84</f>
        <v>Door Frames</v>
      </c>
      <c r="C65" s="454"/>
      <c r="D65" s="454"/>
      <c r="E65" s="454">
        <f>Doors!F9*4+Doors!G9*4</f>
        <v>11.4</v>
      </c>
      <c r="F65" s="454"/>
      <c r="G65" s="454">
        <f t="shared" si="4"/>
        <v>11.4</v>
      </c>
      <c r="H65" s="454" t="str">
        <f>'Rate List - Flats'!H84</f>
        <v>RM</v>
      </c>
      <c r="I65" s="454" t="str">
        <f>'Rate List - Flats'!C84</f>
        <v>Granite Frames</v>
      </c>
      <c r="J65" s="454">
        <f>'Rate List - Flats'!E84</f>
        <v>180</v>
      </c>
      <c r="K65" s="454">
        <f>'Rate List - Flats'!G84</f>
        <v>655.92719999999997</v>
      </c>
      <c r="L65" s="454">
        <f t="shared" si="1"/>
        <v>7477.5700799999995</v>
      </c>
      <c r="O65" s="459">
        <f t="shared" si="2"/>
        <v>114</v>
      </c>
      <c r="P65" s="459">
        <f t="shared" si="3"/>
        <v>74775.700799999991</v>
      </c>
      <c r="R65" s="480" t="s">
        <v>669</v>
      </c>
    </row>
    <row r="66" spans="1:18">
      <c r="A66" s="454"/>
      <c r="B66" s="454" t="str">
        <f>'Rate List - Flats'!B85</f>
        <v>Window Frames - Internal</v>
      </c>
      <c r="C66" s="454"/>
      <c r="D66" s="454"/>
      <c r="E66" s="454">
        <f>Windows!F8*2+Windows!G8*2</f>
        <v>2.7</v>
      </c>
      <c r="F66" s="454"/>
      <c r="G66" s="454">
        <f t="shared" si="4"/>
        <v>2.7</v>
      </c>
      <c r="H66" s="454" t="str">
        <f>'Rate List - Flats'!H85</f>
        <v>RM</v>
      </c>
      <c r="I66" s="454" t="str">
        <f>'Rate List - Flats'!C85</f>
        <v>Granite Window Frame</v>
      </c>
      <c r="J66" s="454">
        <f>'Rate List - Flats'!E85</f>
        <v>180</v>
      </c>
      <c r="K66" s="454">
        <f>'Rate List - Flats'!G85</f>
        <v>655.92719999999997</v>
      </c>
      <c r="L66" s="454">
        <f t="shared" si="1"/>
        <v>1771.00344</v>
      </c>
      <c r="O66" s="459">
        <f t="shared" si="2"/>
        <v>27</v>
      </c>
      <c r="P66" s="459">
        <f t="shared" si="3"/>
        <v>17710.0344</v>
      </c>
      <c r="R66" s="480" t="s">
        <v>743</v>
      </c>
    </row>
    <row r="67" spans="1:18">
      <c r="A67" s="454"/>
      <c r="B67" s="454" t="str">
        <f>'Rate List - Flats'!B86</f>
        <v>Window Frames - External</v>
      </c>
      <c r="C67" s="454"/>
      <c r="D67" s="454"/>
      <c r="E67" s="454">
        <f>E66</f>
        <v>2.7</v>
      </c>
      <c r="F67" s="454"/>
      <c r="G67" s="454">
        <f t="shared" si="4"/>
        <v>2.7</v>
      </c>
      <c r="H67" s="454" t="str">
        <f>'Rate List - Flats'!H86</f>
        <v>RM</v>
      </c>
      <c r="I67" s="454" t="str">
        <f>'Rate List - Flats'!C86</f>
        <v>Marble Window Frames with Sill</v>
      </c>
      <c r="J67" s="454">
        <f>'Rate List - Flats'!E86</f>
        <v>60</v>
      </c>
      <c r="K67" s="454">
        <f>'Rate List - Flats'!G86</f>
        <v>399.04239999999999</v>
      </c>
      <c r="L67" s="454">
        <f t="shared" si="1"/>
        <v>1077.4144800000001</v>
      </c>
      <c r="O67" s="459">
        <f t="shared" si="2"/>
        <v>27</v>
      </c>
      <c r="P67" s="459">
        <f t="shared" si="3"/>
        <v>10774.144800000002</v>
      </c>
      <c r="R67" s="480" t="s">
        <v>409</v>
      </c>
    </row>
    <row r="68" spans="1:18">
      <c r="A68" s="454"/>
      <c r="B68" s="454" t="str">
        <f>'Rate List - Flats'!B87</f>
        <v>Others - Counter</v>
      </c>
      <c r="C68" s="454"/>
      <c r="D68" s="454"/>
      <c r="E68" s="454">
        <f>E55</f>
        <v>0.36</v>
      </c>
      <c r="F68" s="454"/>
      <c r="G68" s="454">
        <f t="shared" si="4"/>
        <v>0.36</v>
      </c>
      <c r="H68" s="454" t="str">
        <f>'Rate List - Flats'!H87</f>
        <v>Sq M</v>
      </c>
      <c r="I68" s="454" t="str">
        <f>'Rate List - Flats'!C87</f>
        <v>Basin Counter 1'6" - Granite Basin Counter</v>
      </c>
      <c r="J68" s="454">
        <f>'Rate List - Flats'!E87</f>
        <v>180</v>
      </c>
      <c r="K68" s="454">
        <f>'Rate List - Flats'!G87</f>
        <v>6329.6720000000005</v>
      </c>
      <c r="L68" s="454">
        <f t="shared" si="1"/>
        <v>2278.68192</v>
      </c>
      <c r="O68" s="459">
        <f t="shared" si="2"/>
        <v>3.5999999999999996</v>
      </c>
      <c r="P68" s="459">
        <f t="shared" si="3"/>
        <v>22786.819199999998</v>
      </c>
      <c r="R68" s="480" t="s">
        <v>670</v>
      </c>
    </row>
    <row r="69" spans="1:18">
      <c r="A69" s="454"/>
      <c r="B69" s="454"/>
      <c r="C69" s="454"/>
      <c r="D69" s="454"/>
      <c r="E69" s="454"/>
      <c r="F69" s="454"/>
      <c r="G69" s="487">
        <f>SUM(G5:G68)</f>
        <v>529.18650000000014</v>
      </c>
      <c r="H69" s="454"/>
      <c r="I69" s="454"/>
      <c r="J69" s="454"/>
      <c r="K69" s="454"/>
      <c r="L69" s="487">
        <f>SUM(L5:L68)</f>
        <v>272676.70138799999</v>
      </c>
      <c r="O69" s="490">
        <f>SUM(O5:O68)</f>
        <v>5291.8650000000007</v>
      </c>
      <c r="P69" s="490">
        <f>SUM(P5:P68)</f>
        <v>2726767.0138799991</v>
      </c>
    </row>
    <row r="70" spans="1:18">
      <c r="A70" s="454"/>
      <c r="B70" s="454"/>
      <c r="C70" s="454"/>
      <c r="D70" s="454"/>
      <c r="E70" s="454"/>
      <c r="F70" s="454"/>
      <c r="G70" s="483"/>
      <c r="H70" s="454"/>
      <c r="I70" s="454"/>
      <c r="J70" s="454"/>
      <c r="K70" s="454"/>
      <c r="L70" s="483"/>
      <c r="O70" s="484"/>
      <c r="P70" s="484"/>
    </row>
    <row r="71" spans="1:18">
      <c r="A71" s="488"/>
      <c r="B71" s="487" t="s">
        <v>744</v>
      </c>
      <c r="C71" s="488"/>
      <c r="D71" s="488"/>
      <c r="E71" s="488"/>
      <c r="F71" s="488"/>
      <c r="G71" s="488"/>
      <c r="H71" s="488"/>
      <c r="I71" s="488"/>
      <c r="J71" s="488"/>
      <c r="K71" s="488"/>
      <c r="L71" s="488"/>
    </row>
    <row r="72" spans="1:18">
      <c r="A72" s="488"/>
      <c r="B72" s="488" t="s">
        <v>355</v>
      </c>
      <c r="C72" s="489"/>
      <c r="D72" s="489"/>
      <c r="E72" s="489"/>
      <c r="F72" s="489"/>
      <c r="G72" s="489">
        <f>SUMIF($B$3:$B$68,B72,$G$3:$G$68)</f>
        <v>46.75</v>
      </c>
      <c r="H72" s="488" t="s">
        <v>327</v>
      </c>
      <c r="I72" s="489"/>
      <c r="J72" s="489"/>
      <c r="K72" s="489"/>
      <c r="L72" s="489">
        <f>SUMIF($B$3:$B$68,B72,$L$3:$L$68)</f>
        <v>63053.682119999998</v>
      </c>
      <c r="O72" s="459">
        <f t="shared" ref="O72" si="5">IF(I72="N.A",0,G72*$N$3)</f>
        <v>467.5</v>
      </c>
      <c r="P72" s="459">
        <f t="shared" ref="P72" si="6">L72*$N$3</f>
        <v>630536.82120000001</v>
      </c>
    </row>
    <row r="73" spans="1:18">
      <c r="A73" s="488"/>
      <c r="B73" s="488" t="s">
        <v>695</v>
      </c>
      <c r="C73" s="489"/>
      <c r="D73" s="489"/>
      <c r="E73" s="489"/>
      <c r="F73" s="489"/>
      <c r="G73" s="489">
        <f t="shared" ref="G73:G84" si="7">SUMIF($B$3:$B$68,B73,$G$3:$G$68)</f>
        <v>33.484999999999999</v>
      </c>
      <c r="H73" s="489" t="s">
        <v>358</v>
      </c>
      <c r="I73" s="489"/>
      <c r="J73" s="489"/>
      <c r="K73" s="489"/>
      <c r="L73" s="489">
        <f t="shared" ref="L73:L84" si="8">SUMIF($B$3:$B$68,B73,$L$3:$L$68)</f>
        <v>13124.780599999998</v>
      </c>
      <c r="O73" s="459">
        <f t="shared" ref="O73:O84" si="9">IF(I73="N.A",0,G73*$N$3)</f>
        <v>334.85</v>
      </c>
      <c r="P73" s="459">
        <f t="shared" ref="P73:P84" si="10">L73*$N$3</f>
        <v>131247.80599999998</v>
      </c>
    </row>
    <row r="74" spans="1:18">
      <c r="A74" s="488"/>
      <c r="B74" s="488" t="s">
        <v>698</v>
      </c>
      <c r="C74" s="489"/>
      <c r="D74" s="489"/>
      <c r="E74" s="489"/>
      <c r="F74" s="489"/>
      <c r="G74" s="489">
        <f t="shared" si="7"/>
        <v>33.558000000000007</v>
      </c>
      <c r="H74" s="488" t="s">
        <v>327</v>
      </c>
      <c r="I74" s="489"/>
      <c r="J74" s="489"/>
      <c r="K74" s="489"/>
      <c r="L74" s="489">
        <f t="shared" si="8"/>
        <v>49667.517900000006</v>
      </c>
      <c r="O74" s="459">
        <f t="shared" si="9"/>
        <v>335.58000000000004</v>
      </c>
      <c r="P74" s="459">
        <f t="shared" si="10"/>
        <v>496675.17900000006</v>
      </c>
    </row>
    <row r="75" spans="1:18">
      <c r="A75" s="488"/>
      <c r="B75" s="488" t="s">
        <v>700</v>
      </c>
      <c r="C75" s="489"/>
      <c r="D75" s="489"/>
      <c r="E75" s="489"/>
      <c r="F75" s="489"/>
      <c r="G75" s="489">
        <f t="shared" si="7"/>
        <v>107.2355</v>
      </c>
      <c r="H75" s="488" t="s">
        <v>327</v>
      </c>
      <c r="I75" s="489"/>
      <c r="J75" s="489"/>
      <c r="K75" s="489"/>
      <c r="L75" s="489">
        <f t="shared" si="8"/>
        <v>36937.053503999996</v>
      </c>
      <c r="O75" s="459">
        <f t="shared" si="9"/>
        <v>1072.355</v>
      </c>
      <c r="P75" s="459">
        <f t="shared" si="10"/>
        <v>369370.53503999999</v>
      </c>
    </row>
    <row r="76" spans="1:18">
      <c r="A76" s="488"/>
      <c r="B76" s="488" t="s">
        <v>702</v>
      </c>
      <c r="C76" s="489"/>
      <c r="D76" s="489"/>
      <c r="E76" s="489"/>
      <c r="F76" s="489"/>
      <c r="G76" s="489">
        <f t="shared" si="7"/>
        <v>46.75</v>
      </c>
      <c r="H76" s="488" t="s">
        <v>327</v>
      </c>
      <c r="I76" s="489"/>
      <c r="J76" s="489"/>
      <c r="K76" s="489"/>
      <c r="L76" s="489">
        <f t="shared" si="8"/>
        <v>16102.944</v>
      </c>
      <c r="O76" s="459">
        <f t="shared" si="9"/>
        <v>467.5</v>
      </c>
      <c r="P76" s="459">
        <f t="shared" si="10"/>
        <v>161029.44</v>
      </c>
    </row>
    <row r="77" spans="1:18">
      <c r="A77" s="488"/>
      <c r="B77" s="488" t="s">
        <v>703</v>
      </c>
      <c r="C77" s="489"/>
      <c r="D77" s="489"/>
      <c r="E77" s="489"/>
      <c r="F77" s="489"/>
      <c r="G77" s="489">
        <f t="shared" si="7"/>
        <v>0</v>
      </c>
      <c r="H77" s="489"/>
      <c r="I77" s="489"/>
      <c r="J77" s="489"/>
      <c r="K77" s="489"/>
      <c r="L77" s="489">
        <f t="shared" si="8"/>
        <v>0</v>
      </c>
      <c r="O77" s="459">
        <f t="shared" si="9"/>
        <v>0</v>
      </c>
      <c r="P77" s="459">
        <f t="shared" si="10"/>
        <v>0</v>
      </c>
    </row>
    <row r="78" spans="1:18">
      <c r="A78" s="488"/>
      <c r="B78" s="488" t="s">
        <v>704</v>
      </c>
      <c r="C78" s="489"/>
      <c r="D78" s="489"/>
      <c r="E78" s="489"/>
      <c r="F78" s="489"/>
      <c r="G78" s="489">
        <f t="shared" si="7"/>
        <v>117.25800000000001</v>
      </c>
      <c r="H78" s="488" t="s">
        <v>327</v>
      </c>
      <c r="I78" s="489"/>
      <c r="J78" s="489"/>
      <c r="K78" s="489"/>
      <c r="L78" s="489">
        <f t="shared" si="8"/>
        <v>25243.302239999997</v>
      </c>
      <c r="O78" s="459">
        <f t="shared" si="9"/>
        <v>1172.5800000000002</v>
      </c>
      <c r="P78" s="459">
        <f t="shared" si="10"/>
        <v>252433.02239999996</v>
      </c>
    </row>
    <row r="79" spans="1:18">
      <c r="A79" s="488"/>
      <c r="B79" s="488" t="s">
        <v>706</v>
      </c>
      <c r="C79" s="489"/>
      <c r="D79" s="489"/>
      <c r="E79" s="489"/>
      <c r="F79" s="489"/>
      <c r="G79" s="489">
        <f t="shared" si="7"/>
        <v>46.75</v>
      </c>
      <c r="H79" s="488" t="s">
        <v>327</v>
      </c>
      <c r="I79" s="489"/>
      <c r="J79" s="489"/>
      <c r="K79" s="489"/>
      <c r="L79" s="489">
        <f t="shared" si="8"/>
        <v>10064.339999999998</v>
      </c>
      <c r="O79" s="459">
        <f t="shared" si="9"/>
        <v>467.5</v>
      </c>
      <c r="P79" s="459">
        <f t="shared" si="10"/>
        <v>100643.39999999998</v>
      </c>
    </row>
    <row r="80" spans="1:18">
      <c r="A80" s="488"/>
      <c r="B80" s="488" t="s">
        <v>713</v>
      </c>
      <c r="C80" s="489"/>
      <c r="D80" s="489"/>
      <c r="E80" s="489"/>
      <c r="F80" s="489"/>
      <c r="G80" s="489">
        <f t="shared" si="7"/>
        <v>22.8</v>
      </c>
      <c r="H80" s="489" t="s">
        <v>358</v>
      </c>
      <c r="I80" s="489"/>
      <c r="J80" s="489"/>
      <c r="K80" s="489"/>
      <c r="L80" s="489">
        <f t="shared" si="8"/>
        <v>14955.140159999999</v>
      </c>
      <c r="O80" s="459">
        <f t="shared" si="9"/>
        <v>228</v>
      </c>
      <c r="P80" s="459">
        <f t="shared" si="10"/>
        <v>149551.40159999998</v>
      </c>
    </row>
    <row r="81" spans="1:22">
      <c r="A81" s="488"/>
      <c r="B81" s="488" t="s">
        <v>715</v>
      </c>
      <c r="C81" s="489"/>
      <c r="D81" s="489"/>
      <c r="E81" s="489"/>
      <c r="F81" s="489"/>
      <c r="G81" s="489">
        <f t="shared" si="7"/>
        <v>36.940000000000005</v>
      </c>
      <c r="H81" s="489" t="s">
        <v>358</v>
      </c>
      <c r="I81" s="489"/>
      <c r="J81" s="489"/>
      <c r="K81" s="489"/>
      <c r="L81" s="489">
        <f t="shared" si="8"/>
        <v>24229.950767999999</v>
      </c>
      <c r="O81" s="459">
        <f t="shared" si="9"/>
        <v>369.40000000000003</v>
      </c>
      <c r="P81" s="459">
        <f t="shared" si="10"/>
        <v>242299.50767999998</v>
      </c>
    </row>
    <row r="82" spans="1:22">
      <c r="A82" s="488"/>
      <c r="B82" s="488" t="s">
        <v>716</v>
      </c>
      <c r="C82" s="489"/>
      <c r="D82" s="489"/>
      <c r="E82" s="489"/>
      <c r="F82" s="489"/>
      <c r="G82" s="489">
        <f t="shared" si="7"/>
        <v>36.940000000000005</v>
      </c>
      <c r="H82" s="489" t="s">
        <v>358</v>
      </c>
      <c r="I82" s="489"/>
      <c r="J82" s="489"/>
      <c r="K82" s="489"/>
      <c r="L82" s="489">
        <f t="shared" si="8"/>
        <v>14740.626255999996</v>
      </c>
      <c r="O82" s="459">
        <f t="shared" si="9"/>
        <v>369.40000000000003</v>
      </c>
      <c r="P82" s="459">
        <f t="shared" si="10"/>
        <v>147406.26255999994</v>
      </c>
    </row>
    <row r="83" spans="1:22">
      <c r="A83" s="488"/>
      <c r="B83" s="488" t="s">
        <v>707</v>
      </c>
      <c r="C83" s="489"/>
      <c r="D83" s="489"/>
      <c r="E83" s="489"/>
      <c r="F83" s="489"/>
      <c r="G83" s="489">
        <f t="shared" si="7"/>
        <v>0</v>
      </c>
      <c r="H83" s="489"/>
      <c r="I83" s="489"/>
      <c r="J83" s="489"/>
      <c r="K83" s="489"/>
      <c r="L83" s="489">
        <f t="shared" si="8"/>
        <v>0</v>
      </c>
      <c r="O83" s="459">
        <f t="shared" si="9"/>
        <v>0</v>
      </c>
      <c r="P83" s="459">
        <f t="shared" si="10"/>
        <v>0</v>
      </c>
    </row>
    <row r="84" spans="1:22">
      <c r="A84" s="488"/>
      <c r="B84" s="488" t="s">
        <v>718</v>
      </c>
      <c r="C84" s="489"/>
      <c r="D84" s="489"/>
      <c r="E84" s="489"/>
      <c r="F84" s="489"/>
      <c r="G84" s="489">
        <f t="shared" si="7"/>
        <v>0.72</v>
      </c>
      <c r="H84" s="488" t="s">
        <v>327</v>
      </c>
      <c r="I84" s="489"/>
      <c r="J84" s="489"/>
      <c r="K84" s="498"/>
      <c r="L84" s="498">
        <f t="shared" si="8"/>
        <v>4557.36384</v>
      </c>
      <c r="O84" s="459">
        <f t="shared" si="9"/>
        <v>7.1999999999999993</v>
      </c>
      <c r="P84" s="459">
        <f t="shared" si="10"/>
        <v>45573.638399999996</v>
      </c>
    </row>
    <row r="85" spans="1:22" ht="13.8" thickBot="1">
      <c r="A85" s="488"/>
      <c r="B85" s="488"/>
      <c r="C85" s="489"/>
      <c r="D85" s="489"/>
      <c r="E85" s="489"/>
      <c r="F85" s="489"/>
      <c r="G85" s="499">
        <f>SUM(G72:G84)</f>
        <v>529.18650000000014</v>
      </c>
      <c r="H85" s="489"/>
      <c r="I85" s="489"/>
      <c r="J85" s="489"/>
      <c r="K85" s="500" t="s">
        <v>232</v>
      </c>
      <c r="L85" s="500">
        <f>SUM(L72:L84)</f>
        <v>272676.70138799999</v>
      </c>
      <c r="O85" s="502">
        <f>SUM(O72:O84)</f>
        <v>5291.8649999999989</v>
      </c>
      <c r="P85" s="503">
        <f>SUM(P72:P84)</f>
        <v>2726767.01388</v>
      </c>
    </row>
    <row r="86" spans="1:22">
      <c r="A86" s="488"/>
      <c r="B86" s="488" t="s">
        <v>386</v>
      </c>
      <c r="C86" s="489"/>
      <c r="D86" s="489"/>
      <c r="E86" s="489"/>
      <c r="F86" s="489"/>
      <c r="G86" s="501">
        <f>Doors!E10</f>
        <v>5</v>
      </c>
      <c r="H86" s="489"/>
      <c r="I86" s="489"/>
      <c r="J86" s="489"/>
      <c r="K86" s="501"/>
      <c r="L86" s="501">
        <f>Doors!J10</f>
        <v>94000</v>
      </c>
    </row>
    <row r="87" spans="1:22">
      <c r="A87" s="488"/>
      <c r="B87" s="488" t="s">
        <v>391</v>
      </c>
      <c r="C87" s="489"/>
      <c r="D87" s="489"/>
      <c r="E87" s="489"/>
      <c r="F87" s="489"/>
      <c r="G87" s="489">
        <f>Windows!H9</f>
        <v>20.937999999999995</v>
      </c>
      <c r="H87" s="489"/>
      <c r="I87" s="489"/>
      <c r="J87" s="489"/>
      <c r="K87" s="498"/>
      <c r="L87" s="498">
        <f>Windows!N9</f>
        <v>123957.14759999997</v>
      </c>
    </row>
    <row r="88" spans="1:22" ht="13.8" thickBot="1">
      <c r="A88" s="488"/>
      <c r="B88" s="488"/>
      <c r="C88" s="489"/>
      <c r="D88" s="489"/>
      <c r="E88" s="489"/>
      <c r="F88" s="489"/>
      <c r="G88" s="489"/>
      <c r="H88" s="489"/>
      <c r="I88" s="489"/>
      <c r="J88" s="489"/>
      <c r="K88" s="500" t="s">
        <v>232</v>
      </c>
      <c r="L88" s="500">
        <f>SUM(L86:L87)</f>
        <v>217957.14759999997</v>
      </c>
    </row>
    <row r="89" spans="1:22">
      <c r="A89" s="488"/>
      <c r="B89" s="488"/>
      <c r="C89" s="489"/>
      <c r="D89" s="489"/>
      <c r="E89" s="489"/>
      <c r="F89" s="489"/>
      <c r="G89" s="489"/>
      <c r="H89" s="489"/>
      <c r="I89" s="489"/>
      <c r="J89" s="489"/>
      <c r="K89" s="498"/>
      <c r="L89" s="498"/>
    </row>
    <row r="90" spans="1:22" ht="13.8" thickBot="1">
      <c r="A90" s="488"/>
      <c r="B90" s="488"/>
      <c r="C90" s="489"/>
      <c r="D90" s="489"/>
      <c r="E90" s="489"/>
      <c r="F90" s="489"/>
      <c r="G90" s="489"/>
      <c r="H90" s="489"/>
      <c r="I90" s="489"/>
      <c r="J90" s="489"/>
      <c r="K90" s="500" t="s">
        <v>745</v>
      </c>
      <c r="L90" s="500">
        <f>L85+L88</f>
        <v>490633.84898799995</v>
      </c>
    </row>
    <row r="91" spans="1:22">
      <c r="A91" s="454"/>
      <c r="B91" s="454"/>
      <c r="C91" s="456"/>
      <c r="D91" s="456"/>
      <c r="E91" s="456"/>
      <c r="F91" s="456"/>
      <c r="G91" s="456"/>
      <c r="H91" s="456"/>
      <c r="I91" s="456"/>
      <c r="J91" s="456"/>
      <c r="K91" s="456"/>
      <c r="L91" s="456"/>
    </row>
    <row r="92" spans="1:22" s="474" customFormat="1" ht="13.5" customHeight="1">
      <c r="A92" s="465" t="s">
        <v>628</v>
      </c>
      <c r="B92" s="466" t="str">
        <f>'Flat Sizes'!B11</f>
        <v>Flat 1B,
2BHK</v>
      </c>
      <c r="C92" s="456"/>
      <c r="D92" s="456"/>
      <c r="E92" s="456"/>
      <c r="F92" s="456"/>
      <c r="G92" s="456"/>
      <c r="H92" s="456"/>
      <c r="I92" s="456"/>
      <c r="J92" s="456"/>
      <c r="K92" s="456"/>
      <c r="L92" s="456"/>
      <c r="M92" s="471"/>
      <c r="N92" s="472">
        <f>'Flat Sizes'!H11</f>
        <v>18</v>
      </c>
      <c r="O92" s="459"/>
      <c r="P92" s="459"/>
      <c r="Q92" s="473"/>
      <c r="S92" s="473"/>
      <c r="T92" s="473"/>
      <c r="U92" s="473"/>
      <c r="V92" s="473"/>
    </row>
    <row r="93" spans="1:22" s="479" customFormat="1" ht="13.5" customHeight="1">
      <c r="A93" s="475" t="s">
        <v>628</v>
      </c>
      <c r="B93" s="476" t="str">
        <f>'Flat Sizes'!B12</f>
        <v>Living, Dining &amp; Passage</v>
      </c>
      <c r="C93" s="477">
        <f>'Flat Sizes'!D12</f>
        <v>25.47</v>
      </c>
      <c r="D93" s="477">
        <f>'Flat Sizes'!G12</f>
        <v>22.71</v>
      </c>
      <c r="E93" s="477"/>
      <c r="F93" s="454"/>
      <c r="G93" s="477"/>
      <c r="H93" s="477"/>
      <c r="I93" s="477"/>
      <c r="J93" s="477"/>
      <c r="K93" s="477"/>
      <c r="L93" s="477"/>
      <c r="M93" s="459"/>
      <c r="N93" s="478"/>
      <c r="O93" s="459"/>
      <c r="P93" s="459"/>
      <c r="Q93" s="478"/>
    </row>
    <row r="94" spans="1:22">
      <c r="A94" s="454"/>
      <c r="B94" s="454" t="str">
        <f>'Rate List - Flats'!B6</f>
        <v>Flooring</v>
      </c>
      <c r="C94" s="456"/>
      <c r="D94" s="456"/>
      <c r="E94" s="456">
        <f>C93</f>
        <v>25.47</v>
      </c>
      <c r="F94" s="456"/>
      <c r="G94" s="456">
        <f t="shared" ref="G94:G160" si="11">E94+F94</f>
        <v>25.47</v>
      </c>
      <c r="H94" s="456" t="str">
        <f>'Rate List - Flats'!H6</f>
        <v>Sq M</v>
      </c>
      <c r="I94" s="456" t="str">
        <f>'Rate List - Flats'!C6</f>
        <v>2'x2' Vitrified tiles</v>
      </c>
      <c r="J94" s="457">
        <f>'Rate List - Flats'!E6</f>
        <v>45</v>
      </c>
      <c r="K94" s="457">
        <f>'Rate List - Flats'!G6</f>
        <v>1340.1179999999999</v>
      </c>
      <c r="L94" s="456">
        <f t="shared" ref="L94:L159" si="12">G94*K94</f>
        <v>34132.805459999996</v>
      </c>
      <c r="M94" s="459">
        <f>SUM(L94:L105)/C93/10.764</f>
        <v>357.51986356242509</v>
      </c>
      <c r="O94" s="455">
        <f>IF(I94="N.A",0,G94*$N$92)</f>
        <v>458.46</v>
      </c>
      <c r="P94" s="505">
        <f>L94*$N$92</f>
        <v>614390.49827999994</v>
      </c>
      <c r="R94" s="480" t="s">
        <v>659</v>
      </c>
    </row>
    <row r="95" spans="1:22">
      <c r="A95" s="454"/>
      <c r="B95" s="454" t="str">
        <f>'Rate List - Flats'!B7</f>
        <v>Skirting</v>
      </c>
      <c r="C95" s="456"/>
      <c r="D95" s="456"/>
      <c r="E95" s="456">
        <f>D93</f>
        <v>22.71</v>
      </c>
      <c r="F95" s="456">
        <f>-(Doors!F12+Doors!F13+Doors!F15+Doors!F17)</f>
        <v>-3.9</v>
      </c>
      <c r="G95" s="456">
        <f t="shared" si="11"/>
        <v>18.810000000000002</v>
      </c>
      <c r="H95" s="456" t="str">
        <f>'Rate List - Flats'!H7</f>
        <v>RM</v>
      </c>
      <c r="I95" s="456" t="str">
        <f>'Rate List - Flats'!C7</f>
        <v xml:space="preserve">2'x2' Vitrified tiles </v>
      </c>
      <c r="J95" s="457">
        <f>'Rate List - Flats'!E7</f>
        <v>45</v>
      </c>
      <c r="K95" s="457">
        <f>'Rate List - Flats'!G7</f>
        <v>391.96</v>
      </c>
      <c r="L95" s="456">
        <f t="shared" si="12"/>
        <v>7372.7676000000001</v>
      </c>
      <c r="O95" s="455">
        <f t="shared" ref="O95:O158" si="13">IF(I95="N.A",0,G95*$N$92)</f>
        <v>338.58000000000004</v>
      </c>
      <c r="P95" s="505">
        <f t="shared" ref="P95:P158" si="14">L95*$N$92</f>
        <v>132709.8168</v>
      </c>
      <c r="R95" s="480" t="s">
        <v>660</v>
      </c>
    </row>
    <row r="96" spans="1:22">
      <c r="A96" s="454"/>
      <c r="B96" s="454" t="str">
        <f>'Rate List - Flats'!B8</f>
        <v>Dado</v>
      </c>
      <c r="C96" s="456"/>
      <c r="D96" s="456"/>
      <c r="E96" s="456"/>
      <c r="F96" s="456"/>
      <c r="G96" s="456">
        <f t="shared" si="11"/>
        <v>0</v>
      </c>
      <c r="H96" s="456" t="str">
        <f>'Rate List - Flats'!H8</f>
        <v>Sq M</v>
      </c>
      <c r="I96" s="456" t="str">
        <f>'Rate List - Flats'!C8</f>
        <v>N.A.</v>
      </c>
      <c r="J96" s="457">
        <f>'Rate List - Flats'!E8</f>
        <v>0</v>
      </c>
      <c r="K96" s="457">
        <f>'Rate List - Flats'!G8</f>
        <v>0</v>
      </c>
      <c r="L96" s="456">
        <f t="shared" si="12"/>
        <v>0</v>
      </c>
      <c r="O96" s="455">
        <f t="shared" si="13"/>
        <v>0</v>
      </c>
      <c r="P96" s="505">
        <f t="shared" si="14"/>
        <v>0</v>
      </c>
      <c r="R96" s="480"/>
    </row>
    <row r="97" spans="1:18">
      <c r="A97" s="454"/>
      <c r="B97" s="454" t="str">
        <f>'Rate List - Flats'!B9</f>
        <v>Wall finishes plaster</v>
      </c>
      <c r="C97" s="456"/>
      <c r="D97" s="456"/>
      <c r="E97" s="456">
        <f>D93*(D1-0.15)</f>
        <v>66.994500000000002</v>
      </c>
      <c r="F97" s="456">
        <f>-(Doors!H12+Doors!H13+Doors!H15+Doors!H17+Windows!H11)</f>
        <v>-19.585000000000001</v>
      </c>
      <c r="G97" s="456">
        <f t="shared" si="11"/>
        <v>47.409500000000001</v>
      </c>
      <c r="H97" s="456" t="str">
        <f>'Rate List - Flats'!H9</f>
        <v>Sq M</v>
      </c>
      <c r="I97" s="456" t="str">
        <f>'Rate List - Flats'!C9</f>
        <v>Gypsum Plaster</v>
      </c>
      <c r="J97" s="457">
        <f>'Rate List - Flats'!E9</f>
        <v>32</v>
      </c>
      <c r="K97" s="457">
        <f>'Rate List - Flats'!G9</f>
        <v>344.44799999999998</v>
      </c>
      <c r="L97" s="456">
        <f t="shared" si="12"/>
        <v>16330.107456</v>
      </c>
      <c r="O97" s="455">
        <f t="shared" si="13"/>
        <v>853.37099999999998</v>
      </c>
      <c r="P97" s="505">
        <f t="shared" si="14"/>
        <v>293941.93420800002</v>
      </c>
      <c r="R97" s="480" t="s">
        <v>661</v>
      </c>
    </row>
    <row r="98" spans="1:18">
      <c r="A98" s="454"/>
      <c r="B98" s="454" t="str">
        <f>'Rate List - Flats'!B10</f>
        <v>Ceiling plaster</v>
      </c>
      <c r="C98" s="456"/>
      <c r="D98" s="456"/>
      <c r="E98" s="456">
        <f>E94</f>
        <v>25.47</v>
      </c>
      <c r="F98" s="456"/>
      <c r="G98" s="456">
        <f t="shared" si="11"/>
        <v>25.47</v>
      </c>
      <c r="H98" s="456" t="str">
        <f>'Rate List - Flats'!H10</f>
        <v>Sq M</v>
      </c>
      <c r="I98" s="456" t="str">
        <f>'Rate List - Flats'!C10</f>
        <v>Gypsum Plaster</v>
      </c>
      <c r="J98" s="457">
        <f>'Rate List - Flats'!E10</f>
        <v>32</v>
      </c>
      <c r="K98" s="457">
        <f>'Rate List - Flats'!G10</f>
        <v>344.44799999999998</v>
      </c>
      <c r="L98" s="456">
        <f t="shared" si="12"/>
        <v>8773.0905599999987</v>
      </c>
      <c r="O98" s="455">
        <f t="shared" si="13"/>
        <v>458.46</v>
      </c>
      <c r="P98" s="505">
        <f t="shared" si="14"/>
        <v>157915.63007999997</v>
      </c>
      <c r="R98" s="480" t="s">
        <v>662</v>
      </c>
    </row>
    <row r="99" spans="1:18">
      <c r="A99" s="454"/>
      <c r="B99" s="454" t="str">
        <f>'Rate List - Flats'!B11</f>
        <v>False ceiling</v>
      </c>
      <c r="C99" s="456"/>
      <c r="D99" s="456"/>
      <c r="E99" s="456"/>
      <c r="F99" s="456"/>
      <c r="G99" s="456">
        <f t="shared" si="11"/>
        <v>0</v>
      </c>
      <c r="H99" s="456" t="str">
        <f>'Rate List - Flats'!H11</f>
        <v>Sq M</v>
      </c>
      <c r="I99" s="456" t="str">
        <f>'Rate List - Flats'!C11</f>
        <v>N.A.</v>
      </c>
      <c r="J99" s="457">
        <f>'Rate List - Flats'!E11</f>
        <v>0</v>
      </c>
      <c r="K99" s="457">
        <f>'Rate List - Flats'!G11</f>
        <v>0</v>
      </c>
      <c r="L99" s="456">
        <f t="shared" si="12"/>
        <v>0</v>
      </c>
      <c r="O99" s="455">
        <f t="shared" si="13"/>
        <v>0</v>
      </c>
      <c r="P99" s="505">
        <f t="shared" si="14"/>
        <v>0</v>
      </c>
      <c r="R99" s="480"/>
    </row>
    <row r="100" spans="1:18">
      <c r="A100" s="454"/>
      <c r="B100" s="454" t="str">
        <f>'Rate List - Flats'!B12</f>
        <v>Wall finishes Paint</v>
      </c>
      <c r="C100" s="456"/>
      <c r="D100" s="456"/>
      <c r="E100" s="456">
        <f>E97</f>
        <v>66.994500000000002</v>
      </c>
      <c r="F100" s="456">
        <f>F97</f>
        <v>-19.585000000000001</v>
      </c>
      <c r="G100" s="456">
        <f t="shared" si="11"/>
        <v>47.409500000000001</v>
      </c>
      <c r="H100" s="456" t="str">
        <f>'Rate List - Flats'!H12</f>
        <v>Sq M</v>
      </c>
      <c r="I100" s="456" t="str">
        <f>'Rate List - Flats'!C12</f>
        <v>Plastic paint</v>
      </c>
      <c r="J100" s="457">
        <f>'Rate List - Flats'!E12</f>
        <v>20</v>
      </c>
      <c r="K100" s="457">
        <f>'Rate List - Flats'!G12</f>
        <v>215.27999999999997</v>
      </c>
      <c r="L100" s="456">
        <f t="shared" si="12"/>
        <v>10206.317159999999</v>
      </c>
      <c r="O100" s="455">
        <f t="shared" si="13"/>
        <v>853.37099999999998</v>
      </c>
      <c r="P100" s="505">
        <f t="shared" si="14"/>
        <v>183713.70887999999</v>
      </c>
      <c r="R100" s="480" t="s">
        <v>663</v>
      </c>
    </row>
    <row r="101" spans="1:18">
      <c r="A101" s="454"/>
      <c r="B101" s="454" t="str">
        <f>'Rate List - Flats'!B13</f>
        <v>Ceiling Paint</v>
      </c>
      <c r="C101" s="456"/>
      <c r="D101" s="456"/>
      <c r="E101" s="456">
        <f>E98</f>
        <v>25.47</v>
      </c>
      <c r="F101" s="456"/>
      <c r="G101" s="456">
        <f t="shared" si="11"/>
        <v>25.47</v>
      </c>
      <c r="H101" s="456" t="str">
        <f>'Rate List - Flats'!H13</f>
        <v>Sq M</v>
      </c>
      <c r="I101" s="456" t="str">
        <f>'Rate List - Flats'!C13</f>
        <v>Plastic paint</v>
      </c>
      <c r="J101" s="457">
        <f>'Rate List - Flats'!E13</f>
        <v>20</v>
      </c>
      <c r="K101" s="457">
        <f>'Rate List - Flats'!G13</f>
        <v>215.27999999999997</v>
      </c>
      <c r="L101" s="456">
        <f t="shared" si="12"/>
        <v>5483.181599999999</v>
      </c>
      <c r="O101" s="455">
        <f t="shared" si="13"/>
        <v>458.46</v>
      </c>
      <c r="P101" s="505">
        <f t="shared" si="14"/>
        <v>98697.268799999976</v>
      </c>
      <c r="R101" s="480" t="s">
        <v>664</v>
      </c>
    </row>
    <row r="102" spans="1:18">
      <c r="A102" s="454"/>
      <c r="B102" s="454" t="str">
        <f>'Rate List - Flats'!B14</f>
        <v>Door Frames</v>
      </c>
      <c r="C102" s="456"/>
      <c r="D102" s="456"/>
      <c r="E102" s="456"/>
      <c r="F102" s="456"/>
      <c r="G102" s="456">
        <f t="shared" si="11"/>
        <v>0</v>
      </c>
      <c r="H102" s="456" t="str">
        <f>'Rate List - Flats'!H14</f>
        <v>RM</v>
      </c>
      <c r="I102" s="456" t="str">
        <f>'Rate List - Flats'!C14</f>
        <v>N.A.</v>
      </c>
      <c r="J102" s="457">
        <f>'Rate List - Flats'!E14</f>
        <v>0</v>
      </c>
      <c r="K102" s="457">
        <f>'Rate List - Flats'!G14</f>
        <v>0</v>
      </c>
      <c r="L102" s="456">
        <f t="shared" si="12"/>
        <v>0</v>
      </c>
      <c r="O102" s="455">
        <f t="shared" si="13"/>
        <v>0</v>
      </c>
      <c r="P102" s="505">
        <f t="shared" si="14"/>
        <v>0</v>
      </c>
      <c r="R102" s="480" t="s">
        <v>742</v>
      </c>
    </row>
    <row r="103" spans="1:18">
      <c r="A103" s="454"/>
      <c r="B103" s="454" t="str">
        <f>'Rate List - Flats'!B15</f>
        <v>Window Frames - Internal</v>
      </c>
      <c r="C103" s="456"/>
      <c r="D103" s="456"/>
      <c r="E103" s="456">
        <f>Windows!F11*2+Windows!G11*2</f>
        <v>14.899999999999999</v>
      </c>
      <c r="F103" s="456"/>
      <c r="G103" s="456">
        <f t="shared" si="11"/>
        <v>14.899999999999999</v>
      </c>
      <c r="H103" s="456" t="str">
        <f>'Rate List - Flats'!H15</f>
        <v>RM</v>
      </c>
      <c r="I103" s="456" t="str">
        <f>'Rate List - Flats'!C15</f>
        <v>Granite Window Frame</v>
      </c>
      <c r="J103" s="457">
        <f>'Rate List - Flats'!E15</f>
        <v>180</v>
      </c>
      <c r="K103" s="457">
        <f>'Rate List - Flats'!G15</f>
        <v>655.92719999999997</v>
      </c>
      <c r="L103" s="456">
        <f t="shared" si="12"/>
        <v>9773.3152799999989</v>
      </c>
      <c r="O103" s="455">
        <f t="shared" si="13"/>
        <v>268.2</v>
      </c>
      <c r="P103" s="505">
        <f t="shared" si="14"/>
        <v>175919.67503999997</v>
      </c>
      <c r="R103" s="480" t="s">
        <v>743</v>
      </c>
    </row>
    <row r="104" spans="1:18">
      <c r="A104" s="454"/>
      <c r="B104" s="454" t="str">
        <f>'Rate List - Flats'!B16</f>
        <v>Window Frames - External</v>
      </c>
      <c r="C104" s="456"/>
      <c r="D104" s="456"/>
      <c r="E104" s="456">
        <f>E103</f>
        <v>14.899999999999999</v>
      </c>
      <c r="F104" s="456"/>
      <c r="G104" s="456">
        <f t="shared" si="11"/>
        <v>14.899999999999999</v>
      </c>
      <c r="H104" s="456" t="str">
        <f>'Rate List - Flats'!H16</f>
        <v>RM</v>
      </c>
      <c r="I104" s="456" t="str">
        <f>'Rate List - Flats'!C16</f>
        <v>Marble Window Frames with Sill</v>
      </c>
      <c r="J104" s="457">
        <f>'Rate List - Flats'!E16</f>
        <v>60</v>
      </c>
      <c r="K104" s="457">
        <f>'Rate List - Flats'!G16</f>
        <v>399.04239999999999</v>
      </c>
      <c r="L104" s="456">
        <f t="shared" si="12"/>
        <v>5945.7317599999997</v>
      </c>
      <c r="O104" s="455">
        <f t="shared" si="13"/>
        <v>268.2</v>
      </c>
      <c r="P104" s="505">
        <f t="shared" si="14"/>
        <v>107023.17168</v>
      </c>
      <c r="R104" s="480" t="s">
        <v>409</v>
      </c>
    </row>
    <row r="105" spans="1:18">
      <c r="A105" s="454"/>
      <c r="B105" s="454" t="str">
        <f>'Rate List - Flats'!B17</f>
        <v>Others</v>
      </c>
      <c r="C105" s="456"/>
      <c r="D105" s="456"/>
      <c r="E105" s="456"/>
      <c r="F105" s="456"/>
      <c r="G105" s="456">
        <f t="shared" si="11"/>
        <v>0</v>
      </c>
      <c r="H105" s="456" t="str">
        <f>'Rate List - Flats'!H17</f>
        <v>-</v>
      </c>
      <c r="I105" s="456" t="str">
        <f>'Rate List - Flats'!C17</f>
        <v>N.A.</v>
      </c>
      <c r="J105" s="457" t="str">
        <f>'Rate List - Flats'!E17</f>
        <v>-</v>
      </c>
      <c r="K105" s="457" t="str">
        <f>'Rate List - Flats'!G17</f>
        <v>-</v>
      </c>
      <c r="L105" s="457"/>
      <c r="O105" s="455">
        <f t="shared" si="13"/>
        <v>0</v>
      </c>
      <c r="P105" s="505">
        <f t="shared" si="14"/>
        <v>0</v>
      </c>
    </row>
    <row r="106" spans="1:18" s="479" customFormat="1" ht="13.5" customHeight="1">
      <c r="A106" s="475" t="s">
        <v>628</v>
      </c>
      <c r="B106" s="476" t="str">
        <f>'Flat Sizes'!B13</f>
        <v>M. Bedroom</v>
      </c>
      <c r="C106" s="477">
        <f>'Flat Sizes'!D13</f>
        <v>15.79</v>
      </c>
      <c r="D106" s="477">
        <f>'Flat Sizes'!G13</f>
        <v>19.489999999999998</v>
      </c>
      <c r="E106" s="477"/>
      <c r="F106" s="454"/>
      <c r="G106" s="477"/>
      <c r="H106" s="477"/>
      <c r="I106" s="477"/>
      <c r="J106" s="477"/>
      <c r="K106" s="477"/>
      <c r="L106" s="477"/>
      <c r="M106" s="459">
        <f>SUM(L107:L118)/C106/10.764</f>
        <v>443.72074534094247</v>
      </c>
      <c r="N106" s="478"/>
      <c r="O106" s="455">
        <f t="shared" si="13"/>
        <v>0</v>
      </c>
      <c r="P106" s="505">
        <f t="shared" si="14"/>
        <v>0</v>
      </c>
      <c r="Q106" s="478"/>
    </row>
    <row r="107" spans="1:18">
      <c r="A107" s="454"/>
      <c r="B107" s="454" t="str" cm="1">
        <f t="array" ref="B107:B118">'Rate List - Flats'!B20:B31</f>
        <v>Flooring</v>
      </c>
      <c r="C107" s="456"/>
      <c r="D107" s="456"/>
      <c r="E107" s="456">
        <f>C106</f>
        <v>15.79</v>
      </c>
      <c r="F107" s="456"/>
      <c r="G107" s="456">
        <f t="shared" si="11"/>
        <v>15.79</v>
      </c>
      <c r="H107" s="456" t="str" cm="1">
        <f t="array" ref="H107:H118">'Rate List - Flats'!H20:H31</f>
        <v>Sq M</v>
      </c>
      <c r="I107" s="456" t="str" cm="1">
        <f t="array" ref="I107:I118">'Rate List - Flats'!C20:C31</f>
        <v>2'x2' Vitrified tiles</v>
      </c>
      <c r="J107" s="456" cm="1">
        <f t="array" ref="J107:J118">'Rate List - Flats'!E34:E45</f>
        <v>45</v>
      </c>
      <c r="K107" s="456" cm="1">
        <f t="array" ref="K107:K118">'Rate List - Flats'!G34:G45</f>
        <v>1340.1179999999999</v>
      </c>
      <c r="L107" s="456">
        <f>G107*K107</f>
        <v>21160.463219999998</v>
      </c>
      <c r="O107" s="455">
        <f t="shared" si="13"/>
        <v>284.21999999999997</v>
      </c>
      <c r="P107" s="505">
        <f t="shared" si="14"/>
        <v>380888.33795999998</v>
      </c>
      <c r="R107" s="480" t="s">
        <v>659</v>
      </c>
    </row>
    <row r="108" spans="1:18">
      <c r="A108" s="454"/>
      <c r="B108" s="454" t="str">
        <v>Skirting</v>
      </c>
      <c r="C108" s="456"/>
      <c r="D108" s="456"/>
      <c r="E108" s="456">
        <f>D106</f>
        <v>19.489999999999998</v>
      </c>
      <c r="F108" s="456">
        <f>-(Doors!F13+Doors!F14)</f>
        <v>-1.65</v>
      </c>
      <c r="G108" s="456">
        <f t="shared" si="11"/>
        <v>17.84</v>
      </c>
      <c r="H108" s="456" t="str">
        <v>RM</v>
      </c>
      <c r="I108" s="456" t="str">
        <v xml:space="preserve">2'x2' Vitrified tiles </v>
      </c>
      <c r="J108" s="456">
        <v>45</v>
      </c>
      <c r="K108" s="456">
        <v>391.96</v>
      </c>
      <c r="L108" s="456">
        <f t="shared" si="12"/>
        <v>6992.5663999999997</v>
      </c>
      <c r="O108" s="455">
        <f t="shared" si="13"/>
        <v>321.12</v>
      </c>
      <c r="P108" s="505">
        <f t="shared" si="14"/>
        <v>125866.19519999999</v>
      </c>
      <c r="R108" s="480" t="s">
        <v>660</v>
      </c>
    </row>
    <row r="109" spans="1:18">
      <c r="A109" s="454"/>
      <c r="B109" s="454" t="str">
        <v>Dado</v>
      </c>
      <c r="C109" s="456"/>
      <c r="D109" s="456"/>
      <c r="E109" s="456"/>
      <c r="F109" s="456"/>
      <c r="G109" s="456">
        <f t="shared" si="11"/>
        <v>0</v>
      </c>
      <c r="H109" s="456" t="str">
        <v>Sq M</v>
      </c>
      <c r="I109" s="456" t="str">
        <v>N.A.</v>
      </c>
      <c r="J109" s="456">
        <v>0</v>
      </c>
      <c r="K109" s="456">
        <v>0</v>
      </c>
      <c r="L109" s="456">
        <f t="shared" si="12"/>
        <v>0</v>
      </c>
      <c r="O109" s="455">
        <f t="shared" si="13"/>
        <v>0</v>
      </c>
      <c r="P109" s="505">
        <f t="shared" si="14"/>
        <v>0</v>
      </c>
      <c r="R109" s="480"/>
    </row>
    <row r="110" spans="1:18">
      <c r="A110" s="454"/>
      <c r="B110" s="454" t="str">
        <v>Wall finishes plaster</v>
      </c>
      <c r="C110" s="456"/>
      <c r="D110" s="456"/>
      <c r="E110" s="456">
        <f>D106*(D1-0.15)</f>
        <v>57.4955</v>
      </c>
      <c r="F110" s="456">
        <f>-(Doors!H13+Windows!H12)</f>
        <v>-8.4474999999999998</v>
      </c>
      <c r="G110" s="456">
        <f t="shared" si="11"/>
        <v>49.048000000000002</v>
      </c>
      <c r="H110" s="456" t="str">
        <v>Sq M</v>
      </c>
      <c r="I110" s="456" t="str">
        <v>Gypsum Plaster</v>
      </c>
      <c r="J110" s="456">
        <v>32</v>
      </c>
      <c r="K110" s="456">
        <v>344.44799999999998</v>
      </c>
      <c r="L110" s="456">
        <f t="shared" si="12"/>
        <v>16894.485504</v>
      </c>
      <c r="O110" s="455">
        <f t="shared" si="13"/>
        <v>882.86400000000003</v>
      </c>
      <c r="P110" s="505">
        <f t="shared" si="14"/>
        <v>304100.73907200003</v>
      </c>
      <c r="R110" s="480" t="s">
        <v>661</v>
      </c>
    </row>
    <row r="111" spans="1:18">
      <c r="A111" s="454"/>
      <c r="B111" s="454" t="str">
        <v>Ceiling plaster</v>
      </c>
      <c r="C111" s="456"/>
      <c r="D111" s="456"/>
      <c r="E111" s="456">
        <f>E107</f>
        <v>15.79</v>
      </c>
      <c r="F111" s="456"/>
      <c r="G111" s="456">
        <f t="shared" si="11"/>
        <v>15.79</v>
      </c>
      <c r="H111" s="456" t="str">
        <v>Sq M</v>
      </c>
      <c r="I111" s="456" t="str">
        <v>Gypsum Plaster</v>
      </c>
      <c r="J111" s="456">
        <v>32</v>
      </c>
      <c r="K111" s="456">
        <v>344.44799999999998</v>
      </c>
      <c r="L111" s="456">
        <f t="shared" si="12"/>
        <v>5438.8339199999991</v>
      </c>
      <c r="O111" s="455">
        <f t="shared" si="13"/>
        <v>284.21999999999997</v>
      </c>
      <c r="P111" s="505">
        <f t="shared" si="14"/>
        <v>97899.010559999981</v>
      </c>
      <c r="R111" s="480" t="s">
        <v>662</v>
      </c>
    </row>
    <row r="112" spans="1:18">
      <c r="A112" s="454"/>
      <c r="B112" s="454" t="str">
        <v>False ceiling</v>
      </c>
      <c r="C112" s="456"/>
      <c r="D112" s="456"/>
      <c r="E112" s="456"/>
      <c r="F112" s="456"/>
      <c r="G112" s="456">
        <f t="shared" si="11"/>
        <v>0</v>
      </c>
      <c r="H112" s="456" t="str">
        <v>Sq M</v>
      </c>
      <c r="I112" s="456" t="str">
        <v>N.A.</v>
      </c>
      <c r="J112" s="456">
        <v>0</v>
      </c>
      <c r="K112" s="456">
        <v>0</v>
      </c>
      <c r="L112" s="456">
        <f t="shared" si="12"/>
        <v>0</v>
      </c>
      <c r="O112" s="455">
        <f t="shared" si="13"/>
        <v>0</v>
      </c>
      <c r="P112" s="505">
        <f t="shared" si="14"/>
        <v>0</v>
      </c>
      <c r="R112" s="480"/>
    </row>
    <row r="113" spans="1:18">
      <c r="A113" s="454"/>
      <c r="B113" s="454" t="str">
        <v>Wall finishes Paint</v>
      </c>
      <c r="C113" s="456"/>
      <c r="D113" s="456"/>
      <c r="E113" s="456">
        <f>E110</f>
        <v>57.4955</v>
      </c>
      <c r="F113" s="456">
        <f>F110</f>
        <v>-8.4474999999999998</v>
      </c>
      <c r="G113" s="456">
        <f t="shared" si="11"/>
        <v>49.048000000000002</v>
      </c>
      <c r="H113" s="456" t="str">
        <v>Sq M</v>
      </c>
      <c r="I113" s="456" t="str">
        <v>Plastic paint</v>
      </c>
      <c r="J113" s="456">
        <v>20</v>
      </c>
      <c r="K113" s="456">
        <v>215.27999999999997</v>
      </c>
      <c r="L113" s="456">
        <f t="shared" si="12"/>
        <v>10559.05344</v>
      </c>
      <c r="O113" s="455">
        <f t="shared" si="13"/>
        <v>882.86400000000003</v>
      </c>
      <c r="P113" s="505">
        <f t="shared" si="14"/>
        <v>190062.96192</v>
      </c>
      <c r="R113" s="480" t="s">
        <v>663</v>
      </c>
    </row>
    <row r="114" spans="1:18">
      <c r="A114" s="454"/>
      <c r="B114" s="454" t="str">
        <v>Ceiling Paint</v>
      </c>
      <c r="C114" s="456"/>
      <c r="D114" s="456"/>
      <c r="E114" s="456">
        <f>E111</f>
        <v>15.79</v>
      </c>
      <c r="F114" s="456"/>
      <c r="G114" s="456">
        <f t="shared" si="11"/>
        <v>15.79</v>
      </c>
      <c r="H114" s="456" t="str">
        <v>Sq M</v>
      </c>
      <c r="I114" s="456" t="str">
        <v>Plastic paint</v>
      </c>
      <c r="J114" s="456">
        <v>20</v>
      </c>
      <c r="K114" s="456">
        <v>215.27999999999997</v>
      </c>
      <c r="L114" s="456">
        <f t="shared" si="12"/>
        <v>3399.2711999999992</v>
      </c>
      <c r="O114" s="455">
        <f t="shared" si="13"/>
        <v>284.21999999999997</v>
      </c>
      <c r="P114" s="505">
        <f t="shared" si="14"/>
        <v>61186.881599999986</v>
      </c>
      <c r="R114" s="480" t="s">
        <v>664</v>
      </c>
    </row>
    <row r="115" spans="1:18">
      <c r="A115" s="454"/>
      <c r="B115" s="454" t="str">
        <v>Door Frames</v>
      </c>
      <c r="C115" s="456"/>
      <c r="D115" s="456"/>
      <c r="E115" s="456"/>
      <c r="F115" s="456"/>
      <c r="G115" s="456">
        <f t="shared" si="11"/>
        <v>0</v>
      </c>
      <c r="H115" s="456" t="str">
        <v>RM</v>
      </c>
      <c r="I115" s="456" t="str">
        <v>N.A.</v>
      </c>
      <c r="J115" s="456">
        <v>0</v>
      </c>
      <c r="K115" s="456">
        <v>0</v>
      </c>
      <c r="L115" s="456">
        <f t="shared" si="12"/>
        <v>0</v>
      </c>
      <c r="O115" s="455">
        <f t="shared" si="13"/>
        <v>0</v>
      </c>
      <c r="P115" s="505">
        <f t="shared" si="14"/>
        <v>0</v>
      </c>
      <c r="R115" s="480"/>
    </row>
    <row r="116" spans="1:18">
      <c r="A116" s="454"/>
      <c r="B116" s="454" t="str">
        <v>Window Frames - Internal</v>
      </c>
      <c r="C116" s="456"/>
      <c r="D116" s="456"/>
      <c r="E116" s="456">
        <f>Windows!F12*2+Windows!G12*2</f>
        <v>10.399999999999999</v>
      </c>
      <c r="F116" s="456"/>
      <c r="G116" s="456">
        <f t="shared" si="11"/>
        <v>10.399999999999999</v>
      </c>
      <c r="H116" s="456" t="str">
        <v>RM</v>
      </c>
      <c r="I116" s="456" t="str">
        <v>Granite Window Frame</v>
      </c>
      <c r="J116" s="456">
        <v>180</v>
      </c>
      <c r="K116" s="456">
        <v>655.92719999999997</v>
      </c>
      <c r="L116" s="456">
        <f t="shared" si="12"/>
        <v>6821.6428799999985</v>
      </c>
      <c r="O116" s="455">
        <f t="shared" si="13"/>
        <v>187.2</v>
      </c>
      <c r="P116" s="505">
        <f t="shared" si="14"/>
        <v>122789.57183999998</v>
      </c>
      <c r="R116" s="480" t="s">
        <v>743</v>
      </c>
    </row>
    <row r="117" spans="1:18">
      <c r="A117" s="454"/>
      <c r="B117" s="454" t="str">
        <v>Window Frames - External</v>
      </c>
      <c r="C117" s="456"/>
      <c r="D117" s="456"/>
      <c r="E117" s="456">
        <f>E116</f>
        <v>10.399999999999999</v>
      </c>
      <c r="F117" s="456"/>
      <c r="G117" s="456">
        <f t="shared" si="11"/>
        <v>10.399999999999999</v>
      </c>
      <c r="H117" s="456" t="str">
        <v>RM</v>
      </c>
      <c r="I117" s="456" t="str">
        <v>Marble Window Frames with Sill</v>
      </c>
      <c r="J117" s="456">
        <v>60</v>
      </c>
      <c r="K117" s="456">
        <v>399.04239999999999</v>
      </c>
      <c r="L117" s="456">
        <f t="shared" si="12"/>
        <v>4150.0409599999994</v>
      </c>
      <c r="O117" s="455">
        <f t="shared" si="13"/>
        <v>187.2</v>
      </c>
      <c r="P117" s="505">
        <f t="shared" si="14"/>
        <v>74700.737279999987</v>
      </c>
      <c r="R117" s="480" t="s">
        <v>409</v>
      </c>
    </row>
    <row r="118" spans="1:18">
      <c r="A118" s="454"/>
      <c r="B118" s="454" t="str">
        <v>Others</v>
      </c>
      <c r="C118" s="456"/>
      <c r="D118" s="456"/>
      <c r="E118" s="456"/>
      <c r="F118" s="456"/>
      <c r="G118" s="456">
        <f t="shared" si="11"/>
        <v>0</v>
      </c>
      <c r="H118" s="456" t="str">
        <v>-</v>
      </c>
      <c r="I118" s="456" t="str">
        <v>N.A.</v>
      </c>
      <c r="J118" s="456">
        <v>0</v>
      </c>
      <c r="K118" s="456">
        <v>0</v>
      </c>
      <c r="L118" s="456">
        <f t="shared" si="12"/>
        <v>0</v>
      </c>
      <c r="O118" s="455">
        <f t="shared" si="13"/>
        <v>0</v>
      </c>
      <c r="P118" s="505">
        <f t="shared" si="14"/>
        <v>0</v>
      </c>
    </row>
    <row r="119" spans="1:18" s="479" customFormat="1" ht="13.5" customHeight="1">
      <c r="A119" s="506" t="s">
        <v>628</v>
      </c>
      <c r="B119" s="476" t="str">
        <f>'Flat Sizes'!B14</f>
        <v>M. Toilet</v>
      </c>
      <c r="C119" s="477">
        <f>'Flat Sizes'!D14</f>
        <v>3.46</v>
      </c>
      <c r="D119" s="477">
        <f>'Flat Sizes'!G14</f>
        <v>7.92</v>
      </c>
      <c r="E119" s="477"/>
      <c r="F119" s="454"/>
      <c r="G119" s="477"/>
      <c r="H119" s="477"/>
      <c r="I119" s="477"/>
      <c r="J119" s="477"/>
      <c r="K119" s="477"/>
      <c r="L119" s="477"/>
      <c r="M119" s="459">
        <f>SUM(L120:L131)/C119/10.764</f>
        <v>1278.6626901811435</v>
      </c>
      <c r="N119" s="478"/>
      <c r="O119" s="455">
        <f t="shared" si="13"/>
        <v>0</v>
      </c>
      <c r="P119" s="505">
        <f t="shared" si="14"/>
        <v>0</v>
      </c>
      <c r="Q119" s="478"/>
    </row>
    <row r="120" spans="1:18">
      <c r="A120" s="454"/>
      <c r="B120" s="454" t="str" cm="1">
        <f t="array" ref="B120:B131">'Rate List - Flats'!B62:B73</f>
        <v>Flooring</v>
      </c>
      <c r="C120" s="456"/>
      <c r="D120" s="456"/>
      <c r="E120" s="456">
        <f>C119</f>
        <v>3.46</v>
      </c>
      <c r="F120" s="456"/>
      <c r="G120" s="456">
        <f t="shared" si="11"/>
        <v>3.46</v>
      </c>
      <c r="H120" s="456" t="str" cm="1">
        <f t="array" ref="H120:H131">'Rate List - Flats'!H62:H73</f>
        <v>Sq M</v>
      </c>
      <c r="I120" s="456" t="str" cm="1">
        <f t="array" ref="I120:I131">'Rate List - Flats'!C62:C73</f>
        <v>Ceramic tiles/vitrified anti-skid tiles</v>
      </c>
      <c r="J120" s="456" cm="1">
        <f t="array" ref="J120:J131">'Rate List - Flats'!E62:E73</f>
        <v>50</v>
      </c>
      <c r="K120" s="456" cm="1">
        <f t="array" ref="K120:K131">'Rate List - Flats'!G62:G73</f>
        <v>1399.32</v>
      </c>
      <c r="L120" s="456">
        <f t="shared" si="12"/>
        <v>4841.6471999999994</v>
      </c>
      <c r="O120" s="455">
        <f t="shared" si="13"/>
        <v>62.28</v>
      </c>
      <c r="P120" s="505">
        <f t="shared" si="14"/>
        <v>87149.64959999999</v>
      </c>
      <c r="R120" s="480" t="s">
        <v>667</v>
      </c>
    </row>
    <row r="121" spans="1:18">
      <c r="A121" s="454"/>
      <c r="B121" s="454" t="str">
        <v>Skirting</v>
      </c>
      <c r="C121" s="456"/>
      <c r="D121" s="456"/>
      <c r="E121" s="456"/>
      <c r="F121" s="456"/>
      <c r="G121" s="456">
        <f t="shared" si="11"/>
        <v>0</v>
      </c>
      <c r="H121" s="456" t="str">
        <v xml:space="preserve">RM </v>
      </c>
      <c r="I121" s="456" t="str">
        <v>N.A.</v>
      </c>
      <c r="J121" s="456">
        <v>0</v>
      </c>
      <c r="K121" s="456">
        <v>0</v>
      </c>
      <c r="L121" s="456">
        <f t="shared" si="12"/>
        <v>0</v>
      </c>
      <c r="O121" s="455">
        <f t="shared" si="13"/>
        <v>0</v>
      </c>
      <c r="P121" s="505">
        <f t="shared" si="14"/>
        <v>0</v>
      </c>
      <c r="R121" s="480"/>
    </row>
    <row r="122" spans="1:18">
      <c r="A122" s="454"/>
      <c r="B122" s="454" t="str">
        <v>Dado</v>
      </c>
      <c r="C122" s="456"/>
      <c r="D122" s="456">
        <f>D1-0.7</f>
        <v>2.4000000000000004</v>
      </c>
      <c r="E122" s="456">
        <f>D119*D122</f>
        <v>19.008000000000003</v>
      </c>
      <c r="F122" s="456">
        <f>-(Doors!H14+Windows!H13)</f>
        <v>-2.0250000000000004</v>
      </c>
      <c r="G122" s="456">
        <f t="shared" si="11"/>
        <v>16.983000000000004</v>
      </c>
      <c r="H122" s="456" t="str">
        <v>Sq M</v>
      </c>
      <c r="I122" s="456" t="str">
        <v>Vitrified tiles</v>
      </c>
      <c r="J122" s="456">
        <v>50</v>
      </c>
      <c r="K122" s="456">
        <v>1480.05</v>
      </c>
      <c r="L122" s="456">
        <f t="shared" si="12"/>
        <v>25135.689150000006</v>
      </c>
      <c r="O122" s="455">
        <f t="shared" si="13"/>
        <v>305.69400000000007</v>
      </c>
      <c r="P122" s="505">
        <f t="shared" si="14"/>
        <v>452442.40470000007</v>
      </c>
      <c r="R122" s="480" t="s">
        <v>668</v>
      </c>
    </row>
    <row r="123" spans="1:18">
      <c r="A123" s="454"/>
      <c r="B123" s="454" t="str">
        <v>Wall finishes plaster</v>
      </c>
      <c r="C123" s="456"/>
      <c r="D123" s="456">
        <f>D1-D122</f>
        <v>0.69999999999999973</v>
      </c>
      <c r="E123" s="456">
        <f>D119*D123</f>
        <v>5.5439999999999978</v>
      </c>
      <c r="F123" s="456"/>
      <c r="G123" s="456">
        <f t="shared" si="11"/>
        <v>5.5439999999999978</v>
      </c>
      <c r="H123" s="456" t="str">
        <v>Sq M</v>
      </c>
      <c r="I123" s="456" t="str">
        <v>Gypsum Plaster</v>
      </c>
      <c r="J123" s="456">
        <v>32</v>
      </c>
      <c r="K123" s="456">
        <v>344.44799999999998</v>
      </c>
      <c r="L123" s="456">
        <f t="shared" si="12"/>
        <v>1909.619711999999</v>
      </c>
      <c r="O123" s="455">
        <f t="shared" si="13"/>
        <v>99.791999999999959</v>
      </c>
      <c r="P123" s="505">
        <f t="shared" si="14"/>
        <v>34373.15481599998</v>
      </c>
      <c r="R123" s="480" t="s">
        <v>661</v>
      </c>
    </row>
    <row r="124" spans="1:18">
      <c r="A124" s="454"/>
      <c r="B124" s="454" t="str">
        <v>Ceiling plaster</v>
      </c>
      <c r="C124" s="456"/>
      <c r="D124" s="456"/>
      <c r="E124" s="456">
        <f>E120</f>
        <v>3.46</v>
      </c>
      <c r="F124" s="456"/>
      <c r="G124" s="456">
        <f t="shared" si="11"/>
        <v>3.46</v>
      </c>
      <c r="H124" s="456" t="str">
        <v>Sq M</v>
      </c>
      <c r="I124" s="456" t="str">
        <v>Gypsum Plaster</v>
      </c>
      <c r="J124" s="456">
        <v>32</v>
      </c>
      <c r="K124" s="456">
        <v>344.44799999999998</v>
      </c>
      <c r="L124" s="456">
        <f t="shared" si="12"/>
        <v>1191.79008</v>
      </c>
      <c r="O124" s="455">
        <f t="shared" si="13"/>
        <v>62.28</v>
      </c>
      <c r="P124" s="505">
        <f t="shared" si="14"/>
        <v>21452.221440000001</v>
      </c>
      <c r="R124" s="480" t="s">
        <v>662</v>
      </c>
    </row>
    <row r="125" spans="1:18">
      <c r="A125" s="454"/>
      <c r="B125" s="454" t="str">
        <v>False ceiling</v>
      </c>
      <c r="C125" s="456"/>
      <c r="D125" s="456"/>
      <c r="E125" s="456"/>
      <c r="F125" s="456"/>
      <c r="G125" s="456">
        <f t="shared" si="11"/>
        <v>0</v>
      </c>
      <c r="H125" s="456" t="str">
        <v>Sq M</v>
      </c>
      <c r="I125" s="456" t="str">
        <v>N.A.</v>
      </c>
      <c r="J125" s="456">
        <v>0</v>
      </c>
      <c r="K125" s="456">
        <v>0</v>
      </c>
      <c r="L125" s="456">
        <f t="shared" si="12"/>
        <v>0</v>
      </c>
      <c r="O125" s="455">
        <f t="shared" si="13"/>
        <v>0</v>
      </c>
      <c r="P125" s="505">
        <f t="shared" si="14"/>
        <v>0</v>
      </c>
      <c r="R125" s="480"/>
    </row>
    <row r="126" spans="1:18">
      <c r="A126" s="454"/>
      <c r="B126" s="454" t="str">
        <v>Wall finishes Paint</v>
      </c>
      <c r="C126" s="456"/>
      <c r="D126" s="456"/>
      <c r="E126" s="456">
        <f>E123</f>
        <v>5.5439999999999978</v>
      </c>
      <c r="F126" s="456"/>
      <c r="G126" s="456">
        <f t="shared" si="11"/>
        <v>5.5439999999999978</v>
      </c>
      <c r="H126" s="456" t="str">
        <v>Sq M</v>
      </c>
      <c r="I126" s="456" t="str">
        <v>Plastic paint</v>
      </c>
      <c r="J126" s="456">
        <v>20</v>
      </c>
      <c r="K126" s="456">
        <v>215.27999999999997</v>
      </c>
      <c r="L126" s="456">
        <f t="shared" si="12"/>
        <v>1193.5123199999994</v>
      </c>
      <c r="O126" s="455">
        <f t="shared" si="13"/>
        <v>99.791999999999959</v>
      </c>
      <c r="P126" s="505">
        <f t="shared" si="14"/>
        <v>21483.221759999989</v>
      </c>
      <c r="R126" s="480" t="s">
        <v>663</v>
      </c>
    </row>
    <row r="127" spans="1:18">
      <c r="A127" s="454"/>
      <c r="B127" s="454" t="str">
        <v>Ceiling Paint</v>
      </c>
      <c r="C127" s="456"/>
      <c r="D127" s="456"/>
      <c r="E127" s="456">
        <f>E124</f>
        <v>3.46</v>
      </c>
      <c r="F127" s="456"/>
      <c r="G127" s="456">
        <f t="shared" si="11"/>
        <v>3.46</v>
      </c>
      <c r="H127" s="456" t="str">
        <v>Sq M</v>
      </c>
      <c r="I127" s="456" t="str">
        <v>Plastic paint</v>
      </c>
      <c r="J127" s="456">
        <v>20</v>
      </c>
      <c r="K127" s="456">
        <v>215.27999999999997</v>
      </c>
      <c r="L127" s="456">
        <f t="shared" si="12"/>
        <v>744.86879999999985</v>
      </c>
      <c r="O127" s="455">
        <f t="shared" si="13"/>
        <v>62.28</v>
      </c>
      <c r="P127" s="505">
        <f t="shared" si="14"/>
        <v>13407.638399999998</v>
      </c>
      <c r="R127" s="480" t="s">
        <v>664</v>
      </c>
    </row>
    <row r="128" spans="1:18">
      <c r="A128" s="454"/>
      <c r="B128" s="454" t="str">
        <v>Door Frames</v>
      </c>
      <c r="C128" s="456"/>
      <c r="D128" s="456"/>
      <c r="E128" s="456">
        <f>Doors!F14*4+Doors!G14*4</f>
        <v>11.4</v>
      </c>
      <c r="F128" s="456"/>
      <c r="G128" s="456">
        <f t="shared" si="11"/>
        <v>11.4</v>
      </c>
      <c r="H128" s="456" t="str">
        <v>RM</v>
      </c>
      <c r="I128" s="456" t="str">
        <v>Granite Frames</v>
      </c>
      <c r="J128" s="456">
        <v>180</v>
      </c>
      <c r="K128" s="456">
        <v>655.92719999999997</v>
      </c>
      <c r="L128" s="456">
        <f t="shared" si="12"/>
        <v>7477.5700799999995</v>
      </c>
      <c r="O128" s="455">
        <f t="shared" si="13"/>
        <v>205.20000000000002</v>
      </c>
      <c r="P128" s="505">
        <f t="shared" si="14"/>
        <v>134596.26144</v>
      </c>
      <c r="R128" s="480" t="s">
        <v>669</v>
      </c>
    </row>
    <row r="129" spans="1:18">
      <c r="A129" s="454"/>
      <c r="B129" s="454" t="str">
        <v>Window Frames - Internal</v>
      </c>
      <c r="C129" s="456"/>
      <c r="D129" s="456"/>
      <c r="E129" s="456">
        <f>Windows!F13*2+Windows!G13*2</f>
        <v>2.7</v>
      </c>
      <c r="F129" s="456"/>
      <c r="G129" s="456">
        <f t="shared" si="11"/>
        <v>2.7</v>
      </c>
      <c r="H129" s="456" t="str">
        <v>RM</v>
      </c>
      <c r="I129" s="456" t="str">
        <v>Granite Window Frame</v>
      </c>
      <c r="J129" s="456">
        <v>180</v>
      </c>
      <c r="K129" s="456">
        <v>655.92719999999997</v>
      </c>
      <c r="L129" s="456">
        <f t="shared" si="12"/>
        <v>1771.00344</v>
      </c>
      <c r="O129" s="455">
        <f t="shared" si="13"/>
        <v>48.6</v>
      </c>
      <c r="P129" s="505">
        <f t="shared" si="14"/>
        <v>31878.06192</v>
      </c>
      <c r="R129" s="480" t="s">
        <v>743</v>
      </c>
    </row>
    <row r="130" spans="1:18">
      <c r="A130" s="454"/>
      <c r="B130" s="454" t="str">
        <v>Window Frames - External</v>
      </c>
      <c r="C130" s="456"/>
      <c r="D130" s="456"/>
      <c r="E130" s="456">
        <f>E129</f>
        <v>2.7</v>
      </c>
      <c r="F130" s="456"/>
      <c r="G130" s="456">
        <f t="shared" si="11"/>
        <v>2.7</v>
      </c>
      <c r="H130" s="456" t="str">
        <v>RM</v>
      </c>
      <c r="I130" s="456" t="str">
        <v>Marble Window Frames with Sill</v>
      </c>
      <c r="J130" s="456">
        <v>60</v>
      </c>
      <c r="K130" s="456">
        <v>399.04239999999999</v>
      </c>
      <c r="L130" s="456">
        <f t="shared" si="12"/>
        <v>1077.4144800000001</v>
      </c>
      <c r="O130" s="455">
        <f t="shared" si="13"/>
        <v>48.6</v>
      </c>
      <c r="P130" s="505">
        <f t="shared" si="14"/>
        <v>19393.460640000001</v>
      </c>
      <c r="R130" s="480" t="s">
        <v>409</v>
      </c>
    </row>
    <row r="131" spans="1:18">
      <c r="A131" s="454"/>
      <c r="B131" s="454" t="str">
        <v>Others - Counter</v>
      </c>
      <c r="C131" s="456"/>
      <c r="D131" s="456"/>
      <c r="E131" s="456">
        <f>0.6*0.6</f>
        <v>0.36</v>
      </c>
      <c r="F131" s="456"/>
      <c r="G131" s="456">
        <f t="shared" si="11"/>
        <v>0.36</v>
      </c>
      <c r="H131" s="456" t="str">
        <v>Sq M</v>
      </c>
      <c r="I131" s="456" t="str">
        <v>Basin Counter 1'6" - Granite Basin Counter</v>
      </c>
      <c r="J131" s="456">
        <v>180</v>
      </c>
      <c r="K131" s="456">
        <v>6329.6720000000005</v>
      </c>
      <c r="L131" s="456">
        <f t="shared" si="12"/>
        <v>2278.68192</v>
      </c>
      <c r="O131" s="455">
        <f t="shared" si="13"/>
        <v>6.4799999999999995</v>
      </c>
      <c r="P131" s="505">
        <f t="shared" si="14"/>
        <v>41016.274559999998</v>
      </c>
      <c r="R131" s="480" t="s">
        <v>670</v>
      </c>
    </row>
    <row r="132" spans="1:18" s="479" customFormat="1" ht="13.5" customHeight="1">
      <c r="A132" s="475" t="s">
        <v>628</v>
      </c>
      <c r="B132" s="476" t="str">
        <f>'Flat Sizes'!B15</f>
        <v>C.Bedroom</v>
      </c>
      <c r="C132" s="477">
        <f>'Flat Sizes'!D15</f>
        <v>10.67</v>
      </c>
      <c r="D132" s="477">
        <f>'Flat Sizes'!G15</f>
        <v>13.55</v>
      </c>
      <c r="E132" s="477"/>
      <c r="F132" s="454"/>
      <c r="G132" s="477"/>
      <c r="H132" s="477"/>
      <c r="I132" s="477"/>
      <c r="J132" s="477"/>
      <c r="K132" s="477"/>
      <c r="L132" s="477"/>
      <c r="M132" s="459">
        <f>SUM(L133:L144)/C132/10.764</f>
        <v>468.83655591880597</v>
      </c>
      <c r="N132" s="478"/>
      <c r="O132" s="455">
        <f t="shared" si="13"/>
        <v>0</v>
      </c>
      <c r="P132" s="505">
        <f t="shared" si="14"/>
        <v>0</v>
      </c>
      <c r="Q132" s="478"/>
    </row>
    <row r="133" spans="1:18">
      <c r="A133" s="454"/>
      <c r="B133" s="454" t="str" cm="1">
        <f t="array" ref="B133:B144">'Rate List - Flats'!B48:B59</f>
        <v>Flooring</v>
      </c>
      <c r="C133" s="456"/>
      <c r="D133" s="456"/>
      <c r="E133" s="456">
        <f>C132</f>
        <v>10.67</v>
      </c>
      <c r="F133" s="456"/>
      <c r="G133" s="456">
        <f t="shared" si="11"/>
        <v>10.67</v>
      </c>
      <c r="H133" s="456" t="str" cm="1">
        <f t="array" ref="H133:H144">'Rate List - Flats'!H48:H59</f>
        <v>Sq M</v>
      </c>
      <c r="I133" s="456" t="str" cm="1">
        <f t="array" ref="I133:I144">'Rate List - Flats'!C48:C59</f>
        <v>2'x2' Vitrified tiles</v>
      </c>
      <c r="J133" s="456" cm="1">
        <f t="array" ref="J133:J144">'Rate List - Flats'!E48:E59</f>
        <v>45</v>
      </c>
      <c r="K133" s="456" cm="1">
        <f t="array" ref="K133:K144">'Rate List - Flats'!G48:G59</f>
        <v>1340.1179999999999</v>
      </c>
      <c r="L133" s="456">
        <f t="shared" si="12"/>
        <v>14299.05906</v>
      </c>
      <c r="O133" s="455">
        <f t="shared" si="13"/>
        <v>192.06</v>
      </c>
      <c r="P133" s="505">
        <f t="shared" si="14"/>
        <v>257383.06307999999</v>
      </c>
      <c r="R133" s="480" t="s">
        <v>659</v>
      </c>
    </row>
    <row r="134" spans="1:18">
      <c r="A134" s="454"/>
      <c r="B134" s="454" t="str">
        <v>Skirting</v>
      </c>
      <c r="C134" s="456"/>
      <c r="D134" s="456"/>
      <c r="E134" s="456">
        <f>D132</f>
        <v>13.55</v>
      </c>
      <c r="F134" s="456">
        <f>-(Doors!F15)</f>
        <v>-0.9</v>
      </c>
      <c r="G134" s="456">
        <f t="shared" si="11"/>
        <v>12.65</v>
      </c>
      <c r="H134" s="456" t="str">
        <v>RM</v>
      </c>
      <c r="I134" s="456" t="str">
        <v xml:space="preserve">2'x2' Vitrified tiles </v>
      </c>
      <c r="J134" s="456">
        <v>45</v>
      </c>
      <c r="K134" s="456">
        <v>391.96</v>
      </c>
      <c r="L134" s="456">
        <f t="shared" si="12"/>
        <v>4958.2939999999999</v>
      </c>
      <c r="O134" s="455">
        <f t="shared" si="13"/>
        <v>227.70000000000002</v>
      </c>
      <c r="P134" s="505">
        <f t="shared" si="14"/>
        <v>89249.292000000001</v>
      </c>
      <c r="R134" s="480" t="s">
        <v>660</v>
      </c>
    </row>
    <row r="135" spans="1:18">
      <c r="A135" s="454"/>
      <c r="B135" s="454" t="str">
        <v>Dado</v>
      </c>
      <c r="C135" s="456"/>
      <c r="D135" s="456"/>
      <c r="E135" s="456"/>
      <c r="F135" s="456"/>
      <c r="G135" s="456">
        <f t="shared" si="11"/>
        <v>0</v>
      </c>
      <c r="H135" s="456" t="str">
        <v>Sq M</v>
      </c>
      <c r="I135" s="456" t="str">
        <v>N.A.</v>
      </c>
      <c r="J135" s="456">
        <v>0</v>
      </c>
      <c r="K135" s="456">
        <v>0</v>
      </c>
      <c r="L135" s="456">
        <f t="shared" si="12"/>
        <v>0</v>
      </c>
      <c r="O135" s="455">
        <f t="shared" si="13"/>
        <v>0</v>
      </c>
      <c r="P135" s="505">
        <f t="shared" si="14"/>
        <v>0</v>
      </c>
      <c r="R135" s="480"/>
    </row>
    <row r="136" spans="1:18">
      <c r="A136" s="454"/>
      <c r="B136" s="454" t="str">
        <v>Wall finishes plaster</v>
      </c>
      <c r="C136" s="456"/>
      <c r="D136" s="456"/>
      <c r="E136" s="456">
        <f>D132*(D1-0.15)</f>
        <v>39.972500000000004</v>
      </c>
      <c r="F136" s="456">
        <f>-(Doors!H15+Windows!H14)</f>
        <v>-8.4474999999999998</v>
      </c>
      <c r="G136" s="456">
        <f t="shared" si="11"/>
        <v>31.525000000000006</v>
      </c>
      <c r="H136" s="456" t="str">
        <v>Sq M</v>
      </c>
      <c r="I136" s="456" t="str">
        <v>Gypsum Plaster</v>
      </c>
      <c r="J136" s="456">
        <v>32</v>
      </c>
      <c r="K136" s="456">
        <v>344.44799999999998</v>
      </c>
      <c r="L136" s="456">
        <f t="shared" si="12"/>
        <v>10858.723200000002</v>
      </c>
      <c r="O136" s="455">
        <f t="shared" si="13"/>
        <v>567.45000000000005</v>
      </c>
      <c r="P136" s="505">
        <f t="shared" si="14"/>
        <v>195457.01760000005</v>
      </c>
      <c r="R136" s="480" t="s">
        <v>661</v>
      </c>
    </row>
    <row r="137" spans="1:18">
      <c r="A137" s="454"/>
      <c r="B137" s="454" t="str">
        <v>Ceiling plaster</v>
      </c>
      <c r="C137" s="456"/>
      <c r="D137" s="456"/>
      <c r="E137" s="456">
        <f>E133</f>
        <v>10.67</v>
      </c>
      <c r="F137" s="456"/>
      <c r="G137" s="456">
        <f t="shared" si="11"/>
        <v>10.67</v>
      </c>
      <c r="H137" s="456" t="str">
        <v>Sq M</v>
      </c>
      <c r="I137" s="456" t="str">
        <v>Gypsum Plaster</v>
      </c>
      <c r="J137" s="456">
        <v>32</v>
      </c>
      <c r="K137" s="456">
        <v>344.44799999999998</v>
      </c>
      <c r="L137" s="456">
        <f t="shared" si="12"/>
        <v>3675.2601599999998</v>
      </c>
      <c r="O137" s="455">
        <f t="shared" si="13"/>
        <v>192.06</v>
      </c>
      <c r="P137" s="505">
        <f t="shared" si="14"/>
        <v>66154.682879999993</v>
      </c>
      <c r="R137" s="480" t="s">
        <v>662</v>
      </c>
    </row>
    <row r="138" spans="1:18">
      <c r="A138" s="454"/>
      <c r="B138" s="454" t="str">
        <v>False ceiling</v>
      </c>
      <c r="C138" s="456"/>
      <c r="D138" s="456"/>
      <c r="E138" s="456"/>
      <c r="F138" s="456"/>
      <c r="G138" s="456">
        <f t="shared" si="11"/>
        <v>0</v>
      </c>
      <c r="H138" s="456" t="str">
        <v>Sq M</v>
      </c>
      <c r="I138" s="456" t="str">
        <v>N.A.</v>
      </c>
      <c r="J138" s="456">
        <v>0</v>
      </c>
      <c r="K138" s="456">
        <v>0</v>
      </c>
      <c r="L138" s="456">
        <f t="shared" si="12"/>
        <v>0</v>
      </c>
      <c r="O138" s="455">
        <f t="shared" si="13"/>
        <v>0</v>
      </c>
      <c r="P138" s="505">
        <f t="shared" si="14"/>
        <v>0</v>
      </c>
      <c r="R138" s="480"/>
    </row>
    <row r="139" spans="1:18">
      <c r="A139" s="454"/>
      <c r="B139" s="454" t="str">
        <v>Wall finishes Paint</v>
      </c>
      <c r="C139" s="456"/>
      <c r="D139" s="456"/>
      <c r="E139" s="456">
        <f>E136</f>
        <v>39.972500000000004</v>
      </c>
      <c r="F139" s="456">
        <f>F136</f>
        <v>-8.4474999999999998</v>
      </c>
      <c r="G139" s="456">
        <f t="shared" si="11"/>
        <v>31.525000000000006</v>
      </c>
      <c r="H139" s="456" t="str">
        <v>Sq M</v>
      </c>
      <c r="I139" s="456" t="str">
        <v>Plastic paint</v>
      </c>
      <c r="J139" s="456">
        <v>20</v>
      </c>
      <c r="K139" s="456">
        <v>215.27999999999997</v>
      </c>
      <c r="L139" s="456">
        <f t="shared" si="12"/>
        <v>6786.7020000000002</v>
      </c>
      <c r="O139" s="455">
        <f t="shared" si="13"/>
        <v>567.45000000000005</v>
      </c>
      <c r="P139" s="505">
        <f t="shared" si="14"/>
        <v>122160.636</v>
      </c>
      <c r="R139" s="480" t="s">
        <v>663</v>
      </c>
    </row>
    <row r="140" spans="1:18">
      <c r="A140" s="454"/>
      <c r="B140" s="454" t="str">
        <v>Ceiling Paint</v>
      </c>
      <c r="C140" s="456"/>
      <c r="D140" s="456"/>
      <c r="E140" s="456">
        <f>E137</f>
        <v>10.67</v>
      </c>
      <c r="F140" s="456"/>
      <c r="G140" s="456">
        <f t="shared" si="11"/>
        <v>10.67</v>
      </c>
      <c r="H140" s="456" t="str">
        <v>Sq M</v>
      </c>
      <c r="I140" s="456" t="str">
        <v>Plastic paint</v>
      </c>
      <c r="J140" s="456">
        <v>20</v>
      </c>
      <c r="K140" s="456">
        <v>215.27999999999997</v>
      </c>
      <c r="L140" s="456">
        <f t="shared" si="12"/>
        <v>2297.0375999999997</v>
      </c>
      <c r="O140" s="455">
        <f t="shared" si="13"/>
        <v>192.06</v>
      </c>
      <c r="P140" s="505">
        <f t="shared" si="14"/>
        <v>41346.676799999994</v>
      </c>
      <c r="R140" s="480" t="s">
        <v>664</v>
      </c>
    </row>
    <row r="141" spans="1:18">
      <c r="A141" s="454"/>
      <c r="B141" s="454" t="str">
        <v>Door Frames</v>
      </c>
      <c r="C141" s="456"/>
      <c r="D141" s="456"/>
      <c r="E141" s="456"/>
      <c r="F141" s="456"/>
      <c r="G141" s="456">
        <f t="shared" si="11"/>
        <v>0</v>
      </c>
      <c r="H141" s="456" t="str">
        <v>RM</v>
      </c>
      <c r="I141" s="456" t="str">
        <v>N.A.</v>
      </c>
      <c r="J141" s="456">
        <v>0</v>
      </c>
      <c r="K141" s="456">
        <v>0</v>
      </c>
      <c r="L141" s="456">
        <f t="shared" si="12"/>
        <v>0</v>
      </c>
      <c r="O141" s="455">
        <f t="shared" si="13"/>
        <v>0</v>
      </c>
      <c r="P141" s="505">
        <f t="shared" si="14"/>
        <v>0</v>
      </c>
      <c r="R141" s="480"/>
    </row>
    <row r="142" spans="1:18">
      <c r="A142" s="454"/>
      <c r="B142" s="454" t="str">
        <v>Window Frames - Internal</v>
      </c>
      <c r="C142" s="456"/>
      <c r="D142" s="456"/>
      <c r="E142" s="456">
        <f>Windows!F14*2+Windows!G14*2</f>
        <v>10.399999999999999</v>
      </c>
      <c r="F142" s="456"/>
      <c r="G142" s="456">
        <f t="shared" si="11"/>
        <v>10.399999999999999</v>
      </c>
      <c r="H142" s="456" t="str">
        <v>RM</v>
      </c>
      <c r="I142" s="456" t="str">
        <v>Granite Window Frame</v>
      </c>
      <c r="J142" s="456">
        <v>180</v>
      </c>
      <c r="K142" s="456">
        <v>655.92719999999997</v>
      </c>
      <c r="L142" s="456">
        <f t="shared" si="12"/>
        <v>6821.6428799999985</v>
      </c>
      <c r="O142" s="455">
        <f t="shared" si="13"/>
        <v>187.2</v>
      </c>
      <c r="P142" s="505">
        <f t="shared" si="14"/>
        <v>122789.57183999998</v>
      </c>
      <c r="R142" s="480" t="s">
        <v>743</v>
      </c>
    </row>
    <row r="143" spans="1:18">
      <c r="A143" s="454"/>
      <c r="B143" s="454" t="str">
        <v>Window Frames - External</v>
      </c>
      <c r="C143" s="456"/>
      <c r="D143" s="456"/>
      <c r="E143" s="456">
        <f>E142</f>
        <v>10.399999999999999</v>
      </c>
      <c r="F143" s="456"/>
      <c r="G143" s="456">
        <f t="shared" si="11"/>
        <v>10.399999999999999</v>
      </c>
      <c r="H143" s="456" t="str">
        <v>RM</v>
      </c>
      <c r="I143" s="456" t="str">
        <v>Marble Window Frames with Sill</v>
      </c>
      <c r="J143" s="456">
        <v>60</v>
      </c>
      <c r="K143" s="456">
        <v>399.04239999999999</v>
      </c>
      <c r="L143" s="456">
        <f t="shared" si="12"/>
        <v>4150.0409599999994</v>
      </c>
      <c r="O143" s="455">
        <f t="shared" si="13"/>
        <v>187.2</v>
      </c>
      <c r="P143" s="505">
        <f t="shared" si="14"/>
        <v>74700.737279999987</v>
      </c>
      <c r="R143" s="480" t="s">
        <v>409</v>
      </c>
    </row>
    <row r="144" spans="1:18">
      <c r="A144" s="454"/>
      <c r="B144" s="454" t="str">
        <v>Others</v>
      </c>
      <c r="C144" s="456"/>
      <c r="D144" s="456"/>
      <c r="E144" s="456"/>
      <c r="F144" s="456"/>
      <c r="G144" s="456">
        <f t="shared" si="11"/>
        <v>0</v>
      </c>
      <c r="H144" s="456" t="str">
        <v>-</v>
      </c>
      <c r="I144" s="456" t="str">
        <v>N.A.</v>
      </c>
      <c r="J144" s="456">
        <v>0</v>
      </c>
      <c r="K144" s="456">
        <v>0</v>
      </c>
      <c r="L144" s="456">
        <f t="shared" si="12"/>
        <v>0</v>
      </c>
      <c r="O144" s="455">
        <f t="shared" si="13"/>
        <v>0</v>
      </c>
      <c r="P144" s="505">
        <f t="shared" si="14"/>
        <v>0</v>
      </c>
    </row>
    <row r="145" spans="1:18" s="479" customFormat="1" ht="13.5" customHeight="1">
      <c r="A145" s="475" t="s">
        <v>628</v>
      </c>
      <c r="B145" s="476" t="str">
        <f>'Flat Sizes'!B16</f>
        <v>C. Toilet</v>
      </c>
      <c r="C145" s="477">
        <f>'Flat Sizes'!D16</f>
        <v>3.35</v>
      </c>
      <c r="D145" s="477">
        <f>'Flat Sizes'!G16</f>
        <v>7.76</v>
      </c>
      <c r="E145" s="477"/>
      <c r="F145" s="454"/>
      <c r="G145" s="477"/>
      <c r="H145" s="477"/>
      <c r="I145" s="477"/>
      <c r="J145" s="477"/>
      <c r="K145" s="477"/>
      <c r="L145" s="477"/>
      <c r="M145" s="459">
        <f>SUM(L146:L157)/C145/10.764</f>
        <v>1297.172808366196</v>
      </c>
      <c r="N145" s="478"/>
      <c r="O145" s="455">
        <f t="shared" si="13"/>
        <v>0</v>
      </c>
      <c r="P145" s="505">
        <f t="shared" si="14"/>
        <v>0</v>
      </c>
      <c r="Q145" s="478"/>
    </row>
    <row r="146" spans="1:18">
      <c r="A146" s="454"/>
      <c r="B146" s="454" t="str" cm="1">
        <f t="array" ref="B146:B157">'Rate List - Flats'!B76:B87</f>
        <v>Flooring</v>
      </c>
      <c r="C146" s="456"/>
      <c r="D146" s="456"/>
      <c r="E146" s="456">
        <f>C145</f>
        <v>3.35</v>
      </c>
      <c r="F146" s="456"/>
      <c r="G146" s="456">
        <f t="shared" si="11"/>
        <v>3.35</v>
      </c>
      <c r="H146" s="456" t="str" cm="1">
        <f t="array" ref="H146:H157">'Rate List - Flats'!H76:H87</f>
        <v>Sq M</v>
      </c>
      <c r="I146" s="456" t="str" cm="1">
        <f t="array" ref="I146:I157">'Rate List - Flats'!C76:C87</f>
        <v>ceramic tiles/vitrified anti-skid tiles</v>
      </c>
      <c r="J146" s="456" cm="1">
        <f t="array" ref="J146:J157">'Rate List - Flats'!E76:E87</f>
        <v>50</v>
      </c>
      <c r="K146" s="456" cm="1">
        <f t="array" ref="K146:K157">'Rate List - Flats'!G76:G87</f>
        <v>1399.32</v>
      </c>
      <c r="L146" s="456">
        <f t="shared" si="12"/>
        <v>4687.7219999999998</v>
      </c>
      <c r="O146" s="455">
        <f t="shared" si="13"/>
        <v>60.300000000000004</v>
      </c>
      <c r="P146" s="505">
        <f t="shared" si="14"/>
        <v>84378.995999999999</v>
      </c>
      <c r="R146" s="480" t="s">
        <v>667</v>
      </c>
    </row>
    <row r="147" spans="1:18">
      <c r="A147" s="454"/>
      <c r="B147" s="454" t="str">
        <v>Skirting</v>
      </c>
      <c r="C147" s="456"/>
      <c r="D147" s="456"/>
      <c r="E147" s="456"/>
      <c r="F147" s="456"/>
      <c r="G147" s="456">
        <f t="shared" si="11"/>
        <v>0</v>
      </c>
      <c r="H147" s="456" t="str">
        <v xml:space="preserve">RM </v>
      </c>
      <c r="I147" s="456" t="str">
        <v>N.A.</v>
      </c>
      <c r="J147" s="456">
        <v>0</v>
      </c>
      <c r="K147" s="456">
        <v>0</v>
      </c>
      <c r="L147" s="456">
        <f t="shared" si="12"/>
        <v>0</v>
      </c>
      <c r="O147" s="455">
        <f t="shared" si="13"/>
        <v>0</v>
      </c>
      <c r="P147" s="505">
        <f t="shared" si="14"/>
        <v>0</v>
      </c>
      <c r="R147" s="480"/>
    </row>
    <row r="148" spans="1:18">
      <c r="A148" s="454"/>
      <c r="B148" s="454" t="str">
        <v>Dado</v>
      </c>
      <c r="C148" s="456"/>
      <c r="D148" s="456">
        <f>D1-0.7</f>
        <v>2.4000000000000004</v>
      </c>
      <c r="E148" s="456">
        <f>D145*D148</f>
        <v>18.624000000000002</v>
      </c>
      <c r="F148" s="456">
        <f>-(Doors!H16+Windows!H15)</f>
        <v>-2.0250000000000004</v>
      </c>
      <c r="G148" s="456">
        <f t="shared" si="11"/>
        <v>16.599000000000004</v>
      </c>
      <c r="H148" s="456" t="str">
        <v>Sq M</v>
      </c>
      <c r="I148" s="456" t="str">
        <v>Vitrified tiles</v>
      </c>
      <c r="J148" s="456">
        <v>50</v>
      </c>
      <c r="K148" s="456">
        <v>1480.05</v>
      </c>
      <c r="L148" s="456">
        <f t="shared" si="12"/>
        <v>24567.349950000003</v>
      </c>
      <c r="O148" s="455">
        <f t="shared" si="13"/>
        <v>298.78200000000004</v>
      </c>
      <c r="P148" s="505">
        <f t="shared" si="14"/>
        <v>442212.29910000006</v>
      </c>
      <c r="R148" s="480" t="s">
        <v>668</v>
      </c>
    </row>
    <row r="149" spans="1:18">
      <c r="A149" s="454"/>
      <c r="B149" s="454" t="str">
        <v>Wall finishes plaster</v>
      </c>
      <c r="C149" s="456"/>
      <c r="D149" s="456">
        <f>D1-D148</f>
        <v>0.69999999999999973</v>
      </c>
      <c r="E149" s="456">
        <f>D145*D149</f>
        <v>5.4319999999999977</v>
      </c>
      <c r="F149" s="456"/>
      <c r="G149" s="456">
        <f t="shared" si="11"/>
        <v>5.4319999999999977</v>
      </c>
      <c r="H149" s="456" t="str">
        <v>Sq M</v>
      </c>
      <c r="I149" s="456" t="str">
        <v>Gypsum Plaster</v>
      </c>
      <c r="J149" s="456">
        <v>32</v>
      </c>
      <c r="K149" s="456">
        <v>344.44799999999998</v>
      </c>
      <c r="L149" s="456">
        <f t="shared" si="12"/>
        <v>1871.041535999999</v>
      </c>
      <c r="O149" s="455">
        <f t="shared" si="13"/>
        <v>97.775999999999954</v>
      </c>
      <c r="P149" s="505">
        <f t="shared" si="14"/>
        <v>33678.747647999982</v>
      </c>
      <c r="R149" s="480" t="s">
        <v>661</v>
      </c>
    </row>
    <row r="150" spans="1:18">
      <c r="A150" s="454"/>
      <c r="B150" s="454" t="str">
        <v>Ceiling plaster</v>
      </c>
      <c r="C150" s="456"/>
      <c r="D150" s="456"/>
      <c r="E150" s="456">
        <f>E146</f>
        <v>3.35</v>
      </c>
      <c r="F150" s="456"/>
      <c r="G150" s="456">
        <f t="shared" si="11"/>
        <v>3.35</v>
      </c>
      <c r="H150" s="456" t="str">
        <v>Sq M</v>
      </c>
      <c r="I150" s="456" t="str">
        <v>Gypsum Plaster</v>
      </c>
      <c r="J150" s="456">
        <v>32</v>
      </c>
      <c r="K150" s="456">
        <v>344.44799999999998</v>
      </c>
      <c r="L150" s="456">
        <f t="shared" si="12"/>
        <v>1153.9007999999999</v>
      </c>
      <c r="O150" s="455">
        <f t="shared" si="13"/>
        <v>60.300000000000004</v>
      </c>
      <c r="P150" s="505">
        <f t="shared" si="14"/>
        <v>20770.214399999997</v>
      </c>
      <c r="R150" s="480" t="s">
        <v>662</v>
      </c>
    </row>
    <row r="151" spans="1:18">
      <c r="A151" s="454"/>
      <c r="B151" s="454" t="str">
        <v>False ceiling</v>
      </c>
      <c r="C151" s="456"/>
      <c r="D151" s="456"/>
      <c r="E151" s="456"/>
      <c r="F151" s="456"/>
      <c r="G151" s="456">
        <f t="shared" si="11"/>
        <v>0</v>
      </c>
      <c r="H151" s="456" t="str">
        <v>Sq M</v>
      </c>
      <c r="I151" s="456" t="str">
        <v>N.A.</v>
      </c>
      <c r="J151" s="456">
        <v>0</v>
      </c>
      <c r="K151" s="456">
        <v>0</v>
      </c>
      <c r="L151" s="456">
        <f t="shared" si="12"/>
        <v>0</v>
      </c>
      <c r="O151" s="455">
        <f t="shared" si="13"/>
        <v>0</v>
      </c>
      <c r="P151" s="505">
        <f t="shared" si="14"/>
        <v>0</v>
      </c>
      <c r="R151" s="480"/>
    </row>
    <row r="152" spans="1:18">
      <c r="A152" s="454"/>
      <c r="B152" s="454" t="str">
        <v>Wall finishes Paint</v>
      </c>
      <c r="C152" s="456"/>
      <c r="D152" s="456"/>
      <c r="E152" s="456">
        <f>E149</f>
        <v>5.4319999999999977</v>
      </c>
      <c r="F152" s="456"/>
      <c r="G152" s="456">
        <f t="shared" si="11"/>
        <v>5.4319999999999977</v>
      </c>
      <c r="H152" s="456" t="str">
        <v>Sq M</v>
      </c>
      <c r="I152" s="456" t="str">
        <v>Plastic paint</v>
      </c>
      <c r="J152" s="456">
        <v>20</v>
      </c>
      <c r="K152" s="456">
        <v>215.27999999999997</v>
      </c>
      <c r="L152" s="456">
        <f t="shared" si="12"/>
        <v>1169.4009599999993</v>
      </c>
      <c r="O152" s="455">
        <f t="shared" si="13"/>
        <v>97.775999999999954</v>
      </c>
      <c r="P152" s="505">
        <f t="shared" si="14"/>
        <v>21049.217279999986</v>
      </c>
      <c r="R152" s="480" t="s">
        <v>663</v>
      </c>
    </row>
    <row r="153" spans="1:18">
      <c r="A153" s="454"/>
      <c r="B153" s="454" t="str">
        <v>Ceiling Paint</v>
      </c>
      <c r="C153" s="456"/>
      <c r="D153" s="456"/>
      <c r="E153" s="456">
        <f>E150</f>
        <v>3.35</v>
      </c>
      <c r="F153" s="456"/>
      <c r="G153" s="456">
        <f t="shared" si="11"/>
        <v>3.35</v>
      </c>
      <c r="H153" s="456" t="str">
        <v>Sq M</v>
      </c>
      <c r="I153" s="456" t="str">
        <v>Plastic paint</v>
      </c>
      <c r="J153" s="456">
        <v>20</v>
      </c>
      <c r="K153" s="456">
        <v>215.27999999999997</v>
      </c>
      <c r="L153" s="456">
        <f t="shared" si="12"/>
        <v>721.18799999999987</v>
      </c>
      <c r="O153" s="455">
        <f t="shared" si="13"/>
        <v>60.300000000000004</v>
      </c>
      <c r="P153" s="505">
        <f t="shared" si="14"/>
        <v>12981.383999999998</v>
      </c>
      <c r="R153" s="480" t="s">
        <v>664</v>
      </c>
    </row>
    <row r="154" spans="1:18">
      <c r="A154" s="454"/>
      <c r="B154" s="454" t="str">
        <v>Door Frames</v>
      </c>
      <c r="C154" s="456"/>
      <c r="D154" s="456"/>
      <c r="E154" s="456">
        <f>Doors!F16*4+Doors!G16*4</f>
        <v>11.4</v>
      </c>
      <c r="F154" s="456"/>
      <c r="G154" s="456">
        <f t="shared" si="11"/>
        <v>11.4</v>
      </c>
      <c r="H154" s="456" t="str">
        <v>RM</v>
      </c>
      <c r="I154" s="456" t="str">
        <v>Granite Frames</v>
      </c>
      <c r="J154" s="456">
        <v>180</v>
      </c>
      <c r="K154" s="456">
        <v>655.92719999999997</v>
      </c>
      <c r="L154" s="456">
        <f t="shared" si="12"/>
        <v>7477.5700799999995</v>
      </c>
      <c r="O154" s="455">
        <f t="shared" si="13"/>
        <v>205.20000000000002</v>
      </c>
      <c r="P154" s="505">
        <f t="shared" si="14"/>
        <v>134596.26144</v>
      </c>
      <c r="R154" s="480" t="s">
        <v>669</v>
      </c>
    </row>
    <row r="155" spans="1:18">
      <c r="A155" s="454"/>
      <c r="B155" s="454" t="str">
        <v>Window Frames - Internal</v>
      </c>
      <c r="C155" s="456"/>
      <c r="D155" s="456"/>
      <c r="E155" s="456">
        <f>Windows!F15*2+Windows!G15*2</f>
        <v>2.7</v>
      </c>
      <c r="F155" s="456"/>
      <c r="G155" s="456">
        <f t="shared" si="11"/>
        <v>2.7</v>
      </c>
      <c r="H155" s="456" t="str">
        <v>RM</v>
      </c>
      <c r="I155" s="456" t="str">
        <v>Granite Window Frame</v>
      </c>
      <c r="J155" s="456">
        <v>180</v>
      </c>
      <c r="K155" s="456">
        <v>655.92719999999997</v>
      </c>
      <c r="L155" s="456">
        <f t="shared" si="12"/>
        <v>1771.00344</v>
      </c>
      <c r="O155" s="455">
        <f t="shared" si="13"/>
        <v>48.6</v>
      </c>
      <c r="P155" s="505">
        <f t="shared" si="14"/>
        <v>31878.06192</v>
      </c>
      <c r="R155" s="480" t="s">
        <v>743</v>
      </c>
    </row>
    <row r="156" spans="1:18">
      <c r="A156" s="454"/>
      <c r="B156" s="454" t="str">
        <v>Window Frames - External</v>
      </c>
      <c r="C156" s="456"/>
      <c r="D156" s="456"/>
      <c r="E156" s="456">
        <f>E155</f>
        <v>2.7</v>
      </c>
      <c r="F156" s="456"/>
      <c r="G156" s="456">
        <f t="shared" si="11"/>
        <v>2.7</v>
      </c>
      <c r="H156" s="456" t="str">
        <v>RM</v>
      </c>
      <c r="I156" s="456" t="str">
        <v>Marble Window Frames with Sill</v>
      </c>
      <c r="J156" s="456">
        <v>60</v>
      </c>
      <c r="K156" s="456">
        <v>399.04239999999999</v>
      </c>
      <c r="L156" s="456">
        <f t="shared" si="12"/>
        <v>1077.4144800000001</v>
      </c>
      <c r="O156" s="455">
        <f t="shared" si="13"/>
        <v>48.6</v>
      </c>
      <c r="P156" s="505">
        <f t="shared" si="14"/>
        <v>19393.460640000001</v>
      </c>
      <c r="R156" s="480" t="s">
        <v>409</v>
      </c>
    </row>
    <row r="157" spans="1:18">
      <c r="A157" s="454"/>
      <c r="B157" s="454" t="str">
        <v>Others - Counter</v>
      </c>
      <c r="C157" s="456"/>
      <c r="D157" s="456"/>
      <c r="E157" s="456">
        <f>0.6*0.6</f>
        <v>0.36</v>
      </c>
      <c r="F157" s="456"/>
      <c r="G157" s="456">
        <f t="shared" si="11"/>
        <v>0.36</v>
      </c>
      <c r="H157" s="456" t="str">
        <v>Sq M</v>
      </c>
      <c r="I157" s="456" t="str">
        <v>Basin Counter 1'6" - Granite Basin Counter</v>
      </c>
      <c r="J157" s="456">
        <v>180</v>
      </c>
      <c r="K157" s="456">
        <v>6329.6720000000005</v>
      </c>
      <c r="L157" s="456">
        <f t="shared" si="12"/>
        <v>2278.68192</v>
      </c>
      <c r="O157" s="455">
        <f t="shared" si="13"/>
        <v>6.4799999999999995</v>
      </c>
      <c r="P157" s="505">
        <f t="shared" si="14"/>
        <v>41016.274559999998</v>
      </c>
      <c r="R157" s="480" t="s">
        <v>670</v>
      </c>
    </row>
    <row r="158" spans="1:18" s="479" customFormat="1" ht="13.5" customHeight="1">
      <c r="A158" s="475" t="s">
        <v>628</v>
      </c>
      <c r="B158" s="476" t="str">
        <f>'Flat Sizes'!B17</f>
        <v>Kitchen</v>
      </c>
      <c r="C158" s="477">
        <f>'Flat Sizes'!D17</f>
        <v>6.41</v>
      </c>
      <c r="D158" s="477">
        <f>'Flat Sizes'!G17</f>
        <v>10.99</v>
      </c>
      <c r="E158" s="477"/>
      <c r="F158" s="454"/>
      <c r="G158" s="477"/>
      <c r="H158" s="477"/>
      <c r="I158" s="477"/>
      <c r="J158" s="477"/>
      <c r="K158" s="477"/>
      <c r="L158" s="477"/>
      <c r="M158" s="459">
        <f>SUM(L159:L172)/C158/10.764</f>
        <v>1317.506753388976</v>
      </c>
      <c r="N158" s="478"/>
      <c r="O158" s="455">
        <f t="shared" si="13"/>
        <v>0</v>
      </c>
      <c r="P158" s="505">
        <f t="shared" si="14"/>
        <v>0</v>
      </c>
      <c r="Q158" s="478"/>
    </row>
    <row r="159" spans="1:18">
      <c r="A159" s="454"/>
      <c r="B159" s="454" t="str" cm="1">
        <f t="array" ref="B159:B172">'Rate List - Flats'!B90:B103</f>
        <v>Flooring</v>
      </c>
      <c r="C159" s="456"/>
      <c r="D159" s="456"/>
      <c r="E159" s="456">
        <f>C158</f>
        <v>6.41</v>
      </c>
      <c r="F159" s="456"/>
      <c r="G159" s="456">
        <f t="shared" si="11"/>
        <v>6.41</v>
      </c>
      <c r="H159" s="456" t="str" cm="1">
        <f t="array" ref="H159:H172">'Rate List - Flats'!H90:H103</f>
        <v>Sq M</v>
      </c>
      <c r="I159" s="456" t="str" cm="1">
        <f t="array" ref="I159:I172">'Rate List - Flats'!C90:C103</f>
        <v>ceramic tiles/vitrified anti-skid tiles</v>
      </c>
      <c r="J159" s="456" cm="1">
        <f t="array" ref="J159:J172">'Rate List - Flats'!E90:E103</f>
        <v>45</v>
      </c>
      <c r="K159" s="456" cm="1">
        <f t="array" ref="K159:K172">'Rate List - Flats'!G90:G103</f>
        <v>1340.1179999999999</v>
      </c>
      <c r="L159" s="456">
        <f t="shared" si="12"/>
        <v>8590.1563800000004</v>
      </c>
      <c r="O159" s="455">
        <f t="shared" ref="O159:O192" si="15">IF(I159="N.A",0,G159*$N$92)</f>
        <v>115.38</v>
      </c>
      <c r="P159" s="505">
        <f t="shared" ref="P159:P192" si="16">L159*$N$92</f>
        <v>154622.81484000001</v>
      </c>
      <c r="R159" s="458" t="s">
        <v>659</v>
      </c>
    </row>
    <row r="160" spans="1:18">
      <c r="A160" s="454"/>
      <c r="B160" s="454" t="str">
        <v>Skirting</v>
      </c>
      <c r="C160" s="456"/>
      <c r="D160" s="456"/>
      <c r="E160" s="456"/>
      <c r="F160" s="456"/>
      <c r="G160" s="456">
        <f t="shared" si="11"/>
        <v>0</v>
      </c>
      <c r="H160" s="456" t="str">
        <v xml:space="preserve">RM </v>
      </c>
      <c r="I160" s="456" t="str">
        <v>N.A.</v>
      </c>
      <c r="J160" s="456">
        <v>0</v>
      </c>
      <c r="K160" s="456">
        <v>0</v>
      </c>
      <c r="L160" s="456">
        <f t="shared" ref="L160:L192" si="17">G160*K160</f>
        <v>0</v>
      </c>
      <c r="O160" s="455">
        <f t="shared" si="15"/>
        <v>0</v>
      </c>
      <c r="P160" s="505">
        <f t="shared" si="16"/>
        <v>0</v>
      </c>
      <c r="R160" s="458" t="s">
        <v>660</v>
      </c>
    </row>
    <row r="161" spans="1:18">
      <c r="A161" s="454"/>
      <c r="B161" s="454" t="str">
        <v>Dado</v>
      </c>
      <c r="C161" s="456"/>
      <c r="D161" s="456">
        <f>D1-0.7-0.9</f>
        <v>1.5000000000000004</v>
      </c>
      <c r="E161" s="456">
        <f>(E171+E172)*D161</f>
        <v>9.2100000000000044</v>
      </c>
      <c r="F161" s="456"/>
      <c r="G161" s="456">
        <f t="shared" ref="G161:G172" si="18">E161+F161</f>
        <v>9.2100000000000044</v>
      </c>
      <c r="H161" s="456" t="str">
        <v>Sq M</v>
      </c>
      <c r="I161" s="456" t="str">
        <v>Vitrified tiles</v>
      </c>
      <c r="J161" s="456">
        <v>45</v>
      </c>
      <c r="K161" s="456">
        <v>1393.9379999999999</v>
      </c>
      <c r="L161" s="456">
        <f t="shared" si="17"/>
        <v>12838.168980000006</v>
      </c>
      <c r="O161" s="455">
        <f t="shared" si="15"/>
        <v>165.78000000000009</v>
      </c>
      <c r="P161" s="505">
        <f t="shared" si="16"/>
        <v>231087.0416400001</v>
      </c>
      <c r="R161" s="458" t="s">
        <v>665</v>
      </c>
    </row>
    <row r="162" spans="1:18">
      <c r="A162" s="454"/>
      <c r="B162" s="454" t="str">
        <v>Dado Below Kitchen Platform</v>
      </c>
      <c r="C162" s="456"/>
      <c r="D162" s="456">
        <v>0.9</v>
      </c>
      <c r="E162" s="456">
        <f>(E171+E172)*D162</f>
        <v>5.5260000000000007</v>
      </c>
      <c r="F162" s="456"/>
      <c r="G162" s="456">
        <f t="shared" si="18"/>
        <v>5.5260000000000007</v>
      </c>
      <c r="H162" s="456" t="str">
        <v>Sq M</v>
      </c>
      <c r="I162" s="456" t="str">
        <v>dado under platform</v>
      </c>
      <c r="J162" s="456">
        <v>23</v>
      </c>
      <c r="K162" s="456">
        <v>1133.4491999999998</v>
      </c>
      <c r="L162" s="456">
        <f t="shared" si="17"/>
        <v>6263.4402792000001</v>
      </c>
      <c r="O162" s="455">
        <f t="shared" si="15"/>
        <v>99.468000000000018</v>
      </c>
      <c r="P162" s="505">
        <f t="shared" si="16"/>
        <v>112741.92502560001</v>
      </c>
      <c r="R162" s="458" t="s">
        <v>746</v>
      </c>
    </row>
    <row r="163" spans="1:18">
      <c r="A163" s="454"/>
      <c r="B163" s="454" t="str">
        <v>Wall finishes plaster</v>
      </c>
      <c r="C163" s="456"/>
      <c r="D163" s="456">
        <f>D1-0.15</f>
        <v>2.95</v>
      </c>
      <c r="E163" s="456">
        <f>(D158*D163)-(E161+E162)</f>
        <v>17.6845</v>
      </c>
      <c r="F163" s="456">
        <f>-(Doors!H17+Windows!H16)</f>
        <v>-4.04</v>
      </c>
      <c r="G163" s="456">
        <f t="shared" si="18"/>
        <v>13.644500000000001</v>
      </c>
      <c r="H163" s="456" t="str">
        <v>Sq M</v>
      </c>
      <c r="I163" s="456" t="str">
        <v>Gypsum Plaster</v>
      </c>
      <c r="J163" s="456">
        <v>32</v>
      </c>
      <c r="K163" s="456">
        <v>376.73999999999995</v>
      </c>
      <c r="L163" s="456">
        <f t="shared" si="17"/>
        <v>5140.42893</v>
      </c>
      <c r="O163" s="455">
        <f t="shared" si="15"/>
        <v>245.601</v>
      </c>
      <c r="P163" s="505">
        <f t="shared" si="16"/>
        <v>92527.720740000004</v>
      </c>
      <c r="R163" s="458" t="s">
        <v>661</v>
      </c>
    </row>
    <row r="164" spans="1:18">
      <c r="A164" s="454"/>
      <c r="B164" s="454" t="str">
        <v>Ceiling plaster</v>
      </c>
      <c r="C164" s="456"/>
      <c r="D164" s="456"/>
      <c r="E164" s="456">
        <f>E159</f>
        <v>6.41</v>
      </c>
      <c r="F164" s="456"/>
      <c r="G164" s="456">
        <f t="shared" si="18"/>
        <v>6.41</v>
      </c>
      <c r="H164" s="456" t="str">
        <v>Sq M</v>
      </c>
      <c r="I164" s="456" t="str">
        <v>Gypsum Plaster</v>
      </c>
      <c r="J164" s="456">
        <v>32</v>
      </c>
      <c r="K164" s="456">
        <v>344.44799999999998</v>
      </c>
      <c r="L164" s="456">
        <f t="shared" si="17"/>
        <v>2207.9116799999997</v>
      </c>
      <c r="O164" s="455">
        <f t="shared" si="15"/>
        <v>115.38</v>
      </c>
      <c r="P164" s="505">
        <f t="shared" si="16"/>
        <v>39742.410239999997</v>
      </c>
      <c r="R164" s="458" t="s">
        <v>662</v>
      </c>
    </row>
    <row r="165" spans="1:18">
      <c r="A165" s="454"/>
      <c r="B165" s="454" t="str">
        <v>False ceiling</v>
      </c>
      <c r="C165" s="456"/>
      <c r="D165" s="456"/>
      <c r="E165" s="456"/>
      <c r="F165" s="456"/>
      <c r="G165" s="456">
        <f t="shared" si="18"/>
        <v>0</v>
      </c>
      <c r="H165" s="456" t="str">
        <v>Sq M</v>
      </c>
      <c r="I165" s="456" t="str">
        <v>N.A.</v>
      </c>
      <c r="J165" s="456">
        <v>0</v>
      </c>
      <c r="K165" s="456">
        <v>0</v>
      </c>
      <c r="L165" s="456">
        <f t="shared" si="17"/>
        <v>0</v>
      </c>
      <c r="O165" s="455">
        <f t="shared" si="15"/>
        <v>0</v>
      </c>
      <c r="P165" s="505">
        <f t="shared" si="16"/>
        <v>0</v>
      </c>
      <c r="R165" s="458"/>
    </row>
    <row r="166" spans="1:18">
      <c r="A166" s="454"/>
      <c r="B166" s="454" t="str">
        <v>Wall finishes Paint</v>
      </c>
      <c r="C166" s="456"/>
      <c r="D166" s="456"/>
      <c r="E166" s="456">
        <f>E163</f>
        <v>17.6845</v>
      </c>
      <c r="F166" s="456">
        <f>F163</f>
        <v>-4.04</v>
      </c>
      <c r="G166" s="456">
        <f t="shared" si="18"/>
        <v>13.644500000000001</v>
      </c>
      <c r="H166" s="456" t="str">
        <v>Sq M</v>
      </c>
      <c r="I166" s="456" t="str">
        <v>Plastic paint</v>
      </c>
      <c r="J166" s="456">
        <v>20</v>
      </c>
      <c r="K166" s="456">
        <v>215.27999999999997</v>
      </c>
      <c r="L166" s="456">
        <f t="shared" si="17"/>
        <v>2937.3879599999996</v>
      </c>
      <c r="O166" s="455">
        <f t="shared" si="15"/>
        <v>245.601</v>
      </c>
      <c r="P166" s="505">
        <f t="shared" si="16"/>
        <v>52872.983279999993</v>
      </c>
      <c r="R166" s="458" t="s">
        <v>663</v>
      </c>
    </row>
    <row r="167" spans="1:18">
      <c r="A167" s="454"/>
      <c r="B167" s="454" t="str">
        <v>Ceiling Paint</v>
      </c>
      <c r="C167" s="456"/>
      <c r="D167" s="456"/>
      <c r="E167" s="456">
        <f>E164</f>
        <v>6.41</v>
      </c>
      <c r="F167" s="456"/>
      <c r="G167" s="456">
        <f t="shared" si="18"/>
        <v>6.41</v>
      </c>
      <c r="H167" s="456" t="str">
        <v>Sq M</v>
      </c>
      <c r="I167" s="456" t="str">
        <v>Plastic paint</v>
      </c>
      <c r="J167" s="456">
        <v>20</v>
      </c>
      <c r="K167" s="456">
        <v>215.27999999999997</v>
      </c>
      <c r="L167" s="456">
        <f t="shared" si="17"/>
        <v>1379.9447999999998</v>
      </c>
      <c r="O167" s="455">
        <f t="shared" si="15"/>
        <v>115.38</v>
      </c>
      <c r="P167" s="505">
        <f t="shared" si="16"/>
        <v>24839.006399999995</v>
      </c>
      <c r="R167" s="458" t="s">
        <v>664</v>
      </c>
    </row>
    <row r="168" spans="1:18">
      <c r="A168" s="454"/>
      <c r="B168" s="454" t="str">
        <v>Door Frames</v>
      </c>
      <c r="C168" s="456"/>
      <c r="D168" s="456"/>
      <c r="E168" s="456"/>
      <c r="F168" s="456"/>
      <c r="G168" s="456">
        <f t="shared" si="18"/>
        <v>0</v>
      </c>
      <c r="H168" s="456" t="str">
        <v>Sq M</v>
      </c>
      <c r="I168" s="456" t="str">
        <v>N.A.</v>
      </c>
      <c r="J168" s="456">
        <v>0</v>
      </c>
      <c r="K168" s="456">
        <v>0</v>
      </c>
      <c r="L168" s="456">
        <f t="shared" si="17"/>
        <v>0</v>
      </c>
      <c r="O168" s="455">
        <f t="shared" si="15"/>
        <v>0</v>
      </c>
      <c r="P168" s="505">
        <f t="shared" si="16"/>
        <v>0</v>
      </c>
      <c r="R168" s="458" t="s">
        <v>407</v>
      </c>
    </row>
    <row r="169" spans="1:18">
      <c r="A169" s="454"/>
      <c r="B169" s="454" t="str">
        <v>Window Frames - Internal</v>
      </c>
      <c r="C169" s="456"/>
      <c r="D169" s="456"/>
      <c r="E169" s="456">
        <f>Windows!F16*2+Windows!G16*2</f>
        <v>6.3</v>
      </c>
      <c r="F169" s="456"/>
      <c r="G169" s="456">
        <f t="shared" si="18"/>
        <v>6.3</v>
      </c>
      <c r="H169" s="456" t="str">
        <v>RM</v>
      </c>
      <c r="I169" s="456" t="str">
        <v>Granite Window Frame</v>
      </c>
      <c r="J169" s="456">
        <v>180</v>
      </c>
      <c r="K169" s="456">
        <v>655.92719999999997</v>
      </c>
      <c r="L169" s="456">
        <f t="shared" si="17"/>
        <v>4132.3413599999994</v>
      </c>
      <c r="O169" s="455">
        <f t="shared" si="15"/>
        <v>113.39999999999999</v>
      </c>
      <c r="P169" s="505">
        <f t="shared" si="16"/>
        <v>74382.144479999988</v>
      </c>
      <c r="R169" s="458" t="s">
        <v>408</v>
      </c>
    </row>
    <row r="170" spans="1:18">
      <c r="A170" s="454"/>
      <c r="B170" s="454" t="str">
        <v>Window Frames - External</v>
      </c>
      <c r="C170" s="456"/>
      <c r="D170" s="456"/>
      <c r="E170" s="456">
        <f>E169</f>
        <v>6.3</v>
      </c>
      <c r="F170" s="456"/>
      <c r="G170" s="456">
        <f t="shared" si="18"/>
        <v>6.3</v>
      </c>
      <c r="H170" s="456" t="str">
        <v>RM</v>
      </c>
      <c r="I170" s="456" t="str">
        <v>Marble Window Frames with Sill</v>
      </c>
      <c r="J170" s="456">
        <v>60</v>
      </c>
      <c r="K170" s="456">
        <v>399.04239999999999</v>
      </c>
      <c r="L170" s="456">
        <f t="shared" si="17"/>
        <v>2513.9671199999998</v>
      </c>
      <c r="O170" s="455">
        <f t="shared" si="15"/>
        <v>113.39999999999999</v>
      </c>
      <c r="P170" s="505">
        <f t="shared" si="16"/>
        <v>45251.408159999999</v>
      </c>
      <c r="R170" s="458" t="s">
        <v>409</v>
      </c>
    </row>
    <row r="171" spans="1:18">
      <c r="A171" s="454"/>
      <c r="B171" s="454" t="str">
        <v>Kitchen Platform</v>
      </c>
      <c r="C171" s="456"/>
      <c r="D171" s="456"/>
      <c r="E171" s="456">
        <v>3.52</v>
      </c>
      <c r="F171" s="456"/>
      <c r="G171" s="456">
        <f t="shared" si="18"/>
        <v>3.52</v>
      </c>
      <c r="H171" s="456" t="str">
        <v>RM</v>
      </c>
      <c r="I171" s="456" t="str">
        <v>Kitchen 2' Granite Main Counter</v>
      </c>
      <c r="J171" s="456">
        <v>180</v>
      </c>
      <c r="K171" s="456">
        <v>7312.7984000000006</v>
      </c>
      <c r="L171" s="456">
        <f t="shared" si="17"/>
        <v>25741.050368000004</v>
      </c>
      <c r="O171" s="455">
        <f t="shared" si="15"/>
        <v>63.36</v>
      </c>
      <c r="P171" s="505">
        <f t="shared" si="16"/>
        <v>463338.90662400005</v>
      </c>
      <c r="R171" s="458" t="s">
        <v>747</v>
      </c>
    </row>
    <row r="172" spans="1:18">
      <c r="A172" s="454"/>
      <c r="B172" s="454" t="str">
        <v>Service Platform</v>
      </c>
      <c r="C172" s="456"/>
      <c r="D172" s="456"/>
      <c r="E172" s="456">
        <f>E171-0.9</f>
        <v>2.62</v>
      </c>
      <c r="F172" s="456"/>
      <c r="G172" s="456">
        <f t="shared" si="18"/>
        <v>2.62</v>
      </c>
      <c r="H172" s="456" t="str">
        <v>RM</v>
      </c>
      <c r="I172" s="456" t="str">
        <v>Kitchen 1'6" Granite Main Counter</v>
      </c>
      <c r="J172" s="456">
        <v>180</v>
      </c>
      <c r="K172" s="456">
        <v>7312.7984000000006</v>
      </c>
      <c r="L172" s="456">
        <f t="shared" si="17"/>
        <v>19159.531808000003</v>
      </c>
      <c r="O172" s="455">
        <f t="shared" si="15"/>
        <v>47.160000000000004</v>
      </c>
      <c r="P172" s="505">
        <f t="shared" si="16"/>
        <v>344871.57254400005</v>
      </c>
      <c r="R172" s="458" t="s">
        <v>666</v>
      </c>
    </row>
    <row r="173" spans="1:18" s="479" customFormat="1" ht="13.5" customHeight="1">
      <c r="A173" s="475" t="s">
        <v>628</v>
      </c>
      <c r="B173" s="476" t="str">
        <f>'Flat Sizes'!B18</f>
        <v>Utility</v>
      </c>
      <c r="C173" s="477">
        <f>'Flat Sizes'!D18</f>
        <v>2.61</v>
      </c>
      <c r="D173" s="477">
        <f>'Flat Sizes'!G18</f>
        <v>6.71</v>
      </c>
      <c r="E173" s="477"/>
      <c r="F173" s="454"/>
      <c r="G173" s="477"/>
      <c r="H173" s="477"/>
      <c r="I173" s="477"/>
      <c r="J173" s="477"/>
      <c r="K173" s="477"/>
      <c r="L173" s="477"/>
      <c r="M173" s="459">
        <f>SUM(L174:L182)/C173/10.764</f>
        <v>944.79224347939999</v>
      </c>
      <c r="N173" s="478"/>
      <c r="O173" s="455">
        <f t="shared" si="15"/>
        <v>0</v>
      </c>
      <c r="P173" s="505">
        <f t="shared" si="16"/>
        <v>0</v>
      </c>
      <c r="Q173" s="478"/>
    </row>
    <row r="174" spans="1:18">
      <c r="A174" s="454"/>
      <c r="B174" s="454" t="str" cm="1">
        <f t="array" ref="B174:B182">'Rate List - Flats'!B120:B128</f>
        <v>Flooring</v>
      </c>
      <c r="C174" s="456"/>
      <c r="D174" s="456"/>
      <c r="E174" s="456">
        <f>C173</f>
        <v>2.61</v>
      </c>
      <c r="F174" s="456"/>
      <c r="G174" s="456">
        <f t="shared" ref="G174:G192" si="19">E174+F174</f>
        <v>2.61</v>
      </c>
      <c r="H174" s="456" t="str" cm="1">
        <f t="array" ref="H174:H182">'Rate List - Flats'!H120:H128</f>
        <v>Sq M</v>
      </c>
      <c r="I174" s="456" t="str" cm="1">
        <f t="array" ref="I174:I182">'Rate List - Flats'!C120:C128</f>
        <v>2'x2' Vitrified tiles</v>
      </c>
      <c r="J174" s="456" cm="1">
        <f t="array" ref="J174:J182">'Rate List - Flats'!E120:E128</f>
        <v>45</v>
      </c>
      <c r="K174" s="456" cm="1">
        <f t="array" ref="K174:K182">'Rate List - Flats'!G120:G128</f>
        <v>1340.1179999999999</v>
      </c>
      <c r="L174" s="456">
        <f t="shared" si="17"/>
        <v>3497.7079799999997</v>
      </c>
      <c r="O174" s="455">
        <f t="shared" si="15"/>
        <v>46.98</v>
      </c>
      <c r="P174" s="505">
        <f t="shared" si="16"/>
        <v>62958.743639999993</v>
      </c>
      <c r="R174" s="458" t="s">
        <v>748</v>
      </c>
    </row>
    <row r="175" spans="1:18">
      <c r="A175" s="454"/>
      <c r="B175" s="454" t="str">
        <v>Skirting</v>
      </c>
      <c r="C175" s="456"/>
      <c r="D175" s="456"/>
      <c r="E175" s="456">
        <f>D173</f>
        <v>6.71</v>
      </c>
      <c r="F175" s="456"/>
      <c r="G175" s="456">
        <f t="shared" si="19"/>
        <v>6.71</v>
      </c>
      <c r="H175" s="456" t="str">
        <v xml:space="preserve">RM </v>
      </c>
      <c r="I175" s="456" t="str">
        <v xml:space="preserve">2'x2' Vitrified tiles </v>
      </c>
      <c r="J175" s="456">
        <v>45</v>
      </c>
      <c r="K175" s="456">
        <v>391.96</v>
      </c>
      <c r="L175" s="456">
        <f t="shared" si="17"/>
        <v>2630.0515999999998</v>
      </c>
      <c r="O175" s="455">
        <f t="shared" si="15"/>
        <v>120.78</v>
      </c>
      <c r="P175" s="505">
        <f t="shared" si="16"/>
        <v>47340.928799999994</v>
      </c>
      <c r="R175" s="458" t="s">
        <v>749</v>
      </c>
    </row>
    <row r="176" spans="1:18">
      <c r="A176" s="454"/>
      <c r="B176" s="454" t="str">
        <v>Dado</v>
      </c>
      <c r="C176" s="456"/>
      <c r="D176" s="456"/>
      <c r="E176" s="456"/>
      <c r="F176" s="456"/>
      <c r="G176" s="456">
        <f t="shared" si="19"/>
        <v>0</v>
      </c>
      <c r="H176" s="456" t="str">
        <v>Sq M</v>
      </c>
      <c r="I176" s="456" t="str">
        <v>N.A</v>
      </c>
      <c r="J176" s="456">
        <v>0</v>
      </c>
      <c r="K176" s="456">
        <v>0</v>
      </c>
      <c r="L176" s="456">
        <f t="shared" si="17"/>
        <v>0</v>
      </c>
      <c r="O176" s="455">
        <f t="shared" si="15"/>
        <v>0</v>
      </c>
      <c r="P176" s="505">
        <f t="shared" si="16"/>
        <v>0</v>
      </c>
      <c r="R176" s="458" t="s">
        <v>750</v>
      </c>
    </row>
    <row r="177" spans="1:18">
      <c r="A177" s="454"/>
      <c r="B177" s="454" t="str">
        <v>Wall finishes plaster</v>
      </c>
      <c r="C177" s="456"/>
      <c r="D177" s="456"/>
      <c r="E177" s="456">
        <f>D173*(D1-0.15)</f>
        <v>19.794499999999999</v>
      </c>
      <c r="F177" s="456">
        <f>-((Windows!K17*2.15)+(2.14*2.15))</f>
        <v>-6.7509999999999994</v>
      </c>
      <c r="G177" s="456">
        <f t="shared" si="19"/>
        <v>13.0435</v>
      </c>
      <c r="H177" s="456" t="str">
        <v>Sq M</v>
      </c>
      <c r="I177" s="456" t="str">
        <v>External Plaster  - 15 mm</v>
      </c>
      <c r="J177" s="456">
        <v>85</v>
      </c>
      <c r="K177" s="456">
        <v>914.93999999999994</v>
      </c>
      <c r="L177" s="456">
        <f t="shared" si="17"/>
        <v>11934.01989</v>
      </c>
      <c r="O177" s="455">
        <f t="shared" si="15"/>
        <v>234.78299999999999</v>
      </c>
      <c r="P177" s="505">
        <f t="shared" si="16"/>
        <v>214812.35801999999</v>
      </c>
      <c r="R177" s="458" t="s">
        <v>751</v>
      </c>
    </row>
    <row r="178" spans="1:18">
      <c r="A178" s="454"/>
      <c r="B178" s="454" t="str">
        <v>Ceiling plaster</v>
      </c>
      <c r="C178" s="456"/>
      <c r="D178" s="456"/>
      <c r="E178" s="456">
        <f>E174</f>
        <v>2.61</v>
      </c>
      <c r="F178" s="456"/>
      <c r="G178" s="456">
        <f t="shared" si="19"/>
        <v>2.61</v>
      </c>
      <c r="H178" s="456" t="str">
        <v>Sq M</v>
      </c>
      <c r="I178" s="456" t="str">
        <v>Gypsum Plaster</v>
      </c>
      <c r="J178" s="456">
        <v>32</v>
      </c>
      <c r="K178" s="456">
        <v>344.44799999999998</v>
      </c>
      <c r="L178" s="456">
        <f t="shared" si="17"/>
        <v>899.00927999999988</v>
      </c>
      <c r="O178" s="455">
        <f t="shared" si="15"/>
        <v>46.98</v>
      </c>
      <c r="P178" s="505">
        <f t="shared" si="16"/>
        <v>16182.167039999998</v>
      </c>
      <c r="R178" s="458" t="s">
        <v>662</v>
      </c>
    </row>
    <row r="179" spans="1:18">
      <c r="A179" s="454"/>
      <c r="B179" s="454" t="str">
        <v>False ceiling</v>
      </c>
      <c r="C179" s="456"/>
      <c r="D179" s="456"/>
      <c r="E179" s="456"/>
      <c r="F179" s="456"/>
      <c r="G179" s="456">
        <f t="shared" si="19"/>
        <v>0</v>
      </c>
      <c r="H179" s="456" t="str">
        <v>Sq M</v>
      </c>
      <c r="I179" s="456" t="str">
        <v>N.A.</v>
      </c>
      <c r="J179" s="456">
        <v>0</v>
      </c>
      <c r="K179" s="456">
        <v>0</v>
      </c>
      <c r="L179" s="456">
        <f t="shared" si="17"/>
        <v>0</v>
      </c>
      <c r="O179" s="455">
        <f t="shared" si="15"/>
        <v>0</v>
      </c>
      <c r="P179" s="505">
        <f t="shared" si="16"/>
        <v>0</v>
      </c>
      <c r="R179" s="458" t="s">
        <v>414</v>
      </c>
    </row>
    <row r="180" spans="1:18">
      <c r="A180" s="454"/>
      <c r="B180" s="454" t="str">
        <v>Wall finishes Paint</v>
      </c>
      <c r="C180" s="456"/>
      <c r="D180" s="456"/>
      <c r="E180" s="456">
        <f>E177</f>
        <v>19.794499999999999</v>
      </c>
      <c r="F180" s="456">
        <f>F177</f>
        <v>-6.7509999999999994</v>
      </c>
      <c r="G180" s="456">
        <f t="shared" si="19"/>
        <v>13.0435</v>
      </c>
      <c r="H180" s="456" t="str">
        <v>Sq M</v>
      </c>
      <c r="I180" s="456" t="str">
        <v>External Grade Paint</v>
      </c>
      <c r="J180" s="456">
        <v>45</v>
      </c>
      <c r="K180" s="456">
        <v>484.38</v>
      </c>
      <c r="L180" s="456">
        <f t="shared" si="17"/>
        <v>6318.0105299999996</v>
      </c>
      <c r="O180" s="455">
        <f t="shared" si="15"/>
        <v>234.78299999999999</v>
      </c>
      <c r="P180" s="505">
        <f t="shared" si="16"/>
        <v>113724.18953999999</v>
      </c>
      <c r="R180" s="458" t="s">
        <v>663</v>
      </c>
    </row>
    <row r="181" spans="1:18">
      <c r="A181" s="454"/>
      <c r="B181" s="454" t="str">
        <v>Ceiling Paint</v>
      </c>
      <c r="C181" s="456"/>
      <c r="D181" s="456"/>
      <c r="E181" s="456">
        <f>E178</f>
        <v>2.61</v>
      </c>
      <c r="F181" s="456"/>
      <c r="G181" s="456">
        <f t="shared" si="19"/>
        <v>2.61</v>
      </c>
      <c r="H181" s="456" t="str">
        <v>Sq M</v>
      </c>
      <c r="I181" s="456" t="str">
        <v>External Grade Paint</v>
      </c>
      <c r="J181" s="456">
        <v>45</v>
      </c>
      <c r="K181" s="456">
        <v>484.38</v>
      </c>
      <c r="L181" s="456">
        <f t="shared" si="17"/>
        <v>1264.2318</v>
      </c>
      <c r="O181" s="455">
        <f t="shared" si="15"/>
        <v>46.98</v>
      </c>
      <c r="P181" s="505">
        <f t="shared" si="16"/>
        <v>22756.172399999999</v>
      </c>
      <c r="R181" s="458" t="s">
        <v>664</v>
      </c>
    </row>
    <row r="182" spans="1:18">
      <c r="A182" s="454"/>
      <c r="B182" s="454" t="str">
        <v>Others</v>
      </c>
      <c r="C182" s="456"/>
      <c r="D182" s="456"/>
      <c r="E182" s="456"/>
      <c r="F182" s="456"/>
      <c r="G182" s="456">
        <f t="shared" si="19"/>
        <v>0</v>
      </c>
      <c r="H182" s="456" t="str">
        <v>-</v>
      </c>
      <c r="I182" s="456" t="str">
        <v>N.A.</v>
      </c>
      <c r="J182" s="456">
        <v>0</v>
      </c>
      <c r="K182" s="456">
        <v>0</v>
      </c>
      <c r="L182" s="456">
        <f t="shared" si="17"/>
        <v>0</v>
      </c>
      <c r="O182" s="455">
        <f t="shared" si="15"/>
        <v>0</v>
      </c>
      <c r="P182" s="505">
        <f t="shared" si="16"/>
        <v>0</v>
      </c>
    </row>
    <row r="183" spans="1:18" s="479" customFormat="1" ht="13.5" customHeight="1">
      <c r="A183" s="475" t="s">
        <v>628</v>
      </c>
      <c r="B183" s="476" t="str">
        <f>'Flat Sizes'!B19</f>
        <v>Balcony</v>
      </c>
      <c r="C183" s="477">
        <f>'Flat Sizes'!D19</f>
        <v>2.6</v>
      </c>
      <c r="D183" s="477">
        <f>'Flat Sizes'!G19</f>
        <v>6.7</v>
      </c>
      <c r="E183" s="477"/>
      <c r="F183" s="454"/>
      <c r="G183" s="477"/>
      <c r="H183" s="477"/>
      <c r="I183" s="477"/>
      <c r="J183" s="477"/>
      <c r="K183" s="477"/>
      <c r="L183" s="477"/>
      <c r="M183" s="459">
        <f>SUM(L184:L192)/C183/10.764</f>
        <v>712.48600606008631</v>
      </c>
      <c r="N183" s="478"/>
      <c r="O183" s="455">
        <f t="shared" si="15"/>
        <v>0</v>
      </c>
      <c r="P183" s="505">
        <f t="shared" si="16"/>
        <v>0</v>
      </c>
      <c r="Q183" s="478"/>
    </row>
    <row r="184" spans="1:18">
      <c r="A184" s="454"/>
      <c r="B184" s="454" t="str" cm="1">
        <f t="array" ref="B184:B192">'Rate List - Flats'!B120:B128</f>
        <v>Flooring</v>
      </c>
      <c r="C184" s="456"/>
      <c r="D184" s="456"/>
      <c r="E184" s="456">
        <f>C183</f>
        <v>2.6</v>
      </c>
      <c r="F184" s="456"/>
      <c r="G184" s="456">
        <f t="shared" si="19"/>
        <v>2.6</v>
      </c>
      <c r="H184" s="456" t="str" cm="1">
        <f t="array" ref="H184:H192">'Rate List - Flats'!H120:H128</f>
        <v>Sq M</v>
      </c>
      <c r="I184" s="456" t="str" cm="1">
        <f t="array" ref="I184:I192">'Rate List - Flats'!C120:C128</f>
        <v>2'x2' Vitrified tiles</v>
      </c>
      <c r="J184" s="456" cm="1">
        <f t="array" ref="J184:J192">'Rate List - Flats'!E120:E128</f>
        <v>45</v>
      </c>
      <c r="K184" s="456" cm="1">
        <f t="array" ref="K184:K192">'Rate List - Flats'!G120:G128</f>
        <v>1340.1179999999999</v>
      </c>
      <c r="L184" s="456">
        <f t="shared" si="17"/>
        <v>3484.3067999999998</v>
      </c>
      <c r="O184" s="455">
        <f t="shared" si="15"/>
        <v>46.800000000000004</v>
      </c>
      <c r="P184" s="505">
        <f t="shared" si="16"/>
        <v>62717.522399999994</v>
      </c>
      <c r="R184" s="458" t="s">
        <v>752</v>
      </c>
    </row>
    <row r="185" spans="1:18">
      <c r="A185" s="454"/>
      <c r="B185" s="454" t="str">
        <v>Skirting</v>
      </c>
      <c r="C185" s="456"/>
      <c r="D185" s="456"/>
      <c r="E185" s="456">
        <f>D183</f>
        <v>6.7</v>
      </c>
      <c r="F185" s="456"/>
      <c r="G185" s="456">
        <f t="shared" si="19"/>
        <v>6.7</v>
      </c>
      <c r="H185" s="456" t="str">
        <v xml:space="preserve">RM </v>
      </c>
      <c r="I185" s="456" t="str">
        <v xml:space="preserve">2'x2' Vitrified tiles </v>
      </c>
      <c r="J185" s="456">
        <v>45</v>
      </c>
      <c r="K185" s="456">
        <v>391.96</v>
      </c>
      <c r="L185" s="456">
        <f t="shared" si="17"/>
        <v>2626.1320000000001</v>
      </c>
      <c r="O185" s="455">
        <f t="shared" si="15"/>
        <v>120.60000000000001</v>
      </c>
      <c r="P185" s="505">
        <f t="shared" si="16"/>
        <v>47270.376000000004</v>
      </c>
      <c r="R185" s="458" t="s">
        <v>753</v>
      </c>
    </row>
    <row r="186" spans="1:18">
      <c r="A186" s="454"/>
      <c r="B186" s="454" t="str">
        <v>Dado</v>
      </c>
      <c r="C186" s="456"/>
      <c r="D186" s="456"/>
      <c r="E186" s="456"/>
      <c r="F186" s="456"/>
      <c r="G186" s="456">
        <f t="shared" si="19"/>
        <v>0</v>
      </c>
      <c r="H186" s="456" t="str">
        <v>Sq M</v>
      </c>
      <c r="I186" s="456" t="str">
        <v>N.A</v>
      </c>
      <c r="J186" s="456">
        <v>0</v>
      </c>
      <c r="K186" s="456">
        <v>0</v>
      </c>
      <c r="L186" s="456">
        <f t="shared" si="17"/>
        <v>0</v>
      </c>
      <c r="O186" s="455">
        <f t="shared" si="15"/>
        <v>0</v>
      </c>
      <c r="P186" s="505">
        <f t="shared" si="16"/>
        <v>0</v>
      </c>
      <c r="R186" s="458" t="s">
        <v>754</v>
      </c>
    </row>
    <row r="187" spans="1:18">
      <c r="A187" s="454"/>
      <c r="B187" s="454" t="str">
        <v>Wall finishes plaster</v>
      </c>
      <c r="C187" s="456"/>
      <c r="D187" s="456"/>
      <c r="E187" s="456">
        <f>D183*D1</f>
        <v>20.77</v>
      </c>
      <c r="F187" s="456">
        <f>-((Windows!K18*2.15)+(2.28*2.15))</f>
        <v>-12.427</v>
      </c>
      <c r="G187" s="456">
        <f t="shared" si="19"/>
        <v>8.343</v>
      </c>
      <c r="H187" s="456" t="str">
        <v>Sq M</v>
      </c>
      <c r="I187" s="456" t="str">
        <v>External Plaster  - 15 mm</v>
      </c>
      <c r="J187" s="456">
        <v>85</v>
      </c>
      <c r="K187" s="456">
        <v>914.93999999999994</v>
      </c>
      <c r="L187" s="456">
        <f t="shared" si="17"/>
        <v>7633.3444199999994</v>
      </c>
      <c r="O187" s="455">
        <f t="shared" si="15"/>
        <v>150.17400000000001</v>
      </c>
      <c r="P187" s="505">
        <f t="shared" si="16"/>
        <v>137400.19955999998</v>
      </c>
      <c r="R187" s="458" t="s">
        <v>751</v>
      </c>
    </row>
    <row r="188" spans="1:18">
      <c r="A188" s="454"/>
      <c r="B188" s="454" t="str">
        <v>Ceiling plaster</v>
      </c>
      <c r="C188" s="456"/>
      <c r="D188" s="456"/>
      <c r="E188" s="456">
        <f>E184</f>
        <v>2.6</v>
      </c>
      <c r="F188" s="456"/>
      <c r="G188" s="456">
        <f t="shared" si="19"/>
        <v>2.6</v>
      </c>
      <c r="H188" s="456" t="str">
        <v>Sq M</v>
      </c>
      <c r="I188" s="456" t="str">
        <v>Gypsum Plaster</v>
      </c>
      <c r="J188" s="456">
        <v>32</v>
      </c>
      <c r="K188" s="456">
        <v>344.44799999999998</v>
      </c>
      <c r="L188" s="456">
        <f t="shared" si="17"/>
        <v>895.56479999999999</v>
      </c>
      <c r="O188" s="455">
        <f t="shared" si="15"/>
        <v>46.800000000000004</v>
      </c>
      <c r="P188" s="505">
        <f t="shared" si="16"/>
        <v>16120.1664</v>
      </c>
      <c r="R188" s="458" t="s">
        <v>662</v>
      </c>
    </row>
    <row r="189" spans="1:18">
      <c r="A189" s="454"/>
      <c r="B189" s="454" t="str">
        <v>False ceiling</v>
      </c>
      <c r="C189" s="456"/>
      <c r="D189" s="456"/>
      <c r="E189" s="456"/>
      <c r="F189" s="456"/>
      <c r="G189" s="456">
        <f t="shared" si="19"/>
        <v>0</v>
      </c>
      <c r="H189" s="456" t="str">
        <v>Sq M</v>
      </c>
      <c r="I189" s="456" t="str">
        <v>N.A.</v>
      </c>
      <c r="J189" s="456">
        <v>0</v>
      </c>
      <c r="K189" s="456">
        <v>0</v>
      </c>
      <c r="L189" s="456">
        <f t="shared" si="17"/>
        <v>0</v>
      </c>
      <c r="O189" s="455">
        <f t="shared" si="15"/>
        <v>0</v>
      </c>
      <c r="P189" s="505">
        <f t="shared" si="16"/>
        <v>0</v>
      </c>
      <c r="R189" s="458" t="s">
        <v>414</v>
      </c>
    </row>
    <row r="190" spans="1:18">
      <c r="A190" s="454"/>
      <c r="B190" s="454" t="str">
        <v>Wall finishes Paint</v>
      </c>
      <c r="C190" s="456"/>
      <c r="D190" s="456"/>
      <c r="E190" s="456">
        <f>E187</f>
        <v>20.77</v>
      </c>
      <c r="F190" s="456">
        <f>F187</f>
        <v>-12.427</v>
      </c>
      <c r="G190" s="456">
        <f t="shared" si="19"/>
        <v>8.343</v>
      </c>
      <c r="H190" s="456" t="str">
        <v>Sq M</v>
      </c>
      <c r="I190" s="456" t="str">
        <v>External Grade Paint</v>
      </c>
      <c r="J190" s="456">
        <v>45</v>
      </c>
      <c r="K190" s="456">
        <v>484.38</v>
      </c>
      <c r="L190" s="456">
        <f t="shared" si="17"/>
        <v>4041.1823399999998</v>
      </c>
      <c r="O190" s="455">
        <f t="shared" si="15"/>
        <v>150.17400000000001</v>
      </c>
      <c r="P190" s="505">
        <f t="shared" si="16"/>
        <v>72741.282120000003</v>
      </c>
      <c r="R190" s="458" t="s">
        <v>663</v>
      </c>
    </row>
    <row r="191" spans="1:18">
      <c r="A191" s="454"/>
      <c r="B191" s="454" t="str">
        <v>Ceiling Paint</v>
      </c>
      <c r="C191" s="456"/>
      <c r="D191" s="456"/>
      <c r="E191" s="456">
        <f>E188</f>
        <v>2.6</v>
      </c>
      <c r="F191" s="456"/>
      <c r="G191" s="456">
        <f t="shared" si="19"/>
        <v>2.6</v>
      </c>
      <c r="H191" s="456" t="str">
        <v>Sq M</v>
      </c>
      <c r="I191" s="456" t="str">
        <v>External Grade Paint</v>
      </c>
      <c r="J191" s="456">
        <v>45</v>
      </c>
      <c r="K191" s="456">
        <v>484.38</v>
      </c>
      <c r="L191" s="456">
        <f t="shared" si="17"/>
        <v>1259.3879999999999</v>
      </c>
      <c r="O191" s="455">
        <f t="shared" si="15"/>
        <v>46.800000000000004</v>
      </c>
      <c r="P191" s="505">
        <f t="shared" si="16"/>
        <v>22668.983999999997</v>
      </c>
      <c r="R191" s="458" t="s">
        <v>664</v>
      </c>
    </row>
    <row r="192" spans="1:18">
      <c r="A192" s="454"/>
      <c r="B192" s="454" t="str">
        <v>Others</v>
      </c>
      <c r="C192" s="456"/>
      <c r="D192" s="456"/>
      <c r="E192" s="456"/>
      <c r="F192" s="456"/>
      <c r="G192" s="456">
        <f t="shared" si="19"/>
        <v>0</v>
      </c>
      <c r="H192" s="456" t="str">
        <v>-</v>
      </c>
      <c r="I192" s="456" t="str">
        <v>N.A.</v>
      </c>
      <c r="J192" s="456">
        <v>0</v>
      </c>
      <c r="K192" s="456">
        <v>0</v>
      </c>
      <c r="L192" s="456">
        <f t="shared" si="17"/>
        <v>0</v>
      </c>
      <c r="O192" s="455">
        <f t="shared" si="15"/>
        <v>0</v>
      </c>
      <c r="P192" s="505">
        <f t="shared" si="16"/>
        <v>0</v>
      </c>
    </row>
    <row r="193" spans="1:16">
      <c r="A193" s="454"/>
      <c r="B193" s="454"/>
      <c r="C193" s="456"/>
      <c r="D193" s="456"/>
      <c r="E193" s="456"/>
      <c r="F193" s="456"/>
      <c r="G193" s="487">
        <f>SUM(G93:G192)</f>
        <v>794.54699999999991</v>
      </c>
      <c r="H193" s="454"/>
      <c r="I193" s="454"/>
      <c r="J193" s="454"/>
      <c r="K193" s="454"/>
      <c r="L193" s="487">
        <f>SUM(L94:L192)</f>
        <v>459064.7837131999</v>
      </c>
      <c r="O193" s="487">
        <f t="shared" ref="O193:P193" si="20">SUM(O94:O192)</f>
        <v>14301.846</v>
      </c>
      <c r="P193" s="487">
        <f t="shared" si="20"/>
        <v>8263166.1068376014</v>
      </c>
    </row>
    <row r="194" spans="1:16">
      <c r="A194" s="488"/>
      <c r="B194" s="487" t="s">
        <v>744</v>
      </c>
      <c r="C194" s="489"/>
      <c r="D194" s="489"/>
      <c r="E194" s="489"/>
      <c r="F194" s="489"/>
      <c r="G194" s="489"/>
      <c r="H194" s="489"/>
      <c r="I194" s="489"/>
      <c r="J194" s="489"/>
      <c r="K194" s="489"/>
      <c r="L194" s="489"/>
    </row>
    <row r="195" spans="1:16">
      <c r="A195" s="488"/>
      <c r="B195" s="488" t="s">
        <v>355</v>
      </c>
      <c r="C195" s="489"/>
      <c r="D195" s="489"/>
      <c r="E195" s="489"/>
      <c r="F195" s="489"/>
      <c r="G195" s="489">
        <f>SUMIF($B$93:$B$192,B195,$G$93:$G$192)</f>
        <v>70.36</v>
      </c>
      <c r="H195" s="489"/>
      <c r="I195" s="489"/>
      <c r="J195" s="489"/>
      <c r="K195" s="489"/>
      <c r="L195" s="489">
        <f>SUMIF($B$93:$B$192,B195,$L$93:$L$192)</f>
        <v>94693.868099999992</v>
      </c>
      <c r="O195" s="459">
        <f>IF(I195="N.A",0,G195*$N$92)</f>
        <v>1266.48</v>
      </c>
      <c r="P195" s="459">
        <f>L195*$N$92</f>
        <v>1704489.6257999998</v>
      </c>
    </row>
    <row r="196" spans="1:16">
      <c r="A196" s="488"/>
      <c r="B196" s="488" t="s">
        <v>695</v>
      </c>
      <c r="C196" s="489"/>
      <c r="D196" s="489"/>
      <c r="E196" s="489"/>
      <c r="F196" s="489"/>
      <c r="G196" s="489">
        <f t="shared" ref="G196:G210" si="21">SUMIF($B$93:$B$192,B196,$G$93:$G$192)</f>
        <v>62.710000000000008</v>
      </c>
      <c r="H196" s="489"/>
      <c r="I196" s="489"/>
      <c r="J196" s="489"/>
      <c r="K196" s="489"/>
      <c r="L196" s="489">
        <f t="shared" ref="L196:L210" si="22">SUMIF($B$93:$B$192,B196,$L$93:$L$192)</f>
        <v>24579.811599999997</v>
      </c>
      <c r="O196" s="459">
        <f t="shared" ref="O196:O210" si="23">IF(I196="N.A",0,G196*$N$92)</f>
        <v>1128.7800000000002</v>
      </c>
      <c r="P196" s="459">
        <f t="shared" ref="P196:P210" si="24">L196*$N$92</f>
        <v>442436.60879999993</v>
      </c>
    </row>
    <row r="197" spans="1:16">
      <c r="A197" s="488"/>
      <c r="B197" s="488" t="s">
        <v>698</v>
      </c>
      <c r="C197" s="489"/>
      <c r="D197" s="489"/>
      <c r="E197" s="489"/>
      <c r="F197" s="489"/>
      <c r="G197" s="489">
        <f t="shared" si="21"/>
        <v>42.792000000000016</v>
      </c>
      <c r="H197" s="489"/>
      <c r="I197" s="489"/>
      <c r="J197" s="489"/>
      <c r="K197" s="489"/>
      <c r="L197" s="489">
        <f t="shared" si="22"/>
        <v>62541.208080000011</v>
      </c>
      <c r="O197" s="459">
        <f t="shared" si="23"/>
        <v>770.25600000000031</v>
      </c>
      <c r="P197" s="459">
        <f t="shared" si="24"/>
        <v>1125741.7454400002</v>
      </c>
    </row>
    <row r="198" spans="1:16">
      <c r="A198" s="488"/>
      <c r="B198" s="488" t="s">
        <v>700</v>
      </c>
      <c r="C198" s="489"/>
      <c r="D198" s="489"/>
      <c r="E198" s="489"/>
      <c r="F198" s="489"/>
      <c r="G198" s="489">
        <f t="shared" si="21"/>
        <v>173.98949999999996</v>
      </c>
      <c r="H198" s="489"/>
      <c r="I198" s="489"/>
      <c r="J198" s="489"/>
      <c r="K198" s="489"/>
      <c r="L198" s="489">
        <f t="shared" si="22"/>
        <v>72571.770647999991</v>
      </c>
      <c r="O198" s="459">
        <f t="shared" si="23"/>
        <v>3131.8109999999992</v>
      </c>
      <c r="P198" s="459">
        <f t="shared" si="24"/>
        <v>1306291.8716639997</v>
      </c>
    </row>
    <row r="199" spans="1:16">
      <c r="A199" s="488"/>
      <c r="B199" s="488" t="s">
        <v>702</v>
      </c>
      <c r="C199" s="489"/>
      <c r="D199" s="489"/>
      <c r="E199" s="489"/>
      <c r="F199" s="489"/>
      <c r="G199" s="489">
        <f t="shared" si="21"/>
        <v>70.36</v>
      </c>
      <c r="H199" s="489"/>
      <c r="I199" s="489"/>
      <c r="J199" s="489"/>
      <c r="K199" s="489"/>
      <c r="L199" s="489">
        <f t="shared" si="22"/>
        <v>24235.361279999997</v>
      </c>
      <c r="O199" s="459">
        <f t="shared" si="23"/>
        <v>1266.48</v>
      </c>
      <c r="P199" s="459">
        <f t="shared" si="24"/>
        <v>436236.50303999998</v>
      </c>
    </row>
    <row r="200" spans="1:16">
      <c r="A200" s="488"/>
      <c r="B200" s="488" t="s">
        <v>703</v>
      </c>
      <c r="C200" s="489"/>
      <c r="D200" s="489"/>
      <c r="E200" s="489"/>
      <c r="F200" s="489"/>
      <c r="G200" s="489">
        <f t="shared" si="21"/>
        <v>0</v>
      </c>
      <c r="H200" s="489"/>
      <c r="I200" s="489"/>
      <c r="J200" s="489"/>
      <c r="K200" s="489"/>
      <c r="L200" s="489">
        <f t="shared" si="22"/>
        <v>0</v>
      </c>
      <c r="O200" s="459">
        <f t="shared" si="23"/>
        <v>0</v>
      </c>
      <c r="P200" s="459">
        <f t="shared" si="24"/>
        <v>0</v>
      </c>
    </row>
    <row r="201" spans="1:16">
      <c r="A201" s="488"/>
      <c r="B201" s="488" t="s">
        <v>704</v>
      </c>
      <c r="C201" s="489"/>
      <c r="D201" s="489"/>
      <c r="E201" s="489"/>
      <c r="F201" s="489"/>
      <c r="G201" s="489">
        <f t="shared" si="21"/>
        <v>173.98949999999996</v>
      </c>
      <c r="H201" s="489"/>
      <c r="I201" s="489"/>
      <c r="J201" s="489"/>
      <c r="K201" s="489"/>
      <c r="L201" s="489">
        <f t="shared" si="22"/>
        <v>43211.566709999992</v>
      </c>
      <c r="O201" s="459">
        <f t="shared" si="23"/>
        <v>3131.8109999999992</v>
      </c>
      <c r="P201" s="459">
        <f t="shared" si="24"/>
        <v>777808.20077999984</v>
      </c>
    </row>
    <row r="202" spans="1:16">
      <c r="A202" s="488"/>
      <c r="B202" s="488" t="s">
        <v>706</v>
      </c>
      <c r="C202" s="489"/>
      <c r="D202" s="489"/>
      <c r="E202" s="489"/>
      <c r="F202" s="489"/>
      <c r="G202" s="489">
        <f t="shared" si="21"/>
        <v>70.36</v>
      </c>
      <c r="H202" s="489"/>
      <c r="I202" s="489"/>
      <c r="J202" s="489"/>
      <c r="K202" s="489"/>
      <c r="L202" s="489">
        <f t="shared" si="22"/>
        <v>16549.111799999999</v>
      </c>
      <c r="O202" s="459">
        <f t="shared" si="23"/>
        <v>1266.48</v>
      </c>
      <c r="P202" s="459">
        <f t="shared" si="24"/>
        <v>297884.01240000001</v>
      </c>
    </row>
    <row r="203" spans="1:16">
      <c r="A203" s="488"/>
      <c r="B203" s="488" t="s">
        <v>713</v>
      </c>
      <c r="C203" s="489"/>
      <c r="D203" s="489"/>
      <c r="E203" s="489"/>
      <c r="F203" s="489"/>
      <c r="G203" s="489">
        <f t="shared" si="21"/>
        <v>22.8</v>
      </c>
      <c r="H203" s="489"/>
      <c r="I203" s="489"/>
      <c r="J203" s="489"/>
      <c r="K203" s="489"/>
      <c r="L203" s="489">
        <f t="shared" si="22"/>
        <v>14955.140159999999</v>
      </c>
      <c r="O203" s="459">
        <f t="shared" si="23"/>
        <v>410.40000000000003</v>
      </c>
      <c r="P203" s="459">
        <f t="shared" si="24"/>
        <v>269192.52288</v>
      </c>
    </row>
    <row r="204" spans="1:16">
      <c r="A204" s="488"/>
      <c r="B204" s="488" t="s">
        <v>715</v>
      </c>
      <c r="C204" s="489"/>
      <c r="D204" s="489"/>
      <c r="E204" s="489"/>
      <c r="F204" s="489"/>
      <c r="G204" s="489">
        <f t="shared" si="21"/>
        <v>47.399999999999991</v>
      </c>
      <c r="H204" s="489"/>
      <c r="I204" s="489"/>
      <c r="J204" s="489"/>
      <c r="K204" s="489"/>
      <c r="L204" s="489">
        <f t="shared" si="22"/>
        <v>31090.949279999997</v>
      </c>
      <c r="O204" s="459">
        <f t="shared" si="23"/>
        <v>853.19999999999982</v>
      </c>
      <c r="P204" s="459">
        <f t="shared" si="24"/>
        <v>559637.0870399999</v>
      </c>
    </row>
    <row r="205" spans="1:16">
      <c r="A205" s="488"/>
      <c r="B205" s="488" t="s">
        <v>716</v>
      </c>
      <c r="C205" s="489"/>
      <c r="D205" s="489"/>
      <c r="E205" s="489"/>
      <c r="F205" s="489"/>
      <c r="G205" s="489">
        <f t="shared" si="21"/>
        <v>47.399999999999991</v>
      </c>
      <c r="H205" s="489"/>
      <c r="I205" s="489"/>
      <c r="J205" s="489"/>
      <c r="K205" s="489"/>
      <c r="L205" s="489">
        <f t="shared" si="22"/>
        <v>18914.609759999999</v>
      </c>
      <c r="O205" s="459">
        <f t="shared" si="23"/>
        <v>853.19999999999982</v>
      </c>
      <c r="P205" s="459">
        <f t="shared" si="24"/>
        <v>340462.97567999997</v>
      </c>
    </row>
    <row r="206" spans="1:16">
      <c r="A206" s="488"/>
      <c r="B206" s="488" t="s">
        <v>707</v>
      </c>
      <c r="C206" s="489"/>
      <c r="D206" s="489"/>
      <c r="E206" s="489"/>
      <c r="F206" s="489"/>
      <c r="G206" s="489">
        <f t="shared" si="21"/>
        <v>0</v>
      </c>
      <c r="H206" s="489"/>
      <c r="I206" s="489"/>
      <c r="J206" s="489"/>
      <c r="K206" s="489"/>
      <c r="L206" s="489">
        <f t="shared" si="22"/>
        <v>0</v>
      </c>
      <c r="O206" s="459">
        <f t="shared" si="23"/>
        <v>0</v>
      </c>
      <c r="P206" s="459">
        <f t="shared" si="24"/>
        <v>0</v>
      </c>
    </row>
    <row r="207" spans="1:16">
      <c r="A207" s="488"/>
      <c r="B207" s="488" t="s">
        <v>718</v>
      </c>
      <c r="C207" s="489"/>
      <c r="D207" s="489"/>
      <c r="E207" s="489"/>
      <c r="F207" s="489"/>
      <c r="G207" s="489">
        <f t="shared" si="21"/>
        <v>0.72</v>
      </c>
      <c r="H207" s="489"/>
      <c r="I207" s="489"/>
      <c r="J207" s="489"/>
      <c r="K207" s="489"/>
      <c r="L207" s="489">
        <f t="shared" si="22"/>
        <v>4557.36384</v>
      </c>
      <c r="O207" s="459">
        <f t="shared" si="23"/>
        <v>12.959999999999999</v>
      </c>
      <c r="P207" s="459">
        <f t="shared" si="24"/>
        <v>82032.549119999996</v>
      </c>
    </row>
    <row r="208" spans="1:16">
      <c r="A208" s="488"/>
      <c r="B208" s="488" t="s">
        <v>755</v>
      </c>
      <c r="C208" s="489"/>
      <c r="D208" s="489"/>
      <c r="E208" s="489"/>
      <c r="F208" s="489"/>
      <c r="G208" s="489">
        <f t="shared" si="21"/>
        <v>5.5260000000000007</v>
      </c>
      <c r="H208" s="489"/>
      <c r="I208" s="489"/>
      <c r="J208" s="489"/>
      <c r="K208" s="489"/>
      <c r="L208" s="489">
        <f t="shared" si="22"/>
        <v>6263.4402792000001</v>
      </c>
      <c r="O208" s="459">
        <f t="shared" si="23"/>
        <v>99.468000000000018</v>
      </c>
      <c r="P208" s="459">
        <f t="shared" si="24"/>
        <v>112741.92502560001</v>
      </c>
    </row>
    <row r="209" spans="1:22">
      <c r="A209" s="488"/>
      <c r="B209" s="488" t="s">
        <v>747</v>
      </c>
      <c r="C209" s="489"/>
      <c r="D209" s="489"/>
      <c r="E209" s="489"/>
      <c r="F209" s="489"/>
      <c r="G209" s="489">
        <f t="shared" si="21"/>
        <v>3.52</v>
      </c>
      <c r="H209" s="489"/>
      <c r="I209" s="489"/>
      <c r="J209" s="489"/>
      <c r="K209" s="489"/>
      <c r="L209" s="489">
        <f t="shared" si="22"/>
        <v>25741.050368000004</v>
      </c>
      <c r="O209" s="459">
        <f t="shared" si="23"/>
        <v>63.36</v>
      </c>
      <c r="P209" s="459">
        <f t="shared" si="24"/>
        <v>463338.90662400005</v>
      </c>
    </row>
    <row r="210" spans="1:22">
      <c r="A210" s="488"/>
      <c r="B210" s="488" t="s">
        <v>666</v>
      </c>
      <c r="C210" s="489"/>
      <c r="D210" s="489"/>
      <c r="E210" s="489"/>
      <c r="F210" s="489"/>
      <c r="G210" s="498">
        <f t="shared" si="21"/>
        <v>2.62</v>
      </c>
      <c r="H210" s="489"/>
      <c r="I210" s="489"/>
      <c r="J210" s="489"/>
      <c r="K210" s="489"/>
      <c r="L210" s="489">
        <f t="shared" si="22"/>
        <v>19159.531808000003</v>
      </c>
      <c r="O210" s="459">
        <f t="shared" si="23"/>
        <v>47.160000000000004</v>
      </c>
      <c r="P210" s="459">
        <f t="shared" si="24"/>
        <v>344871.57254400005</v>
      </c>
    </row>
    <row r="211" spans="1:22" ht="13.8" thickBot="1">
      <c r="A211" s="488"/>
      <c r="B211" s="488"/>
      <c r="C211" s="489"/>
      <c r="D211" s="489"/>
      <c r="E211" s="489"/>
      <c r="F211" s="489"/>
      <c r="G211" s="500">
        <f>SUM(G195:G210)</f>
        <v>794.54699999999991</v>
      </c>
      <c r="H211" s="489"/>
      <c r="I211" s="489"/>
      <c r="J211" s="489"/>
      <c r="K211" s="500" t="s">
        <v>232</v>
      </c>
      <c r="L211" s="500">
        <f>SUM(L195:L210)</f>
        <v>459064.78371320001</v>
      </c>
      <c r="O211" s="502">
        <f>SUM(O195:O210)</f>
        <v>14301.845999999998</v>
      </c>
      <c r="P211" s="503">
        <f>SUM(P195:P210)</f>
        <v>8263166.1068375995</v>
      </c>
    </row>
    <row r="212" spans="1:22">
      <c r="A212" s="488"/>
      <c r="B212" s="488" t="s">
        <v>756</v>
      </c>
      <c r="C212" s="489"/>
      <c r="D212" s="489"/>
      <c r="E212" s="489"/>
      <c r="F212" s="489"/>
      <c r="G212" s="501">
        <f>Doors!E18</f>
        <v>6</v>
      </c>
      <c r="H212" s="489"/>
      <c r="I212" s="489"/>
      <c r="J212" s="489"/>
      <c r="K212" s="501"/>
      <c r="L212" s="489">
        <f>Doors!J18</f>
        <v>112000</v>
      </c>
    </row>
    <row r="213" spans="1:22">
      <c r="A213" s="488"/>
      <c r="B213" s="488" t="s">
        <v>391</v>
      </c>
      <c r="C213" s="489"/>
      <c r="D213" s="489"/>
      <c r="E213" s="489"/>
      <c r="F213" s="489"/>
      <c r="G213" s="489">
        <f>Windows!H19</f>
        <v>27.56</v>
      </c>
      <c r="H213" s="489"/>
      <c r="I213" s="489"/>
      <c r="J213" s="489"/>
      <c r="K213" s="498"/>
      <c r="L213" s="489">
        <f>Windows!N19</f>
        <v>205910.71199999997</v>
      </c>
    </row>
    <row r="214" spans="1:22" ht="13.8" thickBot="1">
      <c r="A214" s="488"/>
      <c r="B214" s="488"/>
      <c r="C214" s="489"/>
      <c r="D214" s="489"/>
      <c r="E214" s="489"/>
      <c r="F214" s="489"/>
      <c r="G214" s="489"/>
      <c r="H214" s="489"/>
      <c r="I214" s="489"/>
      <c r="J214" s="489"/>
      <c r="K214" s="500" t="s">
        <v>232</v>
      </c>
      <c r="L214" s="500">
        <f>SUM(L212:L213)</f>
        <v>317910.71199999994</v>
      </c>
    </row>
    <row r="215" spans="1:22">
      <c r="A215" s="488"/>
      <c r="B215" s="488"/>
      <c r="C215" s="489"/>
      <c r="D215" s="489"/>
      <c r="E215" s="489"/>
      <c r="F215" s="489"/>
      <c r="G215" s="489"/>
      <c r="H215" s="489"/>
      <c r="I215" s="489"/>
      <c r="J215" s="489"/>
      <c r="K215" s="498"/>
      <c r="L215" s="489"/>
    </row>
    <row r="216" spans="1:22" ht="13.8" thickBot="1">
      <c r="A216" s="488"/>
      <c r="B216" s="488"/>
      <c r="C216" s="489"/>
      <c r="D216" s="489"/>
      <c r="E216" s="489"/>
      <c r="F216" s="489"/>
      <c r="G216" s="489"/>
      <c r="H216" s="489"/>
      <c r="I216" s="489"/>
      <c r="J216" s="489"/>
      <c r="K216" s="500" t="s">
        <v>745</v>
      </c>
      <c r="L216" s="500">
        <f>L211+L214</f>
        <v>776975.49571319995</v>
      </c>
    </row>
    <row r="217" spans="1:22">
      <c r="A217" s="454"/>
      <c r="B217" s="454"/>
      <c r="C217" s="456"/>
      <c r="D217" s="456"/>
      <c r="E217" s="456"/>
      <c r="F217" s="456"/>
      <c r="G217" s="456"/>
      <c r="H217" s="456"/>
      <c r="I217" s="456"/>
      <c r="J217" s="456"/>
      <c r="K217" s="456"/>
      <c r="L217" s="456"/>
    </row>
    <row r="218" spans="1:22" s="474" customFormat="1" ht="13.5" customHeight="1">
      <c r="A218" s="465" t="s">
        <v>628</v>
      </c>
      <c r="B218" s="466" t="str">
        <f>'Flat Sizes'!B21</f>
        <v>Flat 2A</v>
      </c>
      <c r="C218" s="456"/>
      <c r="D218" s="456"/>
      <c r="E218" s="456"/>
      <c r="F218" s="456"/>
      <c r="G218" s="456"/>
      <c r="H218" s="456"/>
      <c r="I218" s="456"/>
      <c r="J218" s="456"/>
      <c r="K218" s="456"/>
      <c r="L218" s="456"/>
      <c r="M218" s="471"/>
      <c r="N218" s="472">
        <f>'Flat Sizes'!H21</f>
        <v>10</v>
      </c>
      <c r="O218" s="459"/>
      <c r="P218" s="459"/>
      <c r="Q218" s="473"/>
      <c r="S218" s="473"/>
      <c r="T218" s="473"/>
      <c r="U218" s="473"/>
      <c r="V218" s="473"/>
    </row>
    <row r="219" spans="1:22" s="479" customFormat="1" ht="13.5" customHeight="1">
      <c r="A219" s="475" t="s">
        <v>628</v>
      </c>
      <c r="B219" s="476" t="str">
        <f>'Flat Sizes'!B22</f>
        <v>Multi Purpose Room</v>
      </c>
      <c r="C219" s="477">
        <f>'Flat Sizes'!D22</f>
        <v>21.86</v>
      </c>
      <c r="D219" s="477">
        <f>'Flat Sizes'!G22</f>
        <v>19.09</v>
      </c>
      <c r="E219" s="477"/>
      <c r="F219" s="454"/>
      <c r="G219" s="477"/>
      <c r="H219" s="477"/>
      <c r="I219" s="477"/>
      <c r="J219" s="477"/>
      <c r="K219" s="477"/>
      <c r="L219" s="477"/>
      <c r="M219" s="459">
        <f>SUM(L220:L231)/C219/10.764</f>
        <v>356.97993780222987</v>
      </c>
      <c r="N219" s="478"/>
      <c r="O219" s="459"/>
      <c r="P219" s="459"/>
      <c r="Q219" s="478"/>
    </row>
    <row r="220" spans="1:22">
      <c r="A220" s="454"/>
      <c r="B220" s="454" t="str" cm="1">
        <f t="array" ref="B220:B231">'Rate List - Flats'!B6:B17</f>
        <v>Flooring</v>
      </c>
      <c r="C220" s="456"/>
      <c r="D220" s="456"/>
      <c r="E220" s="456">
        <f>C219</f>
        <v>21.86</v>
      </c>
      <c r="F220" s="456"/>
      <c r="G220" s="456">
        <f>E220+F220</f>
        <v>21.86</v>
      </c>
      <c r="H220" s="456" t="str" cm="1">
        <f t="array" ref="H220:H231">'Rate List - Flats'!H6:H17</f>
        <v>Sq M</v>
      </c>
      <c r="I220" s="456" t="str" cm="1">
        <f t="array" ref="I220:I231">'Rate List - Flats'!C6:C17</f>
        <v>2'x2' Vitrified tiles</v>
      </c>
      <c r="J220" s="456" cm="1">
        <f t="array" ref="J220:J231">'Rate List - Flats'!E6:E17</f>
        <v>45</v>
      </c>
      <c r="K220" s="456" cm="1">
        <f t="array" ref="K220:K231">'Rate List - Flats'!G6:G17</f>
        <v>1340.1179999999999</v>
      </c>
      <c r="L220" s="456">
        <f t="shared" ref="L220:L230" si="25">G220*K220</f>
        <v>29294.979479999998</v>
      </c>
      <c r="O220" s="459">
        <f t="shared" ref="O220:O231" si="26">IF(I220="N.A",0,G220*$N$218)</f>
        <v>218.6</v>
      </c>
      <c r="P220" s="459">
        <f t="shared" ref="P220:P231" si="27">L220*$N$218</f>
        <v>292949.79479999997</v>
      </c>
      <c r="R220" s="480" t="s">
        <v>659</v>
      </c>
    </row>
    <row r="221" spans="1:22">
      <c r="A221" s="454"/>
      <c r="B221" s="454" t="str">
        <v>Skirting</v>
      </c>
      <c r="C221" s="456"/>
      <c r="D221" s="456"/>
      <c r="E221" s="456">
        <f>D219</f>
        <v>19.09</v>
      </c>
      <c r="F221" s="456">
        <f>-(Doors!F20+Doors!F21+Doors!F22+Doors!F24)</f>
        <v>-3.75</v>
      </c>
      <c r="G221" s="456">
        <f t="shared" ref="G221:G283" si="28">E221+F221</f>
        <v>15.34</v>
      </c>
      <c r="H221" s="456" t="str">
        <v>RM</v>
      </c>
      <c r="I221" s="456" t="str">
        <v xml:space="preserve">2'x2' Vitrified tiles </v>
      </c>
      <c r="J221" s="456">
        <v>45</v>
      </c>
      <c r="K221" s="456">
        <v>391.96</v>
      </c>
      <c r="L221" s="456">
        <f t="shared" si="25"/>
        <v>6012.6664000000001</v>
      </c>
      <c r="O221" s="459">
        <f t="shared" si="26"/>
        <v>153.4</v>
      </c>
      <c r="P221" s="459">
        <f t="shared" si="27"/>
        <v>60126.664000000004</v>
      </c>
      <c r="R221" s="480" t="s">
        <v>660</v>
      </c>
    </row>
    <row r="222" spans="1:22">
      <c r="A222" s="454"/>
      <c r="B222" s="454" t="str">
        <v>Dado</v>
      </c>
      <c r="C222" s="456"/>
      <c r="D222" s="456"/>
      <c r="E222" s="456"/>
      <c r="F222" s="456"/>
      <c r="G222" s="456">
        <f t="shared" si="28"/>
        <v>0</v>
      </c>
      <c r="H222" s="456" t="str">
        <v>Sq M</v>
      </c>
      <c r="I222" s="456" t="str">
        <v>N.A.</v>
      </c>
      <c r="J222" s="456">
        <v>0</v>
      </c>
      <c r="K222" s="456">
        <v>0</v>
      </c>
      <c r="L222" s="456">
        <f t="shared" si="25"/>
        <v>0</v>
      </c>
      <c r="O222" s="459">
        <f t="shared" si="26"/>
        <v>0</v>
      </c>
      <c r="P222" s="459">
        <f t="shared" si="27"/>
        <v>0</v>
      </c>
      <c r="R222" s="480"/>
    </row>
    <row r="223" spans="1:22">
      <c r="A223" s="454"/>
      <c r="B223" s="454" t="str">
        <v>Wall finishes plaster</v>
      </c>
      <c r="C223" s="456"/>
      <c r="D223" s="456"/>
      <c r="E223" s="456">
        <f>D219*(D1-0.15)</f>
        <v>56.3155</v>
      </c>
      <c r="F223" s="456">
        <f>-(Doors!H20+Doors!H21+Doors!H22+Doors!H24+Windows!H21)</f>
        <v>-19.27</v>
      </c>
      <c r="G223" s="456">
        <f t="shared" si="28"/>
        <v>37.045500000000004</v>
      </c>
      <c r="H223" s="456" t="str">
        <v>Sq M</v>
      </c>
      <c r="I223" s="456" t="str">
        <v>Gypsum Plaster</v>
      </c>
      <c r="J223" s="456">
        <v>32</v>
      </c>
      <c r="K223" s="456">
        <v>344.44799999999998</v>
      </c>
      <c r="L223" s="456">
        <f t="shared" si="25"/>
        <v>12760.248384</v>
      </c>
      <c r="O223" s="459">
        <f t="shared" si="26"/>
        <v>370.45500000000004</v>
      </c>
      <c r="P223" s="459">
        <f t="shared" si="27"/>
        <v>127602.48384</v>
      </c>
      <c r="R223" s="480" t="s">
        <v>661</v>
      </c>
    </row>
    <row r="224" spans="1:22">
      <c r="A224" s="454"/>
      <c r="B224" s="454" t="str">
        <v>Ceiling plaster</v>
      </c>
      <c r="C224" s="456"/>
      <c r="D224" s="456"/>
      <c r="E224" s="456">
        <f>E220</f>
        <v>21.86</v>
      </c>
      <c r="F224" s="456"/>
      <c r="G224" s="456">
        <f>E224+F224</f>
        <v>21.86</v>
      </c>
      <c r="H224" s="456" t="str">
        <v>Sq M</v>
      </c>
      <c r="I224" s="456" t="str">
        <v>Gypsum Plaster</v>
      </c>
      <c r="J224" s="456">
        <v>32</v>
      </c>
      <c r="K224" s="456">
        <v>344.44799999999998</v>
      </c>
      <c r="L224" s="456">
        <f t="shared" si="25"/>
        <v>7529.6332799999991</v>
      </c>
      <c r="O224" s="459">
        <f t="shared" si="26"/>
        <v>218.6</v>
      </c>
      <c r="P224" s="459">
        <f t="shared" si="27"/>
        <v>75296.332799999989</v>
      </c>
      <c r="R224" s="480" t="s">
        <v>662</v>
      </c>
    </row>
    <row r="225" spans="1:18">
      <c r="A225" s="454"/>
      <c r="B225" s="454" t="str">
        <v>False ceiling</v>
      </c>
      <c r="C225" s="456"/>
      <c r="D225" s="456"/>
      <c r="E225" s="456"/>
      <c r="F225" s="456"/>
      <c r="G225" s="456">
        <f t="shared" si="28"/>
        <v>0</v>
      </c>
      <c r="H225" s="456" t="str">
        <v>Sq M</v>
      </c>
      <c r="I225" s="456" t="str">
        <v>N.A.</v>
      </c>
      <c r="J225" s="456">
        <v>0</v>
      </c>
      <c r="K225" s="456">
        <v>0</v>
      </c>
      <c r="L225" s="456">
        <f t="shared" si="25"/>
        <v>0</v>
      </c>
      <c r="O225" s="459">
        <f t="shared" si="26"/>
        <v>0</v>
      </c>
      <c r="P225" s="459">
        <f t="shared" si="27"/>
        <v>0</v>
      </c>
      <c r="R225" s="480"/>
    </row>
    <row r="226" spans="1:18">
      <c r="A226" s="454"/>
      <c r="B226" s="454" t="str">
        <v>Wall finishes Paint</v>
      </c>
      <c r="C226" s="456"/>
      <c r="D226" s="456"/>
      <c r="E226" s="456">
        <f>E223</f>
        <v>56.3155</v>
      </c>
      <c r="F226" s="456">
        <f>F223</f>
        <v>-19.27</v>
      </c>
      <c r="G226" s="456">
        <f t="shared" si="28"/>
        <v>37.045500000000004</v>
      </c>
      <c r="H226" s="456" t="str">
        <v>Sq M</v>
      </c>
      <c r="I226" s="456" t="str">
        <v>Plastic paint</v>
      </c>
      <c r="J226" s="456">
        <v>20</v>
      </c>
      <c r="K226" s="456">
        <v>215.27999999999997</v>
      </c>
      <c r="L226" s="456">
        <f t="shared" si="25"/>
        <v>7975.15524</v>
      </c>
      <c r="O226" s="459">
        <f t="shared" si="26"/>
        <v>370.45500000000004</v>
      </c>
      <c r="P226" s="459">
        <f t="shared" si="27"/>
        <v>79751.5524</v>
      </c>
      <c r="R226" s="480" t="s">
        <v>663</v>
      </c>
    </row>
    <row r="227" spans="1:18">
      <c r="A227" s="454"/>
      <c r="B227" s="454" t="str">
        <v>Ceiling Paint</v>
      </c>
      <c r="C227" s="456"/>
      <c r="D227" s="456"/>
      <c r="E227" s="456">
        <f>E224</f>
        <v>21.86</v>
      </c>
      <c r="F227" s="456"/>
      <c r="G227" s="456">
        <f t="shared" si="28"/>
        <v>21.86</v>
      </c>
      <c r="H227" s="456" t="str">
        <v>Sq M</v>
      </c>
      <c r="I227" s="456" t="str">
        <v>Plastic paint</v>
      </c>
      <c r="J227" s="456">
        <v>20</v>
      </c>
      <c r="K227" s="456">
        <v>215.27999999999997</v>
      </c>
      <c r="L227" s="456">
        <f t="shared" si="25"/>
        <v>4706.0207999999993</v>
      </c>
      <c r="O227" s="459">
        <f t="shared" si="26"/>
        <v>218.6</v>
      </c>
      <c r="P227" s="459">
        <f t="shared" si="27"/>
        <v>47060.207999999991</v>
      </c>
      <c r="R227" s="480" t="s">
        <v>664</v>
      </c>
    </row>
    <row r="228" spans="1:18">
      <c r="A228" s="454"/>
      <c r="B228" s="454" t="str">
        <v>Door Frames</v>
      </c>
      <c r="C228" s="456"/>
      <c r="D228" s="456"/>
      <c r="E228" s="456"/>
      <c r="F228" s="456"/>
      <c r="G228" s="456">
        <f t="shared" si="28"/>
        <v>0</v>
      </c>
      <c r="H228" s="456" t="str">
        <v>RM</v>
      </c>
      <c r="I228" s="456" t="str">
        <v>N.A.</v>
      </c>
      <c r="J228" s="456">
        <v>0</v>
      </c>
      <c r="K228" s="456">
        <v>0</v>
      </c>
      <c r="L228" s="456">
        <f t="shared" si="25"/>
        <v>0</v>
      </c>
      <c r="O228" s="459">
        <f t="shared" si="26"/>
        <v>0</v>
      </c>
      <c r="P228" s="459">
        <f t="shared" si="27"/>
        <v>0</v>
      </c>
      <c r="R228" s="480" t="s">
        <v>742</v>
      </c>
    </row>
    <row r="229" spans="1:18">
      <c r="A229" s="454"/>
      <c r="B229" s="454" t="str">
        <v>Window Frames - Internal</v>
      </c>
      <c r="C229" s="456"/>
      <c r="D229" s="456"/>
      <c r="E229" s="456">
        <f>Windows!F21*2+Windows!G21*2</f>
        <v>14.899999999999999</v>
      </c>
      <c r="F229" s="456"/>
      <c r="G229" s="456">
        <f t="shared" si="28"/>
        <v>14.899999999999999</v>
      </c>
      <c r="H229" s="456" t="str">
        <v>RM</v>
      </c>
      <c r="I229" s="456" t="str">
        <v>Granite Window Frame</v>
      </c>
      <c r="J229" s="456">
        <v>180</v>
      </c>
      <c r="K229" s="456">
        <v>655.92719999999997</v>
      </c>
      <c r="L229" s="456">
        <f t="shared" si="25"/>
        <v>9773.3152799999989</v>
      </c>
      <c r="O229" s="459">
        <f t="shared" si="26"/>
        <v>149</v>
      </c>
      <c r="P229" s="459">
        <f t="shared" si="27"/>
        <v>97733.152799999982</v>
      </c>
      <c r="R229" s="480" t="s">
        <v>743</v>
      </c>
    </row>
    <row r="230" spans="1:18">
      <c r="A230" s="454"/>
      <c r="B230" s="454" t="str">
        <v>Window Frames - External</v>
      </c>
      <c r="C230" s="456"/>
      <c r="D230" s="456"/>
      <c r="E230" s="456">
        <f>E229</f>
        <v>14.899999999999999</v>
      </c>
      <c r="F230" s="456"/>
      <c r="G230" s="456">
        <f t="shared" si="28"/>
        <v>14.899999999999999</v>
      </c>
      <c r="H230" s="456" t="str">
        <v>RM</v>
      </c>
      <c r="I230" s="456" t="str">
        <v>Marble Window Frames with Sill</v>
      </c>
      <c r="J230" s="456">
        <v>60</v>
      </c>
      <c r="K230" s="456">
        <v>399.04239999999999</v>
      </c>
      <c r="L230" s="456">
        <f t="shared" si="25"/>
        <v>5945.7317599999997</v>
      </c>
      <c r="O230" s="459">
        <f t="shared" si="26"/>
        <v>149</v>
      </c>
      <c r="P230" s="459">
        <f t="shared" si="27"/>
        <v>59457.317599999995</v>
      </c>
      <c r="R230" s="480" t="s">
        <v>409</v>
      </c>
    </row>
    <row r="231" spans="1:18">
      <c r="A231" s="454"/>
      <c r="B231" s="454" t="str">
        <v>Others</v>
      </c>
      <c r="C231" s="456"/>
      <c r="D231" s="456"/>
      <c r="E231" s="456"/>
      <c r="F231" s="456"/>
      <c r="G231" s="456">
        <f t="shared" si="28"/>
        <v>0</v>
      </c>
      <c r="H231" s="456" t="str">
        <v>-</v>
      </c>
      <c r="I231" s="456" t="str">
        <v>N.A.</v>
      </c>
      <c r="J231" s="456" t="str">
        <v>-</v>
      </c>
      <c r="K231" s="456" t="str">
        <v>-</v>
      </c>
      <c r="L231" s="516"/>
      <c r="O231" s="459">
        <f t="shared" si="26"/>
        <v>0</v>
      </c>
      <c r="P231" s="459">
        <f t="shared" si="27"/>
        <v>0</v>
      </c>
    </row>
    <row r="232" spans="1:18" s="479" customFormat="1" ht="13.5" customHeight="1">
      <c r="A232" s="475" t="s">
        <v>628</v>
      </c>
      <c r="B232" s="476" t="str">
        <f>'Flat Sizes'!B23</f>
        <v>Study Room</v>
      </c>
      <c r="C232" s="477">
        <f>'Flat Sizes'!D23</f>
        <v>6.96</v>
      </c>
      <c r="D232" s="477">
        <f>'Flat Sizes'!G22</f>
        <v>19.09</v>
      </c>
      <c r="E232" s="477"/>
      <c r="F232" s="454"/>
      <c r="G232" s="477"/>
      <c r="H232" s="477"/>
      <c r="I232" s="477"/>
      <c r="J232" s="477"/>
      <c r="K232" s="477"/>
      <c r="L232" s="477"/>
      <c r="M232" s="459">
        <f>SUM(L233:L244)/C232/10.764</f>
        <v>750.58430165259244</v>
      </c>
      <c r="N232" s="478"/>
      <c r="O232" s="459"/>
      <c r="P232" s="459"/>
      <c r="Q232" s="478"/>
    </row>
    <row r="233" spans="1:18">
      <c r="A233" s="454"/>
      <c r="B233" s="454" t="str" cm="1">
        <f t="array" ref="B233:B244">'Rate List - Flats'!B20:B31</f>
        <v>Flooring</v>
      </c>
      <c r="C233" s="456"/>
      <c r="D233" s="456"/>
      <c r="E233" s="456">
        <f>C232</f>
        <v>6.96</v>
      </c>
      <c r="F233" s="456"/>
      <c r="G233" s="456">
        <f t="shared" si="28"/>
        <v>6.96</v>
      </c>
      <c r="H233" s="456" t="str" cm="1">
        <f t="array" ref="H233:H244">'Rate List - Flats'!D20:D31</f>
        <v>Sq Ft</v>
      </c>
      <c r="I233" s="456" t="str" cm="1">
        <f t="array" ref="I233:I244">'Rate List - Flats'!C20:C31</f>
        <v>2'x2' Vitrified tiles</v>
      </c>
      <c r="J233" s="456" cm="1">
        <f t="array" ref="J233:J244">'Rate List - Flats'!E20:E31</f>
        <v>45</v>
      </c>
      <c r="K233" s="456" cm="1">
        <f t="array" ref="K233:K244">'Rate List - Flats'!G20:G31</f>
        <v>1340.1179999999999</v>
      </c>
      <c r="L233" s="456">
        <f t="shared" ref="L233:L283" si="29">G233*K233</f>
        <v>9327.2212799999998</v>
      </c>
      <c r="O233" s="459">
        <f t="shared" ref="O233:O244" si="30">IF(I233="N.A",0,G233*$N$218)</f>
        <v>69.599999999999994</v>
      </c>
      <c r="P233" s="459">
        <f t="shared" ref="P233:P244" si="31">L233*$N$218</f>
        <v>93272.212799999994</v>
      </c>
      <c r="R233" s="480" t="s">
        <v>659</v>
      </c>
    </row>
    <row r="234" spans="1:18">
      <c r="A234" s="454"/>
      <c r="B234" s="454" t="str">
        <v>Skirting</v>
      </c>
      <c r="C234" s="456"/>
      <c r="D234" s="456"/>
      <c r="E234" s="456">
        <f>D232</f>
        <v>19.09</v>
      </c>
      <c r="F234" s="456">
        <f>-(Doors!F21)</f>
        <v>-0.9</v>
      </c>
      <c r="G234" s="456">
        <f t="shared" si="28"/>
        <v>18.190000000000001</v>
      </c>
      <c r="H234" s="456" t="str">
        <v>R Ft</v>
      </c>
      <c r="I234" s="456" t="str">
        <v xml:space="preserve">2'x2' Vitrified tiles </v>
      </c>
      <c r="J234" s="456">
        <v>45</v>
      </c>
      <c r="K234" s="456">
        <v>391.96</v>
      </c>
      <c r="L234" s="456">
        <f t="shared" si="29"/>
        <v>7129.7524000000003</v>
      </c>
      <c r="O234" s="459">
        <f t="shared" si="30"/>
        <v>181.9</v>
      </c>
      <c r="P234" s="459">
        <f t="shared" si="31"/>
        <v>71297.524000000005</v>
      </c>
      <c r="R234" s="480" t="s">
        <v>660</v>
      </c>
    </row>
    <row r="235" spans="1:18">
      <c r="A235" s="454"/>
      <c r="B235" s="454" t="str">
        <v>Dado</v>
      </c>
      <c r="C235" s="456"/>
      <c r="D235" s="456"/>
      <c r="E235" s="456"/>
      <c r="F235" s="456"/>
      <c r="G235" s="456">
        <f t="shared" si="28"/>
        <v>0</v>
      </c>
      <c r="H235" s="456" t="str">
        <v>Sq Ft</v>
      </c>
      <c r="I235" s="456" t="str">
        <v>N.A.</v>
      </c>
      <c r="J235" s="456">
        <v>0</v>
      </c>
      <c r="K235" s="456">
        <v>0</v>
      </c>
      <c r="L235" s="456">
        <f t="shared" si="29"/>
        <v>0</v>
      </c>
      <c r="O235" s="459">
        <f t="shared" si="30"/>
        <v>0</v>
      </c>
      <c r="P235" s="459">
        <f t="shared" si="31"/>
        <v>0</v>
      </c>
      <c r="R235" s="480"/>
    </row>
    <row r="236" spans="1:18">
      <c r="A236" s="454"/>
      <c r="B236" s="454" t="str">
        <v>Wall finishes plaster</v>
      </c>
      <c r="C236" s="456"/>
      <c r="D236" s="456"/>
      <c r="E236" s="456">
        <f>D232*(D1-0.15)</f>
        <v>56.3155</v>
      </c>
      <c r="F236" s="456">
        <f>-(Doors!H21+Windows!H22)</f>
        <v>-3.9754999999999998</v>
      </c>
      <c r="G236" s="456">
        <f t="shared" si="28"/>
        <v>52.34</v>
      </c>
      <c r="H236" s="456" t="str">
        <v>Sq Ft</v>
      </c>
      <c r="I236" s="456" t="str">
        <v>Gypsum Plaster</v>
      </c>
      <c r="J236" s="456">
        <v>32</v>
      </c>
      <c r="K236" s="456">
        <v>344.44799999999998</v>
      </c>
      <c r="L236" s="456">
        <f t="shared" si="29"/>
        <v>18028.408319999999</v>
      </c>
      <c r="O236" s="459">
        <f t="shared" si="30"/>
        <v>523.40000000000009</v>
      </c>
      <c r="P236" s="459">
        <f t="shared" si="31"/>
        <v>180284.08319999999</v>
      </c>
      <c r="R236" s="480" t="s">
        <v>661</v>
      </c>
    </row>
    <row r="237" spans="1:18">
      <c r="A237" s="454"/>
      <c r="B237" s="454" t="str">
        <v>Ceiling plaster</v>
      </c>
      <c r="C237" s="456"/>
      <c r="D237" s="456"/>
      <c r="E237" s="456">
        <f>E233</f>
        <v>6.96</v>
      </c>
      <c r="F237" s="456"/>
      <c r="G237" s="456">
        <f t="shared" si="28"/>
        <v>6.96</v>
      </c>
      <c r="H237" s="456" t="str">
        <v>Sq Ft</v>
      </c>
      <c r="I237" s="456" t="str">
        <v>Gypsum Plaster</v>
      </c>
      <c r="J237" s="456">
        <v>32</v>
      </c>
      <c r="K237" s="456">
        <v>344.44799999999998</v>
      </c>
      <c r="L237" s="456">
        <f t="shared" si="29"/>
        <v>2397.35808</v>
      </c>
      <c r="O237" s="459">
        <f t="shared" si="30"/>
        <v>69.599999999999994</v>
      </c>
      <c r="P237" s="459">
        <f t="shared" si="31"/>
        <v>23973.5808</v>
      </c>
      <c r="R237" s="480" t="s">
        <v>662</v>
      </c>
    </row>
    <row r="238" spans="1:18">
      <c r="A238" s="454"/>
      <c r="B238" s="454" t="str">
        <v>False ceiling</v>
      </c>
      <c r="C238" s="456"/>
      <c r="D238" s="456"/>
      <c r="E238" s="456"/>
      <c r="F238" s="456"/>
      <c r="G238" s="456">
        <f t="shared" si="28"/>
        <v>0</v>
      </c>
      <c r="H238" s="456" t="str">
        <v>Sq Ft</v>
      </c>
      <c r="I238" s="456" t="str">
        <v>N.A.</v>
      </c>
      <c r="J238" s="456">
        <v>0</v>
      </c>
      <c r="K238" s="456">
        <v>0</v>
      </c>
      <c r="L238" s="456">
        <f t="shared" si="29"/>
        <v>0</v>
      </c>
      <c r="O238" s="459">
        <f t="shared" si="30"/>
        <v>0</v>
      </c>
      <c r="P238" s="459">
        <f t="shared" si="31"/>
        <v>0</v>
      </c>
      <c r="R238" s="480"/>
    </row>
    <row r="239" spans="1:18">
      <c r="A239" s="454"/>
      <c r="B239" s="454" t="str">
        <v>Wall finishes Paint</v>
      </c>
      <c r="C239" s="456"/>
      <c r="D239" s="456"/>
      <c r="E239" s="456">
        <f>E236</f>
        <v>56.3155</v>
      </c>
      <c r="F239" s="456">
        <f>F236</f>
        <v>-3.9754999999999998</v>
      </c>
      <c r="G239" s="456">
        <f t="shared" si="28"/>
        <v>52.34</v>
      </c>
      <c r="H239" s="456" t="str">
        <v>Sq Ft</v>
      </c>
      <c r="I239" s="456" t="str">
        <v>Plastic paint</v>
      </c>
      <c r="J239" s="456">
        <v>20</v>
      </c>
      <c r="K239" s="456">
        <v>215.27999999999997</v>
      </c>
      <c r="L239" s="456">
        <f t="shared" si="29"/>
        <v>11267.7552</v>
      </c>
      <c r="O239" s="459">
        <f t="shared" si="30"/>
        <v>523.40000000000009</v>
      </c>
      <c r="P239" s="459">
        <f t="shared" si="31"/>
        <v>112677.552</v>
      </c>
      <c r="R239" s="480" t="s">
        <v>663</v>
      </c>
    </row>
    <row r="240" spans="1:18">
      <c r="A240" s="454"/>
      <c r="B240" s="454" t="str">
        <v>Ceiling Paint</v>
      </c>
      <c r="C240" s="456"/>
      <c r="D240" s="456"/>
      <c r="E240" s="456">
        <f>E237</f>
        <v>6.96</v>
      </c>
      <c r="F240" s="456"/>
      <c r="G240" s="456">
        <f t="shared" si="28"/>
        <v>6.96</v>
      </c>
      <c r="H240" s="456" t="str">
        <v>Sq Ft</v>
      </c>
      <c r="I240" s="456" t="str">
        <v>Plastic paint</v>
      </c>
      <c r="J240" s="456">
        <v>20</v>
      </c>
      <c r="K240" s="456">
        <v>215.27999999999997</v>
      </c>
      <c r="L240" s="456">
        <f t="shared" si="29"/>
        <v>1498.3487999999998</v>
      </c>
      <c r="O240" s="459">
        <f t="shared" si="30"/>
        <v>69.599999999999994</v>
      </c>
      <c r="P240" s="459">
        <f t="shared" si="31"/>
        <v>14983.487999999998</v>
      </c>
      <c r="R240" s="480" t="s">
        <v>664</v>
      </c>
    </row>
    <row r="241" spans="1:18">
      <c r="A241" s="454"/>
      <c r="B241" s="454" t="str">
        <v>Door Frames</v>
      </c>
      <c r="C241" s="456"/>
      <c r="D241" s="456"/>
      <c r="E241" s="456"/>
      <c r="F241" s="456"/>
      <c r="G241" s="456">
        <f t="shared" si="28"/>
        <v>0</v>
      </c>
      <c r="H241" s="456" t="str">
        <v>R Ft</v>
      </c>
      <c r="I241" s="456" t="str">
        <v>N.A.</v>
      </c>
      <c r="J241" s="456">
        <v>0</v>
      </c>
      <c r="K241" s="456">
        <v>0</v>
      </c>
      <c r="L241" s="456">
        <f t="shared" si="29"/>
        <v>0</v>
      </c>
      <c r="O241" s="459">
        <f t="shared" si="30"/>
        <v>0</v>
      </c>
      <c r="P241" s="459">
        <f t="shared" si="31"/>
        <v>0</v>
      </c>
      <c r="R241" s="480"/>
    </row>
    <row r="242" spans="1:18">
      <c r="A242" s="454"/>
      <c r="B242" s="454" t="str">
        <v>Window Frames - Internal</v>
      </c>
      <c r="C242" s="456"/>
      <c r="D242" s="456"/>
      <c r="E242" s="456">
        <f>Windows!F22*2+Windows!G22*2</f>
        <v>6.24</v>
      </c>
      <c r="F242" s="456"/>
      <c r="G242" s="456">
        <f t="shared" si="28"/>
        <v>6.24</v>
      </c>
      <c r="H242" s="456" t="str">
        <v>R Ft</v>
      </c>
      <c r="I242" s="456" t="str">
        <v>Granite Window Frame</v>
      </c>
      <c r="J242" s="456">
        <v>180</v>
      </c>
      <c r="K242" s="456">
        <v>655.92719999999997</v>
      </c>
      <c r="L242" s="456">
        <f t="shared" si="29"/>
        <v>4092.9857280000001</v>
      </c>
      <c r="O242" s="459">
        <f t="shared" si="30"/>
        <v>62.400000000000006</v>
      </c>
      <c r="P242" s="459">
        <f t="shared" si="31"/>
        <v>40929.857280000004</v>
      </c>
      <c r="R242" s="480" t="s">
        <v>743</v>
      </c>
    </row>
    <row r="243" spans="1:18">
      <c r="A243" s="454"/>
      <c r="B243" s="454" t="str">
        <v>Window Frames - External</v>
      </c>
      <c r="C243" s="456"/>
      <c r="D243" s="456"/>
      <c r="E243" s="456">
        <f>E242</f>
        <v>6.24</v>
      </c>
      <c r="F243" s="456"/>
      <c r="G243" s="456">
        <f t="shared" si="28"/>
        <v>6.24</v>
      </c>
      <c r="H243" s="456" t="str">
        <v>R Ft</v>
      </c>
      <c r="I243" s="456" t="str">
        <v>Marble Window Frames with Sill</v>
      </c>
      <c r="J243" s="456">
        <v>60</v>
      </c>
      <c r="K243" s="456">
        <v>399.04239999999999</v>
      </c>
      <c r="L243" s="456">
        <f t="shared" si="29"/>
        <v>2490.0245759999998</v>
      </c>
      <c r="O243" s="459">
        <f t="shared" si="30"/>
        <v>62.400000000000006</v>
      </c>
      <c r="P243" s="459">
        <f t="shared" si="31"/>
        <v>24900.245759999998</v>
      </c>
      <c r="R243" s="480" t="s">
        <v>409</v>
      </c>
    </row>
    <row r="244" spans="1:18">
      <c r="A244" s="454"/>
      <c r="B244" s="454" t="str">
        <v>Others</v>
      </c>
      <c r="C244" s="456"/>
      <c r="D244" s="456"/>
      <c r="E244" s="456"/>
      <c r="F244" s="456"/>
      <c r="G244" s="456">
        <f t="shared" si="28"/>
        <v>0</v>
      </c>
      <c r="H244" s="456" t="str">
        <v>-</v>
      </c>
      <c r="I244" s="456" t="str">
        <v>N.A.</v>
      </c>
      <c r="J244" s="456">
        <v>0</v>
      </c>
      <c r="K244" s="456">
        <v>0</v>
      </c>
      <c r="L244" s="456">
        <f t="shared" si="29"/>
        <v>0</v>
      </c>
      <c r="O244" s="459">
        <f t="shared" si="30"/>
        <v>0</v>
      </c>
      <c r="P244" s="459">
        <f t="shared" si="31"/>
        <v>0</v>
      </c>
    </row>
    <row r="245" spans="1:18" s="479" customFormat="1" ht="13.5" customHeight="1">
      <c r="A245" s="475" t="s">
        <v>628</v>
      </c>
      <c r="B245" s="476" t="str">
        <f>'Flat Sizes'!B24</f>
        <v>M. Bedroom</v>
      </c>
      <c r="C245" s="477">
        <f>'Flat Sizes'!D24</f>
        <v>9.48</v>
      </c>
      <c r="D245" s="477">
        <f>'Flat Sizes'!G24</f>
        <v>14.59</v>
      </c>
      <c r="E245" s="477"/>
      <c r="F245" s="454"/>
      <c r="G245" s="477"/>
      <c r="H245" s="477"/>
      <c r="I245" s="477"/>
      <c r="J245" s="477"/>
      <c r="K245" s="477"/>
      <c r="L245" s="477"/>
      <c r="M245" s="459" cm="1">
        <f t="array" ref="M245">SUM(L246:L257/C245/10.764)</f>
        <v>523.47543287752421</v>
      </c>
      <c r="N245" s="478"/>
      <c r="O245" s="459"/>
      <c r="P245" s="459"/>
      <c r="Q245" s="478"/>
    </row>
    <row r="246" spans="1:18">
      <c r="A246" s="454"/>
      <c r="B246" s="454" t="str" cm="1">
        <f t="array" ref="B246:B257">'Rate List - Flats'!B34:B45</f>
        <v>Flooring</v>
      </c>
      <c r="C246" s="456"/>
      <c r="D246" s="456"/>
      <c r="E246" s="456">
        <f>C245</f>
        <v>9.48</v>
      </c>
      <c r="F246" s="456"/>
      <c r="G246" s="456">
        <f t="shared" si="28"/>
        <v>9.48</v>
      </c>
      <c r="H246" s="456" t="str" cm="1">
        <f t="array" ref="H246:H257">'Rate List - Flats'!H34:H45</f>
        <v>Sq M</v>
      </c>
      <c r="I246" s="456" t="str" cm="1">
        <f t="array" ref="I246:I257">'Rate List - Flats'!C34:C45</f>
        <v>2'x2' Vitrified tiles</v>
      </c>
      <c r="J246" s="456" cm="1">
        <f t="array" ref="J246:J257">'Rate List - Flats'!E34:E45</f>
        <v>45</v>
      </c>
      <c r="K246" s="456" cm="1">
        <f t="array" ref="K246:K257">'Rate List - Flats'!G34:G45</f>
        <v>1340.1179999999999</v>
      </c>
      <c r="L246" s="456">
        <f t="shared" si="29"/>
        <v>12704.31864</v>
      </c>
      <c r="O246" s="459">
        <f t="shared" ref="O246:O257" si="32">IF(I246="N.A",0,G246*$N$218)</f>
        <v>94.800000000000011</v>
      </c>
      <c r="P246" s="459">
        <f t="shared" ref="P246:P257" si="33">L246*$N$218</f>
        <v>127043.18639999999</v>
      </c>
      <c r="R246" s="480" t="s">
        <v>659</v>
      </c>
    </row>
    <row r="247" spans="1:18">
      <c r="A247" s="454"/>
      <c r="B247" s="454" t="str">
        <v>Skirting</v>
      </c>
      <c r="C247" s="456"/>
      <c r="D247" s="456"/>
      <c r="E247" s="456">
        <f>D245</f>
        <v>14.59</v>
      </c>
      <c r="F247" s="456">
        <f>-(Doors!F22+Doors!F23)</f>
        <v>-1.65</v>
      </c>
      <c r="G247" s="456">
        <f t="shared" si="28"/>
        <v>12.94</v>
      </c>
      <c r="H247" s="456" t="str">
        <v>RM</v>
      </c>
      <c r="I247" s="456" t="str">
        <v xml:space="preserve">2'x2' Vitrified tiles </v>
      </c>
      <c r="J247" s="456">
        <v>45</v>
      </c>
      <c r="K247" s="456">
        <v>391.96</v>
      </c>
      <c r="L247" s="456">
        <f t="shared" si="29"/>
        <v>5071.9623999999994</v>
      </c>
      <c r="O247" s="459">
        <f t="shared" si="32"/>
        <v>129.4</v>
      </c>
      <c r="P247" s="459">
        <f t="shared" si="33"/>
        <v>50719.623999999996</v>
      </c>
      <c r="R247" s="480" t="s">
        <v>660</v>
      </c>
    </row>
    <row r="248" spans="1:18">
      <c r="A248" s="454"/>
      <c r="B248" s="454" t="str">
        <v>Dado</v>
      </c>
      <c r="C248" s="456"/>
      <c r="D248" s="456"/>
      <c r="E248" s="456"/>
      <c r="F248" s="456"/>
      <c r="G248" s="456">
        <f t="shared" si="28"/>
        <v>0</v>
      </c>
      <c r="H248" s="456" t="str">
        <v>Sq M</v>
      </c>
      <c r="I248" s="456" t="str">
        <v>N.A.</v>
      </c>
      <c r="J248" s="456">
        <v>0</v>
      </c>
      <c r="K248" s="456">
        <v>0</v>
      </c>
      <c r="L248" s="456">
        <f t="shared" si="29"/>
        <v>0</v>
      </c>
      <c r="O248" s="459">
        <f t="shared" si="32"/>
        <v>0</v>
      </c>
      <c r="P248" s="459">
        <f t="shared" si="33"/>
        <v>0</v>
      </c>
      <c r="R248" s="480"/>
    </row>
    <row r="249" spans="1:18">
      <c r="A249" s="454"/>
      <c r="B249" s="454" t="str">
        <v>Wall finishes plaster</v>
      </c>
      <c r="C249" s="456"/>
      <c r="D249" s="456"/>
      <c r="E249" s="456">
        <f>D245*(D1-0.15)</f>
        <v>43.040500000000002</v>
      </c>
      <c r="F249" s="456">
        <f>-(Doors!H22+Windows!H23)</f>
        <v>-8.4474999999999998</v>
      </c>
      <c r="G249" s="456">
        <f t="shared" si="28"/>
        <v>34.593000000000004</v>
      </c>
      <c r="H249" s="456" t="str">
        <v>Sq M</v>
      </c>
      <c r="I249" s="456" t="str">
        <v>Gypsum Plaster</v>
      </c>
      <c r="J249" s="456">
        <v>32</v>
      </c>
      <c r="K249" s="456">
        <v>344.44799999999998</v>
      </c>
      <c r="L249" s="456">
        <f t="shared" si="29"/>
        <v>11915.489664000001</v>
      </c>
      <c r="O249" s="459">
        <f t="shared" si="32"/>
        <v>345.93000000000006</v>
      </c>
      <c r="P249" s="459">
        <f t="shared" si="33"/>
        <v>119154.89664000001</v>
      </c>
      <c r="R249" s="480" t="s">
        <v>661</v>
      </c>
    </row>
    <row r="250" spans="1:18">
      <c r="A250" s="454"/>
      <c r="B250" s="454" t="str">
        <v>Ceiling plaster</v>
      </c>
      <c r="C250" s="456"/>
      <c r="D250" s="456"/>
      <c r="E250" s="456">
        <f>E246</f>
        <v>9.48</v>
      </c>
      <c r="F250" s="456"/>
      <c r="G250" s="456">
        <f>E250+F250</f>
        <v>9.48</v>
      </c>
      <c r="H250" s="456" t="str">
        <v>Sq M</v>
      </c>
      <c r="I250" s="456" t="str">
        <v>Gypsum Plaster</v>
      </c>
      <c r="J250" s="456">
        <v>32</v>
      </c>
      <c r="K250" s="456">
        <v>344.44799999999998</v>
      </c>
      <c r="L250" s="456">
        <f t="shared" si="29"/>
        <v>3265.3670400000001</v>
      </c>
      <c r="O250" s="459">
        <f t="shared" si="32"/>
        <v>94.800000000000011</v>
      </c>
      <c r="P250" s="459">
        <f t="shared" si="33"/>
        <v>32653.670400000003</v>
      </c>
      <c r="R250" s="480" t="s">
        <v>662</v>
      </c>
    </row>
    <row r="251" spans="1:18">
      <c r="A251" s="454"/>
      <c r="B251" s="454" t="str">
        <v>False ceiling</v>
      </c>
      <c r="C251" s="456"/>
      <c r="D251" s="456"/>
      <c r="E251" s="456"/>
      <c r="F251" s="456"/>
      <c r="G251" s="456">
        <f t="shared" si="28"/>
        <v>0</v>
      </c>
      <c r="H251" s="456" t="str">
        <v>Sq M</v>
      </c>
      <c r="I251" s="456" t="str">
        <v>N.A.</v>
      </c>
      <c r="J251" s="456">
        <v>0</v>
      </c>
      <c r="K251" s="456">
        <v>0</v>
      </c>
      <c r="L251" s="456">
        <f t="shared" si="29"/>
        <v>0</v>
      </c>
      <c r="O251" s="459">
        <f t="shared" si="32"/>
        <v>0</v>
      </c>
      <c r="P251" s="459">
        <f t="shared" si="33"/>
        <v>0</v>
      </c>
      <c r="R251" s="480"/>
    </row>
    <row r="252" spans="1:18">
      <c r="A252" s="454"/>
      <c r="B252" s="454" t="str">
        <v>Wall finishes Paint</v>
      </c>
      <c r="C252" s="456"/>
      <c r="D252" s="456"/>
      <c r="E252" s="456">
        <f>E249</f>
        <v>43.040500000000002</v>
      </c>
      <c r="F252" s="456">
        <f>F249</f>
        <v>-8.4474999999999998</v>
      </c>
      <c r="G252" s="456">
        <f t="shared" si="28"/>
        <v>34.593000000000004</v>
      </c>
      <c r="H252" s="456" t="str">
        <v>Sq M</v>
      </c>
      <c r="I252" s="456" t="str">
        <v>Plastic paint</v>
      </c>
      <c r="J252" s="456">
        <v>20</v>
      </c>
      <c r="K252" s="456">
        <v>215.27999999999997</v>
      </c>
      <c r="L252" s="456">
        <f t="shared" si="29"/>
        <v>7447.1810399999995</v>
      </c>
      <c r="O252" s="459">
        <f t="shared" si="32"/>
        <v>345.93000000000006</v>
      </c>
      <c r="P252" s="459">
        <f t="shared" si="33"/>
        <v>74471.810399999988</v>
      </c>
      <c r="R252" s="480" t="s">
        <v>663</v>
      </c>
    </row>
    <row r="253" spans="1:18">
      <c r="A253" s="454"/>
      <c r="B253" s="454" t="str">
        <v>Ceiling Paint</v>
      </c>
      <c r="C253" s="456"/>
      <c r="D253" s="456"/>
      <c r="E253" s="456">
        <f>E250</f>
        <v>9.48</v>
      </c>
      <c r="F253" s="456"/>
      <c r="G253" s="456">
        <f t="shared" si="28"/>
        <v>9.48</v>
      </c>
      <c r="H253" s="456" t="str">
        <v>Sq M</v>
      </c>
      <c r="I253" s="456" t="str">
        <v>Plastic paint</v>
      </c>
      <c r="J253" s="456">
        <v>20</v>
      </c>
      <c r="K253" s="456">
        <v>215.27999999999997</v>
      </c>
      <c r="L253" s="456">
        <f t="shared" si="29"/>
        <v>2040.8543999999999</v>
      </c>
      <c r="O253" s="459">
        <f t="shared" si="32"/>
        <v>94.800000000000011</v>
      </c>
      <c r="P253" s="459">
        <f t="shared" si="33"/>
        <v>20408.543999999998</v>
      </c>
      <c r="R253" s="480" t="s">
        <v>664</v>
      </c>
    </row>
    <row r="254" spans="1:18">
      <c r="A254" s="454"/>
      <c r="B254" s="454" t="str">
        <v>Door Frames</v>
      </c>
      <c r="C254" s="456"/>
      <c r="D254" s="456"/>
      <c r="E254" s="456"/>
      <c r="F254" s="456"/>
      <c r="G254" s="456">
        <f t="shared" si="28"/>
        <v>0</v>
      </c>
      <c r="H254" s="456" t="str">
        <v>RM</v>
      </c>
      <c r="I254" s="456" t="str">
        <v>N.A.</v>
      </c>
      <c r="J254" s="456">
        <v>0</v>
      </c>
      <c r="K254" s="456">
        <v>0</v>
      </c>
      <c r="L254" s="456">
        <f t="shared" si="29"/>
        <v>0</v>
      </c>
      <c r="O254" s="459">
        <f t="shared" si="32"/>
        <v>0</v>
      </c>
      <c r="P254" s="459">
        <f t="shared" si="33"/>
        <v>0</v>
      </c>
      <c r="R254" s="480"/>
    </row>
    <row r="255" spans="1:18">
      <c r="A255" s="454"/>
      <c r="B255" s="454" t="str">
        <v>Window Frames - Internal</v>
      </c>
      <c r="C255" s="456"/>
      <c r="D255" s="456"/>
      <c r="E255" s="456">
        <f>Windows!F23*2+Windows!G23*2</f>
        <v>10.399999999999999</v>
      </c>
      <c r="F255" s="456"/>
      <c r="G255" s="456">
        <f t="shared" si="28"/>
        <v>10.399999999999999</v>
      </c>
      <c r="H255" s="456" t="str">
        <v>RM</v>
      </c>
      <c r="I255" s="456" t="str">
        <v>Granite Window Frame</v>
      </c>
      <c r="J255" s="456">
        <v>180</v>
      </c>
      <c r="K255" s="456">
        <v>655.92719999999997</v>
      </c>
      <c r="L255" s="456">
        <f t="shared" si="29"/>
        <v>6821.6428799999985</v>
      </c>
      <c r="O255" s="459">
        <f t="shared" si="32"/>
        <v>103.99999999999999</v>
      </c>
      <c r="P255" s="459">
        <f t="shared" si="33"/>
        <v>68216.42879999998</v>
      </c>
      <c r="R255" s="480" t="s">
        <v>743</v>
      </c>
    </row>
    <row r="256" spans="1:18">
      <c r="A256" s="454"/>
      <c r="B256" s="454" t="str">
        <v>Window Frames - External</v>
      </c>
      <c r="C256" s="456"/>
      <c r="D256" s="456"/>
      <c r="E256" s="456">
        <f>E255</f>
        <v>10.399999999999999</v>
      </c>
      <c r="F256" s="456"/>
      <c r="G256" s="456">
        <f t="shared" si="28"/>
        <v>10.399999999999999</v>
      </c>
      <c r="H256" s="456" t="str">
        <v>RM</v>
      </c>
      <c r="I256" s="456" t="str">
        <v>Marble Window Frames with Sill</v>
      </c>
      <c r="J256" s="456">
        <v>60</v>
      </c>
      <c r="K256" s="456">
        <v>399.04239999999999</v>
      </c>
      <c r="L256" s="456">
        <f t="shared" si="29"/>
        <v>4150.0409599999994</v>
      </c>
      <c r="O256" s="459">
        <f t="shared" si="32"/>
        <v>103.99999999999999</v>
      </c>
      <c r="P256" s="459">
        <f t="shared" si="33"/>
        <v>41500.409599999992</v>
      </c>
      <c r="R256" s="480" t="s">
        <v>409</v>
      </c>
    </row>
    <row r="257" spans="1:18">
      <c r="A257" s="454"/>
      <c r="B257" s="454" t="str">
        <v>Others</v>
      </c>
      <c r="C257" s="456"/>
      <c r="D257" s="456"/>
      <c r="E257" s="456"/>
      <c r="F257" s="456"/>
      <c r="G257" s="456">
        <f t="shared" si="28"/>
        <v>0</v>
      </c>
      <c r="H257" s="456" t="str">
        <v>-</v>
      </c>
      <c r="I257" s="456" t="str">
        <v>N.A.</v>
      </c>
      <c r="J257" s="456">
        <v>0</v>
      </c>
      <c r="K257" s="456">
        <v>0</v>
      </c>
      <c r="L257" s="456">
        <f t="shared" si="29"/>
        <v>0</v>
      </c>
      <c r="O257" s="459">
        <f t="shared" si="32"/>
        <v>0</v>
      </c>
      <c r="P257" s="459">
        <f t="shared" si="33"/>
        <v>0</v>
      </c>
    </row>
    <row r="258" spans="1:18" s="479" customFormat="1" ht="13.5" customHeight="1">
      <c r="A258" s="475" t="s">
        <v>628</v>
      </c>
      <c r="B258" s="476" t="str">
        <f>'Flat Sizes'!B25</f>
        <v>M. Toilet</v>
      </c>
      <c r="C258" s="477">
        <f>'Flat Sizes'!D25</f>
        <v>2.57</v>
      </c>
      <c r="D258" s="477">
        <f>'Flat Sizes'!G25</f>
        <v>6.75</v>
      </c>
      <c r="E258" s="477"/>
      <c r="F258" s="454"/>
      <c r="G258" s="477"/>
      <c r="H258" s="477"/>
      <c r="I258" s="477"/>
      <c r="J258" s="477"/>
      <c r="K258" s="477"/>
      <c r="L258" s="477"/>
      <c r="M258" s="459">
        <f>SUM(L259:L270)/C258/10.764</f>
        <v>1475.8773961193604</v>
      </c>
      <c r="N258" s="478"/>
      <c r="O258" s="459"/>
      <c r="P258" s="459"/>
      <c r="Q258" s="478"/>
    </row>
    <row r="259" spans="1:18">
      <c r="A259" s="454"/>
      <c r="B259" s="454" t="str" cm="1">
        <f t="array" ref="B259:B270">'Rate List - Flats'!B62:B73</f>
        <v>Flooring</v>
      </c>
      <c r="C259" s="456"/>
      <c r="D259" s="456"/>
      <c r="E259" s="456">
        <f>C258</f>
        <v>2.57</v>
      </c>
      <c r="F259" s="456"/>
      <c r="G259" s="456">
        <f t="shared" si="28"/>
        <v>2.57</v>
      </c>
      <c r="H259" s="456" t="str" cm="1">
        <f t="array" ref="H259:H270">'Rate List - Flats'!H62:H73</f>
        <v>Sq M</v>
      </c>
      <c r="I259" s="456" t="str" cm="1">
        <f t="array" ref="I259:I270">'Rate List - Flats'!C62:C73</f>
        <v>Ceramic tiles/vitrified anti-skid tiles</v>
      </c>
      <c r="J259" s="456" cm="1">
        <f t="array" ref="J259:J270">'Rate List - Flats'!E62:E73</f>
        <v>50</v>
      </c>
      <c r="K259" s="456" cm="1">
        <f t="array" ref="K259:K270">'Rate List - Flats'!G62:G73</f>
        <v>1399.32</v>
      </c>
      <c r="L259" s="456">
        <f t="shared" si="29"/>
        <v>3596.2523999999994</v>
      </c>
      <c r="O259" s="459">
        <f t="shared" ref="O259:O270" si="34">IF(I259="N.A",0,G259*$N$218)</f>
        <v>25.7</v>
      </c>
      <c r="P259" s="459">
        <f t="shared" ref="P259:P270" si="35">L259*$N$218</f>
        <v>35962.52399999999</v>
      </c>
      <c r="R259" s="480" t="s">
        <v>667</v>
      </c>
    </row>
    <row r="260" spans="1:18">
      <c r="A260" s="454"/>
      <c r="B260" s="454" t="str">
        <v>Skirting</v>
      </c>
      <c r="C260" s="456"/>
      <c r="D260" s="456"/>
      <c r="E260" s="456"/>
      <c r="F260" s="456"/>
      <c r="G260" s="456">
        <f t="shared" si="28"/>
        <v>0</v>
      </c>
      <c r="H260" s="456" t="str">
        <v xml:space="preserve">RM </v>
      </c>
      <c r="I260" s="456" t="str">
        <v>N.A.</v>
      </c>
      <c r="J260" s="456">
        <v>0</v>
      </c>
      <c r="K260" s="456">
        <v>0</v>
      </c>
      <c r="L260" s="456">
        <f t="shared" si="29"/>
        <v>0</v>
      </c>
      <c r="O260" s="459">
        <f t="shared" si="34"/>
        <v>0</v>
      </c>
      <c r="P260" s="459">
        <f t="shared" si="35"/>
        <v>0</v>
      </c>
      <c r="R260" s="480"/>
    </row>
    <row r="261" spans="1:18">
      <c r="A261" s="454"/>
      <c r="B261" s="454" t="str">
        <v>Dado</v>
      </c>
      <c r="C261" s="456"/>
      <c r="D261" s="456">
        <f>D1-0.7</f>
        <v>2.4000000000000004</v>
      </c>
      <c r="E261" s="456">
        <f>D258*D261</f>
        <v>16.200000000000003</v>
      </c>
      <c r="F261" s="456">
        <f>-(Doors!H23+Windows!H24)</f>
        <v>-2.0250000000000004</v>
      </c>
      <c r="G261" s="456">
        <f t="shared" si="28"/>
        <v>14.175000000000002</v>
      </c>
      <c r="H261" s="456" t="str">
        <v>Sq M</v>
      </c>
      <c r="I261" s="456" t="str">
        <v>Vitrified tiles</v>
      </c>
      <c r="J261" s="456">
        <v>50</v>
      </c>
      <c r="K261" s="456">
        <v>1480.05</v>
      </c>
      <c r="L261" s="456">
        <f t="shared" si="29"/>
        <v>20979.708750000002</v>
      </c>
      <c r="O261" s="459">
        <f t="shared" si="34"/>
        <v>141.75000000000003</v>
      </c>
      <c r="P261" s="459">
        <f t="shared" si="35"/>
        <v>209797.08750000002</v>
      </c>
      <c r="R261" s="480" t="s">
        <v>668</v>
      </c>
    </row>
    <row r="262" spans="1:18">
      <c r="A262" s="454"/>
      <c r="B262" s="454" t="str">
        <v>Wall finishes plaster</v>
      </c>
      <c r="C262" s="456"/>
      <c r="D262" s="456">
        <f>D1-D261</f>
        <v>0.69999999999999973</v>
      </c>
      <c r="E262" s="456">
        <f>D258*D262</f>
        <v>4.7249999999999979</v>
      </c>
      <c r="F262" s="456"/>
      <c r="G262" s="456">
        <f t="shared" si="28"/>
        <v>4.7249999999999979</v>
      </c>
      <c r="H262" s="456" t="str">
        <v>Sq M</v>
      </c>
      <c r="I262" s="456" t="str">
        <v>Gypsum Plaster</v>
      </c>
      <c r="J262" s="456">
        <v>32</v>
      </c>
      <c r="K262" s="456">
        <v>344.44799999999998</v>
      </c>
      <c r="L262" s="456">
        <f t="shared" si="29"/>
        <v>1627.5167999999992</v>
      </c>
      <c r="O262" s="459">
        <f t="shared" si="34"/>
        <v>47.249999999999979</v>
      </c>
      <c r="P262" s="459">
        <f t="shared" si="35"/>
        <v>16275.167999999992</v>
      </c>
      <c r="R262" s="480" t="s">
        <v>661</v>
      </c>
    </row>
    <row r="263" spans="1:18">
      <c r="A263" s="454"/>
      <c r="B263" s="454" t="str">
        <v>Ceiling plaster</v>
      </c>
      <c r="C263" s="456"/>
      <c r="D263" s="456"/>
      <c r="E263" s="456">
        <f>E259</f>
        <v>2.57</v>
      </c>
      <c r="F263" s="456"/>
      <c r="G263" s="456">
        <f t="shared" si="28"/>
        <v>2.57</v>
      </c>
      <c r="H263" s="456" t="str">
        <v>Sq M</v>
      </c>
      <c r="I263" s="456" t="str">
        <v>Gypsum Plaster</v>
      </c>
      <c r="J263" s="456">
        <v>32</v>
      </c>
      <c r="K263" s="456">
        <v>344.44799999999998</v>
      </c>
      <c r="L263" s="456">
        <f t="shared" si="29"/>
        <v>885.23135999999988</v>
      </c>
      <c r="O263" s="459">
        <f t="shared" si="34"/>
        <v>25.7</v>
      </c>
      <c r="P263" s="459">
        <f t="shared" si="35"/>
        <v>8852.3135999999995</v>
      </c>
      <c r="R263" s="480" t="s">
        <v>662</v>
      </c>
    </row>
    <row r="264" spans="1:18">
      <c r="A264" s="454"/>
      <c r="B264" s="454" t="str">
        <v>False ceiling</v>
      </c>
      <c r="C264" s="456"/>
      <c r="D264" s="456"/>
      <c r="E264" s="456"/>
      <c r="F264" s="456"/>
      <c r="G264" s="456">
        <f t="shared" si="28"/>
        <v>0</v>
      </c>
      <c r="H264" s="456" t="str">
        <v>Sq M</v>
      </c>
      <c r="I264" s="456" t="str">
        <v>N.A.</v>
      </c>
      <c r="J264" s="456">
        <v>0</v>
      </c>
      <c r="K264" s="456">
        <v>0</v>
      </c>
      <c r="L264" s="456">
        <f t="shared" si="29"/>
        <v>0</v>
      </c>
      <c r="O264" s="459">
        <f t="shared" si="34"/>
        <v>0</v>
      </c>
      <c r="P264" s="459">
        <f t="shared" si="35"/>
        <v>0</v>
      </c>
      <c r="R264" s="480"/>
    </row>
    <row r="265" spans="1:18">
      <c r="A265" s="454"/>
      <c r="B265" s="454" t="str">
        <v>Wall finishes Paint</v>
      </c>
      <c r="C265" s="456"/>
      <c r="D265" s="456"/>
      <c r="E265" s="456">
        <f>E262</f>
        <v>4.7249999999999979</v>
      </c>
      <c r="F265" s="456">
        <f>F261</f>
        <v>-2.0250000000000004</v>
      </c>
      <c r="G265" s="456">
        <f t="shared" si="28"/>
        <v>2.6999999999999975</v>
      </c>
      <c r="H265" s="456" t="str">
        <v>Sq M</v>
      </c>
      <c r="I265" s="456" t="str">
        <v>Plastic paint</v>
      </c>
      <c r="J265" s="456">
        <v>20</v>
      </c>
      <c r="K265" s="456">
        <v>215.27999999999997</v>
      </c>
      <c r="L265" s="456">
        <f t="shared" si="29"/>
        <v>581.2559999999994</v>
      </c>
      <c r="O265" s="459">
        <f t="shared" si="34"/>
        <v>26.999999999999975</v>
      </c>
      <c r="P265" s="459">
        <f t="shared" si="35"/>
        <v>5812.559999999994</v>
      </c>
      <c r="R265" s="480" t="s">
        <v>663</v>
      </c>
    </row>
    <row r="266" spans="1:18">
      <c r="A266" s="454"/>
      <c r="B266" s="454" t="str">
        <v>Ceiling Paint</v>
      </c>
      <c r="C266" s="456"/>
      <c r="D266" s="456"/>
      <c r="E266" s="456">
        <f>E263</f>
        <v>2.57</v>
      </c>
      <c r="F266" s="456"/>
      <c r="G266" s="456">
        <f t="shared" si="28"/>
        <v>2.57</v>
      </c>
      <c r="H266" s="456" t="str">
        <v>Sq M</v>
      </c>
      <c r="I266" s="456" t="str">
        <v>Plastic paint</v>
      </c>
      <c r="J266" s="456">
        <v>20</v>
      </c>
      <c r="K266" s="456">
        <v>215.27999999999997</v>
      </c>
      <c r="L266" s="456">
        <f t="shared" si="29"/>
        <v>553.26959999999985</v>
      </c>
      <c r="O266" s="459">
        <f t="shared" si="34"/>
        <v>25.7</v>
      </c>
      <c r="P266" s="459">
        <f t="shared" si="35"/>
        <v>5532.6959999999981</v>
      </c>
      <c r="R266" s="480" t="s">
        <v>664</v>
      </c>
    </row>
    <row r="267" spans="1:18">
      <c r="A267" s="454"/>
      <c r="B267" s="454" t="str">
        <v>Door Frames</v>
      </c>
      <c r="C267" s="456"/>
      <c r="D267" s="456"/>
      <c r="E267" s="456">
        <f>Doors!F23*4+Doors!G23*4</f>
        <v>11.4</v>
      </c>
      <c r="F267" s="456"/>
      <c r="G267" s="456">
        <f t="shared" si="28"/>
        <v>11.4</v>
      </c>
      <c r="H267" s="456" t="str">
        <v>RM</v>
      </c>
      <c r="I267" s="456" t="str">
        <v>Granite Frames</v>
      </c>
      <c r="J267" s="456">
        <v>180</v>
      </c>
      <c r="K267" s="456">
        <v>655.92719999999997</v>
      </c>
      <c r="L267" s="456">
        <f t="shared" si="29"/>
        <v>7477.5700799999995</v>
      </c>
      <c r="O267" s="459">
        <f t="shared" si="34"/>
        <v>114</v>
      </c>
      <c r="P267" s="459">
        <f t="shared" si="35"/>
        <v>74775.700799999991</v>
      </c>
      <c r="R267" s="480" t="s">
        <v>669</v>
      </c>
    </row>
    <row r="268" spans="1:18">
      <c r="A268" s="454"/>
      <c r="B268" s="454" t="str">
        <v>Window Frames - Internal</v>
      </c>
      <c r="C268" s="456"/>
      <c r="D268" s="456"/>
      <c r="E268" s="456">
        <f>Windows!F24*2+Windows!G24*2</f>
        <v>2.7</v>
      </c>
      <c r="F268" s="456"/>
      <c r="G268" s="456">
        <f t="shared" si="28"/>
        <v>2.7</v>
      </c>
      <c r="H268" s="456" t="str">
        <v>RM</v>
      </c>
      <c r="I268" s="456" t="str">
        <v>Granite Window Frame</v>
      </c>
      <c r="J268" s="456">
        <v>180</v>
      </c>
      <c r="K268" s="456">
        <v>655.92719999999997</v>
      </c>
      <c r="L268" s="456">
        <f t="shared" si="29"/>
        <v>1771.00344</v>
      </c>
      <c r="O268" s="459">
        <f t="shared" si="34"/>
        <v>27</v>
      </c>
      <c r="P268" s="459">
        <f t="shared" si="35"/>
        <v>17710.0344</v>
      </c>
      <c r="R268" s="480" t="s">
        <v>743</v>
      </c>
    </row>
    <row r="269" spans="1:18">
      <c r="A269" s="454"/>
      <c r="B269" s="454" t="str">
        <v>Window Frames - External</v>
      </c>
      <c r="C269" s="456"/>
      <c r="D269" s="456"/>
      <c r="E269" s="456">
        <f>E268</f>
        <v>2.7</v>
      </c>
      <c r="F269" s="456"/>
      <c r="G269" s="456">
        <f t="shared" si="28"/>
        <v>2.7</v>
      </c>
      <c r="H269" s="456" t="str">
        <v>RM</v>
      </c>
      <c r="I269" s="456" t="str">
        <v>Marble Window Frames with Sill</v>
      </c>
      <c r="J269" s="456">
        <v>60</v>
      </c>
      <c r="K269" s="456">
        <v>399.04239999999999</v>
      </c>
      <c r="L269" s="456">
        <f t="shared" si="29"/>
        <v>1077.4144800000001</v>
      </c>
      <c r="O269" s="459">
        <f t="shared" si="34"/>
        <v>27</v>
      </c>
      <c r="P269" s="459">
        <f t="shared" si="35"/>
        <v>10774.144800000002</v>
      </c>
      <c r="R269" s="480" t="s">
        <v>409</v>
      </c>
    </row>
    <row r="270" spans="1:18">
      <c r="A270" s="454"/>
      <c r="B270" s="454" t="str">
        <v>Others - Counter</v>
      </c>
      <c r="C270" s="456"/>
      <c r="D270" s="456"/>
      <c r="E270" s="456">
        <f>0.6*0.6</f>
        <v>0.36</v>
      </c>
      <c r="F270" s="456"/>
      <c r="G270" s="456">
        <f t="shared" si="28"/>
        <v>0.36</v>
      </c>
      <c r="H270" s="456" t="str">
        <v>Sq M</v>
      </c>
      <c r="I270" s="456" t="str">
        <v>Basin Counter 1'6" - Granite Basin Counter</v>
      </c>
      <c r="J270" s="456">
        <v>180</v>
      </c>
      <c r="K270" s="456">
        <v>6329.6720000000005</v>
      </c>
      <c r="L270" s="456">
        <f t="shared" si="29"/>
        <v>2278.68192</v>
      </c>
      <c r="O270" s="459">
        <f t="shared" si="34"/>
        <v>3.5999999999999996</v>
      </c>
      <c r="P270" s="459">
        <f t="shared" si="35"/>
        <v>22786.819199999998</v>
      </c>
      <c r="R270" s="480" t="s">
        <v>670</v>
      </c>
    </row>
    <row r="271" spans="1:18" s="479" customFormat="1" ht="13.5" customHeight="1">
      <c r="A271" s="475" t="s">
        <v>628</v>
      </c>
      <c r="B271" s="476" t="str">
        <f>'Flat Sizes'!B26</f>
        <v>C. Toilet</v>
      </c>
      <c r="C271" s="477">
        <f>'Flat Sizes'!D26</f>
        <v>2.87</v>
      </c>
      <c r="D271" s="477">
        <f>'Flat Sizes'!G26</f>
        <v>7.05</v>
      </c>
      <c r="E271" s="477"/>
      <c r="F271" s="454"/>
      <c r="G271" s="477"/>
      <c r="H271" s="477"/>
      <c r="I271" s="477"/>
      <c r="J271" s="477"/>
      <c r="K271" s="477"/>
      <c r="L271" s="477"/>
      <c r="M271" s="459"/>
      <c r="N271" s="478"/>
      <c r="O271" s="459"/>
      <c r="P271" s="459"/>
      <c r="Q271" s="478"/>
    </row>
    <row r="272" spans="1:18">
      <c r="A272" s="454"/>
      <c r="B272" s="454" t="str" cm="1">
        <f t="array" ref="B272:B283">'Rate List - Flats'!B76:B87</f>
        <v>Flooring</v>
      </c>
      <c r="C272" s="456"/>
      <c r="D272" s="456"/>
      <c r="E272" s="456">
        <f>C271</f>
        <v>2.87</v>
      </c>
      <c r="F272" s="456"/>
      <c r="G272" s="456">
        <f t="shared" si="28"/>
        <v>2.87</v>
      </c>
      <c r="H272" s="456" t="str" cm="1">
        <f t="array" ref="H272:H283">'Rate List - Flats'!H76:H87</f>
        <v>Sq M</v>
      </c>
      <c r="I272" s="456" t="str" cm="1">
        <f t="array" ref="I272:I283">'Rate List - Flats'!C76:C87</f>
        <v>ceramic tiles/vitrified anti-skid tiles</v>
      </c>
      <c r="J272" s="456" cm="1">
        <f t="array" ref="J272:J283">'Rate List - Flats'!E76:E87</f>
        <v>50</v>
      </c>
      <c r="K272" s="456" cm="1">
        <f t="array" ref="K272:K283">'Rate List - Flats'!G76:G87</f>
        <v>1399.32</v>
      </c>
      <c r="L272" s="456">
        <f t="shared" si="29"/>
        <v>4016.0484000000001</v>
      </c>
      <c r="O272" s="455">
        <f t="shared" ref="O272" si="36">IF(I272="N.A",0,G272*$N$218)</f>
        <v>28.700000000000003</v>
      </c>
      <c r="P272" s="455">
        <f t="shared" ref="P272" si="37">L272*$N$218</f>
        <v>40160.484000000004</v>
      </c>
      <c r="R272" s="480" t="s">
        <v>667</v>
      </c>
    </row>
    <row r="273" spans="1:18">
      <c r="A273" s="454"/>
      <c r="B273" s="454" t="str">
        <v>Skirting</v>
      </c>
      <c r="C273" s="456"/>
      <c r="D273" s="456"/>
      <c r="E273" s="456"/>
      <c r="F273" s="456"/>
      <c r="G273" s="456">
        <f t="shared" si="28"/>
        <v>0</v>
      </c>
      <c r="H273" s="456" t="str">
        <v xml:space="preserve">RM </v>
      </c>
      <c r="I273" s="456" t="str">
        <v>N.A.</v>
      </c>
      <c r="J273" s="456">
        <v>0</v>
      </c>
      <c r="K273" s="456">
        <v>0</v>
      </c>
      <c r="L273" s="456">
        <f t="shared" si="29"/>
        <v>0</v>
      </c>
      <c r="O273" s="455">
        <f t="shared" ref="O273:O283" si="38">IF(I273="N.A",0,G273*$N$218)</f>
        <v>0</v>
      </c>
      <c r="P273" s="455">
        <f t="shared" ref="P273:P283" si="39">L273*$N$218</f>
        <v>0</v>
      </c>
      <c r="R273" s="480"/>
    </row>
    <row r="274" spans="1:18">
      <c r="A274" s="454"/>
      <c r="B274" s="454" t="str">
        <v>Dado</v>
      </c>
      <c r="C274" s="456"/>
      <c r="D274" s="456">
        <f>D1-0.7</f>
        <v>2.4000000000000004</v>
      </c>
      <c r="E274" s="456">
        <f>D271*D274</f>
        <v>16.920000000000002</v>
      </c>
      <c r="F274" s="456">
        <f>-(Doors!H24+Windows!H25)</f>
        <v>-2.0250000000000004</v>
      </c>
      <c r="G274" s="456">
        <f t="shared" si="28"/>
        <v>14.895000000000001</v>
      </c>
      <c r="H274" s="456" t="str">
        <v>Sq M</v>
      </c>
      <c r="I274" s="456" t="str">
        <v>Vitrified tiles</v>
      </c>
      <c r="J274" s="456">
        <v>50</v>
      </c>
      <c r="K274" s="456">
        <v>1480.05</v>
      </c>
      <c r="L274" s="456">
        <f t="shared" si="29"/>
        <v>22045.34475</v>
      </c>
      <c r="O274" s="455">
        <f t="shared" si="38"/>
        <v>148.95000000000002</v>
      </c>
      <c r="P274" s="455">
        <f t="shared" si="39"/>
        <v>220453.44750000001</v>
      </c>
      <c r="R274" s="480" t="s">
        <v>668</v>
      </c>
    </row>
    <row r="275" spans="1:18">
      <c r="A275" s="454"/>
      <c r="B275" s="454" t="str">
        <v>Wall finishes plaster</v>
      </c>
      <c r="C275" s="456"/>
      <c r="D275" s="456">
        <f>D1-D274</f>
        <v>0.69999999999999973</v>
      </c>
      <c r="E275" s="456">
        <f>D271*D275</f>
        <v>4.9349999999999978</v>
      </c>
      <c r="F275" s="456"/>
      <c r="G275" s="456">
        <f t="shared" si="28"/>
        <v>4.9349999999999978</v>
      </c>
      <c r="H275" s="456" t="str">
        <v>Sq M</v>
      </c>
      <c r="I275" s="456" t="str">
        <v>Gypsum Plaster</v>
      </c>
      <c r="J275" s="456">
        <v>32</v>
      </c>
      <c r="K275" s="456">
        <v>344.44799999999998</v>
      </c>
      <c r="L275" s="456">
        <f t="shared" si="29"/>
        <v>1699.8508799999991</v>
      </c>
      <c r="O275" s="455">
        <f t="shared" si="38"/>
        <v>49.34999999999998</v>
      </c>
      <c r="P275" s="455">
        <f t="shared" si="39"/>
        <v>16998.508799999989</v>
      </c>
      <c r="R275" s="480" t="s">
        <v>661</v>
      </c>
    </row>
    <row r="276" spans="1:18">
      <c r="A276" s="454"/>
      <c r="B276" s="454" t="str">
        <v>Ceiling plaster</v>
      </c>
      <c r="C276" s="456"/>
      <c r="D276" s="456"/>
      <c r="E276" s="456">
        <f>E272</f>
        <v>2.87</v>
      </c>
      <c r="F276" s="456"/>
      <c r="G276" s="456">
        <f t="shared" si="28"/>
        <v>2.87</v>
      </c>
      <c r="H276" s="456" t="str">
        <v>Sq M</v>
      </c>
      <c r="I276" s="456" t="str">
        <v>Gypsum Plaster</v>
      </c>
      <c r="J276" s="456">
        <v>32</v>
      </c>
      <c r="K276" s="456">
        <v>344.44799999999998</v>
      </c>
      <c r="L276" s="456">
        <f t="shared" si="29"/>
        <v>988.56575999999995</v>
      </c>
      <c r="O276" s="455">
        <f t="shared" si="38"/>
        <v>28.700000000000003</v>
      </c>
      <c r="P276" s="455">
        <f t="shared" si="39"/>
        <v>9885.6575999999986</v>
      </c>
      <c r="R276" s="480" t="s">
        <v>662</v>
      </c>
    </row>
    <row r="277" spans="1:18">
      <c r="A277" s="454"/>
      <c r="B277" s="454" t="str">
        <v>False ceiling</v>
      </c>
      <c r="C277" s="456"/>
      <c r="D277" s="456"/>
      <c r="E277" s="456"/>
      <c r="F277" s="456"/>
      <c r="G277" s="456">
        <f t="shared" si="28"/>
        <v>0</v>
      </c>
      <c r="H277" s="456" t="str">
        <v>Sq M</v>
      </c>
      <c r="I277" s="456" t="str">
        <v>N.A.</v>
      </c>
      <c r="J277" s="456">
        <v>0</v>
      </c>
      <c r="K277" s="456">
        <v>0</v>
      </c>
      <c r="L277" s="456">
        <f t="shared" si="29"/>
        <v>0</v>
      </c>
      <c r="O277" s="455">
        <f t="shared" si="38"/>
        <v>0</v>
      </c>
      <c r="P277" s="455">
        <f t="shared" si="39"/>
        <v>0</v>
      </c>
      <c r="R277" s="480"/>
    </row>
    <row r="278" spans="1:18">
      <c r="A278" s="454"/>
      <c r="B278" s="454" t="str">
        <v>Wall finishes Paint</v>
      </c>
      <c r="C278" s="456"/>
      <c r="D278" s="456"/>
      <c r="E278" s="456">
        <f>E275</f>
        <v>4.9349999999999978</v>
      </c>
      <c r="F278" s="456"/>
      <c r="G278" s="456">
        <f t="shared" si="28"/>
        <v>4.9349999999999978</v>
      </c>
      <c r="H278" s="456" t="str">
        <v>Sq M</v>
      </c>
      <c r="I278" s="456" t="str">
        <v>Plastic paint</v>
      </c>
      <c r="J278" s="456">
        <v>20</v>
      </c>
      <c r="K278" s="456">
        <v>215.27999999999997</v>
      </c>
      <c r="L278" s="456">
        <f t="shared" si="29"/>
        <v>1062.4067999999993</v>
      </c>
      <c r="O278" s="455">
        <f t="shared" si="38"/>
        <v>49.34999999999998</v>
      </c>
      <c r="P278" s="455">
        <f t="shared" si="39"/>
        <v>10624.067999999992</v>
      </c>
      <c r="R278" s="480" t="s">
        <v>663</v>
      </c>
    </row>
    <row r="279" spans="1:18">
      <c r="A279" s="454"/>
      <c r="B279" s="454" t="str">
        <v>Ceiling Paint</v>
      </c>
      <c r="C279" s="456"/>
      <c r="D279" s="456"/>
      <c r="E279" s="456">
        <f>E272</f>
        <v>2.87</v>
      </c>
      <c r="F279" s="456"/>
      <c r="G279" s="456">
        <f t="shared" si="28"/>
        <v>2.87</v>
      </c>
      <c r="H279" s="456" t="str">
        <v>Sq M</v>
      </c>
      <c r="I279" s="456" t="str">
        <v>Plastic paint</v>
      </c>
      <c r="J279" s="456">
        <v>20</v>
      </c>
      <c r="K279" s="456">
        <v>215.27999999999997</v>
      </c>
      <c r="L279" s="456">
        <f t="shared" si="29"/>
        <v>617.85359999999991</v>
      </c>
      <c r="O279" s="455">
        <f t="shared" si="38"/>
        <v>28.700000000000003</v>
      </c>
      <c r="P279" s="455">
        <f t="shared" si="39"/>
        <v>6178.5359999999991</v>
      </c>
      <c r="R279" s="480" t="s">
        <v>664</v>
      </c>
    </row>
    <row r="280" spans="1:18">
      <c r="A280" s="454"/>
      <c r="B280" s="454" t="str">
        <v>Door Frames</v>
      </c>
      <c r="C280" s="456"/>
      <c r="D280" s="456"/>
      <c r="E280" s="456">
        <f>Doors!F24*4+Doors!G24*4</f>
        <v>11.4</v>
      </c>
      <c r="F280" s="456"/>
      <c r="G280" s="456">
        <f t="shared" si="28"/>
        <v>11.4</v>
      </c>
      <c r="H280" s="456" t="str">
        <v>RM</v>
      </c>
      <c r="I280" s="456" t="str">
        <v>Granite Frames</v>
      </c>
      <c r="J280" s="456">
        <v>180</v>
      </c>
      <c r="K280" s="456">
        <v>655.92719999999997</v>
      </c>
      <c r="L280" s="456">
        <f t="shared" si="29"/>
        <v>7477.5700799999995</v>
      </c>
      <c r="O280" s="455">
        <f t="shared" si="38"/>
        <v>114</v>
      </c>
      <c r="P280" s="455">
        <f t="shared" si="39"/>
        <v>74775.700799999991</v>
      </c>
      <c r="R280" s="480" t="s">
        <v>669</v>
      </c>
    </row>
    <row r="281" spans="1:18">
      <c r="A281" s="454"/>
      <c r="B281" s="454" t="str">
        <v>Window Frames - Internal</v>
      </c>
      <c r="C281" s="456"/>
      <c r="D281" s="456"/>
      <c r="E281" s="456">
        <f>Windows!F25*2+Windows!G25*2</f>
        <v>2.7</v>
      </c>
      <c r="F281" s="456"/>
      <c r="G281" s="456">
        <f t="shared" si="28"/>
        <v>2.7</v>
      </c>
      <c r="H281" s="456" t="str">
        <v>RM</v>
      </c>
      <c r="I281" s="456" t="str">
        <v>Granite Window Frame</v>
      </c>
      <c r="J281" s="456">
        <v>180</v>
      </c>
      <c r="K281" s="456">
        <v>655.92719999999997</v>
      </c>
      <c r="L281" s="456">
        <f t="shared" si="29"/>
        <v>1771.00344</v>
      </c>
      <c r="O281" s="455">
        <f t="shared" si="38"/>
        <v>27</v>
      </c>
      <c r="P281" s="455">
        <f t="shared" si="39"/>
        <v>17710.0344</v>
      </c>
      <c r="R281" s="480" t="s">
        <v>743</v>
      </c>
    </row>
    <row r="282" spans="1:18">
      <c r="A282" s="454"/>
      <c r="B282" s="454" t="str">
        <v>Window Frames - External</v>
      </c>
      <c r="C282" s="456"/>
      <c r="D282" s="456"/>
      <c r="E282" s="456">
        <f>E281</f>
        <v>2.7</v>
      </c>
      <c r="F282" s="456"/>
      <c r="G282" s="456">
        <f t="shared" si="28"/>
        <v>2.7</v>
      </c>
      <c r="H282" s="456" t="str">
        <v>RM</v>
      </c>
      <c r="I282" s="456" t="str">
        <v>Marble Window Frames with Sill</v>
      </c>
      <c r="J282" s="456">
        <v>60</v>
      </c>
      <c r="K282" s="456">
        <v>399.04239999999999</v>
      </c>
      <c r="L282" s="456">
        <f t="shared" si="29"/>
        <v>1077.4144800000001</v>
      </c>
      <c r="O282" s="455">
        <f t="shared" si="38"/>
        <v>27</v>
      </c>
      <c r="P282" s="455">
        <f t="shared" si="39"/>
        <v>10774.144800000002</v>
      </c>
      <c r="R282" s="480" t="s">
        <v>409</v>
      </c>
    </row>
    <row r="283" spans="1:18">
      <c r="A283" s="454"/>
      <c r="B283" s="454" t="str">
        <v>Others - Counter</v>
      </c>
      <c r="C283" s="456"/>
      <c r="D283" s="456"/>
      <c r="E283" s="456">
        <f>E270</f>
        <v>0.36</v>
      </c>
      <c r="F283" s="456"/>
      <c r="G283" s="456">
        <f t="shared" si="28"/>
        <v>0.36</v>
      </c>
      <c r="H283" s="456" t="str">
        <v>Sq M</v>
      </c>
      <c r="I283" s="456" t="str">
        <v>Basin Counter 1'6" - Granite Basin Counter</v>
      </c>
      <c r="J283" s="456">
        <v>180</v>
      </c>
      <c r="K283" s="456">
        <v>6329.6720000000005</v>
      </c>
      <c r="L283" s="456">
        <f t="shared" si="29"/>
        <v>2278.68192</v>
      </c>
      <c r="O283" s="455">
        <f t="shared" si="38"/>
        <v>3.5999999999999996</v>
      </c>
      <c r="P283" s="455">
        <f t="shared" si="39"/>
        <v>22786.819199999998</v>
      </c>
      <c r="R283" s="480" t="s">
        <v>670</v>
      </c>
    </row>
    <row r="284" spans="1:18">
      <c r="A284" s="454"/>
      <c r="B284" s="454"/>
      <c r="C284" s="456"/>
      <c r="D284" s="456"/>
      <c r="E284" s="456"/>
      <c r="F284" s="456"/>
      <c r="G284" s="518">
        <f>SUM(G219:G283)</f>
        <v>569.41200000000015</v>
      </c>
      <c r="H284" s="517"/>
      <c r="I284" s="517"/>
      <c r="J284" s="517"/>
      <c r="K284" s="517"/>
      <c r="L284" s="518">
        <f>SUM(L219:L283)</f>
        <v>277509.10697199998</v>
      </c>
      <c r="M284" s="484"/>
      <c r="N284" s="484"/>
      <c r="O284" s="518">
        <f>SUM(O219:O283)</f>
        <v>5694.1200000000017</v>
      </c>
      <c r="P284" s="518">
        <f>SUM(P219:P283)</f>
        <v>2775091.0697199986</v>
      </c>
    </row>
    <row r="285" spans="1:18">
      <c r="A285" s="488"/>
      <c r="B285" s="487" t="s">
        <v>744</v>
      </c>
      <c r="C285" s="489"/>
      <c r="D285" s="489"/>
      <c r="E285" s="489"/>
      <c r="F285" s="489"/>
      <c r="G285" s="489"/>
      <c r="H285" s="489"/>
      <c r="I285" s="489"/>
      <c r="J285" s="489"/>
      <c r="K285" s="489"/>
      <c r="L285" s="489"/>
    </row>
    <row r="286" spans="1:18">
      <c r="A286" s="488"/>
      <c r="B286" s="488" t="s">
        <v>355</v>
      </c>
      <c r="C286" s="489"/>
      <c r="D286" s="489"/>
      <c r="E286" s="489"/>
      <c r="F286" s="489"/>
      <c r="G286" s="489">
        <f>SUMIF($B$219:$B$283,B286,$G$219:$G$283)</f>
        <v>43.739999999999995</v>
      </c>
      <c r="H286" s="489"/>
      <c r="I286" s="489"/>
      <c r="J286" s="489"/>
      <c r="K286" s="489"/>
      <c r="L286" s="489">
        <f>SUMIF($B$219:$B$283,B286,$L$219:$L$283)</f>
        <v>58938.820199999995</v>
      </c>
      <c r="O286" s="455">
        <f t="shared" ref="O286:O298" si="40">IF(I286="N.A",0,G286*$N$218)</f>
        <v>437.4</v>
      </c>
      <c r="P286" s="455">
        <f t="shared" ref="P286:P298" si="41">L286*$N$218</f>
        <v>589388.20199999993</v>
      </c>
    </row>
    <row r="287" spans="1:18">
      <c r="A287" s="488"/>
      <c r="B287" s="488" t="s">
        <v>695</v>
      </c>
      <c r="C287" s="489"/>
      <c r="D287" s="489"/>
      <c r="E287" s="489"/>
      <c r="F287" s="489"/>
      <c r="G287" s="489">
        <f t="shared" ref="G287:G298" si="42">SUMIF($B$219:$B$283,B287,$G$219:$G$283)</f>
        <v>46.47</v>
      </c>
      <c r="H287" s="489"/>
      <c r="I287" s="489"/>
      <c r="J287" s="489"/>
      <c r="K287" s="489"/>
      <c r="L287" s="489">
        <f t="shared" ref="L287:L298" si="43">SUMIF($B$219:$B$283,B287,$L$219:$L$283)</f>
        <v>18214.3812</v>
      </c>
      <c r="O287" s="455">
        <f t="shared" si="40"/>
        <v>464.7</v>
      </c>
      <c r="P287" s="455">
        <f t="shared" si="41"/>
        <v>182143.81200000001</v>
      </c>
    </row>
    <row r="288" spans="1:18">
      <c r="A288" s="488"/>
      <c r="B288" s="488" t="s">
        <v>698</v>
      </c>
      <c r="C288" s="489"/>
      <c r="D288" s="489"/>
      <c r="E288" s="489"/>
      <c r="F288" s="489"/>
      <c r="G288" s="489">
        <f t="shared" si="42"/>
        <v>29.070000000000004</v>
      </c>
      <c r="H288" s="489"/>
      <c r="I288" s="489"/>
      <c r="J288" s="489"/>
      <c r="K288" s="489"/>
      <c r="L288" s="489">
        <f t="shared" si="43"/>
        <v>43025.053500000002</v>
      </c>
      <c r="O288" s="455">
        <f t="shared" si="40"/>
        <v>290.70000000000005</v>
      </c>
      <c r="P288" s="455">
        <f t="shared" si="41"/>
        <v>430250.53500000003</v>
      </c>
    </row>
    <row r="289" spans="1:16">
      <c r="A289" s="488"/>
      <c r="B289" s="488" t="s">
        <v>700</v>
      </c>
      <c r="C289" s="489"/>
      <c r="D289" s="489"/>
      <c r="E289" s="489"/>
      <c r="F289" s="489"/>
      <c r="G289" s="489">
        <f t="shared" si="42"/>
        <v>133.63850000000002</v>
      </c>
      <c r="H289" s="489"/>
      <c r="I289" s="489"/>
      <c r="J289" s="489"/>
      <c r="K289" s="489"/>
      <c r="L289" s="489">
        <f t="shared" si="43"/>
        <v>46031.514047999997</v>
      </c>
      <c r="O289" s="455">
        <f t="shared" si="40"/>
        <v>1336.3850000000002</v>
      </c>
      <c r="P289" s="455">
        <f t="shared" si="41"/>
        <v>460315.14047999994</v>
      </c>
    </row>
    <row r="290" spans="1:16">
      <c r="A290" s="488"/>
      <c r="B290" s="488" t="s">
        <v>702</v>
      </c>
      <c r="C290" s="489"/>
      <c r="D290" s="489"/>
      <c r="E290" s="489"/>
      <c r="F290" s="489"/>
      <c r="G290" s="489">
        <f t="shared" si="42"/>
        <v>43.739999999999995</v>
      </c>
      <c r="H290" s="489"/>
      <c r="I290" s="489"/>
      <c r="J290" s="489"/>
      <c r="K290" s="489"/>
      <c r="L290" s="489">
        <f t="shared" si="43"/>
        <v>15066.15552</v>
      </c>
      <c r="O290" s="455">
        <f t="shared" si="40"/>
        <v>437.4</v>
      </c>
      <c r="P290" s="455">
        <f t="shared" si="41"/>
        <v>150661.5552</v>
      </c>
    </row>
    <row r="291" spans="1:16">
      <c r="A291" s="488"/>
      <c r="B291" s="488" t="s">
        <v>703</v>
      </c>
      <c r="C291" s="489"/>
      <c r="D291" s="489"/>
      <c r="E291" s="489"/>
      <c r="F291" s="489"/>
      <c r="G291" s="489">
        <f t="shared" si="42"/>
        <v>0</v>
      </c>
      <c r="H291" s="489"/>
      <c r="I291" s="489"/>
      <c r="J291" s="489"/>
      <c r="K291" s="489"/>
      <c r="L291" s="489">
        <f t="shared" si="43"/>
        <v>0</v>
      </c>
      <c r="O291" s="455">
        <f t="shared" si="40"/>
        <v>0</v>
      </c>
      <c r="P291" s="455">
        <f t="shared" si="41"/>
        <v>0</v>
      </c>
    </row>
    <row r="292" spans="1:16">
      <c r="A292" s="488"/>
      <c r="B292" s="488" t="s">
        <v>704</v>
      </c>
      <c r="C292" s="489"/>
      <c r="D292" s="489"/>
      <c r="E292" s="489"/>
      <c r="F292" s="489"/>
      <c r="G292" s="489">
        <f t="shared" si="42"/>
        <v>131.61350000000002</v>
      </c>
      <c r="H292" s="489"/>
      <c r="I292" s="489"/>
      <c r="J292" s="489"/>
      <c r="K292" s="489"/>
      <c r="L292" s="489">
        <f t="shared" si="43"/>
        <v>28333.754279999997</v>
      </c>
      <c r="O292" s="455">
        <f t="shared" si="40"/>
        <v>1316.1350000000002</v>
      </c>
      <c r="P292" s="455">
        <f t="shared" si="41"/>
        <v>283337.5428</v>
      </c>
    </row>
    <row r="293" spans="1:16">
      <c r="A293" s="488"/>
      <c r="B293" s="488" t="s">
        <v>706</v>
      </c>
      <c r="C293" s="489"/>
      <c r="D293" s="489"/>
      <c r="E293" s="489"/>
      <c r="F293" s="489"/>
      <c r="G293" s="489">
        <f t="shared" si="42"/>
        <v>43.739999999999995</v>
      </c>
      <c r="H293" s="489"/>
      <c r="I293" s="489"/>
      <c r="J293" s="489"/>
      <c r="K293" s="489"/>
      <c r="L293" s="489">
        <f t="shared" si="43"/>
        <v>9416.3471999999983</v>
      </c>
      <c r="O293" s="455">
        <f t="shared" si="40"/>
        <v>437.4</v>
      </c>
      <c r="P293" s="455">
        <f t="shared" si="41"/>
        <v>94163.47199999998</v>
      </c>
    </row>
    <row r="294" spans="1:16">
      <c r="A294" s="488"/>
      <c r="B294" s="488" t="s">
        <v>713</v>
      </c>
      <c r="C294" s="489"/>
      <c r="D294" s="489"/>
      <c r="E294" s="489"/>
      <c r="F294" s="489"/>
      <c r="G294" s="489">
        <f t="shared" si="42"/>
        <v>22.8</v>
      </c>
      <c r="H294" s="489"/>
      <c r="I294" s="489"/>
      <c r="J294" s="489"/>
      <c r="K294" s="489"/>
      <c r="L294" s="489">
        <f t="shared" si="43"/>
        <v>14955.140159999999</v>
      </c>
      <c r="O294" s="455">
        <f t="shared" si="40"/>
        <v>228</v>
      </c>
      <c r="P294" s="455">
        <f t="shared" si="41"/>
        <v>149551.40159999998</v>
      </c>
    </row>
    <row r="295" spans="1:16">
      <c r="A295" s="488"/>
      <c r="B295" s="488" t="s">
        <v>715</v>
      </c>
      <c r="C295" s="489"/>
      <c r="D295" s="489"/>
      <c r="E295" s="489"/>
      <c r="F295" s="489"/>
      <c r="G295" s="489">
        <f t="shared" si="42"/>
        <v>36.940000000000005</v>
      </c>
      <c r="H295" s="489"/>
      <c r="I295" s="489"/>
      <c r="J295" s="489"/>
      <c r="K295" s="489"/>
      <c r="L295" s="489">
        <f t="shared" si="43"/>
        <v>24229.950767999999</v>
      </c>
      <c r="O295" s="455">
        <f t="shared" si="40"/>
        <v>369.40000000000003</v>
      </c>
      <c r="P295" s="455">
        <f t="shared" si="41"/>
        <v>242299.50767999998</v>
      </c>
    </row>
    <row r="296" spans="1:16">
      <c r="A296" s="488"/>
      <c r="B296" s="488" t="s">
        <v>716</v>
      </c>
      <c r="C296" s="489"/>
      <c r="D296" s="489"/>
      <c r="E296" s="489"/>
      <c r="F296" s="489"/>
      <c r="G296" s="489">
        <f t="shared" si="42"/>
        <v>36.940000000000005</v>
      </c>
      <c r="H296" s="489"/>
      <c r="I296" s="489"/>
      <c r="J296" s="489"/>
      <c r="K296" s="489"/>
      <c r="L296" s="489">
        <f t="shared" si="43"/>
        <v>14740.626255999996</v>
      </c>
      <c r="O296" s="455">
        <f t="shared" si="40"/>
        <v>369.40000000000003</v>
      </c>
      <c r="P296" s="455">
        <f t="shared" si="41"/>
        <v>147406.26255999994</v>
      </c>
    </row>
    <row r="297" spans="1:16">
      <c r="A297" s="488"/>
      <c r="B297" s="488" t="s">
        <v>707</v>
      </c>
      <c r="C297" s="489"/>
      <c r="D297" s="489"/>
      <c r="E297" s="489"/>
      <c r="F297" s="489"/>
      <c r="G297" s="489">
        <f t="shared" si="42"/>
        <v>0</v>
      </c>
      <c r="H297" s="489"/>
      <c r="I297" s="489"/>
      <c r="J297" s="489"/>
      <c r="K297" s="489"/>
      <c r="L297" s="489">
        <f t="shared" si="43"/>
        <v>0</v>
      </c>
      <c r="O297" s="455">
        <f t="shared" si="40"/>
        <v>0</v>
      </c>
      <c r="P297" s="455">
        <f t="shared" si="41"/>
        <v>0</v>
      </c>
    </row>
    <row r="298" spans="1:16">
      <c r="A298" s="488"/>
      <c r="B298" s="488" t="s">
        <v>718</v>
      </c>
      <c r="C298" s="489"/>
      <c r="D298" s="489"/>
      <c r="E298" s="489"/>
      <c r="F298" s="489"/>
      <c r="G298" s="498">
        <f t="shared" si="42"/>
        <v>0.72</v>
      </c>
      <c r="H298" s="489"/>
      <c r="I298" s="489"/>
      <c r="J298" s="489"/>
      <c r="K298" s="489"/>
      <c r="L298" s="498">
        <f t="shared" si="43"/>
        <v>4557.36384</v>
      </c>
      <c r="O298" s="455">
        <f t="shared" si="40"/>
        <v>7.1999999999999993</v>
      </c>
      <c r="P298" s="455">
        <f t="shared" si="41"/>
        <v>45573.638399999996</v>
      </c>
    </row>
    <row r="299" spans="1:16" ht="13.8" thickBot="1">
      <c r="A299" s="488"/>
      <c r="B299" s="488"/>
      <c r="C299" s="489"/>
      <c r="D299" s="489"/>
      <c r="E299" s="489"/>
      <c r="F299" s="489"/>
      <c r="G299" s="500">
        <f>SUM(G286:G298)</f>
        <v>569.41200000000015</v>
      </c>
      <c r="H299" s="489"/>
      <c r="I299" s="489"/>
      <c r="J299" s="489"/>
      <c r="K299" s="518" t="s">
        <v>232</v>
      </c>
      <c r="L299" s="500">
        <f>SUM(L286:L298)</f>
        <v>277509.10697199998</v>
      </c>
      <c r="O299" s="502">
        <f>SUM(O286:O298)</f>
        <v>5694.12</v>
      </c>
      <c r="P299" s="519">
        <f>SUM(P286:P298)</f>
        <v>2775091.0697199996</v>
      </c>
    </row>
    <row r="300" spans="1:16">
      <c r="A300" s="488"/>
      <c r="B300" s="488" t="s">
        <v>386</v>
      </c>
      <c r="C300" s="489"/>
      <c r="D300" s="489"/>
      <c r="E300" s="489"/>
      <c r="F300" s="489"/>
      <c r="G300" s="501">
        <f>Doors!E25</f>
        <v>5</v>
      </c>
      <c r="H300" s="489"/>
      <c r="I300" s="489"/>
      <c r="J300" s="489"/>
      <c r="K300" s="489"/>
      <c r="L300" s="501">
        <f>Doors!J25</f>
        <v>94000</v>
      </c>
    </row>
    <row r="301" spans="1:16">
      <c r="A301" s="488"/>
      <c r="B301" s="488" t="s">
        <v>391</v>
      </c>
      <c r="C301" s="489"/>
      <c r="D301" s="489"/>
      <c r="E301" s="489"/>
      <c r="F301" s="489"/>
      <c r="G301" s="489">
        <f>Windows!H26</f>
        <v>20.937999999999995</v>
      </c>
      <c r="H301" s="489"/>
      <c r="I301" s="489"/>
      <c r="J301" s="489"/>
      <c r="K301" s="489"/>
      <c r="L301" s="498">
        <f>Windows!N26</f>
        <v>123957.14759999997</v>
      </c>
    </row>
    <row r="302" spans="1:16" ht="13.8" thickBot="1">
      <c r="A302" s="488"/>
      <c r="B302" s="488"/>
      <c r="C302" s="489"/>
      <c r="D302" s="489"/>
      <c r="E302" s="489"/>
      <c r="F302" s="489"/>
      <c r="G302" s="489"/>
      <c r="H302" s="489"/>
      <c r="I302" s="489"/>
      <c r="J302" s="489"/>
      <c r="K302" s="518" t="s">
        <v>232</v>
      </c>
      <c r="L302" s="500">
        <f>SUM(L300:L301)</f>
        <v>217957.14759999997</v>
      </c>
    </row>
    <row r="303" spans="1:16">
      <c r="A303" s="488"/>
      <c r="B303" s="488"/>
      <c r="C303" s="489"/>
      <c r="D303" s="489"/>
      <c r="E303" s="489"/>
      <c r="F303" s="489"/>
      <c r="G303" s="489"/>
      <c r="H303" s="489"/>
      <c r="I303" s="489"/>
      <c r="J303" s="489"/>
      <c r="K303" s="518"/>
      <c r="L303" s="520"/>
    </row>
    <row r="304" spans="1:16" ht="13.8" thickBot="1">
      <c r="A304" s="488"/>
      <c r="B304" s="488"/>
      <c r="C304" s="489"/>
      <c r="D304" s="489"/>
      <c r="E304" s="489"/>
      <c r="F304" s="489"/>
      <c r="G304" s="489"/>
      <c r="H304" s="489"/>
      <c r="I304" s="489"/>
      <c r="J304" s="489"/>
      <c r="K304" s="518" t="s">
        <v>745</v>
      </c>
      <c r="L304" s="500">
        <f>L299+L302</f>
        <v>495466.25457199995</v>
      </c>
    </row>
    <row r="305" spans="1:22" s="474" customFormat="1" ht="13.5" customHeight="1">
      <c r="A305" s="465" t="s">
        <v>628</v>
      </c>
      <c r="B305" s="466" t="str">
        <f>'Flat Sizes'!B28</f>
        <v>Flat 2B,
2BHK</v>
      </c>
      <c r="C305" s="456"/>
      <c r="D305" s="456"/>
      <c r="E305" s="456"/>
      <c r="F305" s="456"/>
      <c r="G305" s="456"/>
      <c r="H305" s="456"/>
      <c r="I305" s="456"/>
      <c r="J305" s="456"/>
      <c r="K305" s="456"/>
      <c r="L305" s="456"/>
      <c r="M305" s="471"/>
      <c r="N305" s="472">
        <f>'Flat Sizes'!H28</f>
        <v>18</v>
      </c>
      <c r="O305" s="459"/>
      <c r="P305" s="459"/>
      <c r="Q305" s="473"/>
      <c r="S305" s="473"/>
      <c r="T305" s="473"/>
      <c r="U305" s="473"/>
      <c r="V305" s="473"/>
    </row>
    <row r="306" spans="1:22" s="479" customFormat="1" ht="13.5" customHeight="1">
      <c r="A306" s="475" t="s">
        <v>628</v>
      </c>
      <c r="B306" s="476" t="str">
        <f>'Flat Sizes'!B29</f>
        <v>Living, Dining &amp; Passage</v>
      </c>
      <c r="C306" s="477">
        <f>'Flat Sizes'!D29</f>
        <v>25.4</v>
      </c>
      <c r="D306" s="477">
        <f>'Flat Sizes'!G29</f>
        <v>22.55</v>
      </c>
      <c r="E306" s="477"/>
      <c r="F306" s="454"/>
      <c r="G306" s="477"/>
      <c r="H306" s="477"/>
      <c r="I306" s="477"/>
      <c r="J306" s="477"/>
      <c r="K306" s="477"/>
      <c r="L306" s="477"/>
      <c r="M306" s="459">
        <f>SUM(L307:L318)/C306/10.764</f>
        <v>349.52857454273067</v>
      </c>
      <c r="N306" s="478"/>
      <c r="O306" s="455">
        <f>IF(I306="N.A",0,G306*$N$305)</f>
        <v>0</v>
      </c>
      <c r="P306" s="455">
        <f>L306*$N$305</f>
        <v>0</v>
      </c>
      <c r="Q306" s="478"/>
    </row>
    <row r="307" spans="1:22">
      <c r="A307" s="454"/>
      <c r="B307" s="454" t="str" cm="1">
        <f t="array" ref="B307:B318">'Rate List - Flats'!B6:B17</f>
        <v>Flooring</v>
      </c>
      <c r="C307" s="456"/>
      <c r="D307" s="456"/>
      <c r="E307" s="456">
        <f>C306</f>
        <v>25.4</v>
      </c>
      <c r="F307" s="456"/>
      <c r="G307" s="456">
        <f t="shared" ref="G307:G372" si="44">E307+F307</f>
        <v>25.4</v>
      </c>
      <c r="H307" s="456" t="str" cm="1">
        <f t="array" ref="H307:H318">'Rate List - Flats'!H6:H17</f>
        <v>Sq M</v>
      </c>
      <c r="I307" s="456" t="str" cm="1">
        <f t="array" ref="I307:I318">'Rate List - Flats'!C6:C17</f>
        <v>2'x2' Vitrified tiles</v>
      </c>
      <c r="J307" s="456" cm="1">
        <f t="array" ref="J307:J318">'Rate List - Flats'!E6:E17</f>
        <v>45</v>
      </c>
      <c r="K307" s="456" cm="1">
        <f t="array" ref="K307:K318">'Rate List - Flats'!G6:G17</f>
        <v>1340.1179999999999</v>
      </c>
      <c r="L307" s="456">
        <f t="shared" ref="L307:L372" si="45">G307*K307</f>
        <v>34038.997199999998</v>
      </c>
      <c r="O307" s="455">
        <f t="shared" ref="O307:O318" si="46">IF(I307="N.A",0,G307*$N$305)</f>
        <v>457.2</v>
      </c>
      <c r="P307" s="455">
        <f t="shared" ref="P307:P318" si="47">L307*$N$305</f>
        <v>612701.94959999993</v>
      </c>
      <c r="R307" s="480" t="s">
        <v>659</v>
      </c>
    </row>
    <row r="308" spans="1:22">
      <c r="A308" s="454"/>
      <c r="B308" s="454" t="str">
        <v>Skirting</v>
      </c>
      <c r="C308" s="456"/>
      <c r="D308" s="456"/>
      <c r="E308" s="456">
        <f>D306</f>
        <v>22.55</v>
      </c>
      <c r="F308" s="456">
        <f>-(Doors!F27+Doors!F28+Doors!F30+Doors!F32)</f>
        <v>-3.9</v>
      </c>
      <c r="G308" s="456">
        <f t="shared" si="44"/>
        <v>18.650000000000002</v>
      </c>
      <c r="H308" s="456" t="str">
        <v>RM</v>
      </c>
      <c r="I308" s="456" t="str">
        <v xml:space="preserve">2'x2' Vitrified tiles </v>
      </c>
      <c r="J308" s="456">
        <v>45</v>
      </c>
      <c r="K308" s="456">
        <v>391.96</v>
      </c>
      <c r="L308" s="456">
        <f t="shared" si="45"/>
        <v>7310.0540000000001</v>
      </c>
      <c r="O308" s="455">
        <f t="shared" si="46"/>
        <v>335.70000000000005</v>
      </c>
      <c r="P308" s="455">
        <f t="shared" si="47"/>
        <v>131580.97200000001</v>
      </c>
      <c r="R308" s="480" t="s">
        <v>660</v>
      </c>
    </row>
    <row r="309" spans="1:22">
      <c r="A309" s="454"/>
      <c r="B309" s="454" t="str">
        <v>Dado</v>
      </c>
      <c r="C309" s="456"/>
      <c r="D309" s="456"/>
      <c r="E309" s="456"/>
      <c r="F309" s="456"/>
      <c r="G309" s="456">
        <f t="shared" si="44"/>
        <v>0</v>
      </c>
      <c r="H309" s="456" t="str">
        <v>Sq M</v>
      </c>
      <c r="I309" s="456" t="str">
        <v>N.A.</v>
      </c>
      <c r="J309" s="456">
        <v>0</v>
      </c>
      <c r="K309" s="456">
        <v>0</v>
      </c>
      <c r="L309" s="456">
        <f t="shared" si="45"/>
        <v>0</v>
      </c>
      <c r="O309" s="455">
        <f t="shared" si="46"/>
        <v>0</v>
      </c>
      <c r="P309" s="455">
        <f t="shared" si="47"/>
        <v>0</v>
      </c>
      <c r="R309" s="480"/>
    </row>
    <row r="310" spans="1:22">
      <c r="A310" s="454"/>
      <c r="B310" s="454" t="str">
        <v>Wall finishes plaster</v>
      </c>
      <c r="C310" s="456"/>
      <c r="D310" s="456"/>
      <c r="E310" s="456">
        <f>D306*(D1-0.15)</f>
        <v>66.522500000000008</v>
      </c>
      <c r="F310" s="456">
        <f>-(Doors!H27+Doors!H28+Doors!H30+Doors!H32+Windows!H28)</f>
        <v>-14.855</v>
      </c>
      <c r="G310" s="456">
        <f t="shared" si="44"/>
        <v>51.667500000000004</v>
      </c>
      <c r="H310" s="456" t="str">
        <v>Sq M</v>
      </c>
      <c r="I310" s="456" t="str">
        <v>Gypsum Plaster</v>
      </c>
      <c r="J310" s="456">
        <v>32</v>
      </c>
      <c r="K310" s="456">
        <v>344.44799999999998</v>
      </c>
      <c r="L310" s="456">
        <f t="shared" si="45"/>
        <v>17796.767039999999</v>
      </c>
      <c r="O310" s="455">
        <f t="shared" si="46"/>
        <v>930.0150000000001</v>
      </c>
      <c r="P310" s="455">
        <f t="shared" si="47"/>
        <v>320341.80671999999</v>
      </c>
      <c r="R310" s="480" t="s">
        <v>661</v>
      </c>
    </row>
    <row r="311" spans="1:22">
      <c r="A311" s="454"/>
      <c r="B311" s="454" t="str">
        <v>Ceiling plaster</v>
      </c>
      <c r="C311" s="456"/>
      <c r="D311" s="456"/>
      <c r="E311" s="456">
        <f>E307</f>
        <v>25.4</v>
      </c>
      <c r="F311" s="456"/>
      <c r="G311" s="456">
        <f t="shared" si="44"/>
        <v>25.4</v>
      </c>
      <c r="H311" s="456" t="str">
        <v>Sq M</v>
      </c>
      <c r="I311" s="456" t="str">
        <v>Gypsum Plaster</v>
      </c>
      <c r="J311" s="456">
        <v>32</v>
      </c>
      <c r="K311" s="456">
        <v>344.44799999999998</v>
      </c>
      <c r="L311" s="456">
        <f t="shared" si="45"/>
        <v>8748.9791999999998</v>
      </c>
      <c r="O311" s="455">
        <f t="shared" si="46"/>
        <v>457.2</v>
      </c>
      <c r="P311" s="455">
        <f t="shared" si="47"/>
        <v>157481.6256</v>
      </c>
      <c r="R311" s="480" t="s">
        <v>662</v>
      </c>
    </row>
    <row r="312" spans="1:22">
      <c r="A312" s="454"/>
      <c r="B312" s="454" t="str">
        <v>False ceiling</v>
      </c>
      <c r="C312" s="456"/>
      <c r="D312" s="456"/>
      <c r="E312" s="456"/>
      <c r="F312" s="456"/>
      <c r="G312" s="456">
        <f t="shared" si="44"/>
        <v>0</v>
      </c>
      <c r="H312" s="456" t="str">
        <v>Sq M</v>
      </c>
      <c r="I312" s="456" t="str">
        <v>N.A.</v>
      </c>
      <c r="J312" s="456">
        <v>0</v>
      </c>
      <c r="K312" s="456">
        <v>0</v>
      </c>
      <c r="L312" s="456">
        <f t="shared" si="45"/>
        <v>0</v>
      </c>
      <c r="O312" s="455">
        <f t="shared" si="46"/>
        <v>0</v>
      </c>
      <c r="P312" s="455">
        <f t="shared" si="47"/>
        <v>0</v>
      </c>
      <c r="R312" s="480"/>
    </row>
    <row r="313" spans="1:22">
      <c r="A313" s="454"/>
      <c r="B313" s="454" t="str">
        <v>Wall finishes Paint</v>
      </c>
      <c r="C313" s="456"/>
      <c r="D313" s="456"/>
      <c r="E313" s="456">
        <f>E310</f>
        <v>66.522500000000008</v>
      </c>
      <c r="F313" s="456">
        <f>F310</f>
        <v>-14.855</v>
      </c>
      <c r="G313" s="456">
        <f t="shared" si="44"/>
        <v>51.667500000000004</v>
      </c>
      <c r="H313" s="456" t="str">
        <v>Sq M</v>
      </c>
      <c r="I313" s="456" t="str">
        <v>Plastic paint</v>
      </c>
      <c r="J313" s="456">
        <v>20</v>
      </c>
      <c r="K313" s="456">
        <v>215.27999999999997</v>
      </c>
      <c r="L313" s="456">
        <f t="shared" si="45"/>
        <v>11122.9794</v>
      </c>
      <c r="O313" s="455">
        <f t="shared" si="46"/>
        <v>930.0150000000001</v>
      </c>
      <c r="P313" s="455">
        <f t="shared" si="47"/>
        <v>200213.6292</v>
      </c>
      <c r="R313" s="480" t="s">
        <v>663</v>
      </c>
    </row>
    <row r="314" spans="1:22">
      <c r="A314" s="454"/>
      <c r="B314" s="454" t="str">
        <v>Ceiling Paint</v>
      </c>
      <c r="C314" s="456"/>
      <c r="D314" s="456"/>
      <c r="E314" s="456">
        <f>E311</f>
        <v>25.4</v>
      </c>
      <c r="F314" s="456"/>
      <c r="G314" s="456">
        <f t="shared" si="44"/>
        <v>25.4</v>
      </c>
      <c r="H314" s="456" t="str">
        <v>Sq M</v>
      </c>
      <c r="I314" s="456" t="str">
        <v>Plastic paint</v>
      </c>
      <c r="J314" s="456">
        <v>20</v>
      </c>
      <c r="K314" s="456">
        <v>215.27999999999997</v>
      </c>
      <c r="L314" s="456">
        <f t="shared" si="45"/>
        <v>5468.1119999999992</v>
      </c>
      <c r="O314" s="455">
        <f t="shared" si="46"/>
        <v>457.2</v>
      </c>
      <c r="P314" s="455">
        <f t="shared" si="47"/>
        <v>98426.015999999989</v>
      </c>
      <c r="R314" s="480" t="s">
        <v>664</v>
      </c>
    </row>
    <row r="315" spans="1:22">
      <c r="A315" s="454"/>
      <c r="B315" s="454" t="str">
        <v>Door Frames</v>
      </c>
      <c r="C315" s="456"/>
      <c r="D315" s="456"/>
      <c r="E315" s="456"/>
      <c r="F315" s="456"/>
      <c r="G315" s="456">
        <f t="shared" si="44"/>
        <v>0</v>
      </c>
      <c r="H315" s="456" t="str">
        <v>RM</v>
      </c>
      <c r="I315" s="456" t="str">
        <v>N.A.</v>
      </c>
      <c r="J315" s="456">
        <v>0</v>
      </c>
      <c r="K315" s="456">
        <v>0</v>
      </c>
      <c r="L315" s="456">
        <f t="shared" si="45"/>
        <v>0</v>
      </c>
      <c r="O315" s="455">
        <f t="shared" si="46"/>
        <v>0</v>
      </c>
      <c r="P315" s="455">
        <f t="shared" si="47"/>
        <v>0</v>
      </c>
      <c r="R315" s="480" t="s">
        <v>742</v>
      </c>
    </row>
    <row r="316" spans="1:22">
      <c r="A316" s="454"/>
      <c r="B316" s="454" t="str">
        <v>Window Frames - Internal</v>
      </c>
      <c r="C316" s="456"/>
      <c r="D316" s="456"/>
      <c r="E316" s="456">
        <f>Windows!F28*2+Windows!G28*2</f>
        <v>10.5</v>
      </c>
      <c r="F316" s="456"/>
      <c r="G316" s="456">
        <f t="shared" si="44"/>
        <v>10.5</v>
      </c>
      <c r="H316" s="456" t="str">
        <v>RM</v>
      </c>
      <c r="I316" s="456" t="str">
        <v>Granite Window Frame</v>
      </c>
      <c r="J316" s="456">
        <v>180</v>
      </c>
      <c r="K316" s="456">
        <v>655.92719999999997</v>
      </c>
      <c r="L316" s="456">
        <f t="shared" si="45"/>
        <v>6887.2356</v>
      </c>
      <c r="O316" s="455">
        <f t="shared" si="46"/>
        <v>189</v>
      </c>
      <c r="P316" s="455">
        <f t="shared" si="47"/>
        <v>123970.2408</v>
      </c>
      <c r="R316" s="480" t="s">
        <v>743</v>
      </c>
    </row>
    <row r="317" spans="1:22">
      <c r="A317" s="454"/>
      <c r="B317" s="454" t="str">
        <v>Window Frames - External</v>
      </c>
      <c r="C317" s="456"/>
      <c r="D317" s="456"/>
      <c r="E317" s="456">
        <f>E316</f>
        <v>10.5</v>
      </c>
      <c r="F317" s="456"/>
      <c r="G317" s="456">
        <f t="shared" si="44"/>
        <v>10.5</v>
      </c>
      <c r="H317" s="456" t="str">
        <v>RM</v>
      </c>
      <c r="I317" s="456" t="str">
        <v>Marble Window Frames with Sill</v>
      </c>
      <c r="J317" s="456">
        <v>60</v>
      </c>
      <c r="K317" s="456">
        <v>399.04239999999999</v>
      </c>
      <c r="L317" s="456">
        <f t="shared" si="45"/>
        <v>4189.9452000000001</v>
      </c>
      <c r="O317" s="455">
        <f t="shared" si="46"/>
        <v>189</v>
      </c>
      <c r="P317" s="455">
        <f t="shared" si="47"/>
        <v>75419.013600000006</v>
      </c>
      <c r="R317" s="480" t="s">
        <v>409</v>
      </c>
    </row>
    <row r="318" spans="1:22">
      <c r="A318" s="454"/>
      <c r="B318" s="454" t="str">
        <v>Others</v>
      </c>
      <c r="C318" s="456"/>
      <c r="D318" s="456"/>
      <c r="E318" s="456"/>
      <c r="F318" s="456"/>
      <c r="G318" s="456">
        <f t="shared" si="44"/>
        <v>0</v>
      </c>
      <c r="H318" s="456" t="str">
        <v>-</v>
      </c>
      <c r="I318" s="456" t="str">
        <v>N.A.</v>
      </c>
      <c r="J318" s="457" t="str">
        <v>-</v>
      </c>
      <c r="K318" s="457" t="str">
        <v>-</v>
      </c>
      <c r="L318" s="456"/>
      <c r="O318" s="455">
        <f t="shared" si="46"/>
        <v>0</v>
      </c>
      <c r="P318" s="455">
        <f t="shared" si="47"/>
        <v>0</v>
      </c>
    </row>
    <row r="319" spans="1:22" s="479" customFormat="1" ht="13.5" customHeight="1">
      <c r="A319" s="475" t="s">
        <v>628</v>
      </c>
      <c r="B319" s="476" t="str">
        <f>'Flat Sizes'!B30</f>
        <v>M. Bedroom</v>
      </c>
      <c r="C319" s="477">
        <f>'Flat Sizes'!D30</f>
        <v>15.45</v>
      </c>
      <c r="D319" s="477">
        <f>'Flat Sizes'!G30</f>
        <v>19.329999999999998</v>
      </c>
      <c r="E319" s="477"/>
      <c r="F319" s="454"/>
      <c r="G319" s="477"/>
      <c r="H319" s="477"/>
      <c r="I319" s="477"/>
      <c r="J319" s="477"/>
      <c r="K319" s="477"/>
      <c r="L319" s="477"/>
      <c r="M319" s="459">
        <f>SUM(L320:L331)/C319/10.764</f>
        <v>442.33464940668813</v>
      </c>
      <c r="N319" s="478"/>
      <c r="O319" s="455"/>
      <c r="P319" s="455"/>
      <c r="Q319" s="478"/>
    </row>
    <row r="320" spans="1:22">
      <c r="A320" s="454"/>
      <c r="B320" s="454" t="str" cm="1">
        <f t="array" ref="B320:B331">'Rate List - Flats'!B34:B45</f>
        <v>Flooring</v>
      </c>
      <c r="C320" s="456"/>
      <c r="D320" s="456"/>
      <c r="E320" s="456">
        <f>C319</f>
        <v>15.45</v>
      </c>
      <c r="F320" s="456"/>
      <c r="G320" s="456">
        <f t="shared" si="44"/>
        <v>15.45</v>
      </c>
      <c r="H320" s="456" t="str" cm="1">
        <f t="array" ref="H320:H331">'Rate List - Flats'!H34:H45</f>
        <v>Sq M</v>
      </c>
      <c r="I320" s="456" t="str" cm="1">
        <f t="array" ref="I320:I331">'Rate List - Flats'!C34:C45</f>
        <v>2'x2' Vitrified tiles</v>
      </c>
      <c r="J320" s="456" cm="1">
        <f t="array" ref="J320:J331">'Rate List - Flats'!E34:E45</f>
        <v>45</v>
      </c>
      <c r="K320" s="456" cm="1">
        <f t="array" ref="K320:K331">'Rate List - Flats'!G34:G45</f>
        <v>1340.1179999999999</v>
      </c>
      <c r="L320" s="456">
        <f t="shared" si="45"/>
        <v>20704.823099999998</v>
      </c>
      <c r="O320" s="455">
        <f t="shared" ref="O320:O331" si="48">IF(I320="N.A",0,G320*$N$305)</f>
        <v>278.09999999999997</v>
      </c>
      <c r="P320" s="455">
        <f t="shared" ref="P320:P331" si="49">L320*$N$305</f>
        <v>372686.81579999998</v>
      </c>
      <c r="R320" s="480" t="s">
        <v>659</v>
      </c>
    </row>
    <row r="321" spans="1:18">
      <c r="A321" s="454"/>
      <c r="B321" s="454" t="str">
        <v>Skirting</v>
      </c>
      <c r="C321" s="456"/>
      <c r="D321" s="456"/>
      <c r="E321" s="456">
        <f>D319</f>
        <v>19.329999999999998</v>
      </c>
      <c r="F321" s="456">
        <f>-(Doors!F28+Doors!F29)</f>
        <v>-1.65</v>
      </c>
      <c r="G321" s="456">
        <f t="shared" si="44"/>
        <v>17.68</v>
      </c>
      <c r="H321" s="456" t="str">
        <v>RM</v>
      </c>
      <c r="I321" s="456" t="str">
        <v xml:space="preserve">2'x2' Vitrified tiles </v>
      </c>
      <c r="J321" s="456">
        <v>45</v>
      </c>
      <c r="K321" s="456">
        <v>391.96</v>
      </c>
      <c r="L321" s="456">
        <f t="shared" si="45"/>
        <v>6929.8527999999997</v>
      </c>
      <c r="O321" s="455">
        <f t="shared" si="48"/>
        <v>318.24</v>
      </c>
      <c r="P321" s="455">
        <f t="shared" si="49"/>
        <v>124737.3504</v>
      </c>
      <c r="R321" s="480" t="s">
        <v>660</v>
      </c>
    </row>
    <row r="322" spans="1:18">
      <c r="A322" s="454"/>
      <c r="B322" s="454" t="str">
        <v>Dado</v>
      </c>
      <c r="C322" s="456"/>
      <c r="D322" s="456"/>
      <c r="E322" s="456"/>
      <c r="F322" s="456"/>
      <c r="G322" s="456">
        <f t="shared" si="44"/>
        <v>0</v>
      </c>
      <c r="H322" s="456" t="str">
        <v>Sq M</v>
      </c>
      <c r="I322" s="456" t="str">
        <v>N.A.</v>
      </c>
      <c r="J322" s="456">
        <v>0</v>
      </c>
      <c r="K322" s="456">
        <v>0</v>
      </c>
      <c r="L322" s="456">
        <f t="shared" si="45"/>
        <v>0</v>
      </c>
      <c r="O322" s="455">
        <f t="shared" si="48"/>
        <v>0</v>
      </c>
      <c r="P322" s="455">
        <f t="shared" si="49"/>
        <v>0</v>
      </c>
      <c r="R322" s="480"/>
    </row>
    <row r="323" spans="1:18">
      <c r="A323" s="454"/>
      <c r="B323" s="454" t="str">
        <v>Wall finishes plaster</v>
      </c>
      <c r="C323" s="456"/>
      <c r="D323" s="456"/>
      <c r="E323" s="456">
        <f>D319*(D1-0.15)</f>
        <v>57.023499999999999</v>
      </c>
      <c r="F323" s="456">
        <f>-(Doors!H28+Doors!H29+Windows!H29)</f>
        <v>-10.022499999999999</v>
      </c>
      <c r="G323" s="456">
        <f t="shared" si="44"/>
        <v>47.000999999999998</v>
      </c>
      <c r="H323" s="456" t="str">
        <v>Sq M</v>
      </c>
      <c r="I323" s="456" t="str">
        <v>Gypsum Plaster</v>
      </c>
      <c r="J323" s="456">
        <v>32</v>
      </c>
      <c r="K323" s="456">
        <v>344.44799999999998</v>
      </c>
      <c r="L323" s="456">
        <f t="shared" si="45"/>
        <v>16189.400447999999</v>
      </c>
      <c r="O323" s="455">
        <f t="shared" si="48"/>
        <v>846.01799999999992</v>
      </c>
      <c r="P323" s="455">
        <f t="shared" si="49"/>
        <v>291409.20806399995</v>
      </c>
      <c r="R323" s="480" t="s">
        <v>661</v>
      </c>
    </row>
    <row r="324" spans="1:18">
      <c r="A324" s="454"/>
      <c r="B324" s="454" t="str">
        <v>Ceiling plaster</v>
      </c>
      <c r="C324" s="456"/>
      <c r="D324" s="456"/>
      <c r="E324" s="456">
        <f>E320</f>
        <v>15.45</v>
      </c>
      <c r="F324" s="456"/>
      <c r="G324" s="456">
        <f t="shared" si="44"/>
        <v>15.45</v>
      </c>
      <c r="H324" s="456" t="str">
        <v>Sq M</v>
      </c>
      <c r="I324" s="456" t="str">
        <v>Gypsum Plaster</v>
      </c>
      <c r="J324" s="456">
        <v>32</v>
      </c>
      <c r="K324" s="456">
        <v>344.44799999999998</v>
      </c>
      <c r="L324" s="456">
        <f t="shared" si="45"/>
        <v>5321.7215999999999</v>
      </c>
      <c r="O324" s="455">
        <f t="shared" si="48"/>
        <v>278.09999999999997</v>
      </c>
      <c r="P324" s="455">
        <f t="shared" si="49"/>
        <v>95790.988799999992</v>
      </c>
      <c r="R324" s="480" t="s">
        <v>662</v>
      </c>
    </row>
    <row r="325" spans="1:18">
      <c r="A325" s="454"/>
      <c r="B325" s="454" t="str">
        <v>False ceiling</v>
      </c>
      <c r="C325" s="456"/>
      <c r="D325" s="456"/>
      <c r="E325" s="456"/>
      <c r="F325" s="456"/>
      <c r="G325" s="456">
        <f t="shared" si="44"/>
        <v>0</v>
      </c>
      <c r="H325" s="456" t="str">
        <v>Sq M</v>
      </c>
      <c r="I325" s="456" t="str">
        <v>N.A.</v>
      </c>
      <c r="J325" s="456">
        <v>0</v>
      </c>
      <c r="K325" s="456">
        <v>0</v>
      </c>
      <c r="L325" s="456">
        <f t="shared" si="45"/>
        <v>0</v>
      </c>
      <c r="O325" s="455">
        <f t="shared" si="48"/>
        <v>0</v>
      </c>
      <c r="P325" s="455">
        <f t="shared" si="49"/>
        <v>0</v>
      </c>
      <c r="R325" s="480"/>
    </row>
    <row r="326" spans="1:18">
      <c r="A326" s="454"/>
      <c r="B326" s="454" t="str">
        <v>Wall finishes Paint</v>
      </c>
      <c r="C326" s="456"/>
      <c r="D326" s="456"/>
      <c r="E326" s="456">
        <f>E323</f>
        <v>57.023499999999999</v>
      </c>
      <c r="F326" s="456">
        <f>F323</f>
        <v>-10.022499999999999</v>
      </c>
      <c r="G326" s="456">
        <f t="shared" si="44"/>
        <v>47.000999999999998</v>
      </c>
      <c r="H326" s="456" t="str">
        <v>Sq M</v>
      </c>
      <c r="I326" s="456" t="str">
        <v>Plastic paint</v>
      </c>
      <c r="J326" s="456">
        <v>20</v>
      </c>
      <c r="K326" s="456">
        <v>215.27999999999997</v>
      </c>
      <c r="L326" s="456">
        <f t="shared" si="45"/>
        <v>10118.375279999998</v>
      </c>
      <c r="O326" s="455">
        <f t="shared" si="48"/>
        <v>846.01799999999992</v>
      </c>
      <c r="P326" s="455">
        <f t="shared" si="49"/>
        <v>182130.75503999996</v>
      </c>
      <c r="R326" s="480" t="s">
        <v>663</v>
      </c>
    </row>
    <row r="327" spans="1:18">
      <c r="A327" s="454"/>
      <c r="B327" s="454" t="str">
        <v>Ceiling Paint</v>
      </c>
      <c r="C327" s="456"/>
      <c r="D327" s="456"/>
      <c r="E327" s="456">
        <f>E324</f>
        <v>15.45</v>
      </c>
      <c r="F327" s="456"/>
      <c r="G327" s="456">
        <f t="shared" si="44"/>
        <v>15.45</v>
      </c>
      <c r="H327" s="456" t="str">
        <v>Sq M</v>
      </c>
      <c r="I327" s="456" t="str">
        <v>Plastic paint</v>
      </c>
      <c r="J327" s="456">
        <v>20</v>
      </c>
      <c r="K327" s="456">
        <v>215.27999999999997</v>
      </c>
      <c r="L327" s="456">
        <f t="shared" si="45"/>
        <v>3326.0759999999996</v>
      </c>
      <c r="O327" s="455">
        <f t="shared" si="48"/>
        <v>278.09999999999997</v>
      </c>
      <c r="P327" s="455">
        <f t="shared" si="49"/>
        <v>59869.367999999995</v>
      </c>
      <c r="R327" s="480" t="s">
        <v>664</v>
      </c>
    </row>
    <row r="328" spans="1:18">
      <c r="A328" s="454"/>
      <c r="B328" s="454" t="str">
        <v>Door Frames</v>
      </c>
      <c r="C328" s="456"/>
      <c r="D328" s="456"/>
      <c r="E328" s="456"/>
      <c r="F328" s="456"/>
      <c r="G328" s="456">
        <f t="shared" si="44"/>
        <v>0</v>
      </c>
      <c r="H328" s="456" t="str">
        <v>RM</v>
      </c>
      <c r="I328" s="456" t="str">
        <v>N.A.</v>
      </c>
      <c r="J328" s="456">
        <v>0</v>
      </c>
      <c r="K328" s="456">
        <v>0</v>
      </c>
      <c r="L328" s="456">
        <f t="shared" si="45"/>
        <v>0</v>
      </c>
      <c r="O328" s="455">
        <f t="shared" si="48"/>
        <v>0</v>
      </c>
      <c r="P328" s="455">
        <f t="shared" si="49"/>
        <v>0</v>
      </c>
      <c r="R328" s="480"/>
    </row>
    <row r="329" spans="1:18">
      <c r="A329" s="454"/>
      <c r="B329" s="454" t="str">
        <v>Window Frames - Internal</v>
      </c>
      <c r="C329" s="456"/>
      <c r="D329" s="456"/>
      <c r="E329" s="456">
        <f>Windows!F29*2+Windows!G29*2</f>
        <v>10.399999999999999</v>
      </c>
      <c r="F329" s="456"/>
      <c r="G329" s="456">
        <f t="shared" si="44"/>
        <v>10.399999999999999</v>
      </c>
      <c r="H329" s="456" t="str">
        <v>RM</v>
      </c>
      <c r="I329" s="456" t="str">
        <v>Granite Window Frame</v>
      </c>
      <c r="J329" s="456">
        <v>180</v>
      </c>
      <c r="K329" s="456">
        <v>655.92719999999997</v>
      </c>
      <c r="L329" s="456">
        <f t="shared" si="45"/>
        <v>6821.6428799999985</v>
      </c>
      <c r="O329" s="455">
        <f t="shared" si="48"/>
        <v>187.2</v>
      </c>
      <c r="P329" s="455">
        <f t="shared" si="49"/>
        <v>122789.57183999998</v>
      </c>
      <c r="R329" s="480" t="s">
        <v>743</v>
      </c>
    </row>
    <row r="330" spans="1:18">
      <c r="A330" s="454"/>
      <c r="B330" s="454" t="str">
        <v>Window Frames - External</v>
      </c>
      <c r="C330" s="456"/>
      <c r="D330" s="456"/>
      <c r="E330" s="456">
        <f>E329</f>
        <v>10.399999999999999</v>
      </c>
      <c r="F330" s="456"/>
      <c r="G330" s="456">
        <f t="shared" si="44"/>
        <v>10.399999999999999</v>
      </c>
      <c r="H330" s="456" t="str">
        <v>RM</v>
      </c>
      <c r="I330" s="456" t="str">
        <v>Marble Window Frames with Sill</v>
      </c>
      <c r="J330" s="456">
        <v>60</v>
      </c>
      <c r="K330" s="456">
        <v>399.04239999999999</v>
      </c>
      <c r="L330" s="456">
        <f t="shared" si="45"/>
        <v>4150.0409599999994</v>
      </c>
      <c r="O330" s="455">
        <f t="shared" si="48"/>
        <v>187.2</v>
      </c>
      <c r="P330" s="455">
        <f t="shared" si="49"/>
        <v>74700.737279999987</v>
      </c>
      <c r="R330" s="480" t="s">
        <v>409</v>
      </c>
    </row>
    <row r="331" spans="1:18">
      <c r="A331" s="454"/>
      <c r="B331" s="454" t="str">
        <v>Others</v>
      </c>
      <c r="C331" s="456"/>
      <c r="D331" s="456"/>
      <c r="E331" s="456"/>
      <c r="F331" s="456"/>
      <c r="G331" s="456">
        <f t="shared" si="44"/>
        <v>0</v>
      </c>
      <c r="H331" s="456" t="str">
        <v>-</v>
      </c>
      <c r="I331" s="456" t="str">
        <v>N.A.</v>
      </c>
      <c r="J331" s="456">
        <v>0</v>
      </c>
      <c r="K331" s="456">
        <v>0</v>
      </c>
      <c r="L331" s="456">
        <f t="shared" si="45"/>
        <v>0</v>
      </c>
      <c r="O331" s="455">
        <f t="shared" si="48"/>
        <v>0</v>
      </c>
      <c r="P331" s="455">
        <f t="shared" si="49"/>
        <v>0</v>
      </c>
    </row>
    <row r="332" spans="1:18" s="479" customFormat="1" ht="13.5" customHeight="1">
      <c r="A332" s="475" t="s">
        <v>628</v>
      </c>
      <c r="B332" s="476" t="str">
        <f>'Flat Sizes'!B31</f>
        <v>M. Toilet</v>
      </c>
      <c r="C332" s="477">
        <f>'Flat Sizes'!D31</f>
        <v>3.39</v>
      </c>
      <c r="D332" s="477">
        <f>'Flat Sizes'!G31</f>
        <v>7.94</v>
      </c>
      <c r="E332" s="477"/>
      <c r="F332" s="454"/>
      <c r="G332" s="477"/>
      <c r="H332" s="477"/>
      <c r="I332" s="477"/>
      <c r="J332" s="477"/>
      <c r="K332" s="477"/>
      <c r="L332" s="477"/>
      <c r="M332" s="459">
        <f>SUM(L333:L344)/C332/10.764</f>
        <v>1303.4692944031731</v>
      </c>
      <c r="N332" s="478"/>
      <c r="O332" s="455"/>
      <c r="P332" s="455"/>
      <c r="Q332" s="478"/>
    </row>
    <row r="333" spans="1:18">
      <c r="A333" s="454"/>
      <c r="B333" s="454" t="str" cm="1">
        <f t="array" ref="B333:B344">'Rate List - Flats'!B62:B73</f>
        <v>Flooring</v>
      </c>
      <c r="C333" s="456"/>
      <c r="D333" s="456"/>
      <c r="E333" s="456">
        <f>C332</f>
        <v>3.39</v>
      </c>
      <c r="F333" s="456"/>
      <c r="G333" s="456">
        <f t="shared" si="44"/>
        <v>3.39</v>
      </c>
      <c r="H333" s="456" t="str" cm="1">
        <f t="array" ref="H333:H344">'Rate List - Flats'!H62:H73</f>
        <v>Sq M</v>
      </c>
      <c r="I333" s="456" t="str" cm="1">
        <f t="array" ref="I333:I344">'Rate List - Flats'!C62:C73</f>
        <v>Ceramic tiles/vitrified anti-skid tiles</v>
      </c>
      <c r="J333" s="456" cm="1">
        <f t="array" ref="J333:J344">'Rate List - Flats'!E62:E73</f>
        <v>50</v>
      </c>
      <c r="K333" s="456" cm="1">
        <f t="array" ref="K333:K344">'Rate List - Flats'!G62:G73</f>
        <v>1399.32</v>
      </c>
      <c r="L333" s="456">
        <f t="shared" si="45"/>
        <v>4743.6948000000002</v>
      </c>
      <c r="O333" s="455">
        <f t="shared" ref="O333:O344" si="50">IF(I333="N.A",0,G333*$N$305)</f>
        <v>61.02</v>
      </c>
      <c r="P333" s="455">
        <f t="shared" ref="P333:P344" si="51">L333*$N$305</f>
        <v>85386.506399999998</v>
      </c>
      <c r="R333" s="480" t="s">
        <v>667</v>
      </c>
    </row>
    <row r="334" spans="1:18">
      <c r="A334" s="454"/>
      <c r="B334" s="454" t="str">
        <v>Skirting</v>
      </c>
      <c r="C334" s="456"/>
      <c r="D334" s="456"/>
      <c r="E334" s="456"/>
      <c r="F334" s="456"/>
      <c r="G334" s="456">
        <f t="shared" si="44"/>
        <v>0</v>
      </c>
      <c r="H334" s="456" t="str">
        <v xml:space="preserve">RM </v>
      </c>
      <c r="I334" s="456" t="str">
        <v>N.A.</v>
      </c>
      <c r="J334" s="456">
        <v>0</v>
      </c>
      <c r="K334" s="456">
        <v>0</v>
      </c>
      <c r="L334" s="456">
        <f t="shared" si="45"/>
        <v>0</v>
      </c>
      <c r="O334" s="455">
        <f t="shared" si="50"/>
        <v>0</v>
      </c>
      <c r="P334" s="455">
        <f t="shared" si="51"/>
        <v>0</v>
      </c>
      <c r="R334" s="480"/>
    </row>
    <row r="335" spans="1:18">
      <c r="A335" s="454"/>
      <c r="B335" s="454" t="str">
        <v>Dado</v>
      </c>
      <c r="C335" s="456"/>
      <c r="D335" s="456">
        <f>D1-0.7</f>
        <v>2.4000000000000004</v>
      </c>
      <c r="E335" s="456">
        <f>D332*D335</f>
        <v>19.056000000000004</v>
      </c>
      <c r="F335" s="456">
        <f>-(Doors!H29+Windows!H30)</f>
        <v>-2.0250000000000004</v>
      </c>
      <c r="G335" s="456">
        <f t="shared" si="44"/>
        <v>17.031000000000006</v>
      </c>
      <c r="H335" s="456" t="str">
        <v>Sq M</v>
      </c>
      <c r="I335" s="456" t="str">
        <v>Vitrified tiles</v>
      </c>
      <c r="J335" s="456">
        <v>50</v>
      </c>
      <c r="K335" s="456">
        <v>1480.05</v>
      </c>
      <c r="L335" s="456">
        <f t="shared" si="45"/>
        <v>25206.731550000008</v>
      </c>
      <c r="O335" s="455">
        <f t="shared" si="50"/>
        <v>306.55800000000011</v>
      </c>
      <c r="P335" s="455">
        <f t="shared" si="51"/>
        <v>453721.16790000012</v>
      </c>
      <c r="R335" s="480" t="s">
        <v>668</v>
      </c>
    </row>
    <row r="336" spans="1:18">
      <c r="A336" s="454"/>
      <c r="B336" s="454" t="str">
        <v>Wall finishes plaster</v>
      </c>
      <c r="C336" s="456"/>
      <c r="D336" s="456">
        <f>D1-D335</f>
        <v>0.69999999999999973</v>
      </c>
      <c r="E336" s="456">
        <f>D332*D336</f>
        <v>5.5579999999999981</v>
      </c>
      <c r="F336" s="456"/>
      <c r="G336" s="456">
        <f t="shared" si="44"/>
        <v>5.5579999999999981</v>
      </c>
      <c r="H336" s="456" t="str">
        <v>Sq M</v>
      </c>
      <c r="I336" s="456" t="str">
        <v>Gypsum Plaster</v>
      </c>
      <c r="J336" s="456">
        <v>32</v>
      </c>
      <c r="K336" s="456">
        <v>344.44799999999998</v>
      </c>
      <c r="L336" s="456">
        <f t="shared" si="45"/>
        <v>1914.4419839999991</v>
      </c>
      <c r="O336" s="455">
        <f t="shared" si="50"/>
        <v>100.04399999999997</v>
      </c>
      <c r="P336" s="455">
        <f t="shared" si="51"/>
        <v>34459.955711999981</v>
      </c>
      <c r="R336" s="480" t="s">
        <v>661</v>
      </c>
    </row>
    <row r="337" spans="1:18">
      <c r="A337" s="454"/>
      <c r="B337" s="454" t="str">
        <v>Ceiling plaster</v>
      </c>
      <c r="C337" s="456"/>
      <c r="D337" s="456"/>
      <c r="E337" s="456">
        <f>E333</f>
        <v>3.39</v>
      </c>
      <c r="F337" s="456"/>
      <c r="G337" s="456">
        <f t="shared" si="44"/>
        <v>3.39</v>
      </c>
      <c r="H337" s="456" t="str">
        <v>Sq M</v>
      </c>
      <c r="I337" s="456" t="str">
        <v>Gypsum Plaster</v>
      </c>
      <c r="J337" s="456">
        <v>32</v>
      </c>
      <c r="K337" s="456">
        <v>344.44799999999998</v>
      </c>
      <c r="L337" s="456">
        <f t="shared" si="45"/>
        <v>1167.6787199999999</v>
      </c>
      <c r="O337" s="455">
        <f t="shared" si="50"/>
        <v>61.02</v>
      </c>
      <c r="P337" s="455">
        <f t="shared" si="51"/>
        <v>21018.216959999998</v>
      </c>
      <c r="R337" s="480" t="s">
        <v>662</v>
      </c>
    </row>
    <row r="338" spans="1:18">
      <c r="A338" s="454"/>
      <c r="B338" s="454" t="str">
        <v>False ceiling</v>
      </c>
      <c r="C338" s="456"/>
      <c r="D338" s="456"/>
      <c r="E338" s="456"/>
      <c r="F338" s="456"/>
      <c r="G338" s="456">
        <f t="shared" si="44"/>
        <v>0</v>
      </c>
      <c r="H338" s="456" t="str">
        <v>Sq M</v>
      </c>
      <c r="I338" s="456" t="str">
        <v>N.A.</v>
      </c>
      <c r="J338" s="456">
        <v>0</v>
      </c>
      <c r="K338" s="456">
        <v>0</v>
      </c>
      <c r="L338" s="456">
        <f t="shared" si="45"/>
        <v>0</v>
      </c>
      <c r="O338" s="455">
        <f t="shared" si="50"/>
        <v>0</v>
      </c>
      <c r="P338" s="455">
        <f t="shared" si="51"/>
        <v>0</v>
      </c>
      <c r="R338" s="480"/>
    </row>
    <row r="339" spans="1:18">
      <c r="A339" s="454"/>
      <c r="B339" s="454" t="str">
        <v>Wall finishes Paint</v>
      </c>
      <c r="C339" s="456"/>
      <c r="D339" s="456"/>
      <c r="E339" s="456">
        <f>E336</f>
        <v>5.5579999999999981</v>
      </c>
      <c r="F339" s="456"/>
      <c r="G339" s="456">
        <f t="shared" si="44"/>
        <v>5.5579999999999981</v>
      </c>
      <c r="H339" s="456" t="str">
        <v>Sq M</v>
      </c>
      <c r="I339" s="456" t="str">
        <v>Plastic paint</v>
      </c>
      <c r="J339" s="456">
        <v>20</v>
      </c>
      <c r="K339" s="456">
        <v>215.27999999999997</v>
      </c>
      <c r="L339" s="456">
        <f t="shared" si="45"/>
        <v>1196.5262399999995</v>
      </c>
      <c r="O339" s="455">
        <f t="shared" si="50"/>
        <v>100.04399999999997</v>
      </c>
      <c r="P339" s="455">
        <f t="shared" si="51"/>
        <v>21537.47231999999</v>
      </c>
      <c r="R339" s="480" t="s">
        <v>663</v>
      </c>
    </row>
    <row r="340" spans="1:18">
      <c r="A340" s="454"/>
      <c r="B340" s="454" t="str">
        <v>Ceiling Paint</v>
      </c>
      <c r="C340" s="456"/>
      <c r="D340" s="456"/>
      <c r="E340" s="456">
        <f>E337</f>
        <v>3.39</v>
      </c>
      <c r="F340" s="456"/>
      <c r="G340" s="456">
        <f t="shared" si="44"/>
        <v>3.39</v>
      </c>
      <c r="H340" s="456" t="str">
        <v>Sq M</v>
      </c>
      <c r="I340" s="456" t="str">
        <v>Plastic paint</v>
      </c>
      <c r="J340" s="456">
        <v>20</v>
      </c>
      <c r="K340" s="456">
        <v>215.27999999999997</v>
      </c>
      <c r="L340" s="456">
        <f t="shared" si="45"/>
        <v>729.79919999999993</v>
      </c>
      <c r="O340" s="455">
        <f t="shared" si="50"/>
        <v>61.02</v>
      </c>
      <c r="P340" s="455">
        <f t="shared" si="51"/>
        <v>13136.385599999998</v>
      </c>
      <c r="R340" s="480" t="s">
        <v>664</v>
      </c>
    </row>
    <row r="341" spans="1:18">
      <c r="A341" s="454"/>
      <c r="B341" s="454" t="str">
        <v>Door Frames</v>
      </c>
      <c r="C341" s="456"/>
      <c r="D341" s="456"/>
      <c r="E341" s="456">
        <f>Doors!F29*4+Doors!G29*4</f>
        <v>11.4</v>
      </c>
      <c r="F341" s="456"/>
      <c r="G341" s="456">
        <f t="shared" si="44"/>
        <v>11.4</v>
      </c>
      <c r="H341" s="456" t="str">
        <v>RM</v>
      </c>
      <c r="I341" s="456" t="str">
        <v>Granite Frames</v>
      </c>
      <c r="J341" s="456">
        <v>180</v>
      </c>
      <c r="K341" s="456">
        <v>655.92719999999997</v>
      </c>
      <c r="L341" s="456">
        <f t="shared" si="45"/>
        <v>7477.5700799999995</v>
      </c>
      <c r="O341" s="455">
        <f t="shared" si="50"/>
        <v>205.20000000000002</v>
      </c>
      <c r="P341" s="455">
        <f t="shared" si="51"/>
        <v>134596.26144</v>
      </c>
      <c r="R341" s="480" t="s">
        <v>669</v>
      </c>
    </row>
    <row r="342" spans="1:18">
      <c r="A342" s="454"/>
      <c r="B342" s="454" t="str">
        <v>Window Frames - Internal</v>
      </c>
      <c r="C342" s="456"/>
      <c r="D342" s="456"/>
      <c r="E342" s="456">
        <f>Windows!F30*2+Windows!G30*2</f>
        <v>2.7</v>
      </c>
      <c r="F342" s="456"/>
      <c r="G342" s="456">
        <f t="shared" si="44"/>
        <v>2.7</v>
      </c>
      <c r="H342" s="456" t="str">
        <v>RM</v>
      </c>
      <c r="I342" s="456" t="str">
        <v>Granite Window Frame</v>
      </c>
      <c r="J342" s="456">
        <v>180</v>
      </c>
      <c r="K342" s="456">
        <v>655.92719999999997</v>
      </c>
      <c r="L342" s="456">
        <f t="shared" si="45"/>
        <v>1771.00344</v>
      </c>
      <c r="O342" s="455">
        <f t="shared" si="50"/>
        <v>48.6</v>
      </c>
      <c r="P342" s="455">
        <f t="shared" si="51"/>
        <v>31878.06192</v>
      </c>
      <c r="R342" s="480" t="s">
        <v>743</v>
      </c>
    </row>
    <row r="343" spans="1:18">
      <c r="A343" s="454"/>
      <c r="B343" s="454" t="str">
        <v>Window Frames - External</v>
      </c>
      <c r="C343" s="456"/>
      <c r="D343" s="456"/>
      <c r="E343" s="456">
        <f>E342</f>
        <v>2.7</v>
      </c>
      <c r="F343" s="456"/>
      <c r="G343" s="456">
        <f t="shared" si="44"/>
        <v>2.7</v>
      </c>
      <c r="H343" s="456" t="str">
        <v>RM</v>
      </c>
      <c r="I343" s="456" t="str">
        <v>Marble Window Frames with Sill</v>
      </c>
      <c r="J343" s="456">
        <v>60</v>
      </c>
      <c r="K343" s="456">
        <v>399.04239999999999</v>
      </c>
      <c r="L343" s="456">
        <f t="shared" si="45"/>
        <v>1077.4144800000001</v>
      </c>
      <c r="O343" s="455">
        <f t="shared" si="50"/>
        <v>48.6</v>
      </c>
      <c r="P343" s="455">
        <f t="shared" si="51"/>
        <v>19393.460640000001</v>
      </c>
      <c r="R343" s="480" t="s">
        <v>409</v>
      </c>
    </row>
    <row r="344" spans="1:18">
      <c r="A344" s="454"/>
      <c r="B344" s="454" t="str">
        <v>Others - Counter</v>
      </c>
      <c r="C344" s="456"/>
      <c r="D344" s="456"/>
      <c r="E344" s="456">
        <f>0.6*0.6</f>
        <v>0.36</v>
      </c>
      <c r="F344" s="456"/>
      <c r="G344" s="456">
        <f t="shared" si="44"/>
        <v>0.36</v>
      </c>
      <c r="H344" s="456" t="str">
        <v>Sq M</v>
      </c>
      <c r="I344" s="456" t="str">
        <v>Basin Counter 1'6" - Granite Basin Counter</v>
      </c>
      <c r="J344" s="456">
        <v>180</v>
      </c>
      <c r="K344" s="456">
        <v>6329.6720000000005</v>
      </c>
      <c r="L344" s="456">
        <f t="shared" si="45"/>
        <v>2278.68192</v>
      </c>
      <c r="O344" s="455">
        <f t="shared" si="50"/>
        <v>6.4799999999999995</v>
      </c>
      <c r="P344" s="455">
        <f t="shared" si="51"/>
        <v>41016.274559999998</v>
      </c>
      <c r="R344" s="480" t="s">
        <v>670</v>
      </c>
    </row>
    <row r="345" spans="1:18" s="479" customFormat="1" ht="13.5" customHeight="1">
      <c r="A345" s="475" t="s">
        <v>628</v>
      </c>
      <c r="B345" s="476" t="str">
        <f>'Flat Sizes'!B32</f>
        <v>C.Bedroom</v>
      </c>
      <c r="C345" s="477">
        <f>'Flat Sizes'!D32</f>
        <v>10.63</v>
      </c>
      <c r="D345" s="477">
        <f>'Flat Sizes'!G32</f>
        <v>13.55</v>
      </c>
      <c r="E345" s="477"/>
      <c r="F345" s="454"/>
      <c r="G345" s="477"/>
      <c r="H345" s="477"/>
      <c r="I345" s="477"/>
      <c r="J345" s="477"/>
      <c r="K345" s="477"/>
      <c r="L345" s="477"/>
      <c r="M345" s="459">
        <f>SUM(L346:L357)/C345/10.764</f>
        <v>467.36741037422041</v>
      </c>
      <c r="N345" s="478"/>
      <c r="O345" s="455"/>
      <c r="P345" s="455"/>
      <c r="Q345" s="478"/>
    </row>
    <row r="346" spans="1:18">
      <c r="A346" s="454"/>
      <c r="B346" s="454" t="str" cm="1">
        <f t="array" ref="B346:B357">'Rate List - Flats'!B48:B59</f>
        <v>Flooring</v>
      </c>
      <c r="C346" s="456"/>
      <c r="D346" s="456"/>
      <c r="E346" s="456">
        <f>C345</f>
        <v>10.63</v>
      </c>
      <c r="F346" s="456"/>
      <c r="G346" s="456">
        <f t="shared" si="44"/>
        <v>10.63</v>
      </c>
      <c r="H346" s="456" t="str" cm="1">
        <f t="array" ref="H346:H357">'Rate List - Flats'!H48:H59</f>
        <v>Sq M</v>
      </c>
      <c r="I346" s="456" t="str" cm="1">
        <f t="array" ref="I346:I357">'Rate List - Flats'!C48:C59</f>
        <v>2'x2' Vitrified tiles</v>
      </c>
      <c r="J346" s="456" cm="1">
        <f t="array" ref="J346:J357">'Rate List - Flats'!E48:E59</f>
        <v>45</v>
      </c>
      <c r="K346" s="456" cm="1">
        <f t="array" ref="K346:K357">'Rate List - Flats'!G48:G59</f>
        <v>1340.1179999999999</v>
      </c>
      <c r="L346" s="456">
        <f t="shared" si="45"/>
        <v>14245.45434</v>
      </c>
      <c r="O346" s="455">
        <f t="shared" ref="O346:O357" si="52">IF(I346="N.A",0,G346*$N$305)</f>
        <v>191.34</v>
      </c>
      <c r="P346" s="455">
        <f t="shared" ref="P346:P357" si="53">L346*$N$305</f>
        <v>256418.17812</v>
      </c>
      <c r="R346" s="480" t="s">
        <v>659</v>
      </c>
    </row>
    <row r="347" spans="1:18">
      <c r="A347" s="454"/>
      <c r="B347" s="454" t="str">
        <v>Skirting</v>
      </c>
      <c r="C347" s="456"/>
      <c r="D347" s="456"/>
      <c r="E347" s="456">
        <f>D345</f>
        <v>13.55</v>
      </c>
      <c r="F347" s="456">
        <f>-(Doors!F30+Doors!F31)</f>
        <v>-1.65</v>
      </c>
      <c r="G347" s="456">
        <f t="shared" si="44"/>
        <v>11.9</v>
      </c>
      <c r="H347" s="456" t="str">
        <v>RM</v>
      </c>
      <c r="I347" s="456" t="str">
        <v xml:space="preserve">2'x2' Vitrified tiles </v>
      </c>
      <c r="J347" s="456">
        <v>45</v>
      </c>
      <c r="K347" s="456">
        <v>391.96</v>
      </c>
      <c r="L347" s="456">
        <f t="shared" si="45"/>
        <v>4664.3239999999996</v>
      </c>
      <c r="O347" s="455">
        <f t="shared" si="52"/>
        <v>214.20000000000002</v>
      </c>
      <c r="P347" s="455">
        <f t="shared" si="53"/>
        <v>83957.831999999995</v>
      </c>
      <c r="R347" s="480" t="s">
        <v>660</v>
      </c>
    </row>
    <row r="348" spans="1:18">
      <c r="A348" s="454"/>
      <c r="B348" s="454" t="str">
        <v>Dado</v>
      </c>
      <c r="C348" s="456"/>
      <c r="D348" s="456"/>
      <c r="E348" s="456"/>
      <c r="F348" s="456"/>
      <c r="G348" s="456">
        <f t="shared" si="44"/>
        <v>0</v>
      </c>
      <c r="H348" s="456" t="str">
        <v>Sq M</v>
      </c>
      <c r="I348" s="456" t="str">
        <v>N.A.</v>
      </c>
      <c r="J348" s="456">
        <v>0</v>
      </c>
      <c r="K348" s="456">
        <v>0</v>
      </c>
      <c r="L348" s="456">
        <f t="shared" si="45"/>
        <v>0</v>
      </c>
      <c r="O348" s="455">
        <f t="shared" si="52"/>
        <v>0</v>
      </c>
      <c r="P348" s="455">
        <f t="shared" si="53"/>
        <v>0</v>
      </c>
      <c r="R348" s="480"/>
    </row>
    <row r="349" spans="1:18">
      <c r="A349" s="454"/>
      <c r="B349" s="454" t="str">
        <v>Wall finishes plaster</v>
      </c>
      <c r="C349" s="456"/>
      <c r="D349" s="456"/>
      <c r="E349" s="456">
        <f>D345*(D1-0.15)</f>
        <v>39.972500000000004</v>
      </c>
      <c r="F349" s="456">
        <f>-(Doors!H30+Windows!H31)</f>
        <v>-8.4474999999999998</v>
      </c>
      <c r="G349" s="456">
        <f t="shared" si="44"/>
        <v>31.525000000000006</v>
      </c>
      <c r="H349" s="456" t="str">
        <v>Sq M</v>
      </c>
      <c r="I349" s="456" t="str">
        <v>Gypsum Plaster</v>
      </c>
      <c r="J349" s="456">
        <v>32</v>
      </c>
      <c r="K349" s="456">
        <v>344.44799999999998</v>
      </c>
      <c r="L349" s="456">
        <f t="shared" si="45"/>
        <v>10858.723200000002</v>
      </c>
      <c r="O349" s="455">
        <f t="shared" si="52"/>
        <v>567.45000000000005</v>
      </c>
      <c r="P349" s="455">
        <f t="shared" si="53"/>
        <v>195457.01760000005</v>
      </c>
      <c r="R349" s="480" t="s">
        <v>661</v>
      </c>
    </row>
    <row r="350" spans="1:18">
      <c r="A350" s="454"/>
      <c r="B350" s="454" t="str">
        <v>Ceiling plaster</v>
      </c>
      <c r="C350" s="456"/>
      <c r="D350" s="456"/>
      <c r="E350" s="456">
        <f>E346</f>
        <v>10.63</v>
      </c>
      <c r="F350" s="456"/>
      <c r="G350" s="456">
        <f t="shared" si="44"/>
        <v>10.63</v>
      </c>
      <c r="H350" s="456" t="str">
        <v>Sq M</v>
      </c>
      <c r="I350" s="456" t="str">
        <v>Gypsum Plaster</v>
      </c>
      <c r="J350" s="456">
        <v>32</v>
      </c>
      <c r="K350" s="456">
        <v>344.44799999999998</v>
      </c>
      <c r="L350" s="456">
        <f t="shared" si="45"/>
        <v>3661.4822399999998</v>
      </c>
      <c r="O350" s="455">
        <f t="shared" si="52"/>
        <v>191.34</v>
      </c>
      <c r="P350" s="455">
        <f t="shared" si="53"/>
        <v>65906.680319999999</v>
      </c>
      <c r="R350" s="480" t="s">
        <v>662</v>
      </c>
    </row>
    <row r="351" spans="1:18">
      <c r="A351" s="454"/>
      <c r="B351" s="454" t="str">
        <v>False ceiling</v>
      </c>
      <c r="C351" s="456"/>
      <c r="D351" s="456"/>
      <c r="E351" s="456"/>
      <c r="F351" s="456"/>
      <c r="G351" s="456">
        <f t="shared" si="44"/>
        <v>0</v>
      </c>
      <c r="H351" s="456" t="str">
        <v>Sq M</v>
      </c>
      <c r="I351" s="456" t="str">
        <v>N.A.</v>
      </c>
      <c r="J351" s="456">
        <v>0</v>
      </c>
      <c r="K351" s="456">
        <v>0</v>
      </c>
      <c r="L351" s="456">
        <f t="shared" si="45"/>
        <v>0</v>
      </c>
      <c r="O351" s="455">
        <f t="shared" si="52"/>
        <v>0</v>
      </c>
      <c r="P351" s="455">
        <f t="shared" si="53"/>
        <v>0</v>
      </c>
      <c r="R351" s="480"/>
    </row>
    <row r="352" spans="1:18">
      <c r="A352" s="454"/>
      <c r="B352" s="454" t="str">
        <v>Wall finishes Paint</v>
      </c>
      <c r="C352" s="456"/>
      <c r="D352" s="456"/>
      <c r="E352" s="456">
        <f>E349</f>
        <v>39.972500000000004</v>
      </c>
      <c r="F352" s="456">
        <f>F349</f>
        <v>-8.4474999999999998</v>
      </c>
      <c r="G352" s="456">
        <f t="shared" si="44"/>
        <v>31.525000000000006</v>
      </c>
      <c r="H352" s="456" t="str">
        <v>Sq M</v>
      </c>
      <c r="I352" s="456" t="str">
        <v>Plastic paint</v>
      </c>
      <c r="J352" s="456">
        <v>20</v>
      </c>
      <c r="K352" s="456">
        <v>215.27999999999997</v>
      </c>
      <c r="L352" s="456">
        <f t="shared" si="45"/>
        <v>6786.7020000000002</v>
      </c>
      <c r="O352" s="455">
        <f t="shared" si="52"/>
        <v>567.45000000000005</v>
      </c>
      <c r="P352" s="455">
        <f t="shared" si="53"/>
        <v>122160.636</v>
      </c>
      <c r="R352" s="480" t="s">
        <v>663</v>
      </c>
    </row>
    <row r="353" spans="1:18">
      <c r="A353" s="454"/>
      <c r="B353" s="454" t="str">
        <v>Ceiling Paint</v>
      </c>
      <c r="C353" s="456"/>
      <c r="D353" s="456"/>
      <c r="E353" s="456">
        <f>E350</f>
        <v>10.63</v>
      </c>
      <c r="F353" s="456"/>
      <c r="G353" s="456">
        <f t="shared" si="44"/>
        <v>10.63</v>
      </c>
      <c r="H353" s="456" t="str">
        <v>Sq M</v>
      </c>
      <c r="I353" s="456" t="str">
        <v>Plastic paint</v>
      </c>
      <c r="J353" s="456">
        <v>20</v>
      </c>
      <c r="K353" s="456">
        <v>215.27999999999997</v>
      </c>
      <c r="L353" s="456">
        <f t="shared" si="45"/>
        <v>2288.4263999999998</v>
      </c>
      <c r="O353" s="455">
        <f t="shared" si="52"/>
        <v>191.34</v>
      </c>
      <c r="P353" s="455">
        <f t="shared" si="53"/>
        <v>41191.675199999998</v>
      </c>
      <c r="R353" s="480" t="s">
        <v>664</v>
      </c>
    </row>
    <row r="354" spans="1:18">
      <c r="A354" s="454"/>
      <c r="B354" s="454" t="str">
        <v>Door Frames</v>
      </c>
      <c r="C354" s="456"/>
      <c r="D354" s="456"/>
      <c r="E354" s="456"/>
      <c r="F354" s="456"/>
      <c r="G354" s="456">
        <f t="shared" si="44"/>
        <v>0</v>
      </c>
      <c r="H354" s="456" t="str">
        <v>RM</v>
      </c>
      <c r="I354" s="456" t="str">
        <v>N.A.</v>
      </c>
      <c r="J354" s="456">
        <v>0</v>
      </c>
      <c r="K354" s="456">
        <v>0</v>
      </c>
      <c r="L354" s="456">
        <f t="shared" si="45"/>
        <v>0</v>
      </c>
      <c r="O354" s="455">
        <f t="shared" si="52"/>
        <v>0</v>
      </c>
      <c r="P354" s="455">
        <f t="shared" si="53"/>
        <v>0</v>
      </c>
      <c r="R354" s="480"/>
    </row>
    <row r="355" spans="1:18">
      <c r="A355" s="454"/>
      <c r="B355" s="454" t="str">
        <v>Window Frames - Internal</v>
      </c>
      <c r="C355" s="456"/>
      <c r="D355" s="456"/>
      <c r="E355" s="456">
        <f>Windows!F31*2+Windows!G31*2</f>
        <v>10.399999999999999</v>
      </c>
      <c r="F355" s="456"/>
      <c r="G355" s="456">
        <f t="shared" si="44"/>
        <v>10.399999999999999</v>
      </c>
      <c r="H355" s="456" t="str">
        <v>RM</v>
      </c>
      <c r="I355" s="456" t="str">
        <v>Granite Window Frame</v>
      </c>
      <c r="J355" s="456">
        <v>180</v>
      </c>
      <c r="K355" s="456">
        <v>655.92719999999997</v>
      </c>
      <c r="L355" s="456">
        <f t="shared" si="45"/>
        <v>6821.6428799999985</v>
      </c>
      <c r="O355" s="455">
        <f t="shared" si="52"/>
        <v>187.2</v>
      </c>
      <c r="P355" s="455">
        <f t="shared" si="53"/>
        <v>122789.57183999998</v>
      </c>
      <c r="R355" s="480" t="s">
        <v>743</v>
      </c>
    </row>
    <row r="356" spans="1:18">
      <c r="A356" s="454"/>
      <c r="B356" s="454" t="str">
        <v>Window Frames - External</v>
      </c>
      <c r="C356" s="456"/>
      <c r="D356" s="456"/>
      <c r="E356" s="456">
        <f>E355</f>
        <v>10.399999999999999</v>
      </c>
      <c r="F356" s="456"/>
      <c r="G356" s="456">
        <f t="shared" si="44"/>
        <v>10.399999999999999</v>
      </c>
      <c r="H356" s="456" t="str">
        <v>RM</v>
      </c>
      <c r="I356" s="456" t="str">
        <v>Marble Window Frames with Sill</v>
      </c>
      <c r="J356" s="456">
        <v>60</v>
      </c>
      <c r="K356" s="456">
        <v>399.04239999999999</v>
      </c>
      <c r="L356" s="456">
        <f t="shared" si="45"/>
        <v>4150.0409599999994</v>
      </c>
      <c r="O356" s="455">
        <f t="shared" si="52"/>
        <v>187.2</v>
      </c>
      <c r="P356" s="455">
        <f t="shared" si="53"/>
        <v>74700.737279999987</v>
      </c>
      <c r="R356" s="480" t="s">
        <v>409</v>
      </c>
    </row>
    <row r="357" spans="1:18">
      <c r="A357" s="454"/>
      <c r="B357" s="454" t="str">
        <v>Others</v>
      </c>
      <c r="C357" s="456"/>
      <c r="D357" s="456"/>
      <c r="E357" s="456"/>
      <c r="F357" s="456"/>
      <c r="G357" s="456">
        <f t="shared" si="44"/>
        <v>0</v>
      </c>
      <c r="H357" s="456" t="str">
        <v>-</v>
      </c>
      <c r="I357" s="456" t="str">
        <v>N.A.</v>
      </c>
      <c r="J357" s="456">
        <v>0</v>
      </c>
      <c r="K357" s="456">
        <v>0</v>
      </c>
      <c r="L357" s="456">
        <f t="shared" si="45"/>
        <v>0</v>
      </c>
      <c r="O357" s="455">
        <f t="shared" si="52"/>
        <v>0</v>
      </c>
      <c r="P357" s="455">
        <f t="shared" si="53"/>
        <v>0</v>
      </c>
    </row>
    <row r="358" spans="1:18" s="479" customFormat="1" ht="13.5" customHeight="1">
      <c r="A358" s="475" t="s">
        <v>628</v>
      </c>
      <c r="B358" s="476" t="str">
        <f>'Flat Sizes'!B33</f>
        <v>C. Toilet</v>
      </c>
      <c r="C358" s="477">
        <f>'Flat Sizes'!D33</f>
        <v>3.47</v>
      </c>
      <c r="D358" s="477">
        <f>'Flat Sizes'!G31</f>
        <v>7.94</v>
      </c>
      <c r="E358" s="477"/>
      <c r="F358" s="454"/>
      <c r="G358" s="477"/>
      <c r="H358" s="477"/>
      <c r="I358" s="477"/>
      <c r="J358" s="477"/>
      <c r="K358" s="477"/>
      <c r="L358" s="477"/>
      <c r="M358" s="459">
        <f>SUM(L359:L370)/C358/10.764</f>
        <v>1313.2769187396991</v>
      </c>
      <c r="N358" s="478"/>
      <c r="O358" s="455"/>
      <c r="P358" s="455"/>
      <c r="Q358" s="478"/>
    </row>
    <row r="359" spans="1:18">
      <c r="A359" s="454"/>
      <c r="B359" s="454" t="str" cm="1">
        <f t="array" ref="B359:B370">'Rate List - Flats'!B76:B87</f>
        <v>Flooring</v>
      </c>
      <c r="C359" s="456"/>
      <c r="D359" s="456"/>
      <c r="E359" s="456">
        <f>C358</f>
        <v>3.47</v>
      </c>
      <c r="F359" s="456"/>
      <c r="G359" s="456">
        <f t="shared" si="44"/>
        <v>3.47</v>
      </c>
      <c r="H359" s="456" t="str" cm="1">
        <f t="array" ref="H359:H370">'Rate List - Flats'!H76:H87</f>
        <v>Sq M</v>
      </c>
      <c r="I359" s="456" t="str" cm="1">
        <f t="array" ref="I359:I370">'Rate List - Flats'!C76:C87</f>
        <v>ceramic tiles/vitrified anti-skid tiles</v>
      </c>
      <c r="J359" s="456" cm="1">
        <f t="array" ref="J359:J370">'Rate List - Flats'!E76:E87</f>
        <v>50</v>
      </c>
      <c r="K359" s="456" cm="1">
        <f t="array" ref="K359:K370">'Rate List - Flats'!G76:G87</f>
        <v>1399.32</v>
      </c>
      <c r="L359" s="456">
        <f t="shared" si="45"/>
        <v>4855.6404000000002</v>
      </c>
      <c r="O359" s="455">
        <f t="shared" ref="O359:O370" si="54">IF(I359="N.A",0,G359*$N$305)</f>
        <v>62.46</v>
      </c>
      <c r="P359" s="455">
        <f t="shared" ref="P359:P370" si="55">L359*$N$305</f>
        <v>87401.527200000011</v>
      </c>
      <c r="R359" s="480" t="s">
        <v>667</v>
      </c>
    </row>
    <row r="360" spans="1:18">
      <c r="A360" s="454"/>
      <c r="B360" s="454" t="str">
        <v>Skirting</v>
      </c>
      <c r="C360" s="456"/>
      <c r="D360" s="456"/>
      <c r="E360" s="456"/>
      <c r="F360" s="456"/>
      <c r="G360" s="456">
        <f t="shared" si="44"/>
        <v>0</v>
      </c>
      <c r="H360" s="456" t="str">
        <v xml:space="preserve">RM </v>
      </c>
      <c r="I360" s="456" t="str">
        <v>N.A.</v>
      </c>
      <c r="J360" s="456">
        <v>0</v>
      </c>
      <c r="K360" s="456">
        <v>0</v>
      </c>
      <c r="L360" s="456">
        <f t="shared" si="45"/>
        <v>0</v>
      </c>
      <c r="O360" s="455">
        <f t="shared" si="54"/>
        <v>0</v>
      </c>
      <c r="P360" s="455">
        <f t="shared" si="55"/>
        <v>0</v>
      </c>
      <c r="R360" s="480"/>
    </row>
    <row r="361" spans="1:18">
      <c r="A361" s="454"/>
      <c r="B361" s="454" t="str">
        <v>Dado</v>
      </c>
      <c r="C361" s="456"/>
      <c r="D361" s="456">
        <f>D1-0.7</f>
        <v>2.4000000000000004</v>
      </c>
      <c r="E361" s="456">
        <f>D358*D361</f>
        <v>19.056000000000004</v>
      </c>
      <c r="F361" s="456">
        <f>-Doors!H31+Windows!H32</f>
        <v>-1.1250000000000002</v>
      </c>
      <c r="G361" s="456">
        <f t="shared" si="44"/>
        <v>17.931000000000004</v>
      </c>
      <c r="H361" s="456" t="str">
        <v>Sq M</v>
      </c>
      <c r="I361" s="456" t="str">
        <v>Vitrified tiles</v>
      </c>
      <c r="J361" s="456">
        <v>50</v>
      </c>
      <c r="K361" s="456">
        <v>1480.05</v>
      </c>
      <c r="L361" s="456">
        <f t="shared" si="45"/>
        <v>26538.776550000006</v>
      </c>
      <c r="O361" s="455">
        <f t="shared" si="54"/>
        <v>322.7580000000001</v>
      </c>
      <c r="P361" s="455">
        <f t="shared" si="55"/>
        <v>477697.97790000011</v>
      </c>
      <c r="R361" s="480" t="s">
        <v>668</v>
      </c>
    </row>
    <row r="362" spans="1:18">
      <c r="A362" s="454"/>
      <c r="B362" s="454" t="str">
        <v>Wall finishes plaster</v>
      </c>
      <c r="C362" s="456"/>
      <c r="D362" s="456">
        <f>D1-D361</f>
        <v>0.69999999999999973</v>
      </c>
      <c r="E362" s="456">
        <f>D362*D358</f>
        <v>5.5579999999999981</v>
      </c>
      <c r="F362" s="456"/>
      <c r="G362" s="456">
        <f t="shared" si="44"/>
        <v>5.5579999999999981</v>
      </c>
      <c r="H362" s="456" t="str">
        <v>Sq M</v>
      </c>
      <c r="I362" s="456" t="str">
        <v>Gypsum Plaster</v>
      </c>
      <c r="J362" s="456">
        <v>32</v>
      </c>
      <c r="K362" s="456">
        <v>344.44799999999998</v>
      </c>
      <c r="L362" s="456">
        <f t="shared" si="45"/>
        <v>1914.4419839999991</v>
      </c>
      <c r="O362" s="455">
        <f t="shared" si="54"/>
        <v>100.04399999999997</v>
      </c>
      <c r="P362" s="455">
        <f t="shared" si="55"/>
        <v>34459.955711999981</v>
      </c>
      <c r="R362" s="480" t="s">
        <v>661</v>
      </c>
    </row>
    <row r="363" spans="1:18">
      <c r="A363" s="454"/>
      <c r="B363" s="454" t="str">
        <v>Ceiling plaster</v>
      </c>
      <c r="C363" s="456"/>
      <c r="D363" s="456"/>
      <c r="E363" s="456">
        <f>E359</f>
        <v>3.47</v>
      </c>
      <c r="F363" s="456"/>
      <c r="G363" s="456">
        <f t="shared" si="44"/>
        <v>3.47</v>
      </c>
      <c r="H363" s="456" t="str">
        <v>Sq M</v>
      </c>
      <c r="I363" s="456" t="str">
        <v>Gypsum Plaster</v>
      </c>
      <c r="J363" s="456">
        <v>32</v>
      </c>
      <c r="K363" s="456">
        <v>344.44799999999998</v>
      </c>
      <c r="L363" s="456">
        <f t="shared" si="45"/>
        <v>1195.2345600000001</v>
      </c>
      <c r="O363" s="455">
        <f t="shared" si="54"/>
        <v>62.46</v>
      </c>
      <c r="P363" s="455">
        <f t="shared" si="55"/>
        <v>21514.222080000003</v>
      </c>
      <c r="R363" s="480" t="s">
        <v>662</v>
      </c>
    </row>
    <row r="364" spans="1:18">
      <c r="A364" s="454"/>
      <c r="B364" s="454" t="str">
        <v>False ceiling</v>
      </c>
      <c r="C364" s="456"/>
      <c r="D364" s="456"/>
      <c r="E364" s="456"/>
      <c r="F364" s="456"/>
      <c r="G364" s="456">
        <f t="shared" si="44"/>
        <v>0</v>
      </c>
      <c r="H364" s="456" t="str">
        <v>Sq M</v>
      </c>
      <c r="I364" s="456" t="str">
        <v>N.A.</v>
      </c>
      <c r="J364" s="456">
        <v>0</v>
      </c>
      <c r="K364" s="456">
        <v>0</v>
      </c>
      <c r="L364" s="456">
        <f t="shared" si="45"/>
        <v>0</v>
      </c>
      <c r="O364" s="455">
        <f t="shared" si="54"/>
        <v>0</v>
      </c>
      <c r="P364" s="455">
        <f t="shared" si="55"/>
        <v>0</v>
      </c>
      <c r="R364" s="480"/>
    </row>
    <row r="365" spans="1:18">
      <c r="A365" s="454"/>
      <c r="B365" s="454" t="str">
        <v>Wall finishes Paint</v>
      </c>
      <c r="C365" s="456"/>
      <c r="D365" s="456"/>
      <c r="E365" s="456">
        <f>E362</f>
        <v>5.5579999999999981</v>
      </c>
      <c r="F365" s="456"/>
      <c r="G365" s="456">
        <f t="shared" si="44"/>
        <v>5.5579999999999981</v>
      </c>
      <c r="H365" s="456" t="str">
        <v>Sq M</v>
      </c>
      <c r="I365" s="456" t="str">
        <v>Plastic paint</v>
      </c>
      <c r="J365" s="456">
        <v>20</v>
      </c>
      <c r="K365" s="456">
        <v>215.27999999999997</v>
      </c>
      <c r="L365" s="456">
        <f t="shared" si="45"/>
        <v>1196.5262399999995</v>
      </c>
      <c r="O365" s="455">
        <f t="shared" si="54"/>
        <v>100.04399999999997</v>
      </c>
      <c r="P365" s="455">
        <f t="shared" si="55"/>
        <v>21537.47231999999</v>
      </c>
      <c r="R365" s="480" t="s">
        <v>663</v>
      </c>
    </row>
    <row r="366" spans="1:18">
      <c r="A366" s="454"/>
      <c r="B366" s="454" t="str">
        <v>Ceiling Paint</v>
      </c>
      <c r="C366" s="456"/>
      <c r="D366" s="456"/>
      <c r="E366" s="456">
        <f>E363</f>
        <v>3.47</v>
      </c>
      <c r="F366" s="456"/>
      <c r="G366" s="456">
        <f t="shared" si="44"/>
        <v>3.47</v>
      </c>
      <c r="H366" s="456" t="str">
        <v>Sq M</v>
      </c>
      <c r="I366" s="456" t="str">
        <v>Plastic paint</v>
      </c>
      <c r="J366" s="456">
        <v>20</v>
      </c>
      <c r="K366" s="456">
        <v>215.27999999999997</v>
      </c>
      <c r="L366" s="456">
        <f t="shared" si="45"/>
        <v>747.02159999999992</v>
      </c>
      <c r="O366" s="455">
        <f t="shared" si="54"/>
        <v>62.46</v>
      </c>
      <c r="P366" s="455">
        <f t="shared" si="55"/>
        <v>13446.388799999999</v>
      </c>
      <c r="R366" s="480" t="s">
        <v>664</v>
      </c>
    </row>
    <row r="367" spans="1:18">
      <c r="A367" s="454"/>
      <c r="B367" s="454" t="str">
        <v>Door Frames</v>
      </c>
      <c r="C367" s="456"/>
      <c r="D367" s="456"/>
      <c r="E367" s="456">
        <f>Doors!F31*4+Doors!G31*4</f>
        <v>11.4</v>
      </c>
      <c r="F367" s="456"/>
      <c r="G367" s="456">
        <f t="shared" si="44"/>
        <v>11.4</v>
      </c>
      <c r="H367" s="456" t="str">
        <v>RM</v>
      </c>
      <c r="I367" s="456" t="str">
        <v>Granite Frames</v>
      </c>
      <c r="J367" s="456">
        <v>180</v>
      </c>
      <c r="K367" s="456">
        <v>655.92719999999997</v>
      </c>
      <c r="L367" s="456">
        <f t="shared" si="45"/>
        <v>7477.5700799999995</v>
      </c>
      <c r="O367" s="455">
        <f t="shared" si="54"/>
        <v>205.20000000000002</v>
      </c>
      <c r="P367" s="455">
        <f t="shared" si="55"/>
        <v>134596.26144</v>
      </c>
      <c r="R367" s="480" t="s">
        <v>669</v>
      </c>
    </row>
    <row r="368" spans="1:18">
      <c r="A368" s="454"/>
      <c r="B368" s="454" t="str">
        <v>Window Frames - Internal</v>
      </c>
      <c r="C368" s="456"/>
      <c r="D368" s="456"/>
      <c r="E368" s="456">
        <f>Windows!F32*2+Windows!G32*2</f>
        <v>2.7</v>
      </c>
      <c r="F368" s="456"/>
      <c r="G368" s="456">
        <f t="shared" si="44"/>
        <v>2.7</v>
      </c>
      <c r="H368" s="456" t="str">
        <v>RM</v>
      </c>
      <c r="I368" s="456" t="str">
        <v>Granite Window Frame</v>
      </c>
      <c r="J368" s="456">
        <v>180</v>
      </c>
      <c r="K368" s="456">
        <v>655.92719999999997</v>
      </c>
      <c r="L368" s="456">
        <f t="shared" si="45"/>
        <v>1771.00344</v>
      </c>
      <c r="O368" s="455">
        <f t="shared" si="54"/>
        <v>48.6</v>
      </c>
      <c r="P368" s="455">
        <f t="shared" si="55"/>
        <v>31878.06192</v>
      </c>
      <c r="R368" s="480" t="s">
        <v>743</v>
      </c>
    </row>
    <row r="369" spans="1:18">
      <c r="A369" s="454"/>
      <c r="B369" s="454" t="str">
        <v>Window Frames - External</v>
      </c>
      <c r="C369" s="456"/>
      <c r="D369" s="456"/>
      <c r="E369" s="456">
        <f>E368</f>
        <v>2.7</v>
      </c>
      <c r="F369" s="456"/>
      <c r="G369" s="456">
        <f t="shared" si="44"/>
        <v>2.7</v>
      </c>
      <c r="H369" s="456" t="str">
        <v>RM</v>
      </c>
      <c r="I369" s="456" t="str">
        <v>Marble Window Frames with Sill</v>
      </c>
      <c r="J369" s="456">
        <v>60</v>
      </c>
      <c r="K369" s="456">
        <v>399.04239999999999</v>
      </c>
      <c r="L369" s="456">
        <f t="shared" si="45"/>
        <v>1077.4144800000001</v>
      </c>
      <c r="O369" s="455">
        <f t="shared" si="54"/>
        <v>48.6</v>
      </c>
      <c r="P369" s="455">
        <f t="shared" si="55"/>
        <v>19393.460640000001</v>
      </c>
      <c r="R369" s="480" t="s">
        <v>409</v>
      </c>
    </row>
    <row r="370" spans="1:18">
      <c r="A370" s="454"/>
      <c r="B370" s="454" t="str">
        <v>Others - Counter</v>
      </c>
      <c r="C370" s="456"/>
      <c r="D370" s="456"/>
      <c r="E370" s="456">
        <f>0.6*0.6</f>
        <v>0.36</v>
      </c>
      <c r="F370" s="456"/>
      <c r="G370" s="456">
        <f t="shared" si="44"/>
        <v>0.36</v>
      </c>
      <c r="H370" s="456" t="str">
        <v>Sq M</v>
      </c>
      <c r="I370" s="456" t="str">
        <v>Basin Counter 1'6" - Granite Basin Counter</v>
      </c>
      <c r="J370" s="456">
        <v>180</v>
      </c>
      <c r="K370" s="456">
        <v>6329.6720000000005</v>
      </c>
      <c r="L370" s="456">
        <f t="shared" si="45"/>
        <v>2278.68192</v>
      </c>
      <c r="O370" s="455">
        <f t="shared" si="54"/>
        <v>6.4799999999999995</v>
      </c>
      <c r="P370" s="455">
        <f t="shared" si="55"/>
        <v>41016.274559999998</v>
      </c>
      <c r="R370" s="480" t="s">
        <v>670</v>
      </c>
    </row>
    <row r="371" spans="1:18" s="479" customFormat="1" ht="13.5" customHeight="1">
      <c r="A371" s="475" t="s">
        <v>628</v>
      </c>
      <c r="B371" s="476" t="str">
        <f>'Flat Sizes'!B34</f>
        <v>Kitchen</v>
      </c>
      <c r="C371" s="477">
        <f>'Flat Sizes'!D34</f>
        <v>6.93</v>
      </c>
      <c r="D371" s="477">
        <f>'Flat Sizes'!G34</f>
        <v>11.08</v>
      </c>
      <c r="E371" s="477"/>
      <c r="F371" s="454"/>
      <c r="G371" s="477"/>
      <c r="H371" s="477"/>
      <c r="I371" s="477"/>
      <c r="J371" s="477"/>
      <c r="K371" s="477"/>
      <c r="L371" s="477"/>
      <c r="M371" s="459">
        <f>SUM(L372:L385)/C371/10.764</f>
        <v>1233.9972278821556</v>
      </c>
      <c r="N371" s="478"/>
      <c r="O371" s="455"/>
      <c r="P371" s="455"/>
      <c r="Q371" s="478"/>
    </row>
    <row r="372" spans="1:18">
      <c r="A372" s="454"/>
      <c r="B372" s="454" t="str" cm="1">
        <f t="array" ref="B372:B385">'Rate List - Flats'!B90:B103</f>
        <v>Flooring</v>
      </c>
      <c r="C372" s="456"/>
      <c r="D372" s="456"/>
      <c r="E372" s="456">
        <f>C371</f>
        <v>6.93</v>
      </c>
      <c r="F372" s="456"/>
      <c r="G372" s="456">
        <f t="shared" si="44"/>
        <v>6.93</v>
      </c>
      <c r="H372" s="456" t="str" cm="1">
        <f t="array" ref="H372:H385">'Rate List - Flats'!H90:H103</f>
        <v>Sq M</v>
      </c>
      <c r="I372" s="456" t="str" cm="1">
        <f t="array" ref="I372:I385">'Rate List - Flats'!C90:C103</f>
        <v>ceramic tiles/vitrified anti-skid tiles</v>
      </c>
      <c r="J372" s="456" cm="1">
        <f t="array" ref="J372:J385">'Rate List - Flats'!E90:E103</f>
        <v>45</v>
      </c>
      <c r="K372" s="456" cm="1">
        <f t="array" ref="K372:K385">'Rate List - Flats'!G90:G103</f>
        <v>1340.1179999999999</v>
      </c>
      <c r="L372" s="456">
        <f t="shared" si="45"/>
        <v>9287.0177399999993</v>
      </c>
      <c r="O372" s="455">
        <f t="shared" ref="O372:O385" si="56">IF(I372="N.A",0,G372*$N$305)</f>
        <v>124.74</v>
      </c>
      <c r="P372" s="455">
        <f t="shared" ref="P372:P385" si="57">L372*$N$305</f>
        <v>167166.31931999998</v>
      </c>
      <c r="R372" s="458" t="s">
        <v>659</v>
      </c>
    </row>
    <row r="373" spans="1:18">
      <c r="A373" s="454"/>
      <c r="B373" s="454" t="str">
        <v>Skirting</v>
      </c>
      <c r="C373" s="456"/>
      <c r="D373" s="456"/>
      <c r="E373" s="456"/>
      <c r="F373" s="456"/>
      <c r="G373" s="456">
        <f t="shared" ref="G373:G405" si="58">E373+F373</f>
        <v>0</v>
      </c>
      <c r="H373" s="456" t="str">
        <v xml:space="preserve">RM </v>
      </c>
      <c r="I373" s="456" t="str">
        <v>N.A.</v>
      </c>
      <c r="J373" s="456">
        <v>0</v>
      </c>
      <c r="K373" s="456">
        <v>0</v>
      </c>
      <c r="L373" s="456">
        <f t="shared" ref="L373:L405" si="59">G373*K373</f>
        <v>0</v>
      </c>
      <c r="O373" s="455">
        <f t="shared" si="56"/>
        <v>0</v>
      </c>
      <c r="P373" s="455">
        <f t="shared" si="57"/>
        <v>0</v>
      </c>
      <c r="R373" s="458" t="s">
        <v>660</v>
      </c>
    </row>
    <row r="374" spans="1:18">
      <c r="A374" s="454"/>
      <c r="B374" s="454" t="str">
        <v>Dado</v>
      </c>
      <c r="C374" s="456"/>
      <c r="D374" s="456">
        <f>D1-0.9-0.7</f>
        <v>1.5000000000000002</v>
      </c>
      <c r="E374" s="456">
        <f>(E384+E385)*D374</f>
        <v>9.2100000000000026</v>
      </c>
      <c r="F374" s="456"/>
      <c r="G374" s="456">
        <f t="shared" si="58"/>
        <v>9.2100000000000026</v>
      </c>
      <c r="H374" s="456" t="str">
        <v>Sq M</v>
      </c>
      <c r="I374" s="456" t="str">
        <v>Vitrified tiles</v>
      </c>
      <c r="J374" s="456">
        <v>45</v>
      </c>
      <c r="K374" s="456">
        <v>1393.9379999999999</v>
      </c>
      <c r="L374" s="456">
        <f t="shared" si="59"/>
        <v>12838.168980000002</v>
      </c>
      <c r="O374" s="455">
        <f t="shared" si="56"/>
        <v>165.78000000000006</v>
      </c>
      <c r="P374" s="455">
        <f t="shared" si="57"/>
        <v>231087.04164000004</v>
      </c>
      <c r="R374" s="458" t="s">
        <v>665</v>
      </c>
    </row>
    <row r="375" spans="1:18">
      <c r="A375" s="454"/>
      <c r="B375" s="454" t="str">
        <v>Dado Below Kitchen Platform</v>
      </c>
      <c r="C375" s="456"/>
      <c r="D375" s="456">
        <v>0.9</v>
      </c>
      <c r="E375" s="456">
        <f>(E384+E385)*D375</f>
        <v>5.5260000000000007</v>
      </c>
      <c r="F375" s="456"/>
      <c r="G375" s="456">
        <f t="shared" si="58"/>
        <v>5.5260000000000007</v>
      </c>
      <c r="H375" s="456" t="str">
        <v>Sq M</v>
      </c>
      <c r="I375" s="456" t="str">
        <v>dado under platform</v>
      </c>
      <c r="J375" s="456">
        <v>23</v>
      </c>
      <c r="K375" s="456">
        <v>1133.4491999999998</v>
      </c>
      <c r="L375" s="456">
        <f t="shared" si="59"/>
        <v>6263.4402792000001</v>
      </c>
      <c r="O375" s="455">
        <f t="shared" si="56"/>
        <v>99.468000000000018</v>
      </c>
      <c r="P375" s="455">
        <f t="shared" si="57"/>
        <v>112741.92502560001</v>
      </c>
      <c r="R375" s="458" t="s">
        <v>746</v>
      </c>
    </row>
    <row r="376" spans="1:18">
      <c r="A376" s="454"/>
      <c r="B376" s="454" t="str">
        <v>Wall finishes plaster</v>
      </c>
      <c r="C376" s="456"/>
      <c r="D376" s="456">
        <f>D1-0.15</f>
        <v>2.95</v>
      </c>
      <c r="E376" s="456">
        <f>(D371*D376)-(E374+E375)</f>
        <v>17.949999999999996</v>
      </c>
      <c r="F376" s="456">
        <f>-(Doors!H32+(Windows!H33))</f>
        <v>-4.04</v>
      </c>
      <c r="G376" s="456">
        <f t="shared" si="58"/>
        <v>13.909999999999997</v>
      </c>
      <c r="H376" s="456" t="str">
        <v>Sq M</v>
      </c>
      <c r="I376" s="456" t="str">
        <v>Gypsum Plaster</v>
      </c>
      <c r="J376" s="456">
        <v>32</v>
      </c>
      <c r="K376" s="456">
        <v>376.73999999999995</v>
      </c>
      <c r="L376" s="456">
        <f t="shared" si="59"/>
        <v>5240.4533999999976</v>
      </c>
      <c r="O376" s="455">
        <f t="shared" si="56"/>
        <v>250.37999999999994</v>
      </c>
      <c r="P376" s="455">
        <f t="shared" si="57"/>
        <v>94328.161199999959</v>
      </c>
      <c r="R376" s="458" t="s">
        <v>661</v>
      </c>
    </row>
    <row r="377" spans="1:18">
      <c r="A377" s="454"/>
      <c r="B377" s="454" t="str">
        <v>Ceiling plaster</v>
      </c>
      <c r="C377" s="456"/>
      <c r="D377" s="456"/>
      <c r="E377" s="456">
        <f>E372</f>
        <v>6.93</v>
      </c>
      <c r="F377" s="456"/>
      <c r="G377" s="456">
        <f t="shared" si="58"/>
        <v>6.93</v>
      </c>
      <c r="H377" s="456" t="str">
        <v>Sq M</v>
      </c>
      <c r="I377" s="456" t="str">
        <v>Gypsum Plaster</v>
      </c>
      <c r="J377" s="456">
        <v>32</v>
      </c>
      <c r="K377" s="456">
        <v>344.44799999999998</v>
      </c>
      <c r="L377" s="456">
        <f t="shared" si="59"/>
        <v>2387.0246399999996</v>
      </c>
      <c r="O377" s="455">
        <f t="shared" si="56"/>
        <v>124.74</v>
      </c>
      <c r="P377" s="455">
        <f t="shared" si="57"/>
        <v>42966.443519999993</v>
      </c>
      <c r="R377" s="458" t="s">
        <v>662</v>
      </c>
    </row>
    <row r="378" spans="1:18">
      <c r="A378" s="454"/>
      <c r="B378" s="454" t="str">
        <v>False ceiling</v>
      </c>
      <c r="C378" s="456"/>
      <c r="D378" s="456"/>
      <c r="E378" s="456"/>
      <c r="F378" s="456"/>
      <c r="G378" s="456">
        <f t="shared" si="58"/>
        <v>0</v>
      </c>
      <c r="H378" s="456" t="str">
        <v>Sq M</v>
      </c>
      <c r="I378" s="456" t="str">
        <v>N.A.</v>
      </c>
      <c r="J378" s="456">
        <v>0</v>
      </c>
      <c r="K378" s="456">
        <v>0</v>
      </c>
      <c r="L378" s="456">
        <f t="shared" si="59"/>
        <v>0</v>
      </c>
      <c r="O378" s="455">
        <f t="shared" si="56"/>
        <v>0</v>
      </c>
      <c r="P378" s="455">
        <f t="shared" si="57"/>
        <v>0</v>
      </c>
      <c r="R378" s="458"/>
    </row>
    <row r="379" spans="1:18">
      <c r="A379" s="454"/>
      <c r="B379" s="454" t="str">
        <v>Wall finishes Paint</v>
      </c>
      <c r="C379" s="456"/>
      <c r="D379" s="456"/>
      <c r="E379" s="456">
        <f>E376</f>
        <v>17.949999999999996</v>
      </c>
      <c r="F379" s="456">
        <f>F376</f>
        <v>-4.04</v>
      </c>
      <c r="G379" s="456">
        <f t="shared" si="58"/>
        <v>13.909999999999997</v>
      </c>
      <c r="H379" s="456" t="str">
        <v>Sq M</v>
      </c>
      <c r="I379" s="456" t="str">
        <v>Plastic paint</v>
      </c>
      <c r="J379" s="456">
        <v>20</v>
      </c>
      <c r="K379" s="456">
        <v>215.27999999999997</v>
      </c>
      <c r="L379" s="456">
        <f t="shared" si="59"/>
        <v>2994.5447999999988</v>
      </c>
      <c r="O379" s="455">
        <f t="shared" si="56"/>
        <v>250.37999999999994</v>
      </c>
      <c r="P379" s="455">
        <f t="shared" si="57"/>
        <v>53901.806399999979</v>
      </c>
      <c r="R379" s="458" t="s">
        <v>663</v>
      </c>
    </row>
    <row r="380" spans="1:18">
      <c r="A380" s="454"/>
      <c r="B380" s="454" t="str">
        <v>Ceiling Paint</v>
      </c>
      <c r="C380" s="456"/>
      <c r="D380" s="456"/>
      <c r="E380" s="456">
        <f>E377</f>
        <v>6.93</v>
      </c>
      <c r="F380" s="456"/>
      <c r="G380" s="456">
        <f t="shared" si="58"/>
        <v>6.93</v>
      </c>
      <c r="H380" s="456" t="str">
        <v>Sq M</v>
      </c>
      <c r="I380" s="456" t="str">
        <v>Plastic paint</v>
      </c>
      <c r="J380" s="456">
        <v>20</v>
      </c>
      <c r="K380" s="456">
        <v>215.27999999999997</v>
      </c>
      <c r="L380" s="456">
        <f t="shared" si="59"/>
        <v>1491.8903999999998</v>
      </c>
      <c r="O380" s="455">
        <f t="shared" si="56"/>
        <v>124.74</v>
      </c>
      <c r="P380" s="455">
        <f t="shared" si="57"/>
        <v>26854.027199999997</v>
      </c>
      <c r="R380" s="458" t="s">
        <v>664</v>
      </c>
    </row>
    <row r="381" spans="1:18">
      <c r="A381" s="454"/>
      <c r="B381" s="454" t="str">
        <v>Door Frames</v>
      </c>
      <c r="C381" s="456"/>
      <c r="D381" s="456"/>
      <c r="E381" s="456"/>
      <c r="F381" s="456"/>
      <c r="G381" s="456">
        <f t="shared" si="58"/>
        <v>0</v>
      </c>
      <c r="H381" s="456" t="str">
        <v>Sq M</v>
      </c>
      <c r="I381" s="456" t="str">
        <v>N.A.</v>
      </c>
      <c r="J381" s="456">
        <v>0</v>
      </c>
      <c r="K381" s="456">
        <v>0</v>
      </c>
      <c r="L381" s="456">
        <f t="shared" si="59"/>
        <v>0</v>
      </c>
      <c r="O381" s="455">
        <f t="shared" si="56"/>
        <v>0</v>
      </c>
      <c r="P381" s="455">
        <f t="shared" si="57"/>
        <v>0</v>
      </c>
      <c r="R381" s="458" t="s">
        <v>407</v>
      </c>
    </row>
    <row r="382" spans="1:18">
      <c r="A382" s="454"/>
      <c r="B382" s="454" t="str">
        <v>Window Frames - Internal</v>
      </c>
      <c r="C382" s="456"/>
      <c r="D382" s="456"/>
      <c r="E382" s="456">
        <f>Windows!F33*2+Windows!G33*2</f>
        <v>6.3</v>
      </c>
      <c r="F382" s="456"/>
      <c r="G382" s="456">
        <f t="shared" si="58"/>
        <v>6.3</v>
      </c>
      <c r="H382" s="456" t="str">
        <v>RM</v>
      </c>
      <c r="I382" s="456" t="str">
        <v>Granite Window Frame</v>
      </c>
      <c r="J382" s="456">
        <v>180</v>
      </c>
      <c r="K382" s="456">
        <v>655.92719999999997</v>
      </c>
      <c r="L382" s="456">
        <f t="shared" si="59"/>
        <v>4132.3413599999994</v>
      </c>
      <c r="O382" s="455">
        <f t="shared" si="56"/>
        <v>113.39999999999999</v>
      </c>
      <c r="P382" s="455">
        <f t="shared" si="57"/>
        <v>74382.144479999988</v>
      </c>
      <c r="R382" s="458" t="s">
        <v>408</v>
      </c>
    </row>
    <row r="383" spans="1:18">
      <c r="A383" s="454"/>
      <c r="B383" s="454" t="str">
        <v>Window Frames - External</v>
      </c>
      <c r="C383" s="456"/>
      <c r="D383" s="456"/>
      <c r="E383" s="456">
        <f>E382</f>
        <v>6.3</v>
      </c>
      <c r="F383" s="456"/>
      <c r="G383" s="456">
        <f t="shared" si="58"/>
        <v>6.3</v>
      </c>
      <c r="H383" s="456" t="str">
        <v>RM</v>
      </c>
      <c r="I383" s="456" t="str">
        <v>Marble Window Frames with Sill</v>
      </c>
      <c r="J383" s="456">
        <v>60</v>
      </c>
      <c r="K383" s="456">
        <v>399.04239999999999</v>
      </c>
      <c r="L383" s="456">
        <f t="shared" si="59"/>
        <v>2513.9671199999998</v>
      </c>
      <c r="O383" s="455">
        <f t="shared" si="56"/>
        <v>113.39999999999999</v>
      </c>
      <c r="P383" s="455">
        <f t="shared" si="57"/>
        <v>45251.408159999999</v>
      </c>
      <c r="R383" s="458" t="s">
        <v>409</v>
      </c>
    </row>
    <row r="384" spans="1:18">
      <c r="A384" s="454"/>
      <c r="B384" s="454" t="str">
        <v>Kitchen Platform</v>
      </c>
      <c r="C384" s="456"/>
      <c r="D384" s="456"/>
      <c r="E384" s="456">
        <v>3.52</v>
      </c>
      <c r="F384" s="456"/>
      <c r="G384" s="456">
        <f t="shared" si="58"/>
        <v>3.52</v>
      </c>
      <c r="H384" s="456" t="str">
        <v>RM</v>
      </c>
      <c r="I384" s="456" t="str">
        <v>Kitchen 2' Granite Main Counter</v>
      </c>
      <c r="J384" s="456">
        <v>180</v>
      </c>
      <c r="K384" s="456">
        <v>7312.7984000000006</v>
      </c>
      <c r="L384" s="456">
        <f t="shared" si="59"/>
        <v>25741.050368000004</v>
      </c>
      <c r="O384" s="455">
        <f t="shared" si="56"/>
        <v>63.36</v>
      </c>
      <c r="P384" s="455">
        <f t="shared" si="57"/>
        <v>463338.90662400005</v>
      </c>
      <c r="R384" s="458" t="s">
        <v>747</v>
      </c>
    </row>
    <row r="385" spans="1:18">
      <c r="A385" s="454"/>
      <c r="B385" s="454" t="str">
        <v>Service Platform</v>
      </c>
      <c r="C385" s="456"/>
      <c r="D385" s="456"/>
      <c r="E385" s="456">
        <f>E384-0.9</f>
        <v>2.62</v>
      </c>
      <c r="F385" s="456"/>
      <c r="G385" s="456">
        <f t="shared" si="58"/>
        <v>2.62</v>
      </c>
      <c r="H385" s="456" t="str">
        <v>RM</v>
      </c>
      <c r="I385" s="456" t="str">
        <v>Kitchen 1'6" Granite Main Counter</v>
      </c>
      <c r="J385" s="456">
        <v>180</v>
      </c>
      <c r="K385" s="456">
        <v>7312.7984000000006</v>
      </c>
      <c r="L385" s="456">
        <f t="shared" si="59"/>
        <v>19159.531808000003</v>
      </c>
      <c r="O385" s="455">
        <f t="shared" si="56"/>
        <v>47.160000000000004</v>
      </c>
      <c r="P385" s="455">
        <f t="shared" si="57"/>
        <v>344871.57254400005</v>
      </c>
      <c r="R385" s="458" t="s">
        <v>666</v>
      </c>
    </row>
    <row r="386" spans="1:18" s="479" customFormat="1" ht="13.5" customHeight="1">
      <c r="A386" s="475" t="s">
        <v>628</v>
      </c>
      <c r="B386" s="476" t="str">
        <f>'Flat Sizes'!B35</f>
        <v>Utility</v>
      </c>
      <c r="C386" s="477">
        <f>'Flat Sizes'!D35</f>
        <v>2.27</v>
      </c>
      <c r="D386" s="477">
        <f>'Flat Sizes'!G35</f>
        <v>6.1</v>
      </c>
      <c r="E386" s="477"/>
      <c r="F386" s="454"/>
      <c r="G386" s="477"/>
      <c r="H386" s="477"/>
      <c r="I386" s="477"/>
      <c r="J386" s="477"/>
      <c r="K386" s="477"/>
      <c r="L386" s="477"/>
      <c r="M386" s="459">
        <f>SUM(L387:L395)/C386/10.764</f>
        <v>943.28204064126328</v>
      </c>
      <c r="N386" s="478"/>
      <c r="O386" s="455"/>
      <c r="P386" s="455"/>
      <c r="Q386" s="478"/>
    </row>
    <row r="387" spans="1:18">
      <c r="A387" s="454"/>
      <c r="B387" s="454" t="str" cm="1">
        <f t="array" ref="B387:B395">'Rate List - Flats'!B120:B128</f>
        <v>Flooring</v>
      </c>
      <c r="C387" s="456"/>
      <c r="D387" s="456"/>
      <c r="E387" s="456">
        <f>C386</f>
        <v>2.27</v>
      </c>
      <c r="F387" s="456"/>
      <c r="G387" s="456">
        <f t="shared" si="58"/>
        <v>2.27</v>
      </c>
      <c r="H387" s="456" t="str" cm="1">
        <f t="array" ref="H387:H395">'Rate List - Flats'!H120:H128</f>
        <v>Sq M</v>
      </c>
      <c r="I387" s="456" t="str" cm="1">
        <f t="array" ref="I387:I395">'Rate List - Flats'!C120:C128</f>
        <v>2'x2' Vitrified tiles</v>
      </c>
      <c r="J387" s="456" cm="1">
        <f t="array" ref="J387:J395">'Rate List - Flats'!E120:E128</f>
        <v>45</v>
      </c>
      <c r="K387" s="456" cm="1">
        <f t="array" ref="K387:K395">'Rate List - Flats'!G120:G128</f>
        <v>1340.1179999999999</v>
      </c>
      <c r="L387" s="456">
        <f t="shared" si="59"/>
        <v>3042.0678600000001</v>
      </c>
      <c r="O387" s="455">
        <f t="shared" ref="O387:O395" si="60">IF(I387="N.A",0,G387*$N$305)</f>
        <v>40.86</v>
      </c>
      <c r="P387" s="455">
        <f t="shared" ref="P387:P395" si="61">L387*$N$305</f>
        <v>54757.22148</v>
      </c>
      <c r="R387" s="458" t="s">
        <v>748</v>
      </c>
    </row>
    <row r="388" spans="1:18">
      <c r="A388" s="454"/>
      <c r="B388" s="454" t="str">
        <v>Skirting</v>
      </c>
      <c r="C388" s="456"/>
      <c r="D388" s="456"/>
      <c r="E388" s="456">
        <f>D386</f>
        <v>6.1</v>
      </c>
      <c r="F388" s="456"/>
      <c r="G388" s="456">
        <f t="shared" si="58"/>
        <v>6.1</v>
      </c>
      <c r="H388" s="456" t="str">
        <v xml:space="preserve">RM </v>
      </c>
      <c r="I388" s="456" t="str">
        <v xml:space="preserve">2'x2' Vitrified tiles </v>
      </c>
      <c r="J388" s="456">
        <v>45</v>
      </c>
      <c r="K388" s="456">
        <v>391.96</v>
      </c>
      <c r="L388" s="456">
        <f t="shared" si="59"/>
        <v>2390.9559999999997</v>
      </c>
      <c r="O388" s="455">
        <f t="shared" si="60"/>
        <v>109.8</v>
      </c>
      <c r="P388" s="455">
        <f t="shared" si="61"/>
        <v>43037.207999999991</v>
      </c>
      <c r="R388" s="458" t="s">
        <v>749</v>
      </c>
    </row>
    <row r="389" spans="1:18">
      <c r="A389" s="454"/>
      <c r="B389" s="454" t="str">
        <v>Dado</v>
      </c>
      <c r="C389" s="456"/>
      <c r="D389" s="456"/>
      <c r="E389" s="456"/>
      <c r="F389" s="456"/>
      <c r="G389" s="456">
        <f t="shared" si="58"/>
        <v>0</v>
      </c>
      <c r="H389" s="456" t="str">
        <v>Sq M</v>
      </c>
      <c r="I389" s="456" t="str">
        <v>N.A</v>
      </c>
      <c r="J389" s="456">
        <v>0</v>
      </c>
      <c r="K389" s="456">
        <v>0</v>
      </c>
      <c r="L389" s="456">
        <f t="shared" si="59"/>
        <v>0</v>
      </c>
      <c r="O389" s="455">
        <f t="shared" si="60"/>
        <v>0</v>
      </c>
      <c r="P389" s="455">
        <f t="shared" si="61"/>
        <v>0</v>
      </c>
      <c r="R389" s="458" t="s">
        <v>750</v>
      </c>
    </row>
    <row r="390" spans="1:18">
      <c r="A390" s="454"/>
      <c r="B390" s="454" t="str">
        <v>Wall finishes plaster</v>
      </c>
      <c r="C390" s="456"/>
      <c r="D390" s="456"/>
      <c r="E390" s="456">
        <f>D386*(D1-0.15)</f>
        <v>17.995000000000001</v>
      </c>
      <c r="F390" s="456">
        <f>-((Windows!K34*2.15)+(2.14*2.15))</f>
        <v>-6.7509999999999994</v>
      </c>
      <c r="G390" s="456">
        <f t="shared" si="58"/>
        <v>11.244000000000002</v>
      </c>
      <c r="H390" s="456" t="str">
        <v>Sq M</v>
      </c>
      <c r="I390" s="456" t="str">
        <v>External Plaster  - 15 mm</v>
      </c>
      <c r="J390" s="456">
        <v>85</v>
      </c>
      <c r="K390" s="456">
        <v>914.93999999999994</v>
      </c>
      <c r="L390" s="456">
        <f t="shared" si="59"/>
        <v>10287.585360000001</v>
      </c>
      <c r="O390" s="455">
        <f t="shared" si="60"/>
        <v>202.39200000000002</v>
      </c>
      <c r="P390" s="455">
        <f t="shared" si="61"/>
        <v>185176.53648000001</v>
      </c>
      <c r="R390" s="458" t="s">
        <v>751</v>
      </c>
    </row>
    <row r="391" spans="1:18">
      <c r="A391" s="454"/>
      <c r="B391" s="454" t="str">
        <v>Ceiling plaster</v>
      </c>
      <c r="C391" s="456"/>
      <c r="D391" s="456"/>
      <c r="E391" s="456">
        <f>E387</f>
        <v>2.27</v>
      </c>
      <c r="F391" s="456"/>
      <c r="G391" s="456">
        <f t="shared" si="58"/>
        <v>2.27</v>
      </c>
      <c r="H391" s="456" t="str">
        <v>Sq M</v>
      </c>
      <c r="I391" s="456" t="str">
        <v>Gypsum Plaster</v>
      </c>
      <c r="J391" s="456">
        <v>32</v>
      </c>
      <c r="K391" s="456">
        <v>344.44799999999998</v>
      </c>
      <c r="L391" s="456">
        <f t="shared" si="59"/>
        <v>781.89695999999992</v>
      </c>
      <c r="O391" s="455">
        <f t="shared" si="60"/>
        <v>40.86</v>
      </c>
      <c r="P391" s="455">
        <f t="shared" si="61"/>
        <v>14074.145279999999</v>
      </c>
      <c r="R391" s="458" t="s">
        <v>662</v>
      </c>
    </row>
    <row r="392" spans="1:18">
      <c r="A392" s="454"/>
      <c r="B392" s="454" t="str">
        <v>False ceiling</v>
      </c>
      <c r="C392" s="456"/>
      <c r="D392" s="456"/>
      <c r="E392" s="456"/>
      <c r="F392" s="456"/>
      <c r="G392" s="456">
        <f t="shared" si="58"/>
        <v>0</v>
      </c>
      <c r="H392" s="456" t="str">
        <v>Sq M</v>
      </c>
      <c r="I392" s="456" t="str">
        <v>N.A.</v>
      </c>
      <c r="J392" s="456">
        <v>0</v>
      </c>
      <c r="K392" s="456">
        <v>0</v>
      </c>
      <c r="L392" s="456">
        <f t="shared" si="59"/>
        <v>0</v>
      </c>
      <c r="O392" s="455">
        <f t="shared" si="60"/>
        <v>0</v>
      </c>
      <c r="P392" s="455">
        <f t="shared" si="61"/>
        <v>0</v>
      </c>
      <c r="R392" s="458" t="s">
        <v>414</v>
      </c>
    </row>
    <row r="393" spans="1:18">
      <c r="A393" s="454"/>
      <c r="B393" s="454" t="str">
        <v>Wall finishes Paint</v>
      </c>
      <c r="C393" s="456"/>
      <c r="D393" s="456"/>
      <c r="E393" s="456">
        <f>E390</f>
        <v>17.995000000000001</v>
      </c>
      <c r="F393" s="456">
        <f>F390</f>
        <v>-6.7509999999999994</v>
      </c>
      <c r="G393" s="456">
        <f t="shared" si="58"/>
        <v>11.244000000000002</v>
      </c>
      <c r="H393" s="456" t="str">
        <v>Sq M</v>
      </c>
      <c r="I393" s="456" t="str">
        <v>External Grade Paint</v>
      </c>
      <c r="J393" s="456">
        <v>45</v>
      </c>
      <c r="K393" s="456">
        <v>484.38</v>
      </c>
      <c r="L393" s="456">
        <f t="shared" si="59"/>
        <v>5446.3687200000004</v>
      </c>
      <c r="O393" s="455">
        <f t="shared" si="60"/>
        <v>202.39200000000002</v>
      </c>
      <c r="P393" s="455">
        <f t="shared" si="61"/>
        <v>98034.636960000003</v>
      </c>
      <c r="R393" s="458" t="s">
        <v>663</v>
      </c>
    </row>
    <row r="394" spans="1:18">
      <c r="A394" s="454"/>
      <c r="B394" s="454" t="str">
        <v>Ceiling Paint</v>
      </c>
      <c r="C394" s="456"/>
      <c r="D394" s="456"/>
      <c r="E394" s="456">
        <f>E391</f>
        <v>2.27</v>
      </c>
      <c r="F394" s="456"/>
      <c r="G394" s="456">
        <f t="shared" si="58"/>
        <v>2.27</v>
      </c>
      <c r="H394" s="456" t="str">
        <v>Sq M</v>
      </c>
      <c r="I394" s="456" t="str">
        <v>External Grade Paint</v>
      </c>
      <c r="J394" s="456">
        <v>45</v>
      </c>
      <c r="K394" s="456">
        <v>484.38</v>
      </c>
      <c r="L394" s="456">
        <f t="shared" si="59"/>
        <v>1099.5426</v>
      </c>
      <c r="O394" s="455">
        <f t="shared" si="60"/>
        <v>40.86</v>
      </c>
      <c r="P394" s="455">
        <f t="shared" si="61"/>
        <v>19791.766800000001</v>
      </c>
      <c r="R394" s="458" t="s">
        <v>664</v>
      </c>
    </row>
    <row r="395" spans="1:18">
      <c r="A395" s="454"/>
      <c r="B395" s="454" t="str">
        <v>Others</v>
      </c>
      <c r="C395" s="456"/>
      <c r="D395" s="456"/>
      <c r="E395" s="456"/>
      <c r="F395" s="456"/>
      <c r="G395" s="456">
        <f t="shared" si="58"/>
        <v>0</v>
      </c>
      <c r="H395" s="456" t="str">
        <v>-</v>
      </c>
      <c r="I395" s="456" t="str">
        <v>N.A.</v>
      </c>
      <c r="J395" s="456">
        <v>0</v>
      </c>
      <c r="K395" s="456">
        <v>0</v>
      </c>
      <c r="L395" s="456">
        <f t="shared" si="59"/>
        <v>0</v>
      </c>
      <c r="O395" s="455">
        <f t="shared" si="60"/>
        <v>0</v>
      </c>
      <c r="P395" s="455">
        <f t="shared" si="61"/>
        <v>0</v>
      </c>
    </row>
    <row r="396" spans="1:18" s="479" customFormat="1" ht="13.5" customHeight="1">
      <c r="A396" s="475" t="s">
        <v>628</v>
      </c>
      <c r="B396" s="476" t="str">
        <f>'Flat Sizes'!B36</f>
        <v>Balcony</v>
      </c>
      <c r="C396" s="477">
        <f>'Flat Sizes'!D36</f>
        <v>2.6</v>
      </c>
      <c r="D396" s="477">
        <f>'Flat Sizes'!G36</f>
        <v>6.7</v>
      </c>
      <c r="E396" s="477"/>
      <c r="F396" s="454"/>
      <c r="G396" s="477"/>
      <c r="H396" s="477"/>
      <c r="I396" s="477"/>
      <c r="J396" s="477"/>
      <c r="K396" s="477"/>
      <c r="L396" s="477"/>
      <c r="M396" s="459">
        <f>SUM(L397:L405)/C396/10.764</f>
        <v>907.33600606008633</v>
      </c>
      <c r="N396" s="478"/>
      <c r="O396" s="455"/>
      <c r="P396" s="455"/>
      <c r="Q396" s="478"/>
    </row>
    <row r="397" spans="1:18">
      <c r="A397" s="454"/>
      <c r="B397" s="454" t="str" cm="1">
        <f t="array" ref="B397:B405">'Rate List - Flats'!B120:B128</f>
        <v>Flooring</v>
      </c>
      <c r="C397" s="456"/>
      <c r="D397" s="456"/>
      <c r="E397" s="456">
        <f>C396</f>
        <v>2.6</v>
      </c>
      <c r="F397" s="456"/>
      <c r="G397" s="456">
        <f t="shared" si="58"/>
        <v>2.6</v>
      </c>
      <c r="H397" s="456" t="str" cm="1">
        <f t="array" ref="H397:H405">'Rate List - Flats'!H120:H128</f>
        <v>Sq M</v>
      </c>
      <c r="I397" s="456" t="str" cm="1">
        <f t="array" ref="I397:I405">'Rate List - Flats'!C120:C128</f>
        <v>2'x2' Vitrified tiles</v>
      </c>
      <c r="J397" s="456" cm="1">
        <f t="array" ref="J397:J405">'Rate List - Flats'!E120:E128</f>
        <v>45</v>
      </c>
      <c r="K397" s="456" cm="1">
        <f t="array" ref="K397:K405">'Rate List - Flats'!G120:G128</f>
        <v>1340.1179999999999</v>
      </c>
      <c r="L397" s="456">
        <f t="shared" si="59"/>
        <v>3484.3067999999998</v>
      </c>
      <c r="O397" s="455">
        <f t="shared" ref="O397:O405" si="62">IF(I397="N.A",0,G397*$N$305)</f>
        <v>46.800000000000004</v>
      </c>
      <c r="P397" s="455">
        <f t="shared" ref="P397:P405" si="63">L397*$N$305</f>
        <v>62717.522399999994</v>
      </c>
      <c r="R397" s="458" t="s">
        <v>752</v>
      </c>
    </row>
    <row r="398" spans="1:18">
      <c r="A398" s="454"/>
      <c r="B398" s="454" t="str">
        <v>Skirting</v>
      </c>
      <c r="C398" s="456"/>
      <c r="D398" s="456"/>
      <c r="E398" s="456">
        <f>D396</f>
        <v>6.7</v>
      </c>
      <c r="F398" s="456"/>
      <c r="G398" s="456">
        <f t="shared" si="58"/>
        <v>6.7</v>
      </c>
      <c r="H398" s="456" t="str">
        <v xml:space="preserve">RM </v>
      </c>
      <c r="I398" s="456" t="str">
        <v xml:space="preserve">2'x2' Vitrified tiles </v>
      </c>
      <c r="J398" s="456">
        <v>45</v>
      </c>
      <c r="K398" s="456">
        <v>391.96</v>
      </c>
      <c r="L398" s="456">
        <f t="shared" si="59"/>
        <v>2626.1320000000001</v>
      </c>
      <c r="O398" s="455">
        <f t="shared" si="62"/>
        <v>120.60000000000001</v>
      </c>
      <c r="P398" s="455">
        <f t="shared" si="63"/>
        <v>47270.376000000004</v>
      </c>
      <c r="R398" s="458" t="s">
        <v>753</v>
      </c>
    </row>
    <row r="399" spans="1:18">
      <c r="A399" s="454"/>
      <c r="B399" s="454" t="str">
        <v>Dado</v>
      </c>
      <c r="C399" s="456"/>
      <c r="D399" s="456"/>
      <c r="E399" s="456"/>
      <c r="F399" s="456"/>
      <c r="G399" s="456">
        <f t="shared" si="58"/>
        <v>0</v>
      </c>
      <c r="H399" s="456" t="str">
        <v>Sq M</v>
      </c>
      <c r="I399" s="456" t="str">
        <v>N.A</v>
      </c>
      <c r="J399" s="456">
        <v>0</v>
      </c>
      <c r="K399" s="456">
        <v>0</v>
      </c>
      <c r="L399" s="456">
        <f t="shared" si="59"/>
        <v>0</v>
      </c>
      <c r="O399" s="455">
        <f t="shared" si="62"/>
        <v>0</v>
      </c>
      <c r="P399" s="455">
        <f t="shared" si="63"/>
        <v>0</v>
      </c>
      <c r="R399" s="458" t="s">
        <v>754</v>
      </c>
    </row>
    <row r="400" spans="1:18">
      <c r="A400" s="454"/>
      <c r="B400" s="454" t="str">
        <v>Wall finishes plaster</v>
      </c>
      <c r="C400" s="456"/>
      <c r="D400" s="456"/>
      <c r="E400" s="456">
        <f>D396*(D1-0.15)</f>
        <v>19.765000000000001</v>
      </c>
      <c r="F400" s="456">
        <f>-(Windows!K35*2.15)</f>
        <v>-7.5249999999999995</v>
      </c>
      <c r="G400" s="456">
        <f t="shared" si="58"/>
        <v>12.240000000000002</v>
      </c>
      <c r="H400" s="456" t="str">
        <v>Sq M</v>
      </c>
      <c r="I400" s="456" t="str">
        <v>External Plaster  - 15 mm</v>
      </c>
      <c r="J400" s="456">
        <v>85</v>
      </c>
      <c r="K400" s="456">
        <v>914.93999999999994</v>
      </c>
      <c r="L400" s="456">
        <f t="shared" si="59"/>
        <v>11198.865600000001</v>
      </c>
      <c r="O400" s="455">
        <f t="shared" si="62"/>
        <v>220.32000000000005</v>
      </c>
      <c r="P400" s="455">
        <f t="shared" si="63"/>
        <v>201579.58080000003</v>
      </c>
      <c r="R400" s="458" t="s">
        <v>751</v>
      </c>
    </row>
    <row r="401" spans="1:18">
      <c r="A401" s="454"/>
      <c r="B401" s="454" t="str">
        <v>Ceiling plaster</v>
      </c>
      <c r="C401" s="456"/>
      <c r="D401" s="456"/>
      <c r="E401" s="456">
        <f>E397</f>
        <v>2.6</v>
      </c>
      <c r="F401" s="456"/>
      <c r="G401" s="456">
        <f t="shared" si="58"/>
        <v>2.6</v>
      </c>
      <c r="H401" s="456" t="str">
        <v>Sq M</v>
      </c>
      <c r="I401" s="456" t="str">
        <v>Gypsum Plaster</v>
      </c>
      <c r="J401" s="456">
        <v>32</v>
      </c>
      <c r="K401" s="456">
        <v>344.44799999999998</v>
      </c>
      <c r="L401" s="456">
        <f t="shared" si="59"/>
        <v>895.56479999999999</v>
      </c>
      <c r="O401" s="455">
        <f t="shared" si="62"/>
        <v>46.800000000000004</v>
      </c>
      <c r="P401" s="455">
        <f t="shared" si="63"/>
        <v>16120.1664</v>
      </c>
      <c r="R401" s="458" t="s">
        <v>662</v>
      </c>
    </row>
    <row r="402" spans="1:18">
      <c r="A402" s="454"/>
      <c r="B402" s="454" t="str">
        <v>False ceiling</v>
      </c>
      <c r="C402" s="456"/>
      <c r="D402" s="456"/>
      <c r="E402" s="456"/>
      <c r="F402" s="456"/>
      <c r="G402" s="456">
        <f t="shared" si="58"/>
        <v>0</v>
      </c>
      <c r="H402" s="456" t="str">
        <v>Sq M</v>
      </c>
      <c r="I402" s="456" t="str">
        <v>N.A.</v>
      </c>
      <c r="J402" s="456">
        <v>0</v>
      </c>
      <c r="K402" s="456">
        <v>0</v>
      </c>
      <c r="L402" s="456">
        <f t="shared" si="59"/>
        <v>0</v>
      </c>
      <c r="O402" s="455">
        <f t="shared" si="62"/>
        <v>0</v>
      </c>
      <c r="P402" s="455">
        <f t="shared" si="63"/>
        <v>0</v>
      </c>
      <c r="R402" s="458" t="s">
        <v>414</v>
      </c>
    </row>
    <row r="403" spans="1:18">
      <c r="A403" s="454"/>
      <c r="B403" s="454" t="str">
        <v>Wall finishes Paint</v>
      </c>
      <c r="C403" s="456"/>
      <c r="D403" s="456"/>
      <c r="E403" s="456">
        <f>E400</f>
        <v>19.765000000000001</v>
      </c>
      <c r="F403" s="456">
        <f>F400</f>
        <v>-7.5249999999999995</v>
      </c>
      <c r="G403" s="456">
        <f t="shared" si="58"/>
        <v>12.240000000000002</v>
      </c>
      <c r="H403" s="456" t="str">
        <v>Sq M</v>
      </c>
      <c r="I403" s="456" t="str">
        <v>External Grade Paint</v>
      </c>
      <c r="J403" s="456">
        <v>45</v>
      </c>
      <c r="K403" s="456">
        <v>484.38</v>
      </c>
      <c r="L403" s="456">
        <f t="shared" si="59"/>
        <v>5928.811200000001</v>
      </c>
      <c r="O403" s="455">
        <f t="shared" si="62"/>
        <v>220.32000000000005</v>
      </c>
      <c r="P403" s="455">
        <f t="shared" si="63"/>
        <v>106718.60160000002</v>
      </c>
      <c r="R403" s="458" t="s">
        <v>663</v>
      </c>
    </row>
    <row r="404" spans="1:18">
      <c r="A404" s="454"/>
      <c r="B404" s="454" t="str">
        <v>Ceiling Paint</v>
      </c>
      <c r="C404" s="456"/>
      <c r="D404" s="456"/>
      <c r="E404" s="456">
        <f>E401</f>
        <v>2.6</v>
      </c>
      <c r="F404" s="456"/>
      <c r="G404" s="456">
        <f t="shared" si="58"/>
        <v>2.6</v>
      </c>
      <c r="H404" s="456" t="str">
        <v>Sq M</v>
      </c>
      <c r="I404" s="456" t="str">
        <v>External Grade Paint</v>
      </c>
      <c r="J404" s="456">
        <v>45</v>
      </c>
      <c r="K404" s="456">
        <v>484.38</v>
      </c>
      <c r="L404" s="456">
        <f t="shared" si="59"/>
        <v>1259.3879999999999</v>
      </c>
      <c r="O404" s="455">
        <f t="shared" si="62"/>
        <v>46.800000000000004</v>
      </c>
      <c r="P404" s="455">
        <f t="shared" si="63"/>
        <v>22668.983999999997</v>
      </c>
      <c r="R404" s="458" t="s">
        <v>664</v>
      </c>
    </row>
    <row r="405" spans="1:18">
      <c r="A405" s="454"/>
      <c r="B405" s="454" t="str">
        <v>Others</v>
      </c>
      <c r="C405" s="456"/>
      <c r="D405" s="456"/>
      <c r="E405" s="456"/>
      <c r="F405" s="456"/>
      <c r="G405" s="524">
        <f t="shared" si="58"/>
        <v>0</v>
      </c>
      <c r="H405" s="456" t="str">
        <v>-</v>
      </c>
      <c r="I405" s="456" t="str">
        <v>N.A.</v>
      </c>
      <c r="J405" s="456">
        <v>0</v>
      </c>
      <c r="K405" s="456">
        <v>0</v>
      </c>
      <c r="L405" s="524">
        <f t="shared" si="59"/>
        <v>0</v>
      </c>
      <c r="O405" s="455">
        <f t="shared" si="62"/>
        <v>0</v>
      </c>
      <c r="P405" s="455">
        <f t="shared" si="63"/>
        <v>0</v>
      </c>
    </row>
    <row r="406" spans="1:18" ht="13.8" thickBot="1">
      <c r="A406" s="454"/>
      <c r="B406" s="454"/>
      <c r="C406" s="456"/>
      <c r="D406" s="456"/>
      <c r="E406" s="456"/>
      <c r="F406" s="456"/>
      <c r="G406" s="525">
        <f>SUM(G306:G405)</f>
        <v>794.2149999999998</v>
      </c>
      <c r="H406" s="456"/>
      <c r="I406" s="456"/>
      <c r="J406" s="456"/>
      <c r="K406" s="456"/>
      <c r="L406" s="525">
        <f>SUM(L306:L405)</f>
        <v>459708.56919119984</v>
      </c>
      <c r="O406" s="526">
        <f>SUM(O306:O405)</f>
        <v>14295.87</v>
      </c>
      <c r="P406" s="527">
        <f>SUM(P306:P405)</f>
        <v>8274754.2454416025</v>
      </c>
    </row>
    <row r="407" spans="1:18">
      <c r="A407" s="528"/>
      <c r="B407" s="529" t="s">
        <v>744</v>
      </c>
      <c r="C407" s="522"/>
      <c r="D407" s="522"/>
      <c r="E407" s="522"/>
      <c r="F407" s="522"/>
      <c r="G407" s="530"/>
      <c r="H407" s="522"/>
      <c r="I407" s="522"/>
      <c r="J407" s="522"/>
      <c r="K407" s="522"/>
      <c r="L407" s="530"/>
    </row>
    <row r="408" spans="1:18">
      <c r="A408" s="528"/>
      <c r="B408" s="528" t="s">
        <v>355</v>
      </c>
      <c r="C408" s="522"/>
      <c r="D408" s="522"/>
      <c r="E408" s="522"/>
      <c r="F408" s="522"/>
      <c r="G408" s="522">
        <f>SUMIF($B$306:$B$405,B408,$G$306:$G$405)</f>
        <v>70.139999999999986</v>
      </c>
      <c r="H408" s="522"/>
      <c r="I408" s="522"/>
      <c r="J408" s="522"/>
      <c r="K408" s="522"/>
      <c r="L408" s="522">
        <f>SUMIF($B$306:$B$405,B408,$L$306:$L$405)</f>
        <v>94402.002239999987</v>
      </c>
      <c r="O408" s="455">
        <f t="shared" ref="O408:O424" si="64">IF(I408="N.A",0,G408*$N$305)</f>
        <v>1262.5199999999998</v>
      </c>
      <c r="P408" s="455">
        <f t="shared" ref="P408:P424" si="65">L408*$N$305</f>
        <v>1699236.0403199997</v>
      </c>
    </row>
    <row r="409" spans="1:18">
      <c r="A409" s="528"/>
      <c r="B409" s="528" t="s">
        <v>695</v>
      </c>
      <c r="C409" s="522"/>
      <c r="D409" s="522"/>
      <c r="E409" s="522"/>
      <c r="F409" s="522"/>
      <c r="G409" s="522">
        <f t="shared" ref="G409:G423" si="66">SUMIF($B$306:$B$405,B409,$G$306:$G$405)</f>
        <v>61.03</v>
      </c>
      <c r="H409" s="522"/>
      <c r="I409" s="522"/>
      <c r="J409" s="522"/>
      <c r="K409" s="522"/>
      <c r="L409" s="522">
        <f t="shared" ref="L409:L423" si="67">SUMIF($B$306:$B$405,B409,$L$306:$L$405)</f>
        <v>23921.318800000001</v>
      </c>
      <c r="O409" s="455">
        <f t="shared" si="64"/>
        <v>1098.54</v>
      </c>
      <c r="P409" s="455">
        <f t="shared" si="65"/>
        <v>430583.73840000003</v>
      </c>
    </row>
    <row r="410" spans="1:18">
      <c r="A410" s="528"/>
      <c r="B410" s="528" t="s">
        <v>698</v>
      </c>
      <c r="C410" s="522"/>
      <c r="D410" s="522"/>
      <c r="E410" s="522"/>
      <c r="F410" s="522"/>
      <c r="G410" s="522">
        <f t="shared" si="66"/>
        <v>44.172000000000011</v>
      </c>
      <c r="H410" s="522"/>
      <c r="I410" s="522"/>
      <c r="J410" s="522"/>
      <c r="K410" s="522"/>
      <c r="L410" s="522">
        <f t="shared" si="67"/>
        <v>64583.677080000016</v>
      </c>
      <c r="O410" s="455">
        <f t="shared" si="64"/>
        <v>795.09600000000023</v>
      </c>
      <c r="P410" s="455">
        <f t="shared" si="65"/>
        <v>1162506.1874400002</v>
      </c>
    </row>
    <row r="411" spans="1:18">
      <c r="A411" s="528"/>
      <c r="B411" s="528" t="s">
        <v>700</v>
      </c>
      <c r="C411" s="522"/>
      <c r="D411" s="522"/>
      <c r="E411" s="522"/>
      <c r="F411" s="522"/>
      <c r="G411" s="522">
        <f t="shared" si="66"/>
        <v>178.70349999999999</v>
      </c>
      <c r="H411" s="522"/>
      <c r="I411" s="522"/>
      <c r="J411" s="522"/>
      <c r="K411" s="522"/>
      <c r="L411" s="522">
        <f t="shared" si="67"/>
        <v>75400.679015999995</v>
      </c>
      <c r="O411" s="455">
        <f t="shared" si="64"/>
        <v>3216.663</v>
      </c>
      <c r="P411" s="455">
        <f t="shared" si="65"/>
        <v>1357212.2222879999</v>
      </c>
    </row>
    <row r="412" spans="1:18">
      <c r="A412" s="528"/>
      <c r="B412" s="528" t="s">
        <v>702</v>
      </c>
      <c r="C412" s="522"/>
      <c r="D412" s="522"/>
      <c r="E412" s="522"/>
      <c r="F412" s="522"/>
      <c r="G412" s="522">
        <f t="shared" si="66"/>
        <v>70.139999999999986</v>
      </c>
      <c r="H412" s="522"/>
      <c r="I412" s="522"/>
      <c r="J412" s="522"/>
      <c r="K412" s="522"/>
      <c r="L412" s="522">
        <f t="shared" si="67"/>
        <v>24159.582719999999</v>
      </c>
      <c r="O412" s="455">
        <f t="shared" si="64"/>
        <v>1262.5199999999998</v>
      </c>
      <c r="P412" s="455">
        <f t="shared" si="65"/>
        <v>434872.48895999999</v>
      </c>
    </row>
    <row r="413" spans="1:18">
      <c r="A413" s="528"/>
      <c r="B413" s="528" t="s">
        <v>703</v>
      </c>
      <c r="C413" s="522"/>
      <c r="D413" s="522"/>
      <c r="E413" s="522"/>
      <c r="F413" s="522"/>
      <c r="G413" s="522">
        <f t="shared" si="66"/>
        <v>0</v>
      </c>
      <c r="H413" s="522"/>
      <c r="I413" s="522"/>
      <c r="J413" s="522"/>
      <c r="K413" s="522"/>
      <c r="L413" s="522">
        <f t="shared" si="67"/>
        <v>0</v>
      </c>
      <c r="O413" s="455">
        <f t="shared" si="64"/>
        <v>0</v>
      </c>
      <c r="P413" s="455">
        <f t="shared" si="65"/>
        <v>0</v>
      </c>
    </row>
    <row r="414" spans="1:18">
      <c r="A414" s="528"/>
      <c r="B414" s="528" t="s">
        <v>704</v>
      </c>
      <c r="C414" s="522"/>
      <c r="D414" s="522"/>
      <c r="E414" s="522"/>
      <c r="F414" s="522"/>
      <c r="G414" s="522">
        <f t="shared" si="66"/>
        <v>178.70349999999999</v>
      </c>
      <c r="H414" s="522"/>
      <c r="I414" s="522"/>
      <c r="J414" s="522"/>
      <c r="K414" s="522"/>
      <c r="L414" s="522">
        <f t="shared" si="67"/>
        <v>44790.833879999998</v>
      </c>
      <c r="O414" s="455">
        <f t="shared" si="64"/>
        <v>3216.663</v>
      </c>
      <c r="P414" s="455">
        <f t="shared" si="65"/>
        <v>806235.00983999996</v>
      </c>
    </row>
    <row r="415" spans="1:18">
      <c r="A415" s="528"/>
      <c r="B415" s="528" t="s">
        <v>706</v>
      </c>
      <c r="C415" s="522"/>
      <c r="D415" s="522"/>
      <c r="E415" s="522"/>
      <c r="F415" s="522"/>
      <c r="G415" s="522">
        <f t="shared" si="66"/>
        <v>70.139999999999986</v>
      </c>
      <c r="H415" s="522"/>
      <c r="I415" s="522"/>
      <c r="J415" s="522"/>
      <c r="K415" s="522"/>
      <c r="L415" s="522">
        <f t="shared" si="67"/>
        <v>16410.2562</v>
      </c>
      <c r="O415" s="455">
        <f t="shared" si="64"/>
        <v>1262.5199999999998</v>
      </c>
      <c r="P415" s="455">
        <f t="shared" si="65"/>
        <v>295384.6116</v>
      </c>
    </row>
    <row r="416" spans="1:18">
      <c r="A416" s="528"/>
      <c r="B416" s="528" t="s">
        <v>713</v>
      </c>
      <c r="C416" s="522"/>
      <c r="D416" s="522"/>
      <c r="E416" s="522"/>
      <c r="F416" s="522"/>
      <c r="G416" s="522">
        <f t="shared" si="66"/>
        <v>22.8</v>
      </c>
      <c r="H416" s="522"/>
      <c r="I416" s="522"/>
      <c r="J416" s="522"/>
      <c r="K416" s="522"/>
      <c r="L416" s="522">
        <f t="shared" si="67"/>
        <v>14955.140159999999</v>
      </c>
      <c r="O416" s="455">
        <f t="shared" si="64"/>
        <v>410.40000000000003</v>
      </c>
      <c r="P416" s="455">
        <f t="shared" si="65"/>
        <v>269192.52288</v>
      </c>
    </row>
    <row r="417" spans="1:22">
      <c r="A417" s="528"/>
      <c r="B417" s="528" t="s">
        <v>715</v>
      </c>
      <c r="C417" s="522"/>
      <c r="D417" s="522"/>
      <c r="E417" s="522"/>
      <c r="F417" s="522"/>
      <c r="G417" s="522">
        <f t="shared" si="66"/>
        <v>43</v>
      </c>
      <c r="H417" s="522"/>
      <c r="I417" s="522"/>
      <c r="J417" s="522"/>
      <c r="K417" s="522"/>
      <c r="L417" s="522">
        <f t="shared" si="67"/>
        <v>28204.869599999998</v>
      </c>
      <c r="O417" s="455">
        <f t="shared" si="64"/>
        <v>774</v>
      </c>
      <c r="P417" s="455">
        <f t="shared" si="65"/>
        <v>507687.65279999998</v>
      </c>
    </row>
    <row r="418" spans="1:22">
      <c r="A418" s="528"/>
      <c r="B418" s="528" t="s">
        <v>716</v>
      </c>
      <c r="C418" s="522"/>
      <c r="D418" s="522"/>
      <c r="E418" s="522"/>
      <c r="F418" s="522"/>
      <c r="G418" s="522">
        <f t="shared" si="66"/>
        <v>43</v>
      </c>
      <c r="H418" s="522"/>
      <c r="I418" s="522"/>
      <c r="J418" s="522"/>
      <c r="K418" s="522"/>
      <c r="L418" s="522">
        <f t="shared" si="67"/>
        <v>17158.823199999999</v>
      </c>
      <c r="O418" s="455">
        <f t="shared" si="64"/>
        <v>774</v>
      </c>
      <c r="P418" s="455">
        <f t="shared" si="65"/>
        <v>308858.81759999995</v>
      </c>
    </row>
    <row r="419" spans="1:22">
      <c r="A419" s="528"/>
      <c r="B419" s="528" t="s">
        <v>707</v>
      </c>
      <c r="C419" s="522"/>
      <c r="D419" s="522"/>
      <c r="E419" s="522"/>
      <c r="F419" s="522"/>
      <c r="G419" s="522">
        <f t="shared" si="66"/>
        <v>0</v>
      </c>
      <c r="H419" s="522"/>
      <c r="I419" s="522"/>
      <c r="J419" s="522"/>
      <c r="K419" s="522"/>
      <c r="L419" s="522">
        <f t="shared" si="67"/>
        <v>0</v>
      </c>
      <c r="O419" s="455">
        <f t="shared" si="64"/>
        <v>0</v>
      </c>
      <c r="P419" s="455">
        <f t="shared" si="65"/>
        <v>0</v>
      </c>
    </row>
    <row r="420" spans="1:22">
      <c r="A420" s="528"/>
      <c r="B420" s="528" t="s">
        <v>718</v>
      </c>
      <c r="C420" s="522"/>
      <c r="D420" s="522"/>
      <c r="E420" s="522"/>
      <c r="F420" s="522"/>
      <c r="G420" s="522">
        <f t="shared" si="66"/>
        <v>0.72</v>
      </c>
      <c r="H420" s="522"/>
      <c r="I420" s="522"/>
      <c r="J420" s="522"/>
      <c r="K420" s="522"/>
      <c r="L420" s="522">
        <f t="shared" si="67"/>
        <v>4557.36384</v>
      </c>
      <c r="O420" s="455">
        <f t="shared" si="64"/>
        <v>12.959999999999999</v>
      </c>
      <c r="P420" s="455">
        <f t="shared" si="65"/>
        <v>82032.549119999996</v>
      </c>
    </row>
    <row r="421" spans="1:22">
      <c r="A421" s="528"/>
      <c r="B421" s="528" t="s">
        <v>755</v>
      </c>
      <c r="C421" s="522"/>
      <c r="D421" s="522"/>
      <c r="E421" s="522"/>
      <c r="F421" s="522"/>
      <c r="G421" s="522">
        <f t="shared" si="66"/>
        <v>5.5260000000000007</v>
      </c>
      <c r="H421" s="522"/>
      <c r="I421" s="522"/>
      <c r="J421" s="522"/>
      <c r="K421" s="522"/>
      <c r="L421" s="522">
        <f t="shared" si="67"/>
        <v>6263.4402792000001</v>
      </c>
      <c r="O421" s="455">
        <f t="shared" si="64"/>
        <v>99.468000000000018</v>
      </c>
      <c r="P421" s="455">
        <f t="shared" si="65"/>
        <v>112741.92502560001</v>
      </c>
    </row>
    <row r="422" spans="1:22">
      <c r="A422" s="528"/>
      <c r="B422" s="528" t="s">
        <v>747</v>
      </c>
      <c r="C422" s="522"/>
      <c r="D422" s="522"/>
      <c r="E422" s="522"/>
      <c r="F422" s="522"/>
      <c r="G422" s="522">
        <f t="shared" si="66"/>
        <v>3.52</v>
      </c>
      <c r="H422" s="522"/>
      <c r="I422" s="522"/>
      <c r="J422" s="522"/>
      <c r="K422" s="522"/>
      <c r="L422" s="522">
        <f t="shared" si="67"/>
        <v>25741.050368000004</v>
      </c>
      <c r="O422" s="455">
        <f t="shared" si="64"/>
        <v>63.36</v>
      </c>
      <c r="P422" s="455">
        <f t="shared" si="65"/>
        <v>463338.90662400005</v>
      </c>
    </row>
    <row r="423" spans="1:22">
      <c r="A423" s="528"/>
      <c r="B423" s="528" t="s">
        <v>666</v>
      </c>
      <c r="C423" s="522"/>
      <c r="D423" s="522"/>
      <c r="E423" s="522"/>
      <c r="F423" s="522"/>
      <c r="G423" s="522">
        <f t="shared" si="66"/>
        <v>2.62</v>
      </c>
      <c r="H423" s="522"/>
      <c r="I423" s="522"/>
      <c r="J423" s="522"/>
      <c r="K423" s="522"/>
      <c r="L423" s="522">
        <f t="shared" si="67"/>
        <v>19159.531808000003</v>
      </c>
      <c r="O423" s="455">
        <f t="shared" si="64"/>
        <v>47.160000000000004</v>
      </c>
      <c r="P423" s="455">
        <f t="shared" si="65"/>
        <v>344871.57254400005</v>
      </c>
    </row>
    <row r="424" spans="1:22" ht="13.8" thickBot="1">
      <c r="A424" s="528"/>
      <c r="B424" s="528"/>
      <c r="C424" s="522"/>
      <c r="D424" s="522"/>
      <c r="E424" s="522"/>
      <c r="F424" s="522"/>
      <c r="G424" s="525">
        <f>SUM(G408:G423)</f>
        <v>794.2149999999998</v>
      </c>
      <c r="H424" s="522"/>
      <c r="I424" s="522"/>
      <c r="J424" s="522"/>
      <c r="K424" s="525" t="s">
        <v>442</v>
      </c>
      <c r="L424" s="525">
        <f>SUM(L408:L423)</f>
        <v>459708.56919119996</v>
      </c>
      <c r="O424" s="525">
        <f t="shared" si="64"/>
        <v>14295.869999999997</v>
      </c>
      <c r="P424" s="525">
        <f t="shared" si="65"/>
        <v>8274754.2454415988</v>
      </c>
    </row>
    <row r="425" spans="1:22">
      <c r="A425" s="528"/>
      <c r="B425" s="528" t="s">
        <v>756</v>
      </c>
      <c r="C425" s="522"/>
      <c r="D425" s="522"/>
      <c r="E425" s="522"/>
      <c r="F425" s="522"/>
      <c r="G425" s="522">
        <f>Doors!E33</f>
        <v>6</v>
      </c>
      <c r="H425" s="522"/>
      <c r="I425" s="522"/>
      <c r="J425" s="522"/>
      <c r="K425" s="522"/>
      <c r="L425" s="522">
        <f>Doors!J33</f>
        <v>112000</v>
      </c>
    </row>
    <row r="426" spans="1:22">
      <c r="A426" s="528"/>
      <c r="B426" s="528" t="s">
        <v>391</v>
      </c>
      <c r="C426" s="522"/>
      <c r="D426" s="522"/>
      <c r="E426" s="522"/>
      <c r="F426" s="522"/>
      <c r="G426" s="522">
        <f>Windows!H36</f>
        <v>22.829999999999995</v>
      </c>
      <c r="H426" s="522"/>
      <c r="I426" s="522"/>
      <c r="J426" s="522"/>
      <c r="K426" s="522"/>
      <c r="L426" s="522">
        <f>Windows!N36</f>
        <v>177908.166</v>
      </c>
    </row>
    <row r="427" spans="1:22" ht="13.8" thickBot="1">
      <c r="A427" s="528"/>
      <c r="B427" s="528"/>
      <c r="C427" s="522"/>
      <c r="D427" s="522"/>
      <c r="E427" s="522"/>
      <c r="F427" s="522"/>
      <c r="G427" s="522"/>
      <c r="H427" s="522"/>
      <c r="I427" s="522"/>
      <c r="J427" s="522"/>
      <c r="K427" s="525" t="s">
        <v>442</v>
      </c>
      <c r="L427" s="525">
        <f>SUM(L425:L426)</f>
        <v>289908.16599999997</v>
      </c>
    </row>
    <row r="428" spans="1:22" ht="13.8" thickBot="1">
      <c r="A428" s="528"/>
      <c r="B428" s="528"/>
      <c r="C428" s="522"/>
      <c r="D428" s="522"/>
      <c r="E428" s="522"/>
      <c r="F428" s="522"/>
      <c r="G428" s="522"/>
      <c r="H428" s="522"/>
      <c r="I428" s="522"/>
      <c r="J428" s="522"/>
      <c r="K428" s="525" t="s">
        <v>757</v>
      </c>
      <c r="L428" s="525">
        <f>L424+L427</f>
        <v>749616.73519119993</v>
      </c>
    </row>
    <row r="429" spans="1:22" s="474" customFormat="1" ht="13.5" customHeight="1">
      <c r="A429" s="465" t="s">
        <v>628</v>
      </c>
      <c r="B429" s="466" t="str">
        <f>'Flat Sizes'!B38</f>
        <v>Flat 3A,
2BHK</v>
      </c>
      <c r="C429" s="456"/>
      <c r="D429" s="456"/>
      <c r="E429" s="456"/>
      <c r="F429" s="456"/>
      <c r="G429" s="456"/>
      <c r="H429" s="456"/>
      <c r="I429" s="456"/>
      <c r="J429" s="456"/>
      <c r="K429" s="456"/>
      <c r="L429" s="456"/>
      <c r="M429" s="471"/>
      <c r="N429" s="472">
        <f>'Flat Sizes'!H38</f>
        <v>3</v>
      </c>
      <c r="O429" s="459"/>
      <c r="P429" s="459"/>
      <c r="Q429" s="473"/>
      <c r="S429" s="473"/>
      <c r="T429" s="473"/>
      <c r="U429" s="473"/>
      <c r="V429" s="473"/>
    </row>
    <row r="430" spans="1:22" s="479" customFormat="1" ht="13.5" customHeight="1">
      <c r="A430" s="475" t="s">
        <v>628</v>
      </c>
      <c r="B430" s="476" t="str">
        <f>'Flat Sizes'!B39</f>
        <v>Living, Dining &amp; Passage</v>
      </c>
      <c r="C430" s="477">
        <f>'Flat Sizes'!D39</f>
        <v>28.59</v>
      </c>
      <c r="D430" s="477">
        <f>'Flat Sizes'!G39</f>
        <v>29.11</v>
      </c>
      <c r="E430" s="477"/>
      <c r="F430" s="454"/>
      <c r="G430" s="477"/>
      <c r="H430" s="477"/>
      <c r="I430" s="477"/>
      <c r="J430" s="477"/>
      <c r="K430" s="477"/>
      <c r="L430" s="477"/>
      <c r="M430" s="459">
        <f>SUM(L431:L442)/C430/10.764</f>
        <v>372.80337420773122</v>
      </c>
      <c r="N430" s="478"/>
      <c r="O430" s="455"/>
      <c r="P430" s="455"/>
      <c r="Q430" s="478"/>
    </row>
    <row r="431" spans="1:22">
      <c r="A431" s="454"/>
      <c r="B431" s="454" t="str" cm="1">
        <f t="array" ref="B431:B442">'Rate List - Flats'!B6:B17</f>
        <v>Flooring</v>
      </c>
      <c r="C431" s="456"/>
      <c r="D431" s="456"/>
      <c r="E431" s="456">
        <f>C430</f>
        <v>28.59</v>
      </c>
      <c r="F431" s="456"/>
      <c r="G431" s="456">
        <f t="shared" ref="G431:G496" si="68">E431+F431</f>
        <v>28.59</v>
      </c>
      <c r="H431" s="456" t="str" cm="1">
        <f t="array" ref="H431:H442">'Rate List - Flats'!H6:H17</f>
        <v>Sq M</v>
      </c>
      <c r="I431" s="456" t="str" cm="1">
        <f t="array" ref="I431:I442">'Rate List - Flats'!C6:C17</f>
        <v>2'x2' Vitrified tiles</v>
      </c>
      <c r="J431" s="456" cm="1">
        <f t="array" ref="J431:J442">'Rate List - Flats'!E6:E17</f>
        <v>45</v>
      </c>
      <c r="K431" s="456" cm="1">
        <f t="array" ref="K431:K442">'Rate List - Flats'!G6:G17</f>
        <v>1340.1179999999999</v>
      </c>
      <c r="L431" s="456">
        <f t="shared" ref="L431:L496" si="69">G431*K431</f>
        <v>38313.973619999997</v>
      </c>
      <c r="O431" s="455">
        <f>IF(I431="N.A",0,G431*$N$429)</f>
        <v>85.77</v>
      </c>
      <c r="P431" s="455">
        <f>L431*$N$429</f>
        <v>114941.92085999998</v>
      </c>
      <c r="R431" s="480" t="s">
        <v>659</v>
      </c>
    </row>
    <row r="432" spans="1:22">
      <c r="A432" s="454"/>
      <c r="B432" s="454" t="str">
        <v>Skirting</v>
      </c>
      <c r="C432" s="456"/>
      <c r="D432" s="456"/>
      <c r="E432" s="456">
        <f>D430</f>
        <v>29.11</v>
      </c>
      <c r="F432" s="456">
        <f>-(Doors!F35+Doors!F36+Doors!F38+Doors!F40)</f>
        <v>-3.9</v>
      </c>
      <c r="G432" s="456">
        <f t="shared" si="68"/>
        <v>25.21</v>
      </c>
      <c r="H432" s="456" t="str">
        <v>RM</v>
      </c>
      <c r="I432" s="456" t="str">
        <v xml:space="preserve">2'x2' Vitrified tiles </v>
      </c>
      <c r="J432" s="456">
        <v>45</v>
      </c>
      <c r="K432" s="456">
        <v>391.96</v>
      </c>
      <c r="L432" s="456">
        <f t="shared" si="69"/>
        <v>9881.3115999999991</v>
      </c>
      <c r="O432" s="455">
        <f t="shared" ref="O432:O442" si="70">IF(I432="N.A",0,G432*$N$429)</f>
        <v>75.63</v>
      </c>
      <c r="P432" s="455">
        <f t="shared" ref="P432:P442" si="71">L432*$N$429</f>
        <v>29643.934799999995</v>
      </c>
      <c r="R432" s="480" t="s">
        <v>660</v>
      </c>
    </row>
    <row r="433" spans="1:18">
      <c r="A433" s="454"/>
      <c r="B433" s="454" t="str">
        <v>Dado</v>
      </c>
      <c r="C433" s="456"/>
      <c r="D433" s="456"/>
      <c r="E433" s="456"/>
      <c r="F433" s="456"/>
      <c r="G433" s="456">
        <f t="shared" si="68"/>
        <v>0</v>
      </c>
      <c r="H433" s="456" t="str">
        <v>Sq M</v>
      </c>
      <c r="I433" s="456" t="str">
        <v>N.A.</v>
      </c>
      <c r="J433" s="456">
        <v>0</v>
      </c>
      <c r="K433" s="456">
        <v>0</v>
      </c>
      <c r="L433" s="456">
        <f t="shared" si="69"/>
        <v>0</v>
      </c>
      <c r="O433" s="455">
        <f t="shared" si="70"/>
        <v>0</v>
      </c>
      <c r="P433" s="455">
        <f t="shared" si="71"/>
        <v>0</v>
      </c>
      <c r="R433" s="480"/>
    </row>
    <row r="434" spans="1:18">
      <c r="A434" s="454"/>
      <c r="B434" s="454" t="str">
        <v>Wall finishes plaster</v>
      </c>
      <c r="C434" s="456"/>
      <c r="D434" s="456"/>
      <c r="E434" s="456">
        <f>D430*(D1-0.15)</f>
        <v>85.874499999999998</v>
      </c>
      <c r="F434" s="456">
        <f>-(Doors!H35+Doors!H36+Doors!H38+Doors!H40+Windows!H38)</f>
        <v>-14.145500000000002</v>
      </c>
      <c r="G434" s="456">
        <f t="shared" si="68"/>
        <v>71.728999999999999</v>
      </c>
      <c r="H434" s="456" t="str">
        <v>Sq M</v>
      </c>
      <c r="I434" s="456" t="str">
        <v>Gypsum Plaster</v>
      </c>
      <c r="J434" s="456">
        <v>32</v>
      </c>
      <c r="K434" s="456">
        <v>344.44799999999998</v>
      </c>
      <c r="L434" s="456">
        <f t="shared" si="69"/>
        <v>24706.910591999997</v>
      </c>
      <c r="O434" s="455">
        <f t="shared" si="70"/>
        <v>215.18700000000001</v>
      </c>
      <c r="P434" s="455">
        <f t="shared" si="71"/>
        <v>74120.731775999986</v>
      </c>
      <c r="R434" s="480" t="s">
        <v>661</v>
      </c>
    </row>
    <row r="435" spans="1:18">
      <c r="A435" s="454"/>
      <c r="B435" s="454" t="str">
        <v>Ceiling plaster</v>
      </c>
      <c r="C435" s="456"/>
      <c r="D435" s="456"/>
      <c r="E435" s="456">
        <f>E431</f>
        <v>28.59</v>
      </c>
      <c r="F435" s="456"/>
      <c r="G435" s="456">
        <f t="shared" si="68"/>
        <v>28.59</v>
      </c>
      <c r="H435" s="456" t="str">
        <v>Sq M</v>
      </c>
      <c r="I435" s="456" t="str">
        <v>Gypsum Plaster</v>
      </c>
      <c r="J435" s="456">
        <v>32</v>
      </c>
      <c r="K435" s="456">
        <v>344.44799999999998</v>
      </c>
      <c r="L435" s="456">
        <f t="shared" si="69"/>
        <v>9847.7683199999992</v>
      </c>
      <c r="O435" s="455">
        <f t="shared" si="70"/>
        <v>85.77</v>
      </c>
      <c r="P435" s="455">
        <f t="shared" si="71"/>
        <v>29543.304959999998</v>
      </c>
      <c r="R435" s="480" t="s">
        <v>662</v>
      </c>
    </row>
    <row r="436" spans="1:18">
      <c r="A436" s="454"/>
      <c r="B436" s="454" t="str">
        <v>False ceiling</v>
      </c>
      <c r="C436" s="456"/>
      <c r="D436" s="456"/>
      <c r="E436" s="456"/>
      <c r="F436" s="456"/>
      <c r="G436" s="456">
        <f t="shared" si="68"/>
        <v>0</v>
      </c>
      <c r="H436" s="456" t="str">
        <v>Sq M</v>
      </c>
      <c r="I436" s="456" t="str">
        <v>N.A.</v>
      </c>
      <c r="J436" s="456">
        <v>0</v>
      </c>
      <c r="K436" s="456">
        <v>0</v>
      </c>
      <c r="L436" s="456">
        <f t="shared" si="69"/>
        <v>0</v>
      </c>
      <c r="O436" s="455">
        <f t="shared" si="70"/>
        <v>0</v>
      </c>
      <c r="P436" s="455">
        <f t="shared" si="71"/>
        <v>0</v>
      </c>
      <c r="R436" s="480"/>
    </row>
    <row r="437" spans="1:18">
      <c r="A437" s="454"/>
      <c r="B437" s="454" t="str">
        <v>Wall finishes Paint</v>
      </c>
      <c r="C437" s="456"/>
      <c r="D437" s="456"/>
      <c r="E437" s="456">
        <f>E434</f>
        <v>85.874499999999998</v>
      </c>
      <c r="F437" s="456">
        <f>F434</f>
        <v>-14.145500000000002</v>
      </c>
      <c r="G437" s="456">
        <f t="shared" si="68"/>
        <v>71.728999999999999</v>
      </c>
      <c r="H437" s="456" t="str">
        <v>Sq M</v>
      </c>
      <c r="I437" s="456" t="str">
        <v>Plastic paint</v>
      </c>
      <c r="J437" s="456">
        <v>20</v>
      </c>
      <c r="K437" s="456">
        <v>215.27999999999997</v>
      </c>
      <c r="L437" s="456">
        <f t="shared" si="69"/>
        <v>15441.819119999998</v>
      </c>
      <c r="O437" s="455">
        <f t="shared" si="70"/>
        <v>215.18700000000001</v>
      </c>
      <c r="P437" s="455">
        <f t="shared" si="71"/>
        <v>46325.457359999993</v>
      </c>
      <c r="R437" s="480" t="s">
        <v>663</v>
      </c>
    </row>
    <row r="438" spans="1:18">
      <c r="A438" s="454"/>
      <c r="B438" s="454" t="str">
        <v>Ceiling Paint</v>
      </c>
      <c r="C438" s="456"/>
      <c r="D438" s="456"/>
      <c r="E438" s="456">
        <f>E435</f>
        <v>28.59</v>
      </c>
      <c r="F438" s="456"/>
      <c r="G438" s="456">
        <f t="shared" si="68"/>
        <v>28.59</v>
      </c>
      <c r="H438" s="456" t="str">
        <v>Sq M</v>
      </c>
      <c r="I438" s="456" t="str">
        <v>Plastic paint</v>
      </c>
      <c r="J438" s="456">
        <v>20</v>
      </c>
      <c r="K438" s="456">
        <v>215.27999999999997</v>
      </c>
      <c r="L438" s="456">
        <f t="shared" si="69"/>
        <v>6154.8551999999991</v>
      </c>
      <c r="O438" s="455">
        <f t="shared" si="70"/>
        <v>85.77</v>
      </c>
      <c r="P438" s="455">
        <f t="shared" si="71"/>
        <v>18464.565599999998</v>
      </c>
      <c r="R438" s="480" t="s">
        <v>664</v>
      </c>
    </row>
    <row r="439" spans="1:18">
      <c r="A439" s="454"/>
      <c r="B439" s="454" t="str">
        <v>Door Frames</v>
      </c>
      <c r="C439" s="456"/>
      <c r="D439" s="456"/>
      <c r="E439" s="456"/>
      <c r="F439" s="456"/>
      <c r="G439" s="456">
        <f t="shared" si="68"/>
        <v>0</v>
      </c>
      <c r="H439" s="456" t="str">
        <v>RM</v>
      </c>
      <c r="I439" s="456" t="str">
        <v>N.A.</v>
      </c>
      <c r="J439" s="456">
        <v>0</v>
      </c>
      <c r="K439" s="456">
        <v>0</v>
      </c>
      <c r="L439" s="456">
        <f t="shared" si="69"/>
        <v>0</v>
      </c>
      <c r="O439" s="455">
        <f t="shared" si="70"/>
        <v>0</v>
      </c>
      <c r="P439" s="455">
        <f t="shared" si="71"/>
        <v>0</v>
      </c>
      <c r="R439" s="480" t="s">
        <v>742</v>
      </c>
    </row>
    <row r="440" spans="1:18">
      <c r="A440" s="454"/>
      <c r="B440" s="454" t="str">
        <v>Window Frames - Internal</v>
      </c>
      <c r="C440" s="456"/>
      <c r="D440" s="456"/>
      <c r="E440" s="456">
        <f>Windows!F38*2+Windows!G38*2</f>
        <v>9.84</v>
      </c>
      <c r="F440" s="456"/>
      <c r="G440" s="456">
        <f t="shared" si="68"/>
        <v>9.84</v>
      </c>
      <c r="H440" s="456" t="str">
        <v>RM</v>
      </c>
      <c r="I440" s="456" t="str">
        <v>Granite Window Frame</v>
      </c>
      <c r="J440" s="456">
        <v>180</v>
      </c>
      <c r="K440" s="456">
        <v>655.92719999999997</v>
      </c>
      <c r="L440" s="456">
        <f t="shared" si="69"/>
        <v>6454.3236479999996</v>
      </c>
      <c r="O440" s="455">
        <f t="shared" si="70"/>
        <v>29.52</v>
      </c>
      <c r="P440" s="455">
        <f t="shared" si="71"/>
        <v>19362.970944000001</v>
      </c>
      <c r="R440" s="480" t="s">
        <v>743</v>
      </c>
    </row>
    <row r="441" spans="1:18">
      <c r="A441" s="454"/>
      <c r="B441" s="454" t="str">
        <v>Window Frames - External</v>
      </c>
      <c r="C441" s="456"/>
      <c r="D441" s="456"/>
      <c r="E441" s="456">
        <f>E440</f>
        <v>9.84</v>
      </c>
      <c r="F441" s="456"/>
      <c r="G441" s="456">
        <f t="shared" si="68"/>
        <v>9.84</v>
      </c>
      <c r="H441" s="456" t="str">
        <v>RM</v>
      </c>
      <c r="I441" s="456" t="str">
        <v>Marble Window Frames with Sill</v>
      </c>
      <c r="J441" s="456">
        <v>60</v>
      </c>
      <c r="K441" s="456">
        <v>399.04239999999999</v>
      </c>
      <c r="L441" s="456">
        <f t="shared" si="69"/>
        <v>3926.5772159999997</v>
      </c>
      <c r="O441" s="455">
        <f t="shared" si="70"/>
        <v>29.52</v>
      </c>
      <c r="P441" s="455">
        <f t="shared" si="71"/>
        <v>11779.731647999999</v>
      </c>
      <c r="R441" s="480" t="s">
        <v>409</v>
      </c>
    </row>
    <row r="442" spans="1:18">
      <c r="A442" s="454"/>
      <c r="B442" s="454" t="str">
        <v>Others</v>
      </c>
      <c r="C442" s="456"/>
      <c r="D442" s="456"/>
      <c r="E442" s="456"/>
      <c r="F442" s="456"/>
      <c r="G442" s="456">
        <f t="shared" si="68"/>
        <v>0</v>
      </c>
      <c r="H442" s="456" t="str">
        <v>-</v>
      </c>
      <c r="I442" s="456" t="str">
        <v>N.A.</v>
      </c>
      <c r="J442" s="456" t="str">
        <v>-</v>
      </c>
      <c r="K442" s="456" t="str">
        <v>-</v>
      </c>
      <c r="L442" s="456"/>
      <c r="O442" s="455">
        <f t="shared" si="70"/>
        <v>0</v>
      </c>
      <c r="P442" s="455">
        <f t="shared" si="71"/>
        <v>0</v>
      </c>
    </row>
    <row r="443" spans="1:18" s="479" customFormat="1" ht="13.5" customHeight="1">
      <c r="A443" s="475" t="s">
        <v>628</v>
      </c>
      <c r="B443" s="476" t="str">
        <f>'Flat Sizes'!B40</f>
        <v>M. Bedroom</v>
      </c>
      <c r="C443" s="477">
        <f>'Flat Sizes'!D40</f>
        <v>11.26</v>
      </c>
      <c r="D443" s="477">
        <f>'Flat Sizes'!G40</f>
        <v>13.29</v>
      </c>
      <c r="E443" s="477"/>
      <c r="F443" s="454"/>
      <c r="G443" s="477"/>
      <c r="H443" s="477"/>
      <c r="I443" s="477"/>
      <c r="J443" s="477"/>
      <c r="K443" s="477"/>
      <c r="L443" s="477"/>
      <c r="M443" s="459">
        <f>SUM(L444:L455)/C443/10.764</f>
        <v>439.43685074846553</v>
      </c>
      <c r="N443" s="478"/>
      <c r="O443" s="455"/>
      <c r="P443" s="455"/>
      <c r="Q443" s="478"/>
    </row>
    <row r="444" spans="1:18">
      <c r="A444" s="454"/>
      <c r="B444" s="454" t="str" cm="1">
        <f t="array" ref="B444:B455">'Rate List - Flats'!B34:B45</f>
        <v>Flooring</v>
      </c>
      <c r="C444" s="456"/>
      <c r="D444" s="456"/>
      <c r="E444" s="456">
        <f>C443</f>
        <v>11.26</v>
      </c>
      <c r="F444" s="456"/>
      <c r="G444" s="456">
        <f t="shared" si="68"/>
        <v>11.26</v>
      </c>
      <c r="H444" s="456" t="str" cm="1">
        <f t="array" ref="H444:H455">'Rate List - Flats'!H34:H45</f>
        <v>Sq M</v>
      </c>
      <c r="I444" s="456" t="str" cm="1">
        <f t="array" ref="I444:I455">'Rate List - Flats'!C34:C45</f>
        <v>2'x2' Vitrified tiles</v>
      </c>
      <c r="J444" s="456" cm="1">
        <f t="array" ref="J444:J455">'Rate List - Flats'!E34:E45</f>
        <v>45</v>
      </c>
      <c r="K444" s="456" cm="1">
        <f t="array" ref="K444:K455">'Rate List - Flats'!G34:G45</f>
        <v>1340.1179999999999</v>
      </c>
      <c r="L444" s="456">
        <f t="shared" si="69"/>
        <v>15089.728679999998</v>
      </c>
      <c r="O444" s="455">
        <f t="shared" ref="O444:O455" si="72">IF(I444="N.A",0,G444*$N$429)</f>
        <v>33.78</v>
      </c>
      <c r="P444" s="455">
        <f t="shared" ref="P444:P455" si="73">L444*$N$429</f>
        <v>45269.186039999993</v>
      </c>
      <c r="R444" s="480" t="s">
        <v>659</v>
      </c>
    </row>
    <row r="445" spans="1:18">
      <c r="A445" s="454"/>
      <c r="B445" s="454" t="str">
        <v>Skirting</v>
      </c>
      <c r="C445" s="456"/>
      <c r="D445" s="456"/>
      <c r="E445" s="456">
        <f>D443</f>
        <v>13.29</v>
      </c>
      <c r="F445" s="456">
        <f>-(Doors!F36+Doors!F37)</f>
        <v>-1.65</v>
      </c>
      <c r="G445" s="456">
        <f t="shared" si="68"/>
        <v>11.639999999999999</v>
      </c>
      <c r="H445" s="456" t="str">
        <v>RM</v>
      </c>
      <c r="I445" s="456" t="str">
        <v xml:space="preserve">2'x2' Vitrified tiles </v>
      </c>
      <c r="J445" s="456">
        <v>45</v>
      </c>
      <c r="K445" s="456">
        <v>391.96</v>
      </c>
      <c r="L445" s="456">
        <f t="shared" si="69"/>
        <v>4562.4143999999997</v>
      </c>
      <c r="O445" s="455">
        <f t="shared" si="72"/>
        <v>34.919999999999995</v>
      </c>
      <c r="P445" s="455">
        <f t="shared" si="73"/>
        <v>13687.243199999999</v>
      </c>
      <c r="R445" s="480" t="s">
        <v>660</v>
      </c>
    </row>
    <row r="446" spans="1:18">
      <c r="A446" s="454"/>
      <c r="B446" s="454" t="str">
        <v>Dado</v>
      </c>
      <c r="C446" s="456"/>
      <c r="D446" s="456"/>
      <c r="E446" s="456"/>
      <c r="F446" s="456"/>
      <c r="G446" s="456">
        <f t="shared" si="68"/>
        <v>0</v>
      </c>
      <c r="H446" s="456" t="str">
        <v>Sq M</v>
      </c>
      <c r="I446" s="456" t="str">
        <v>N.A.</v>
      </c>
      <c r="J446" s="456">
        <v>0</v>
      </c>
      <c r="K446" s="456">
        <v>0</v>
      </c>
      <c r="L446" s="456">
        <f t="shared" si="69"/>
        <v>0</v>
      </c>
      <c r="O446" s="455">
        <f t="shared" si="72"/>
        <v>0</v>
      </c>
      <c r="P446" s="455">
        <f t="shared" si="73"/>
        <v>0</v>
      </c>
      <c r="R446" s="480"/>
    </row>
    <row r="447" spans="1:18">
      <c r="A447" s="454"/>
      <c r="B447" s="454" t="str">
        <v>Wall finishes plaster</v>
      </c>
      <c r="C447" s="456"/>
      <c r="D447" s="456"/>
      <c r="E447" s="456">
        <f>D443*(D1-0.15)</f>
        <v>39.205500000000001</v>
      </c>
      <c r="F447" s="456">
        <f>-(Doors!H36+Doors!H37+Windows!H39)</f>
        <v>-10.022499999999999</v>
      </c>
      <c r="G447" s="456">
        <f t="shared" si="68"/>
        <v>29.183</v>
      </c>
      <c r="H447" s="456" t="str">
        <v>Sq M</v>
      </c>
      <c r="I447" s="456" t="str">
        <v>Gypsum Plaster</v>
      </c>
      <c r="J447" s="456">
        <v>32</v>
      </c>
      <c r="K447" s="456">
        <v>344.44799999999998</v>
      </c>
      <c r="L447" s="456">
        <f t="shared" si="69"/>
        <v>10052.025984</v>
      </c>
      <c r="O447" s="455">
        <f t="shared" si="72"/>
        <v>87.549000000000007</v>
      </c>
      <c r="P447" s="455">
        <f t="shared" si="73"/>
        <v>30156.077952</v>
      </c>
      <c r="R447" s="480" t="s">
        <v>661</v>
      </c>
    </row>
    <row r="448" spans="1:18">
      <c r="A448" s="454"/>
      <c r="B448" s="454" t="str">
        <v>Ceiling plaster</v>
      </c>
      <c r="C448" s="456"/>
      <c r="D448" s="456"/>
      <c r="E448" s="456">
        <f>E444</f>
        <v>11.26</v>
      </c>
      <c r="F448" s="456"/>
      <c r="G448" s="456">
        <f t="shared" si="68"/>
        <v>11.26</v>
      </c>
      <c r="H448" s="456" t="str">
        <v>Sq M</v>
      </c>
      <c r="I448" s="456" t="str">
        <v>Gypsum Plaster</v>
      </c>
      <c r="J448" s="456">
        <v>32</v>
      </c>
      <c r="K448" s="456">
        <v>344.44799999999998</v>
      </c>
      <c r="L448" s="456">
        <f t="shared" si="69"/>
        <v>3878.4844799999996</v>
      </c>
      <c r="O448" s="455">
        <f t="shared" si="72"/>
        <v>33.78</v>
      </c>
      <c r="P448" s="455">
        <f t="shared" si="73"/>
        <v>11635.453439999999</v>
      </c>
      <c r="R448" s="480" t="s">
        <v>662</v>
      </c>
    </row>
    <row r="449" spans="1:18">
      <c r="A449" s="454"/>
      <c r="B449" s="454" t="str">
        <v>False ceiling</v>
      </c>
      <c r="C449" s="456"/>
      <c r="D449" s="456"/>
      <c r="E449" s="456"/>
      <c r="F449" s="456"/>
      <c r="G449" s="456">
        <f t="shared" si="68"/>
        <v>0</v>
      </c>
      <c r="H449" s="456" t="str">
        <v>Sq M</v>
      </c>
      <c r="I449" s="456" t="str">
        <v>N.A.</v>
      </c>
      <c r="J449" s="456">
        <v>0</v>
      </c>
      <c r="K449" s="456">
        <v>0</v>
      </c>
      <c r="L449" s="456">
        <f t="shared" si="69"/>
        <v>0</v>
      </c>
      <c r="O449" s="455">
        <f t="shared" si="72"/>
        <v>0</v>
      </c>
      <c r="P449" s="455">
        <f t="shared" si="73"/>
        <v>0</v>
      </c>
      <c r="R449" s="480"/>
    </row>
    <row r="450" spans="1:18">
      <c r="A450" s="454"/>
      <c r="B450" s="454" t="str">
        <v>Wall finishes Paint</v>
      </c>
      <c r="C450" s="456"/>
      <c r="D450" s="456"/>
      <c r="E450" s="456">
        <f>E447</f>
        <v>39.205500000000001</v>
      </c>
      <c r="F450" s="456">
        <f>F447</f>
        <v>-10.022499999999999</v>
      </c>
      <c r="G450" s="456">
        <f t="shared" si="68"/>
        <v>29.183</v>
      </c>
      <c r="H450" s="456" t="str">
        <v>Sq M</v>
      </c>
      <c r="I450" s="456" t="str">
        <v>Plastic paint</v>
      </c>
      <c r="J450" s="456">
        <v>20</v>
      </c>
      <c r="K450" s="456">
        <v>215.27999999999997</v>
      </c>
      <c r="L450" s="456">
        <f t="shared" si="69"/>
        <v>6282.516239999999</v>
      </c>
      <c r="O450" s="455">
        <f t="shared" si="72"/>
        <v>87.549000000000007</v>
      </c>
      <c r="P450" s="455">
        <f t="shared" si="73"/>
        <v>18847.548719999999</v>
      </c>
      <c r="R450" s="480" t="s">
        <v>663</v>
      </c>
    </row>
    <row r="451" spans="1:18">
      <c r="A451" s="454"/>
      <c r="B451" s="454" t="str">
        <v>Ceiling Paint</v>
      </c>
      <c r="C451" s="456"/>
      <c r="D451" s="456"/>
      <c r="E451" s="456">
        <f>E448</f>
        <v>11.26</v>
      </c>
      <c r="F451" s="456"/>
      <c r="G451" s="456">
        <f t="shared" si="68"/>
        <v>11.26</v>
      </c>
      <c r="H451" s="456" t="str">
        <v>Sq M</v>
      </c>
      <c r="I451" s="456" t="str">
        <v>Plastic paint</v>
      </c>
      <c r="J451" s="456">
        <v>20</v>
      </c>
      <c r="K451" s="456">
        <v>215.27999999999997</v>
      </c>
      <c r="L451" s="456">
        <f t="shared" si="69"/>
        <v>2424.0527999999995</v>
      </c>
      <c r="O451" s="455">
        <f t="shared" si="72"/>
        <v>33.78</v>
      </c>
      <c r="P451" s="455">
        <f t="shared" si="73"/>
        <v>7272.1583999999984</v>
      </c>
      <c r="R451" s="480" t="s">
        <v>664</v>
      </c>
    </row>
    <row r="452" spans="1:18">
      <c r="A452" s="454"/>
      <c r="B452" s="454" t="str">
        <v>Door Frames</v>
      </c>
      <c r="C452" s="456"/>
      <c r="D452" s="456"/>
      <c r="E452" s="456"/>
      <c r="F452" s="456"/>
      <c r="G452" s="456">
        <f t="shared" si="68"/>
        <v>0</v>
      </c>
      <c r="H452" s="456" t="str">
        <v>RM</v>
      </c>
      <c r="I452" s="456" t="str">
        <v>N.A.</v>
      </c>
      <c r="J452" s="456">
        <v>0</v>
      </c>
      <c r="K452" s="456">
        <v>0</v>
      </c>
      <c r="L452" s="456">
        <f t="shared" si="69"/>
        <v>0</v>
      </c>
      <c r="O452" s="455">
        <f t="shared" si="72"/>
        <v>0</v>
      </c>
      <c r="P452" s="455">
        <f t="shared" si="73"/>
        <v>0</v>
      </c>
      <c r="R452" s="480"/>
    </row>
    <row r="453" spans="1:18">
      <c r="A453" s="454"/>
      <c r="B453" s="454" t="str">
        <v>Window Frames - Internal</v>
      </c>
      <c r="C453" s="456"/>
      <c r="D453" s="456"/>
      <c r="E453" s="456">
        <f>Windows!F39*2+Windows!G39*2</f>
        <v>10.399999999999999</v>
      </c>
      <c r="F453" s="456"/>
      <c r="G453" s="456">
        <f t="shared" si="68"/>
        <v>10.399999999999999</v>
      </c>
      <c r="H453" s="456" t="str">
        <v>RM</v>
      </c>
      <c r="I453" s="456" t="str">
        <v>Granite Window Frame</v>
      </c>
      <c r="J453" s="456">
        <v>180</v>
      </c>
      <c r="K453" s="456">
        <v>655.92719999999997</v>
      </c>
      <c r="L453" s="456">
        <f t="shared" si="69"/>
        <v>6821.6428799999985</v>
      </c>
      <c r="O453" s="455">
        <f t="shared" si="72"/>
        <v>31.199999999999996</v>
      </c>
      <c r="P453" s="455">
        <f t="shared" si="73"/>
        <v>20464.928639999995</v>
      </c>
      <c r="R453" s="480" t="s">
        <v>743</v>
      </c>
    </row>
    <row r="454" spans="1:18">
      <c r="A454" s="454"/>
      <c r="B454" s="454" t="str">
        <v>Window Frames - External</v>
      </c>
      <c r="C454" s="456"/>
      <c r="D454" s="456"/>
      <c r="E454" s="456">
        <f>E453</f>
        <v>10.399999999999999</v>
      </c>
      <c r="F454" s="456"/>
      <c r="G454" s="456">
        <f t="shared" si="68"/>
        <v>10.399999999999999</v>
      </c>
      <c r="H454" s="456" t="str">
        <v>RM</v>
      </c>
      <c r="I454" s="456" t="str">
        <v>Marble Window Frames with Sill</v>
      </c>
      <c r="J454" s="456">
        <v>60</v>
      </c>
      <c r="K454" s="456">
        <v>399.04239999999999</v>
      </c>
      <c r="L454" s="456">
        <f t="shared" si="69"/>
        <v>4150.0409599999994</v>
      </c>
      <c r="O454" s="455">
        <f t="shared" si="72"/>
        <v>31.199999999999996</v>
      </c>
      <c r="P454" s="455">
        <f t="shared" si="73"/>
        <v>12450.122879999999</v>
      </c>
      <c r="R454" s="480" t="s">
        <v>409</v>
      </c>
    </row>
    <row r="455" spans="1:18">
      <c r="A455" s="454"/>
      <c r="B455" s="454" t="str">
        <v>Others</v>
      </c>
      <c r="C455" s="456"/>
      <c r="D455" s="456"/>
      <c r="E455" s="456"/>
      <c r="F455" s="456"/>
      <c r="G455" s="456">
        <f t="shared" si="68"/>
        <v>0</v>
      </c>
      <c r="H455" s="456" t="str">
        <v>-</v>
      </c>
      <c r="I455" s="456" t="str">
        <v>N.A.</v>
      </c>
      <c r="J455" s="456">
        <v>0</v>
      </c>
      <c r="K455" s="456">
        <v>0</v>
      </c>
      <c r="L455" s="456">
        <f t="shared" si="69"/>
        <v>0</v>
      </c>
      <c r="O455" s="455">
        <f t="shared" si="72"/>
        <v>0</v>
      </c>
      <c r="P455" s="455">
        <f t="shared" si="73"/>
        <v>0</v>
      </c>
    </row>
    <row r="456" spans="1:18" s="479" customFormat="1" ht="13.5" customHeight="1">
      <c r="A456" s="475" t="s">
        <v>628</v>
      </c>
      <c r="B456" s="476" t="str">
        <f>'Flat Sizes'!B41</f>
        <v>M. Toilet</v>
      </c>
      <c r="C456" s="477">
        <f>'Flat Sizes'!D41</f>
        <v>3.9</v>
      </c>
      <c r="D456" s="477">
        <f>'Flat Sizes'!G41</f>
        <v>8.27</v>
      </c>
      <c r="E456" s="477"/>
      <c r="F456" s="454"/>
      <c r="G456" s="477"/>
      <c r="H456" s="477"/>
      <c r="I456" s="477"/>
      <c r="J456" s="477"/>
      <c r="K456" s="477"/>
      <c r="L456" s="477"/>
      <c r="M456" s="459">
        <f>SUM(L457:L468)/C456/10.764</f>
        <v>1187.8186943658347</v>
      </c>
      <c r="N456" s="478"/>
      <c r="O456" s="455"/>
      <c r="P456" s="455"/>
      <c r="Q456" s="478"/>
    </row>
    <row r="457" spans="1:18">
      <c r="A457" s="454"/>
      <c r="B457" s="454" t="str" cm="1">
        <f t="array" ref="B457:B468">'Rate List - Flats'!B62:B73</f>
        <v>Flooring</v>
      </c>
      <c r="C457" s="456"/>
      <c r="D457" s="456"/>
      <c r="E457" s="456">
        <f>C456</f>
        <v>3.9</v>
      </c>
      <c r="F457" s="456"/>
      <c r="G457" s="456">
        <f t="shared" si="68"/>
        <v>3.9</v>
      </c>
      <c r="H457" s="456" t="str" cm="1">
        <f t="array" ref="H457:H468">'Rate List - Flats'!H62:H73</f>
        <v>Sq M</v>
      </c>
      <c r="I457" s="456" t="str" cm="1">
        <f t="array" ref="I457:I468">'Rate List - Flats'!C62:C73</f>
        <v>Ceramic tiles/vitrified anti-skid tiles</v>
      </c>
      <c r="J457" s="456" cm="1">
        <f t="array" ref="J457:J468">'Rate List - Flats'!E62:E73</f>
        <v>50</v>
      </c>
      <c r="K457" s="456" cm="1">
        <f t="array" ref="K457:K468">'Rate List - Flats'!G62:G73</f>
        <v>1399.32</v>
      </c>
      <c r="L457" s="456">
        <f t="shared" si="69"/>
        <v>5457.348</v>
      </c>
      <c r="O457" s="455">
        <f t="shared" ref="O457:O468" si="74">IF(I457="N.A",0,G457*$N$429)</f>
        <v>11.7</v>
      </c>
      <c r="P457" s="455">
        <f t="shared" ref="P457:P468" si="75">L457*$N$429</f>
        <v>16372.044</v>
      </c>
      <c r="R457" s="480" t="s">
        <v>667</v>
      </c>
    </row>
    <row r="458" spans="1:18">
      <c r="A458" s="454"/>
      <c r="B458" s="454" t="str">
        <v>Skirting</v>
      </c>
      <c r="C458" s="456"/>
      <c r="D458" s="456"/>
      <c r="E458" s="456"/>
      <c r="F458" s="456"/>
      <c r="G458" s="456">
        <f t="shared" si="68"/>
        <v>0</v>
      </c>
      <c r="H458" s="456" t="str">
        <v xml:space="preserve">RM </v>
      </c>
      <c r="I458" s="456" t="str">
        <v>N.A.</v>
      </c>
      <c r="J458" s="456">
        <v>0</v>
      </c>
      <c r="K458" s="456">
        <v>0</v>
      </c>
      <c r="L458" s="456">
        <f t="shared" si="69"/>
        <v>0</v>
      </c>
      <c r="O458" s="455">
        <f t="shared" si="74"/>
        <v>0</v>
      </c>
      <c r="P458" s="455">
        <f t="shared" si="75"/>
        <v>0</v>
      </c>
      <c r="R458" s="480"/>
    </row>
    <row r="459" spans="1:18">
      <c r="A459" s="454"/>
      <c r="B459" s="454" t="str">
        <v>Dado</v>
      </c>
      <c r="C459" s="456"/>
      <c r="D459" s="456">
        <f>D1-0.7</f>
        <v>2.4000000000000004</v>
      </c>
      <c r="E459" s="456">
        <f>D456*D459</f>
        <v>19.848000000000003</v>
      </c>
      <c r="F459" s="456">
        <f>-(Doors!H37+Windows!H40)</f>
        <v>-2.0250000000000004</v>
      </c>
      <c r="G459" s="456">
        <f t="shared" si="68"/>
        <v>17.823</v>
      </c>
      <c r="H459" s="456" t="str">
        <v>Sq M</v>
      </c>
      <c r="I459" s="456" t="str">
        <v>Vitrified tiles</v>
      </c>
      <c r="J459" s="456">
        <v>50</v>
      </c>
      <c r="K459" s="456">
        <v>1480.05</v>
      </c>
      <c r="L459" s="456">
        <f t="shared" si="69"/>
        <v>26378.93115</v>
      </c>
      <c r="O459" s="455">
        <f t="shared" si="74"/>
        <v>53.469000000000001</v>
      </c>
      <c r="P459" s="455">
        <f t="shared" si="75"/>
        <v>79136.793449999997</v>
      </c>
      <c r="R459" s="480" t="s">
        <v>668</v>
      </c>
    </row>
    <row r="460" spans="1:18">
      <c r="A460" s="454"/>
      <c r="B460" s="454" t="str">
        <v>Wall finishes plaster</v>
      </c>
      <c r="C460" s="456"/>
      <c r="D460" s="456">
        <f>D1-D459</f>
        <v>0.69999999999999973</v>
      </c>
      <c r="E460" s="456">
        <f>D456*D460</f>
        <v>5.7889999999999979</v>
      </c>
      <c r="F460" s="456"/>
      <c r="G460" s="456">
        <f t="shared" si="68"/>
        <v>5.7889999999999979</v>
      </c>
      <c r="H460" s="456" t="str">
        <v>Sq M</v>
      </c>
      <c r="I460" s="456" t="str">
        <v>Gypsum Plaster</v>
      </c>
      <c r="J460" s="456">
        <v>32</v>
      </c>
      <c r="K460" s="456">
        <v>344.44799999999998</v>
      </c>
      <c r="L460" s="456">
        <f t="shared" si="69"/>
        <v>1994.0094719999993</v>
      </c>
      <c r="O460" s="455">
        <f t="shared" si="74"/>
        <v>17.366999999999994</v>
      </c>
      <c r="P460" s="455">
        <f t="shared" si="75"/>
        <v>5982.0284159999974</v>
      </c>
      <c r="R460" s="480" t="s">
        <v>661</v>
      </c>
    </row>
    <row r="461" spans="1:18">
      <c r="A461" s="454"/>
      <c r="B461" s="454" t="str">
        <v>Ceiling plaster</v>
      </c>
      <c r="C461" s="456"/>
      <c r="D461" s="456"/>
      <c r="E461" s="456">
        <f>E457</f>
        <v>3.9</v>
      </c>
      <c r="F461" s="456"/>
      <c r="G461" s="456">
        <f t="shared" si="68"/>
        <v>3.9</v>
      </c>
      <c r="H461" s="456" t="str">
        <v>Sq M</v>
      </c>
      <c r="I461" s="456" t="str">
        <v>Gypsum Plaster</v>
      </c>
      <c r="J461" s="456">
        <v>32</v>
      </c>
      <c r="K461" s="456">
        <v>344.44799999999998</v>
      </c>
      <c r="L461" s="456">
        <f t="shared" si="69"/>
        <v>1343.3471999999999</v>
      </c>
      <c r="O461" s="455">
        <f t="shared" si="74"/>
        <v>11.7</v>
      </c>
      <c r="P461" s="455">
        <f t="shared" si="75"/>
        <v>4030.0415999999996</v>
      </c>
      <c r="R461" s="480" t="s">
        <v>662</v>
      </c>
    </row>
    <row r="462" spans="1:18">
      <c r="A462" s="454"/>
      <c r="B462" s="454" t="str">
        <v>False ceiling</v>
      </c>
      <c r="C462" s="456"/>
      <c r="D462" s="456"/>
      <c r="E462" s="456"/>
      <c r="F462" s="456"/>
      <c r="G462" s="456">
        <f t="shared" si="68"/>
        <v>0</v>
      </c>
      <c r="H462" s="456" t="str">
        <v>Sq M</v>
      </c>
      <c r="I462" s="456" t="str">
        <v>N.A.</v>
      </c>
      <c r="J462" s="456">
        <v>0</v>
      </c>
      <c r="K462" s="456">
        <v>0</v>
      </c>
      <c r="L462" s="456">
        <f t="shared" si="69"/>
        <v>0</v>
      </c>
      <c r="O462" s="455">
        <f t="shared" si="74"/>
        <v>0</v>
      </c>
      <c r="P462" s="455">
        <f t="shared" si="75"/>
        <v>0</v>
      </c>
      <c r="R462" s="480"/>
    </row>
    <row r="463" spans="1:18">
      <c r="A463" s="454"/>
      <c r="B463" s="454" t="str">
        <v>Wall finishes Paint</v>
      </c>
      <c r="C463" s="456"/>
      <c r="D463" s="456"/>
      <c r="E463" s="456">
        <f>E460</f>
        <v>5.7889999999999979</v>
      </c>
      <c r="F463" s="456"/>
      <c r="G463" s="456">
        <f t="shared" si="68"/>
        <v>5.7889999999999979</v>
      </c>
      <c r="H463" s="456" t="str">
        <v>Sq M</v>
      </c>
      <c r="I463" s="456" t="str">
        <v>Plastic paint</v>
      </c>
      <c r="J463" s="456">
        <v>20</v>
      </c>
      <c r="K463" s="456">
        <v>215.27999999999997</v>
      </c>
      <c r="L463" s="456">
        <f t="shared" si="69"/>
        <v>1246.2559199999994</v>
      </c>
      <c r="O463" s="455">
        <f t="shared" si="74"/>
        <v>17.366999999999994</v>
      </c>
      <c r="P463" s="455">
        <f t="shared" si="75"/>
        <v>3738.7677599999979</v>
      </c>
      <c r="R463" s="480" t="s">
        <v>663</v>
      </c>
    </row>
    <row r="464" spans="1:18">
      <c r="A464" s="454"/>
      <c r="B464" s="454" t="str">
        <v>Ceiling Paint</v>
      </c>
      <c r="C464" s="456"/>
      <c r="D464" s="456"/>
      <c r="E464" s="456">
        <f>E457</f>
        <v>3.9</v>
      </c>
      <c r="F464" s="456"/>
      <c r="G464" s="456">
        <f t="shared" si="68"/>
        <v>3.9</v>
      </c>
      <c r="H464" s="456" t="str">
        <v>Sq M</v>
      </c>
      <c r="I464" s="456" t="str">
        <v>Plastic paint</v>
      </c>
      <c r="J464" s="456">
        <v>20</v>
      </c>
      <c r="K464" s="456">
        <v>215.27999999999997</v>
      </c>
      <c r="L464" s="456">
        <f t="shared" si="69"/>
        <v>839.59199999999987</v>
      </c>
      <c r="O464" s="455">
        <f t="shared" si="74"/>
        <v>11.7</v>
      </c>
      <c r="P464" s="455">
        <f t="shared" si="75"/>
        <v>2518.7759999999998</v>
      </c>
      <c r="R464" s="480" t="s">
        <v>664</v>
      </c>
    </row>
    <row r="465" spans="1:18">
      <c r="A465" s="454"/>
      <c r="B465" s="454" t="str">
        <v>Door Frames</v>
      </c>
      <c r="C465" s="456"/>
      <c r="D465" s="456"/>
      <c r="E465" s="456">
        <f>Doors!F37*4+Doors!G37*4</f>
        <v>11.4</v>
      </c>
      <c r="F465" s="456"/>
      <c r="G465" s="456">
        <f t="shared" si="68"/>
        <v>11.4</v>
      </c>
      <c r="H465" s="456" t="str">
        <v>RM</v>
      </c>
      <c r="I465" s="456" t="str">
        <v>Granite Frames</v>
      </c>
      <c r="J465" s="456">
        <v>180</v>
      </c>
      <c r="K465" s="456">
        <v>655.92719999999997</v>
      </c>
      <c r="L465" s="456">
        <f t="shared" si="69"/>
        <v>7477.5700799999995</v>
      </c>
      <c r="O465" s="455">
        <f t="shared" si="74"/>
        <v>34.200000000000003</v>
      </c>
      <c r="P465" s="455">
        <f t="shared" si="75"/>
        <v>22432.71024</v>
      </c>
      <c r="R465" s="480" t="s">
        <v>669</v>
      </c>
    </row>
    <row r="466" spans="1:18">
      <c r="A466" s="454"/>
      <c r="B466" s="454" t="str">
        <v>Window Frames - Internal</v>
      </c>
      <c r="C466" s="456"/>
      <c r="D466" s="456"/>
      <c r="E466" s="456">
        <f>Windows!F40*2+Windows!G40*2</f>
        <v>2.7</v>
      </c>
      <c r="F466" s="456"/>
      <c r="G466" s="456">
        <f t="shared" si="68"/>
        <v>2.7</v>
      </c>
      <c r="H466" s="456" t="str">
        <v>RM</v>
      </c>
      <c r="I466" s="456" t="str">
        <v>Granite Window Frame</v>
      </c>
      <c r="J466" s="456">
        <v>180</v>
      </c>
      <c r="K466" s="456">
        <v>655.92719999999997</v>
      </c>
      <c r="L466" s="456">
        <f t="shared" si="69"/>
        <v>1771.00344</v>
      </c>
      <c r="O466" s="455">
        <f t="shared" si="74"/>
        <v>8.1000000000000014</v>
      </c>
      <c r="P466" s="455">
        <f t="shared" si="75"/>
        <v>5313.0103199999994</v>
      </c>
      <c r="R466" s="480" t="s">
        <v>743</v>
      </c>
    </row>
    <row r="467" spans="1:18">
      <c r="A467" s="454"/>
      <c r="B467" s="454" t="str">
        <v>Window Frames - External</v>
      </c>
      <c r="C467" s="456"/>
      <c r="D467" s="456"/>
      <c r="E467" s="456">
        <f>E466</f>
        <v>2.7</v>
      </c>
      <c r="F467" s="456"/>
      <c r="G467" s="456">
        <f t="shared" si="68"/>
        <v>2.7</v>
      </c>
      <c r="H467" s="456" t="str">
        <v>RM</v>
      </c>
      <c r="I467" s="456" t="str">
        <v>Marble Window Frames with Sill</v>
      </c>
      <c r="J467" s="456">
        <v>60</v>
      </c>
      <c r="K467" s="456">
        <v>399.04239999999999</v>
      </c>
      <c r="L467" s="456">
        <f t="shared" si="69"/>
        <v>1077.4144800000001</v>
      </c>
      <c r="O467" s="455">
        <f t="shared" si="74"/>
        <v>8.1000000000000014</v>
      </c>
      <c r="P467" s="455">
        <f t="shared" si="75"/>
        <v>3232.2434400000002</v>
      </c>
      <c r="R467" s="480" t="s">
        <v>409</v>
      </c>
    </row>
    <row r="468" spans="1:18">
      <c r="A468" s="454"/>
      <c r="B468" s="454" t="str">
        <v>Others - Counter</v>
      </c>
      <c r="C468" s="456"/>
      <c r="D468" s="456"/>
      <c r="E468" s="456">
        <f>0.6*0.6</f>
        <v>0.36</v>
      </c>
      <c r="F468" s="456"/>
      <c r="G468" s="456">
        <f t="shared" si="68"/>
        <v>0.36</v>
      </c>
      <c r="H468" s="456" t="str">
        <v>Sq M</v>
      </c>
      <c r="I468" s="456" t="str">
        <v>Basin Counter 1'6" - Granite Basin Counter</v>
      </c>
      <c r="J468" s="456">
        <v>180</v>
      </c>
      <c r="K468" s="456">
        <v>6329.6720000000005</v>
      </c>
      <c r="L468" s="456">
        <f t="shared" si="69"/>
        <v>2278.68192</v>
      </c>
      <c r="O468" s="455">
        <f t="shared" si="74"/>
        <v>1.08</v>
      </c>
      <c r="P468" s="455">
        <f t="shared" si="75"/>
        <v>6836.04576</v>
      </c>
      <c r="R468" s="480" t="s">
        <v>670</v>
      </c>
    </row>
    <row r="469" spans="1:18" s="479" customFormat="1" ht="13.5" customHeight="1">
      <c r="A469" s="475" t="s">
        <v>628</v>
      </c>
      <c r="B469" s="476" t="str">
        <f>'Flat Sizes'!B42</f>
        <v>M. Bedroom</v>
      </c>
      <c r="C469" s="477">
        <f>'Flat Sizes'!D42</f>
        <v>11.02</v>
      </c>
      <c r="D469" s="477">
        <f>'Flat Sizes'!G42</f>
        <v>13.7</v>
      </c>
      <c r="E469" s="477"/>
      <c r="F469" s="454"/>
      <c r="G469" s="477"/>
      <c r="H469" s="477"/>
      <c r="I469" s="477"/>
      <c r="J469" s="477"/>
      <c r="K469" s="477"/>
      <c r="L469" s="477"/>
      <c r="M469" s="459">
        <f>SUM(L470:L481)/C469/10.764</f>
        <v>503.63205610420164</v>
      </c>
      <c r="N469" s="478"/>
      <c r="O469" s="455"/>
      <c r="P469" s="455"/>
      <c r="Q469" s="478"/>
    </row>
    <row r="470" spans="1:18">
      <c r="A470" s="454"/>
      <c r="B470" s="454" t="str" cm="1">
        <f t="array" ref="B470:B481">'Rate List - Flats'!B34:B45</f>
        <v>Flooring</v>
      </c>
      <c r="C470" s="456"/>
      <c r="D470" s="456"/>
      <c r="E470" s="456">
        <f>C469</f>
        <v>11.02</v>
      </c>
      <c r="F470" s="456"/>
      <c r="G470" s="456">
        <f t="shared" si="68"/>
        <v>11.02</v>
      </c>
      <c r="H470" s="456" t="str" cm="1">
        <f t="array" ref="H470:H481">'Rate List - Flats'!H34:H45</f>
        <v>Sq M</v>
      </c>
      <c r="I470" s="456" t="str" cm="1">
        <f t="array" ref="I470:I481">'Rate List - Flats'!C34:C45</f>
        <v>2'x2' Vitrified tiles</v>
      </c>
      <c r="J470" s="456" cm="1">
        <f t="array" ref="J470:J481">'Rate List - Flats'!E34:E45</f>
        <v>45</v>
      </c>
      <c r="K470" s="456" cm="1">
        <f t="array" ref="K470:K481">'Rate List - Flats'!G34:G45</f>
        <v>1340.1179999999999</v>
      </c>
      <c r="L470" s="456">
        <f t="shared" si="69"/>
        <v>14768.100359999999</v>
      </c>
      <c r="O470" s="455">
        <f t="shared" ref="O470:O481" si="76">IF(I470="N.A",0,G470*$N$429)</f>
        <v>33.06</v>
      </c>
      <c r="P470" s="455">
        <f t="shared" ref="P470:P481" si="77">L470*$N$429</f>
        <v>44304.301079999997</v>
      </c>
      <c r="R470" s="480" t="s">
        <v>659</v>
      </c>
    </row>
    <row r="471" spans="1:18">
      <c r="A471" s="454"/>
      <c r="B471" s="454" t="str">
        <v>Skirting</v>
      </c>
      <c r="C471" s="456"/>
      <c r="D471" s="456"/>
      <c r="E471" s="456">
        <f>D469</f>
        <v>13.7</v>
      </c>
      <c r="F471" s="456">
        <f>-(Doors!F38+Doors!F39)</f>
        <v>-1.65</v>
      </c>
      <c r="G471" s="456">
        <f t="shared" si="68"/>
        <v>12.049999999999999</v>
      </c>
      <c r="H471" s="456" t="str">
        <v>RM</v>
      </c>
      <c r="I471" s="456" t="str">
        <v xml:space="preserve">2'x2' Vitrified tiles </v>
      </c>
      <c r="J471" s="456">
        <v>45</v>
      </c>
      <c r="K471" s="456">
        <v>391.96</v>
      </c>
      <c r="L471" s="456">
        <f t="shared" si="69"/>
        <v>4723.1179999999995</v>
      </c>
      <c r="O471" s="455">
        <f t="shared" si="76"/>
        <v>36.15</v>
      </c>
      <c r="P471" s="455">
        <f t="shared" si="77"/>
        <v>14169.353999999999</v>
      </c>
      <c r="R471" s="480" t="s">
        <v>660</v>
      </c>
    </row>
    <row r="472" spans="1:18">
      <c r="A472" s="454"/>
      <c r="B472" s="454" t="str">
        <v>Dado</v>
      </c>
      <c r="C472" s="456"/>
      <c r="D472" s="456"/>
      <c r="E472" s="456"/>
      <c r="F472" s="456"/>
      <c r="G472" s="456">
        <f t="shared" si="68"/>
        <v>0</v>
      </c>
      <c r="H472" s="456" t="str">
        <v>Sq M</v>
      </c>
      <c r="I472" s="456" t="str">
        <v>N.A.</v>
      </c>
      <c r="J472" s="456">
        <v>0</v>
      </c>
      <c r="K472" s="456">
        <v>0</v>
      </c>
      <c r="L472" s="456">
        <f t="shared" si="69"/>
        <v>0</v>
      </c>
      <c r="O472" s="455">
        <f t="shared" si="76"/>
        <v>0</v>
      </c>
      <c r="P472" s="455">
        <f t="shared" si="77"/>
        <v>0</v>
      </c>
      <c r="R472" s="480"/>
    </row>
    <row r="473" spans="1:18">
      <c r="A473" s="454"/>
      <c r="B473" s="454" t="str">
        <v>Wall finishes plaster</v>
      </c>
      <c r="C473" s="456"/>
      <c r="D473" s="456"/>
      <c r="E473" s="456">
        <f>D469*(D1-0.15)</f>
        <v>40.414999999999999</v>
      </c>
      <c r="F473" s="456">
        <f>-(Doors!H38+Windows!H41+Windows!H42)</f>
        <v>-10.059999999999999</v>
      </c>
      <c r="G473" s="456">
        <f t="shared" si="68"/>
        <v>30.355</v>
      </c>
      <c r="H473" s="456" t="str">
        <v>Sq M</v>
      </c>
      <c r="I473" s="456" t="str">
        <v>Gypsum Plaster</v>
      </c>
      <c r="J473" s="456">
        <v>32</v>
      </c>
      <c r="K473" s="456">
        <v>344.44799999999998</v>
      </c>
      <c r="L473" s="456">
        <f t="shared" si="69"/>
        <v>10455.71904</v>
      </c>
      <c r="O473" s="455">
        <f t="shared" si="76"/>
        <v>91.064999999999998</v>
      </c>
      <c r="P473" s="455">
        <f t="shared" si="77"/>
        <v>31367.15712</v>
      </c>
      <c r="R473" s="480" t="s">
        <v>661</v>
      </c>
    </row>
    <row r="474" spans="1:18">
      <c r="A474" s="454"/>
      <c r="B474" s="454" t="str">
        <v>Ceiling plaster</v>
      </c>
      <c r="C474" s="456"/>
      <c r="D474" s="456"/>
      <c r="E474" s="456">
        <f>E470</f>
        <v>11.02</v>
      </c>
      <c r="F474" s="456"/>
      <c r="G474" s="456">
        <f t="shared" si="68"/>
        <v>11.02</v>
      </c>
      <c r="H474" s="456" t="str">
        <v>Sq M</v>
      </c>
      <c r="I474" s="456" t="str">
        <v>Gypsum Plaster</v>
      </c>
      <c r="J474" s="456">
        <v>32</v>
      </c>
      <c r="K474" s="456">
        <v>344.44799999999998</v>
      </c>
      <c r="L474" s="456">
        <f t="shared" si="69"/>
        <v>3795.8169599999997</v>
      </c>
      <c r="O474" s="455">
        <f t="shared" si="76"/>
        <v>33.06</v>
      </c>
      <c r="P474" s="455">
        <f t="shared" si="77"/>
        <v>11387.450879999999</v>
      </c>
      <c r="R474" s="480" t="s">
        <v>662</v>
      </c>
    </row>
    <row r="475" spans="1:18">
      <c r="A475" s="454"/>
      <c r="B475" s="454" t="str">
        <v>False ceiling</v>
      </c>
      <c r="C475" s="456"/>
      <c r="D475" s="456"/>
      <c r="E475" s="456"/>
      <c r="F475" s="456"/>
      <c r="G475" s="456">
        <f t="shared" si="68"/>
        <v>0</v>
      </c>
      <c r="H475" s="456" t="str">
        <v>Sq M</v>
      </c>
      <c r="I475" s="456" t="str">
        <v>N.A.</v>
      </c>
      <c r="J475" s="456">
        <v>0</v>
      </c>
      <c r="K475" s="456">
        <v>0</v>
      </c>
      <c r="L475" s="456">
        <f t="shared" si="69"/>
        <v>0</v>
      </c>
      <c r="O475" s="455">
        <f t="shared" si="76"/>
        <v>0</v>
      </c>
      <c r="P475" s="455">
        <f t="shared" si="77"/>
        <v>0</v>
      </c>
      <c r="R475" s="480"/>
    </row>
    <row r="476" spans="1:18">
      <c r="A476" s="454"/>
      <c r="B476" s="454" t="str">
        <v>Wall finishes Paint</v>
      </c>
      <c r="C476" s="456"/>
      <c r="D476" s="456"/>
      <c r="E476" s="456">
        <f>E473</f>
        <v>40.414999999999999</v>
      </c>
      <c r="F476" s="456">
        <f>F473</f>
        <v>-10.059999999999999</v>
      </c>
      <c r="G476" s="456">
        <f t="shared" si="68"/>
        <v>30.355</v>
      </c>
      <c r="H476" s="456" t="str">
        <v>Sq M</v>
      </c>
      <c r="I476" s="456" t="str">
        <v>Plastic paint</v>
      </c>
      <c r="J476" s="456">
        <v>20</v>
      </c>
      <c r="K476" s="456">
        <v>215.27999999999997</v>
      </c>
      <c r="L476" s="456">
        <f t="shared" si="69"/>
        <v>6534.8243999999995</v>
      </c>
      <c r="O476" s="455">
        <f t="shared" si="76"/>
        <v>91.064999999999998</v>
      </c>
      <c r="P476" s="455">
        <f t="shared" si="77"/>
        <v>19604.4732</v>
      </c>
      <c r="R476" s="480" t="s">
        <v>663</v>
      </c>
    </row>
    <row r="477" spans="1:18">
      <c r="A477" s="454"/>
      <c r="B477" s="454" t="str">
        <v>Ceiling Paint</v>
      </c>
      <c r="C477" s="456"/>
      <c r="D477" s="456"/>
      <c r="E477" s="456">
        <f>E474</f>
        <v>11.02</v>
      </c>
      <c r="F477" s="456"/>
      <c r="G477" s="456">
        <f t="shared" si="68"/>
        <v>11.02</v>
      </c>
      <c r="H477" s="456" t="str">
        <v>Sq M</v>
      </c>
      <c r="I477" s="456" t="str">
        <v>Plastic paint</v>
      </c>
      <c r="J477" s="456">
        <v>20</v>
      </c>
      <c r="K477" s="456">
        <v>215.27999999999997</v>
      </c>
      <c r="L477" s="456">
        <f t="shared" si="69"/>
        <v>2372.3855999999996</v>
      </c>
      <c r="O477" s="455">
        <f t="shared" si="76"/>
        <v>33.06</v>
      </c>
      <c r="P477" s="455">
        <f t="shared" si="77"/>
        <v>7117.1567999999988</v>
      </c>
      <c r="R477" s="480" t="s">
        <v>664</v>
      </c>
    </row>
    <row r="478" spans="1:18">
      <c r="A478" s="454"/>
      <c r="B478" s="454" t="str">
        <v>Door Frames</v>
      </c>
      <c r="C478" s="456"/>
      <c r="D478" s="456"/>
      <c r="E478" s="456"/>
      <c r="F478" s="456"/>
      <c r="G478" s="456">
        <f t="shared" si="68"/>
        <v>0</v>
      </c>
      <c r="H478" s="456" t="str">
        <v>RM</v>
      </c>
      <c r="I478" s="456" t="str">
        <v>N.A.</v>
      </c>
      <c r="J478" s="456">
        <v>0</v>
      </c>
      <c r="K478" s="456">
        <v>0</v>
      </c>
      <c r="L478" s="456">
        <f t="shared" si="69"/>
        <v>0</v>
      </c>
      <c r="O478" s="455">
        <f t="shared" si="76"/>
        <v>0</v>
      </c>
      <c r="P478" s="455">
        <f t="shared" si="77"/>
        <v>0</v>
      </c>
      <c r="R478" s="480"/>
    </row>
    <row r="479" spans="1:18">
      <c r="A479" s="454"/>
      <c r="B479" s="454" t="str">
        <v>Window Frames - Internal</v>
      </c>
      <c r="C479" s="456"/>
      <c r="D479" s="456"/>
      <c r="E479" s="456">
        <f>Windows!F41*2+Windows!G41*2+Windows!F42*2+Windows!G42*2</f>
        <v>16.2</v>
      </c>
      <c r="F479" s="456"/>
      <c r="G479" s="456">
        <f t="shared" si="68"/>
        <v>16.2</v>
      </c>
      <c r="H479" s="456" t="str">
        <v>RM</v>
      </c>
      <c r="I479" s="456" t="str">
        <v>Granite Window Frame</v>
      </c>
      <c r="J479" s="456">
        <v>180</v>
      </c>
      <c r="K479" s="456">
        <v>655.92719999999997</v>
      </c>
      <c r="L479" s="456">
        <f t="shared" si="69"/>
        <v>10626.020639999999</v>
      </c>
      <c r="O479" s="455">
        <f t="shared" si="76"/>
        <v>48.599999999999994</v>
      </c>
      <c r="P479" s="455">
        <f t="shared" si="77"/>
        <v>31878.061919999996</v>
      </c>
      <c r="R479" s="480" t="s">
        <v>743</v>
      </c>
    </row>
    <row r="480" spans="1:18">
      <c r="A480" s="454"/>
      <c r="B480" s="454" t="str">
        <v>Window Frames - External</v>
      </c>
      <c r="C480" s="456"/>
      <c r="D480" s="456"/>
      <c r="E480" s="456">
        <f>E479</f>
        <v>16.2</v>
      </c>
      <c r="F480" s="456"/>
      <c r="G480" s="456">
        <f t="shared" si="68"/>
        <v>16.2</v>
      </c>
      <c r="H480" s="456" t="str">
        <v>RM</v>
      </c>
      <c r="I480" s="456" t="str">
        <v>Marble Window Frames with Sill</v>
      </c>
      <c r="J480" s="456">
        <v>60</v>
      </c>
      <c r="K480" s="456">
        <v>399.04239999999999</v>
      </c>
      <c r="L480" s="456">
        <f t="shared" si="69"/>
        <v>6464.4868799999995</v>
      </c>
      <c r="O480" s="455">
        <f t="shared" si="76"/>
        <v>48.599999999999994</v>
      </c>
      <c r="P480" s="455">
        <f t="shared" si="77"/>
        <v>19393.460639999998</v>
      </c>
      <c r="R480" s="480" t="s">
        <v>409</v>
      </c>
    </row>
    <row r="481" spans="1:18">
      <c r="A481" s="454"/>
      <c r="B481" s="454" t="str">
        <v>Others</v>
      </c>
      <c r="C481" s="456"/>
      <c r="D481" s="456"/>
      <c r="E481" s="456"/>
      <c r="F481" s="456"/>
      <c r="G481" s="456">
        <f t="shared" si="68"/>
        <v>0</v>
      </c>
      <c r="H481" s="456" t="str">
        <v>-</v>
      </c>
      <c r="I481" s="456" t="str">
        <v>N.A.</v>
      </c>
      <c r="J481" s="456">
        <v>0</v>
      </c>
      <c r="K481" s="456">
        <v>0</v>
      </c>
      <c r="L481" s="456">
        <f t="shared" si="69"/>
        <v>0</v>
      </c>
      <c r="O481" s="455">
        <f t="shared" si="76"/>
        <v>0</v>
      </c>
      <c r="P481" s="455">
        <f t="shared" si="77"/>
        <v>0</v>
      </c>
    </row>
    <row r="482" spans="1:18" s="479" customFormat="1" ht="13.5" customHeight="1">
      <c r="A482" s="475" t="s">
        <v>628</v>
      </c>
      <c r="B482" s="476" t="str">
        <f>'Flat Sizes'!B43</f>
        <v>M. Toilet</v>
      </c>
      <c r="C482" s="477">
        <f>'Flat Sizes'!D43</f>
        <v>3.83</v>
      </c>
      <c r="D482" s="477">
        <f>'Flat Sizes'!G43</f>
        <v>8.2200000000000006</v>
      </c>
      <c r="E482" s="477"/>
      <c r="F482" s="454"/>
      <c r="G482" s="477"/>
      <c r="H482" s="477"/>
      <c r="I482" s="477"/>
      <c r="J482" s="477"/>
      <c r="K482" s="477"/>
      <c r="L482" s="477"/>
      <c r="M482" s="459">
        <f>SUM(L483:L494)/C482/10.764</f>
        <v>1201.4185138451062</v>
      </c>
      <c r="N482" s="478"/>
      <c r="O482" s="455"/>
      <c r="P482" s="455"/>
      <c r="Q482" s="478"/>
    </row>
    <row r="483" spans="1:18">
      <c r="A483" s="454"/>
      <c r="B483" s="454" t="str" cm="1">
        <f t="array" ref="B483:B494">'Rate List - Flats'!B62:B73</f>
        <v>Flooring</v>
      </c>
      <c r="C483" s="456"/>
      <c r="D483" s="456"/>
      <c r="E483" s="456">
        <f>C482</f>
        <v>3.83</v>
      </c>
      <c r="F483" s="456"/>
      <c r="G483" s="456">
        <f t="shared" si="68"/>
        <v>3.83</v>
      </c>
      <c r="H483" s="456" t="str" cm="1">
        <f t="array" ref="H483:H494">'Rate List - Flats'!H62:H73</f>
        <v>Sq M</v>
      </c>
      <c r="I483" s="456" t="str" cm="1">
        <f t="array" ref="I483:I494">'Rate List - Flats'!C62:C73</f>
        <v>Ceramic tiles/vitrified anti-skid tiles</v>
      </c>
      <c r="J483" s="456" cm="1">
        <f t="array" ref="J483:J494">'Rate List - Flats'!E62:E73</f>
        <v>50</v>
      </c>
      <c r="K483" s="456" cm="1">
        <f t="array" ref="K483:K494">'Rate List - Flats'!G62:G73</f>
        <v>1399.32</v>
      </c>
      <c r="L483" s="456">
        <f t="shared" si="69"/>
        <v>5359.3955999999998</v>
      </c>
      <c r="O483" s="455">
        <f t="shared" ref="O483:O494" si="78">IF(I483="N.A",0,G483*$N$429)</f>
        <v>11.49</v>
      </c>
      <c r="P483" s="455">
        <f t="shared" ref="P483:P494" si="79">L483*$N$429</f>
        <v>16078.186799999999</v>
      </c>
      <c r="R483" s="480" t="s">
        <v>667</v>
      </c>
    </row>
    <row r="484" spans="1:18">
      <c r="A484" s="454"/>
      <c r="B484" s="454" t="str">
        <v>Skirting</v>
      </c>
      <c r="C484" s="456"/>
      <c r="D484" s="456"/>
      <c r="E484" s="456"/>
      <c r="F484" s="456"/>
      <c r="G484" s="456">
        <f t="shared" si="68"/>
        <v>0</v>
      </c>
      <c r="H484" s="456" t="str">
        <v xml:space="preserve">RM </v>
      </c>
      <c r="I484" s="456" t="str">
        <v>N.A.</v>
      </c>
      <c r="J484" s="456">
        <v>0</v>
      </c>
      <c r="K484" s="456">
        <v>0</v>
      </c>
      <c r="L484" s="456">
        <f t="shared" si="69"/>
        <v>0</v>
      </c>
      <c r="O484" s="455">
        <f t="shared" si="78"/>
        <v>0</v>
      </c>
      <c r="P484" s="455">
        <f t="shared" si="79"/>
        <v>0</v>
      </c>
      <c r="R484" s="480"/>
    </row>
    <row r="485" spans="1:18">
      <c r="A485" s="454"/>
      <c r="B485" s="454" t="str">
        <v>Dado</v>
      </c>
      <c r="C485" s="456"/>
      <c r="D485" s="456">
        <f>D1-0.7</f>
        <v>2.4000000000000004</v>
      </c>
      <c r="E485" s="456">
        <f>D482*D485</f>
        <v>19.728000000000005</v>
      </c>
      <c r="F485" s="456">
        <f>-(Doors!H39+Windows!H43)</f>
        <v>-2.0250000000000004</v>
      </c>
      <c r="G485" s="456">
        <f t="shared" si="68"/>
        <v>17.703000000000003</v>
      </c>
      <c r="H485" s="456" t="str">
        <v>Sq M</v>
      </c>
      <c r="I485" s="456" t="str">
        <v>Vitrified tiles</v>
      </c>
      <c r="J485" s="456">
        <v>50</v>
      </c>
      <c r="K485" s="456">
        <v>1480.05</v>
      </c>
      <c r="L485" s="456">
        <f t="shared" si="69"/>
        <v>26201.325150000004</v>
      </c>
      <c r="O485" s="455">
        <f t="shared" si="78"/>
        <v>53.109000000000009</v>
      </c>
      <c r="P485" s="455">
        <f t="shared" si="79"/>
        <v>78603.975450000013</v>
      </c>
      <c r="R485" s="480" t="s">
        <v>668</v>
      </c>
    </row>
    <row r="486" spans="1:18">
      <c r="A486" s="454"/>
      <c r="B486" s="454" t="str">
        <v>Wall finishes plaster</v>
      </c>
      <c r="C486" s="456"/>
      <c r="D486" s="456">
        <f>D1-D485</f>
        <v>0.69999999999999973</v>
      </c>
      <c r="E486" s="456">
        <f>D482*D486</f>
        <v>5.7539999999999987</v>
      </c>
      <c r="F486" s="456"/>
      <c r="G486" s="456">
        <f t="shared" si="68"/>
        <v>5.7539999999999987</v>
      </c>
      <c r="H486" s="456" t="str">
        <v>Sq M</v>
      </c>
      <c r="I486" s="456" t="str">
        <v>Gypsum Plaster</v>
      </c>
      <c r="J486" s="456">
        <v>32</v>
      </c>
      <c r="K486" s="456">
        <v>344.44799999999998</v>
      </c>
      <c r="L486" s="456">
        <f t="shared" si="69"/>
        <v>1981.9537919999993</v>
      </c>
      <c r="O486" s="455">
        <f t="shared" si="78"/>
        <v>17.261999999999997</v>
      </c>
      <c r="P486" s="455">
        <f t="shared" si="79"/>
        <v>5945.861375999998</v>
      </c>
      <c r="R486" s="480" t="s">
        <v>661</v>
      </c>
    </row>
    <row r="487" spans="1:18">
      <c r="A487" s="454"/>
      <c r="B487" s="454" t="str">
        <v>Ceiling plaster</v>
      </c>
      <c r="C487" s="456"/>
      <c r="D487" s="456"/>
      <c r="E487" s="456">
        <f>E483</f>
        <v>3.83</v>
      </c>
      <c r="F487" s="456"/>
      <c r="G487" s="456">
        <f t="shared" si="68"/>
        <v>3.83</v>
      </c>
      <c r="H487" s="456" t="str">
        <v>Sq M</v>
      </c>
      <c r="I487" s="456" t="str">
        <v>Gypsum Plaster</v>
      </c>
      <c r="J487" s="456">
        <v>32</v>
      </c>
      <c r="K487" s="456">
        <v>344.44799999999998</v>
      </c>
      <c r="L487" s="456">
        <f t="shared" si="69"/>
        <v>1319.2358400000001</v>
      </c>
      <c r="O487" s="455">
        <f t="shared" si="78"/>
        <v>11.49</v>
      </c>
      <c r="P487" s="455">
        <f t="shared" si="79"/>
        <v>3957.7075199999999</v>
      </c>
      <c r="R487" s="480" t="s">
        <v>662</v>
      </c>
    </row>
    <row r="488" spans="1:18">
      <c r="A488" s="454"/>
      <c r="B488" s="454" t="str">
        <v>False ceiling</v>
      </c>
      <c r="C488" s="456"/>
      <c r="D488" s="456"/>
      <c r="E488" s="456"/>
      <c r="F488" s="456"/>
      <c r="G488" s="456">
        <f t="shared" si="68"/>
        <v>0</v>
      </c>
      <c r="H488" s="456" t="str">
        <v>Sq M</v>
      </c>
      <c r="I488" s="456" t="str">
        <v>N.A.</v>
      </c>
      <c r="J488" s="456">
        <v>0</v>
      </c>
      <c r="K488" s="456">
        <v>0</v>
      </c>
      <c r="L488" s="456">
        <f t="shared" si="69"/>
        <v>0</v>
      </c>
      <c r="O488" s="455">
        <f t="shared" si="78"/>
        <v>0</v>
      </c>
      <c r="P488" s="455">
        <f t="shared" si="79"/>
        <v>0</v>
      </c>
      <c r="R488" s="480"/>
    </row>
    <row r="489" spans="1:18">
      <c r="A489" s="454"/>
      <c r="B489" s="454" t="str">
        <v>Wall finishes Paint</v>
      </c>
      <c r="C489" s="456"/>
      <c r="D489" s="456"/>
      <c r="E489" s="456">
        <f>E486</f>
        <v>5.7539999999999987</v>
      </c>
      <c r="F489" s="456"/>
      <c r="G489" s="456">
        <f t="shared" si="68"/>
        <v>5.7539999999999987</v>
      </c>
      <c r="H489" s="456" t="str">
        <v>Sq M</v>
      </c>
      <c r="I489" s="456" t="str">
        <v>Plastic paint</v>
      </c>
      <c r="J489" s="456">
        <v>20</v>
      </c>
      <c r="K489" s="456">
        <v>215.27999999999997</v>
      </c>
      <c r="L489" s="456">
        <f t="shared" si="69"/>
        <v>1238.7211199999995</v>
      </c>
      <c r="O489" s="455">
        <f t="shared" si="78"/>
        <v>17.261999999999997</v>
      </c>
      <c r="P489" s="455">
        <f t="shared" si="79"/>
        <v>3716.1633599999986</v>
      </c>
      <c r="R489" s="480" t="s">
        <v>663</v>
      </c>
    </row>
    <row r="490" spans="1:18">
      <c r="A490" s="454"/>
      <c r="B490" s="454" t="str">
        <v>Ceiling Paint</v>
      </c>
      <c r="C490" s="456"/>
      <c r="D490" s="456"/>
      <c r="E490" s="456">
        <f>E487</f>
        <v>3.83</v>
      </c>
      <c r="F490" s="456"/>
      <c r="G490" s="456">
        <f t="shared" si="68"/>
        <v>3.83</v>
      </c>
      <c r="H490" s="456" t="str">
        <v>Sq M</v>
      </c>
      <c r="I490" s="456" t="str">
        <v>Plastic paint</v>
      </c>
      <c r="J490" s="456">
        <v>20</v>
      </c>
      <c r="K490" s="456">
        <v>215.27999999999997</v>
      </c>
      <c r="L490" s="456">
        <f t="shared" si="69"/>
        <v>824.52239999999995</v>
      </c>
      <c r="O490" s="455">
        <f t="shared" si="78"/>
        <v>11.49</v>
      </c>
      <c r="P490" s="455">
        <f t="shared" si="79"/>
        <v>2473.5672</v>
      </c>
      <c r="R490" s="480" t="s">
        <v>664</v>
      </c>
    </row>
    <row r="491" spans="1:18">
      <c r="A491" s="454"/>
      <c r="B491" s="454" t="str">
        <v>Door Frames</v>
      </c>
      <c r="C491" s="456"/>
      <c r="D491" s="456"/>
      <c r="E491" s="456">
        <f>Doors!F39*4+Doors!G39*4</f>
        <v>11.4</v>
      </c>
      <c r="F491" s="456"/>
      <c r="G491" s="456">
        <f t="shared" si="68"/>
        <v>11.4</v>
      </c>
      <c r="H491" s="456" t="str">
        <v>RM</v>
      </c>
      <c r="I491" s="456" t="str">
        <v>Granite Frames</v>
      </c>
      <c r="J491" s="456">
        <v>180</v>
      </c>
      <c r="K491" s="456">
        <v>655.92719999999997</v>
      </c>
      <c r="L491" s="456">
        <f t="shared" si="69"/>
        <v>7477.5700799999995</v>
      </c>
      <c r="O491" s="455">
        <f t="shared" si="78"/>
        <v>34.200000000000003</v>
      </c>
      <c r="P491" s="455">
        <f t="shared" si="79"/>
        <v>22432.71024</v>
      </c>
      <c r="R491" s="480" t="s">
        <v>669</v>
      </c>
    </row>
    <row r="492" spans="1:18">
      <c r="A492" s="454"/>
      <c r="B492" s="454" t="str">
        <v>Window Frames - Internal</v>
      </c>
      <c r="C492" s="456"/>
      <c r="D492" s="456"/>
      <c r="E492" s="456">
        <f>Windows!F43*2+Windows!G43*2</f>
        <v>2.7</v>
      </c>
      <c r="F492" s="456"/>
      <c r="G492" s="456">
        <f t="shared" si="68"/>
        <v>2.7</v>
      </c>
      <c r="H492" s="456" t="str">
        <v>RM</v>
      </c>
      <c r="I492" s="456" t="str">
        <v>Granite Window Frame</v>
      </c>
      <c r="J492" s="456">
        <v>180</v>
      </c>
      <c r="K492" s="456">
        <v>655.92719999999997</v>
      </c>
      <c r="L492" s="456">
        <f t="shared" si="69"/>
        <v>1771.00344</v>
      </c>
      <c r="O492" s="455">
        <f t="shared" si="78"/>
        <v>8.1000000000000014</v>
      </c>
      <c r="P492" s="455">
        <f t="shared" si="79"/>
        <v>5313.0103199999994</v>
      </c>
      <c r="R492" s="480" t="s">
        <v>743</v>
      </c>
    </row>
    <row r="493" spans="1:18">
      <c r="A493" s="454"/>
      <c r="B493" s="454" t="str">
        <v>Window Frames - External</v>
      </c>
      <c r="C493" s="456"/>
      <c r="D493" s="456"/>
      <c r="E493" s="456">
        <f>E492</f>
        <v>2.7</v>
      </c>
      <c r="F493" s="456"/>
      <c r="G493" s="456">
        <f t="shared" si="68"/>
        <v>2.7</v>
      </c>
      <c r="H493" s="456" t="str">
        <v>RM</v>
      </c>
      <c r="I493" s="456" t="str">
        <v>Marble Window Frames with Sill</v>
      </c>
      <c r="J493" s="456">
        <v>60</v>
      </c>
      <c r="K493" s="456">
        <v>399.04239999999999</v>
      </c>
      <c r="L493" s="456">
        <f t="shared" si="69"/>
        <v>1077.4144800000001</v>
      </c>
      <c r="O493" s="455">
        <f t="shared" si="78"/>
        <v>8.1000000000000014</v>
      </c>
      <c r="P493" s="455">
        <f t="shared" si="79"/>
        <v>3232.2434400000002</v>
      </c>
      <c r="R493" s="480" t="s">
        <v>409</v>
      </c>
    </row>
    <row r="494" spans="1:18">
      <c r="A494" s="454"/>
      <c r="B494" s="454" t="str">
        <v>Others - Counter</v>
      </c>
      <c r="C494" s="456"/>
      <c r="D494" s="456"/>
      <c r="E494" s="456">
        <f>0.6*0.6</f>
        <v>0.36</v>
      </c>
      <c r="F494" s="456"/>
      <c r="G494" s="456">
        <f t="shared" si="68"/>
        <v>0.36</v>
      </c>
      <c r="H494" s="456" t="str">
        <v>Sq M</v>
      </c>
      <c r="I494" s="456" t="str">
        <v>Basin Counter 1'6" - Granite Basin Counter</v>
      </c>
      <c r="J494" s="456">
        <v>180</v>
      </c>
      <c r="K494" s="456">
        <v>6329.6720000000005</v>
      </c>
      <c r="L494" s="456">
        <f t="shared" si="69"/>
        <v>2278.68192</v>
      </c>
      <c r="O494" s="455">
        <f t="shared" si="78"/>
        <v>1.08</v>
      </c>
      <c r="P494" s="455">
        <f t="shared" si="79"/>
        <v>6836.04576</v>
      </c>
      <c r="R494" s="480" t="s">
        <v>670</v>
      </c>
    </row>
    <row r="495" spans="1:18" s="479" customFormat="1" ht="13.5" customHeight="1">
      <c r="A495" s="475" t="s">
        <v>628</v>
      </c>
      <c r="B495" s="476" t="str">
        <f>'Flat Sizes'!B44</f>
        <v>Kitchen</v>
      </c>
      <c r="C495" s="477">
        <f>'Flat Sizes'!D44</f>
        <v>6.13</v>
      </c>
      <c r="D495" s="477">
        <f>'Flat Sizes'!G44</f>
        <v>10.39</v>
      </c>
      <c r="E495" s="477"/>
      <c r="F495" s="454"/>
      <c r="G495" s="477"/>
      <c r="H495" s="477"/>
      <c r="I495" s="477"/>
      <c r="J495" s="477"/>
      <c r="K495" s="477"/>
      <c r="L495" s="477"/>
      <c r="M495" s="459">
        <f>SUM(L496:L509)/C495/10.764</f>
        <v>1353.7436034622087</v>
      </c>
      <c r="N495" s="478"/>
      <c r="O495" s="455"/>
      <c r="P495" s="455"/>
      <c r="Q495" s="478"/>
    </row>
    <row r="496" spans="1:18">
      <c r="A496" s="454"/>
      <c r="B496" s="454" t="str" cm="1">
        <f t="array" ref="B496:B509">'Rate List - Flats'!B90:B103</f>
        <v>Flooring</v>
      </c>
      <c r="C496" s="456"/>
      <c r="D496" s="456"/>
      <c r="E496" s="456">
        <f>C495</f>
        <v>6.13</v>
      </c>
      <c r="F496" s="456"/>
      <c r="G496" s="456">
        <f t="shared" si="68"/>
        <v>6.13</v>
      </c>
      <c r="H496" s="456" t="str" cm="1">
        <f t="array" ref="H496:H509">'Rate List - Flats'!H90:H103</f>
        <v>Sq M</v>
      </c>
      <c r="I496" s="456" t="str" cm="1">
        <f t="array" ref="I496:I509">'Rate List - Flats'!C90:C103</f>
        <v>ceramic tiles/vitrified anti-skid tiles</v>
      </c>
      <c r="J496" s="456" cm="1">
        <f t="array" ref="J496:J509">'Rate List - Flats'!E90:E103</f>
        <v>45</v>
      </c>
      <c r="K496" s="456" cm="1">
        <f t="array" ref="K496:K509">'Rate List - Flats'!G90:G103</f>
        <v>1340.1179999999999</v>
      </c>
      <c r="L496" s="456">
        <f t="shared" si="69"/>
        <v>8214.9233399999994</v>
      </c>
      <c r="O496" s="455">
        <f t="shared" ref="O496:O509" si="80">IF(I496="N.A",0,G496*$N$429)</f>
        <v>18.39</v>
      </c>
      <c r="P496" s="455">
        <f t="shared" ref="P496:P509" si="81">L496*$N$429</f>
        <v>24644.770019999996</v>
      </c>
      <c r="R496" s="458" t="s">
        <v>659</v>
      </c>
    </row>
    <row r="497" spans="1:18">
      <c r="A497" s="454"/>
      <c r="B497" s="454" t="str">
        <v>Skirting</v>
      </c>
      <c r="C497" s="456"/>
      <c r="D497" s="456"/>
      <c r="E497" s="456"/>
      <c r="F497" s="456"/>
      <c r="G497" s="456">
        <f t="shared" ref="G497:G529" si="82">E497+F497</f>
        <v>0</v>
      </c>
      <c r="H497" s="456" t="str">
        <v xml:space="preserve">RM </v>
      </c>
      <c r="I497" s="456" t="str">
        <v>N.A.</v>
      </c>
      <c r="J497" s="456">
        <v>0</v>
      </c>
      <c r="K497" s="456">
        <v>0</v>
      </c>
      <c r="L497" s="456">
        <f t="shared" ref="L497:L529" si="83">G497*K497</f>
        <v>0</v>
      </c>
      <c r="O497" s="455">
        <f t="shared" si="80"/>
        <v>0</v>
      </c>
      <c r="P497" s="455">
        <f t="shared" si="81"/>
        <v>0</v>
      </c>
      <c r="R497" s="458" t="s">
        <v>660</v>
      </c>
    </row>
    <row r="498" spans="1:18">
      <c r="A498" s="454"/>
      <c r="B498" s="454" t="str">
        <v>Dado</v>
      </c>
      <c r="C498" s="456"/>
      <c r="D498" s="456">
        <f>D1-0.9-0.7</f>
        <v>1.5000000000000002</v>
      </c>
      <c r="E498" s="456">
        <f>(E508+E509)*D498</f>
        <v>9.2100000000000026</v>
      </c>
      <c r="F498" s="456"/>
      <c r="G498" s="456">
        <f t="shared" si="82"/>
        <v>9.2100000000000026</v>
      </c>
      <c r="H498" s="456" t="str">
        <v>Sq M</v>
      </c>
      <c r="I498" s="456" t="str">
        <v>Vitrified tiles</v>
      </c>
      <c r="J498" s="456">
        <v>45</v>
      </c>
      <c r="K498" s="456">
        <v>1393.9379999999999</v>
      </c>
      <c r="L498" s="456">
        <f t="shared" si="83"/>
        <v>12838.168980000002</v>
      </c>
      <c r="O498" s="455">
        <f t="shared" si="80"/>
        <v>27.63000000000001</v>
      </c>
      <c r="P498" s="455">
        <f t="shared" si="81"/>
        <v>38514.506940000007</v>
      </c>
      <c r="R498" s="458" t="s">
        <v>665</v>
      </c>
    </row>
    <row r="499" spans="1:18">
      <c r="A499" s="454"/>
      <c r="B499" s="454" t="str">
        <v>Dado Below Kitchen Platform</v>
      </c>
      <c r="C499" s="456"/>
      <c r="D499" s="456">
        <v>0.9</v>
      </c>
      <c r="E499" s="456">
        <f>(E508+E509)*D499</f>
        <v>5.5260000000000007</v>
      </c>
      <c r="F499" s="456"/>
      <c r="G499" s="456">
        <f t="shared" si="82"/>
        <v>5.5260000000000007</v>
      </c>
      <c r="H499" s="456" t="str">
        <v>Sq M</v>
      </c>
      <c r="I499" s="456" t="str">
        <v>dado under platform</v>
      </c>
      <c r="J499" s="456">
        <v>23</v>
      </c>
      <c r="K499" s="456">
        <v>1133.4491999999998</v>
      </c>
      <c r="L499" s="456">
        <f t="shared" si="83"/>
        <v>6263.4402792000001</v>
      </c>
      <c r="O499" s="455">
        <f t="shared" si="80"/>
        <v>16.578000000000003</v>
      </c>
      <c r="P499" s="455">
        <f t="shared" si="81"/>
        <v>18790.3208376</v>
      </c>
      <c r="R499" s="458" t="s">
        <v>746</v>
      </c>
    </row>
    <row r="500" spans="1:18">
      <c r="A500" s="454"/>
      <c r="B500" s="454" t="str">
        <v>Wall finishes plaster</v>
      </c>
      <c r="C500" s="456"/>
      <c r="D500" s="456">
        <f>D1-0.15</f>
        <v>2.95</v>
      </c>
      <c r="E500" s="456">
        <f>(D495*D500)-(E498+E499)</f>
        <v>15.9145</v>
      </c>
      <c r="F500" s="456">
        <f>-(Doors!H40+Windows!H44)</f>
        <v>-4.04</v>
      </c>
      <c r="G500" s="456">
        <f t="shared" si="82"/>
        <v>11.874500000000001</v>
      </c>
      <c r="H500" s="456" t="str">
        <v>Sq M</v>
      </c>
      <c r="I500" s="456" t="str">
        <v>Gypsum Plaster</v>
      </c>
      <c r="J500" s="456">
        <v>32</v>
      </c>
      <c r="K500" s="456">
        <v>376.73999999999995</v>
      </c>
      <c r="L500" s="456">
        <f t="shared" si="83"/>
        <v>4473.5991299999996</v>
      </c>
      <c r="O500" s="455">
        <f t="shared" si="80"/>
        <v>35.623500000000007</v>
      </c>
      <c r="P500" s="455">
        <f t="shared" si="81"/>
        <v>13420.79739</v>
      </c>
      <c r="R500" s="458" t="s">
        <v>661</v>
      </c>
    </row>
    <row r="501" spans="1:18">
      <c r="A501" s="454"/>
      <c r="B501" s="454" t="str">
        <v>Ceiling plaster</v>
      </c>
      <c r="C501" s="456"/>
      <c r="D501" s="456"/>
      <c r="E501" s="456">
        <f>E496</f>
        <v>6.13</v>
      </c>
      <c r="F501" s="456"/>
      <c r="G501" s="456">
        <f t="shared" si="82"/>
        <v>6.13</v>
      </c>
      <c r="H501" s="456" t="str">
        <v>Sq M</v>
      </c>
      <c r="I501" s="456" t="str">
        <v>Gypsum Plaster</v>
      </c>
      <c r="J501" s="456">
        <v>32</v>
      </c>
      <c r="K501" s="456">
        <v>344.44799999999998</v>
      </c>
      <c r="L501" s="456">
        <f t="shared" si="83"/>
        <v>2111.4662399999997</v>
      </c>
      <c r="O501" s="455">
        <f t="shared" si="80"/>
        <v>18.39</v>
      </c>
      <c r="P501" s="455">
        <f t="shared" si="81"/>
        <v>6334.3987199999992</v>
      </c>
      <c r="R501" s="458" t="s">
        <v>662</v>
      </c>
    </row>
    <row r="502" spans="1:18">
      <c r="A502" s="454"/>
      <c r="B502" s="454" t="str">
        <v>False ceiling</v>
      </c>
      <c r="C502" s="456"/>
      <c r="D502" s="456"/>
      <c r="E502" s="456"/>
      <c r="F502" s="456"/>
      <c r="G502" s="456">
        <f t="shared" si="82"/>
        <v>0</v>
      </c>
      <c r="H502" s="456" t="str">
        <v>Sq M</v>
      </c>
      <c r="I502" s="456" t="str">
        <v>N.A.</v>
      </c>
      <c r="J502" s="456">
        <v>0</v>
      </c>
      <c r="K502" s="456">
        <v>0</v>
      </c>
      <c r="L502" s="456">
        <f t="shared" si="83"/>
        <v>0</v>
      </c>
      <c r="O502" s="455">
        <f t="shared" si="80"/>
        <v>0</v>
      </c>
      <c r="P502" s="455">
        <f t="shared" si="81"/>
        <v>0</v>
      </c>
      <c r="R502" s="458"/>
    </row>
    <row r="503" spans="1:18">
      <c r="A503" s="454"/>
      <c r="B503" s="454" t="str">
        <v>Wall finishes Paint</v>
      </c>
      <c r="C503" s="456"/>
      <c r="D503" s="456"/>
      <c r="E503" s="456">
        <f>E500</f>
        <v>15.9145</v>
      </c>
      <c r="F503" s="456">
        <f>F500</f>
        <v>-4.04</v>
      </c>
      <c r="G503" s="456">
        <f t="shared" si="82"/>
        <v>11.874500000000001</v>
      </c>
      <c r="H503" s="456" t="str">
        <v>Sq M</v>
      </c>
      <c r="I503" s="456" t="str">
        <v>Plastic paint</v>
      </c>
      <c r="J503" s="456">
        <v>20</v>
      </c>
      <c r="K503" s="456">
        <v>215.27999999999997</v>
      </c>
      <c r="L503" s="456">
        <f t="shared" si="83"/>
        <v>2556.3423600000001</v>
      </c>
      <c r="O503" s="455">
        <f t="shared" si="80"/>
        <v>35.623500000000007</v>
      </c>
      <c r="P503" s="455">
        <f t="shared" si="81"/>
        <v>7669.0270799999998</v>
      </c>
      <c r="R503" s="458" t="s">
        <v>663</v>
      </c>
    </row>
    <row r="504" spans="1:18">
      <c r="A504" s="454"/>
      <c r="B504" s="454" t="str">
        <v>Ceiling Paint</v>
      </c>
      <c r="C504" s="456"/>
      <c r="D504" s="456"/>
      <c r="E504" s="456">
        <f>E501</f>
        <v>6.13</v>
      </c>
      <c r="F504" s="456"/>
      <c r="G504" s="456">
        <f t="shared" si="82"/>
        <v>6.13</v>
      </c>
      <c r="H504" s="456" t="str">
        <v>Sq M</v>
      </c>
      <c r="I504" s="456" t="str">
        <v>Plastic paint</v>
      </c>
      <c r="J504" s="456">
        <v>20</v>
      </c>
      <c r="K504" s="456">
        <v>215.27999999999997</v>
      </c>
      <c r="L504" s="456">
        <f t="shared" si="83"/>
        <v>1319.6663999999998</v>
      </c>
      <c r="O504" s="455">
        <f t="shared" si="80"/>
        <v>18.39</v>
      </c>
      <c r="P504" s="455">
        <f t="shared" si="81"/>
        <v>3958.9991999999993</v>
      </c>
      <c r="R504" s="458" t="s">
        <v>664</v>
      </c>
    </row>
    <row r="505" spans="1:18">
      <c r="A505" s="454"/>
      <c r="B505" s="454" t="str">
        <v>Door Frames</v>
      </c>
      <c r="C505" s="456"/>
      <c r="D505" s="456"/>
      <c r="E505" s="456"/>
      <c r="F505" s="456"/>
      <c r="G505" s="456">
        <f t="shared" si="82"/>
        <v>0</v>
      </c>
      <c r="H505" s="456" t="str">
        <v>Sq M</v>
      </c>
      <c r="I505" s="456" t="str">
        <v>N.A.</v>
      </c>
      <c r="J505" s="456">
        <v>0</v>
      </c>
      <c r="K505" s="456">
        <v>0</v>
      </c>
      <c r="L505" s="456">
        <f t="shared" si="83"/>
        <v>0</v>
      </c>
      <c r="O505" s="455">
        <f t="shared" si="80"/>
        <v>0</v>
      </c>
      <c r="P505" s="455">
        <f t="shared" si="81"/>
        <v>0</v>
      </c>
      <c r="R505" s="458" t="s">
        <v>407</v>
      </c>
    </row>
    <row r="506" spans="1:18">
      <c r="A506" s="454"/>
      <c r="B506" s="454" t="str">
        <v>Window Frames - Internal</v>
      </c>
      <c r="C506" s="456"/>
      <c r="D506" s="456"/>
      <c r="E506" s="456">
        <f>Windows!F44*2+Windows!G44*2</f>
        <v>6.3</v>
      </c>
      <c r="F506" s="456"/>
      <c r="G506" s="456">
        <f t="shared" si="82"/>
        <v>6.3</v>
      </c>
      <c r="H506" s="456" t="str">
        <v>RM</v>
      </c>
      <c r="I506" s="456" t="str">
        <v>Granite Window Frame</v>
      </c>
      <c r="J506" s="456">
        <v>180</v>
      </c>
      <c r="K506" s="456">
        <v>655.92719999999997</v>
      </c>
      <c r="L506" s="456">
        <f t="shared" si="83"/>
        <v>4132.3413599999994</v>
      </c>
      <c r="O506" s="455">
        <f t="shared" si="80"/>
        <v>18.899999999999999</v>
      </c>
      <c r="P506" s="455">
        <f t="shared" si="81"/>
        <v>12397.024079999999</v>
      </c>
      <c r="R506" s="458" t="s">
        <v>408</v>
      </c>
    </row>
    <row r="507" spans="1:18">
      <c r="A507" s="454"/>
      <c r="B507" s="454" t="str">
        <v>Window Frames - External</v>
      </c>
      <c r="C507" s="456"/>
      <c r="D507" s="456"/>
      <c r="E507" s="456">
        <f>E506</f>
        <v>6.3</v>
      </c>
      <c r="F507" s="456"/>
      <c r="G507" s="456">
        <f t="shared" si="82"/>
        <v>6.3</v>
      </c>
      <c r="H507" s="456" t="str">
        <v>RM</v>
      </c>
      <c r="I507" s="456" t="str">
        <v>Marble Window Frames with Sill</v>
      </c>
      <c r="J507" s="456">
        <v>60</v>
      </c>
      <c r="K507" s="456">
        <v>399.04239999999999</v>
      </c>
      <c r="L507" s="456">
        <f t="shared" si="83"/>
        <v>2513.9671199999998</v>
      </c>
      <c r="O507" s="455">
        <f t="shared" si="80"/>
        <v>18.899999999999999</v>
      </c>
      <c r="P507" s="455">
        <f t="shared" si="81"/>
        <v>7541.9013599999998</v>
      </c>
      <c r="R507" s="458" t="s">
        <v>409</v>
      </c>
    </row>
    <row r="508" spans="1:18">
      <c r="A508" s="454"/>
      <c r="B508" s="454" t="str">
        <v>Kitchen Platform</v>
      </c>
      <c r="C508" s="456"/>
      <c r="D508" s="456"/>
      <c r="E508" s="456">
        <v>3.52</v>
      </c>
      <c r="F508" s="456"/>
      <c r="G508" s="456">
        <f t="shared" si="82"/>
        <v>3.52</v>
      </c>
      <c r="H508" s="456" t="str">
        <v>RM</v>
      </c>
      <c r="I508" s="456" t="str">
        <v>Kitchen 2' Granite Main Counter</v>
      </c>
      <c r="J508" s="456">
        <v>180</v>
      </c>
      <c r="K508" s="456">
        <v>7312.7984000000006</v>
      </c>
      <c r="L508" s="456">
        <f t="shared" si="83"/>
        <v>25741.050368000004</v>
      </c>
      <c r="O508" s="455">
        <f t="shared" si="80"/>
        <v>10.56</v>
      </c>
      <c r="P508" s="455">
        <f t="shared" si="81"/>
        <v>77223.151104000019</v>
      </c>
      <c r="R508" s="458" t="s">
        <v>747</v>
      </c>
    </row>
    <row r="509" spans="1:18">
      <c r="A509" s="454"/>
      <c r="B509" s="454" t="str">
        <v>Service Platform</v>
      </c>
      <c r="C509" s="456"/>
      <c r="D509" s="456"/>
      <c r="E509" s="456">
        <f>E508-0.9</f>
        <v>2.62</v>
      </c>
      <c r="F509" s="456"/>
      <c r="G509" s="456">
        <f t="shared" si="82"/>
        <v>2.62</v>
      </c>
      <c r="H509" s="456" t="str">
        <v>RM</v>
      </c>
      <c r="I509" s="456" t="str">
        <v>Kitchen 1'6" Granite Main Counter</v>
      </c>
      <c r="J509" s="456">
        <v>180</v>
      </c>
      <c r="K509" s="456">
        <v>7312.7984000000006</v>
      </c>
      <c r="L509" s="456">
        <f t="shared" si="83"/>
        <v>19159.531808000003</v>
      </c>
      <c r="O509" s="455">
        <f t="shared" si="80"/>
        <v>7.86</v>
      </c>
      <c r="P509" s="455">
        <f t="shared" si="81"/>
        <v>57478.595424000014</v>
      </c>
      <c r="R509" s="458" t="s">
        <v>666</v>
      </c>
    </row>
    <row r="510" spans="1:18" s="479" customFormat="1" ht="13.5" customHeight="1">
      <c r="A510" s="475" t="s">
        <v>628</v>
      </c>
      <c r="B510" s="476" t="str">
        <f>'Flat Sizes'!B45</f>
        <v>Utility</v>
      </c>
      <c r="C510" s="477">
        <f>'Flat Sizes'!D45</f>
        <v>2.75</v>
      </c>
      <c r="D510" s="477">
        <f>'Flat Sizes'!G45</f>
        <v>7.05</v>
      </c>
      <c r="E510" s="477"/>
      <c r="F510" s="454"/>
      <c r="G510" s="477"/>
      <c r="H510" s="477"/>
      <c r="I510" s="477"/>
      <c r="J510" s="477"/>
      <c r="K510" s="477"/>
      <c r="L510" s="477"/>
      <c r="M510" s="459">
        <f>SUM(L511:L519)/C510/10.764</f>
        <v>1176.3703658660179</v>
      </c>
      <c r="N510" s="478"/>
      <c r="O510" s="455"/>
      <c r="P510" s="455"/>
      <c r="Q510" s="478"/>
    </row>
    <row r="511" spans="1:18">
      <c r="A511" s="454"/>
      <c r="B511" s="454" t="str" cm="1">
        <f t="array" ref="B511:B519">'Rate List - Flats'!B120:B128</f>
        <v>Flooring</v>
      </c>
      <c r="C511" s="456"/>
      <c r="D511" s="456"/>
      <c r="E511" s="456">
        <f>C510</f>
        <v>2.75</v>
      </c>
      <c r="F511" s="456"/>
      <c r="G511" s="456">
        <f t="shared" si="82"/>
        <v>2.75</v>
      </c>
      <c r="H511" s="456" t="str" cm="1">
        <f t="array" ref="H511:H519">'Rate List - Flats'!H120:H128</f>
        <v>Sq M</v>
      </c>
      <c r="I511" s="456" t="str" cm="1">
        <f t="array" ref="I511:I519">'Rate List - Flats'!C120:C128</f>
        <v>2'x2' Vitrified tiles</v>
      </c>
      <c r="J511" s="456" cm="1">
        <f t="array" ref="J511:J519">'Rate List - Flats'!E120:E128</f>
        <v>45</v>
      </c>
      <c r="K511" s="456" cm="1">
        <f t="array" ref="K511:K519">'Rate List - Flats'!G120:G128</f>
        <v>1340.1179999999999</v>
      </c>
      <c r="L511" s="456">
        <f t="shared" si="83"/>
        <v>3685.3244999999997</v>
      </c>
      <c r="O511" s="455">
        <f t="shared" ref="O511" si="84">IF(I511="N.A",0,G511*$N$429)</f>
        <v>8.25</v>
      </c>
      <c r="P511" s="455">
        <f t="shared" ref="P511" si="85">L511*$N$429</f>
        <v>11055.9735</v>
      </c>
      <c r="R511" s="458" t="s">
        <v>748</v>
      </c>
    </row>
    <row r="512" spans="1:18">
      <c r="A512" s="454"/>
      <c r="B512" s="454" t="str">
        <v>Skirting</v>
      </c>
      <c r="C512" s="456"/>
      <c r="D512" s="456"/>
      <c r="E512" s="456">
        <f>D510</f>
        <v>7.05</v>
      </c>
      <c r="F512" s="456"/>
      <c r="G512" s="456">
        <f t="shared" si="82"/>
        <v>7.05</v>
      </c>
      <c r="H512" s="456" t="str">
        <v xml:space="preserve">RM </v>
      </c>
      <c r="I512" s="456" t="str">
        <v xml:space="preserve">2'x2' Vitrified tiles </v>
      </c>
      <c r="J512" s="456">
        <v>45</v>
      </c>
      <c r="K512" s="456">
        <v>391.96</v>
      </c>
      <c r="L512" s="456">
        <f t="shared" si="83"/>
        <v>2763.3179999999998</v>
      </c>
      <c r="O512" s="455">
        <f t="shared" ref="O512:O519" si="86">IF(I512="N.A",0,G512*$N$429)</f>
        <v>21.15</v>
      </c>
      <c r="P512" s="455">
        <f t="shared" ref="P512:P519" si="87">L512*$N$429</f>
        <v>8289.9539999999997</v>
      </c>
      <c r="R512" s="458" t="s">
        <v>749</v>
      </c>
    </row>
    <row r="513" spans="1:18">
      <c r="A513" s="454"/>
      <c r="B513" s="454" t="str">
        <v>Dado</v>
      </c>
      <c r="C513" s="456"/>
      <c r="D513" s="456"/>
      <c r="E513" s="456"/>
      <c r="F513" s="456"/>
      <c r="G513" s="456">
        <f t="shared" si="82"/>
        <v>0</v>
      </c>
      <c r="H513" s="456" t="str">
        <v>Sq M</v>
      </c>
      <c r="I513" s="456" t="str">
        <v>N.A</v>
      </c>
      <c r="J513" s="456">
        <v>0</v>
      </c>
      <c r="K513" s="456">
        <v>0</v>
      </c>
      <c r="L513" s="456">
        <f t="shared" si="83"/>
        <v>0</v>
      </c>
      <c r="O513" s="455">
        <f t="shared" si="86"/>
        <v>0</v>
      </c>
      <c r="P513" s="455">
        <f t="shared" si="87"/>
        <v>0</v>
      </c>
      <c r="R513" s="458" t="s">
        <v>750</v>
      </c>
    </row>
    <row r="514" spans="1:18">
      <c r="A514" s="454"/>
      <c r="B514" s="454" t="str">
        <v>Wall finishes plaster</v>
      </c>
      <c r="C514" s="456"/>
      <c r="D514" s="456"/>
      <c r="E514" s="456">
        <f>D510*(D1-0.15)</f>
        <v>20.797499999999999</v>
      </c>
      <c r="F514" s="456">
        <f>-Windows!K45*2.15</f>
        <v>-2.15</v>
      </c>
      <c r="G514" s="456">
        <f t="shared" si="82"/>
        <v>18.647500000000001</v>
      </c>
      <c r="H514" s="456" t="str">
        <v>Sq M</v>
      </c>
      <c r="I514" s="456" t="str">
        <v>External Plaster  - 15 mm</v>
      </c>
      <c r="J514" s="456">
        <v>85</v>
      </c>
      <c r="K514" s="456">
        <v>914.93999999999994</v>
      </c>
      <c r="L514" s="456">
        <f t="shared" si="83"/>
        <v>17061.343649999999</v>
      </c>
      <c r="O514" s="455">
        <f t="shared" si="86"/>
        <v>55.942500000000003</v>
      </c>
      <c r="P514" s="455">
        <f t="shared" si="87"/>
        <v>51184.03095</v>
      </c>
      <c r="R514" s="458" t="s">
        <v>751</v>
      </c>
    </row>
    <row r="515" spans="1:18">
      <c r="A515" s="454"/>
      <c r="B515" s="454" t="str">
        <v>Ceiling plaster</v>
      </c>
      <c r="C515" s="456"/>
      <c r="D515" s="456"/>
      <c r="E515" s="456">
        <f>E511</f>
        <v>2.75</v>
      </c>
      <c r="F515" s="456"/>
      <c r="G515" s="456">
        <f t="shared" si="82"/>
        <v>2.75</v>
      </c>
      <c r="H515" s="456" t="str">
        <v>Sq M</v>
      </c>
      <c r="I515" s="456" t="str">
        <v>Gypsum Plaster</v>
      </c>
      <c r="J515" s="456">
        <v>32</v>
      </c>
      <c r="K515" s="456">
        <v>344.44799999999998</v>
      </c>
      <c r="L515" s="456">
        <f t="shared" si="83"/>
        <v>947.23199999999997</v>
      </c>
      <c r="O515" s="455">
        <f t="shared" si="86"/>
        <v>8.25</v>
      </c>
      <c r="P515" s="455">
        <f t="shared" si="87"/>
        <v>2841.6959999999999</v>
      </c>
      <c r="R515" s="458" t="s">
        <v>662</v>
      </c>
    </row>
    <row r="516" spans="1:18">
      <c r="A516" s="454"/>
      <c r="B516" s="454" t="str">
        <v>False ceiling</v>
      </c>
      <c r="C516" s="456"/>
      <c r="D516" s="456"/>
      <c r="E516" s="456"/>
      <c r="F516" s="456"/>
      <c r="G516" s="456">
        <f t="shared" si="82"/>
        <v>0</v>
      </c>
      <c r="H516" s="456" t="str">
        <v>Sq M</v>
      </c>
      <c r="I516" s="456" t="str">
        <v>N.A.</v>
      </c>
      <c r="J516" s="456">
        <v>0</v>
      </c>
      <c r="K516" s="456">
        <v>0</v>
      </c>
      <c r="L516" s="456">
        <f t="shared" si="83"/>
        <v>0</v>
      </c>
      <c r="O516" s="455">
        <f t="shared" si="86"/>
        <v>0</v>
      </c>
      <c r="P516" s="455">
        <f t="shared" si="87"/>
        <v>0</v>
      </c>
      <c r="R516" s="458" t="s">
        <v>414</v>
      </c>
    </row>
    <row r="517" spans="1:18">
      <c r="A517" s="454"/>
      <c r="B517" s="454" t="str">
        <v>Wall finishes Paint</v>
      </c>
      <c r="C517" s="456"/>
      <c r="D517" s="456"/>
      <c r="E517" s="456">
        <f>E514</f>
        <v>20.797499999999999</v>
      </c>
      <c r="F517" s="456">
        <f>F514</f>
        <v>-2.15</v>
      </c>
      <c r="G517" s="456">
        <f t="shared" si="82"/>
        <v>18.647500000000001</v>
      </c>
      <c r="H517" s="456" t="str">
        <v>Sq M</v>
      </c>
      <c r="I517" s="456" t="str">
        <v>External Grade Paint</v>
      </c>
      <c r="J517" s="456">
        <v>45</v>
      </c>
      <c r="K517" s="456">
        <v>484.38</v>
      </c>
      <c r="L517" s="456">
        <f t="shared" si="83"/>
        <v>9032.4760500000011</v>
      </c>
      <c r="O517" s="455">
        <f t="shared" si="86"/>
        <v>55.942500000000003</v>
      </c>
      <c r="P517" s="455">
        <f t="shared" si="87"/>
        <v>27097.428150000003</v>
      </c>
      <c r="R517" s="458" t="s">
        <v>663</v>
      </c>
    </row>
    <row r="518" spans="1:18">
      <c r="A518" s="454"/>
      <c r="B518" s="454" t="str">
        <v>Ceiling Paint</v>
      </c>
      <c r="C518" s="456"/>
      <c r="D518" s="456"/>
      <c r="E518" s="456">
        <f>E515</f>
        <v>2.75</v>
      </c>
      <c r="F518" s="456"/>
      <c r="G518" s="456">
        <f t="shared" si="82"/>
        <v>2.75</v>
      </c>
      <c r="H518" s="456" t="str">
        <v>Sq M</v>
      </c>
      <c r="I518" s="456" t="str">
        <v>External Grade Paint</v>
      </c>
      <c r="J518" s="456">
        <v>45</v>
      </c>
      <c r="K518" s="456">
        <v>484.38</v>
      </c>
      <c r="L518" s="456">
        <f t="shared" si="83"/>
        <v>1332.0450000000001</v>
      </c>
      <c r="O518" s="455">
        <f t="shared" si="86"/>
        <v>8.25</v>
      </c>
      <c r="P518" s="455">
        <f t="shared" si="87"/>
        <v>3996.1350000000002</v>
      </c>
      <c r="R518" s="458" t="s">
        <v>664</v>
      </c>
    </row>
    <row r="519" spans="1:18">
      <c r="A519" s="454"/>
      <c r="B519" s="454" t="str">
        <v>Others</v>
      </c>
      <c r="C519" s="456"/>
      <c r="D519" s="456"/>
      <c r="E519" s="456"/>
      <c r="F519" s="456"/>
      <c r="G519" s="456">
        <f t="shared" si="82"/>
        <v>0</v>
      </c>
      <c r="H519" s="456" t="str">
        <v>-</v>
      </c>
      <c r="I519" s="456" t="str">
        <v>N.A.</v>
      </c>
      <c r="J519" s="456">
        <v>0</v>
      </c>
      <c r="K519" s="456">
        <v>0</v>
      </c>
      <c r="L519" s="456">
        <f t="shared" si="83"/>
        <v>0</v>
      </c>
      <c r="O519" s="455">
        <f t="shared" si="86"/>
        <v>0</v>
      </c>
      <c r="P519" s="455">
        <f t="shared" si="87"/>
        <v>0</v>
      </c>
    </row>
    <row r="520" spans="1:18" s="479" customFormat="1" ht="13.5" customHeight="1">
      <c r="A520" s="475" t="s">
        <v>628</v>
      </c>
      <c r="B520" s="476" t="str">
        <f>'Flat Sizes'!B46</f>
        <v>Balcony</v>
      </c>
      <c r="C520" s="477">
        <f>'Flat Sizes'!D46</f>
        <v>2.8</v>
      </c>
      <c r="D520" s="477">
        <f>'Flat Sizes'!G46</f>
        <v>7.01</v>
      </c>
      <c r="E520" s="477"/>
      <c r="F520" s="454"/>
      <c r="G520" s="477"/>
      <c r="H520" s="477"/>
      <c r="I520" s="477"/>
      <c r="J520" s="477"/>
      <c r="K520" s="477"/>
      <c r="L520" s="477"/>
      <c r="M520" s="459">
        <f>SUM(L521:L529)/C520/10.764</f>
        <v>888.43640972554022</v>
      </c>
      <c r="N520" s="478"/>
      <c r="O520" s="455"/>
      <c r="P520" s="455"/>
      <c r="Q520" s="478"/>
    </row>
    <row r="521" spans="1:18">
      <c r="A521" s="454"/>
      <c r="B521" s="454" t="str" cm="1">
        <f t="array" ref="B521:B529">'Rate List - Flats'!B120:B128</f>
        <v>Flooring</v>
      </c>
      <c r="C521" s="456"/>
      <c r="D521" s="456"/>
      <c r="E521" s="456">
        <f>C520</f>
        <v>2.8</v>
      </c>
      <c r="F521" s="456"/>
      <c r="G521" s="456">
        <f t="shared" si="82"/>
        <v>2.8</v>
      </c>
      <c r="H521" s="456" t="str" cm="1">
        <f t="array" ref="H521:H529">'Rate List - Flats'!H120:H128</f>
        <v>Sq M</v>
      </c>
      <c r="I521" s="456" t="str" cm="1">
        <f t="array" ref="I521:I529">'Rate List - Flats'!C120:C128</f>
        <v>2'x2' Vitrified tiles</v>
      </c>
      <c r="J521" s="456" cm="1">
        <f t="array" ref="J521:J529">'Rate List - Flats'!E120:E128</f>
        <v>45</v>
      </c>
      <c r="K521" s="456" cm="1">
        <f t="array" ref="K521:K529">'Rate List - Flats'!G120:G128</f>
        <v>1340.1179999999999</v>
      </c>
      <c r="L521" s="456">
        <f t="shared" si="83"/>
        <v>3752.3303999999994</v>
      </c>
      <c r="O521" s="455">
        <f t="shared" ref="O521:O528" si="88">IF(I521="N.A",0,G521*$N$429)</f>
        <v>8.3999999999999986</v>
      </c>
      <c r="P521" s="455">
        <f t="shared" ref="P521:P528" si="89">L521*$N$429</f>
        <v>11256.991199999999</v>
      </c>
      <c r="R521" s="458" t="s">
        <v>752</v>
      </c>
    </row>
    <row r="522" spans="1:18">
      <c r="A522" s="454"/>
      <c r="B522" s="454" t="str">
        <v>Skirting</v>
      </c>
      <c r="C522" s="456"/>
      <c r="D522" s="456"/>
      <c r="E522" s="456">
        <f>D520</f>
        <v>7.01</v>
      </c>
      <c r="F522" s="456"/>
      <c r="G522" s="456">
        <f t="shared" si="82"/>
        <v>7.01</v>
      </c>
      <c r="H522" s="456" t="str">
        <v xml:space="preserve">RM </v>
      </c>
      <c r="I522" s="456" t="str">
        <v xml:space="preserve">2'x2' Vitrified tiles </v>
      </c>
      <c r="J522" s="456">
        <v>45</v>
      </c>
      <c r="K522" s="456">
        <v>391.96</v>
      </c>
      <c r="L522" s="456">
        <f t="shared" si="83"/>
        <v>2747.6396</v>
      </c>
      <c r="O522" s="455">
        <f t="shared" si="88"/>
        <v>21.03</v>
      </c>
      <c r="P522" s="455">
        <f t="shared" si="89"/>
        <v>8242.9187999999995</v>
      </c>
      <c r="R522" s="458" t="s">
        <v>753</v>
      </c>
    </row>
    <row r="523" spans="1:18">
      <c r="A523" s="454"/>
      <c r="B523" s="454" t="str">
        <v>Dado</v>
      </c>
      <c r="C523" s="456"/>
      <c r="D523" s="456"/>
      <c r="E523" s="456"/>
      <c r="F523" s="456"/>
      <c r="G523" s="456">
        <f t="shared" si="82"/>
        <v>0</v>
      </c>
      <c r="H523" s="456" t="str">
        <v>Sq M</v>
      </c>
      <c r="I523" s="456" t="str">
        <v>N.A</v>
      </c>
      <c r="J523" s="456">
        <v>0</v>
      </c>
      <c r="K523" s="456">
        <v>0</v>
      </c>
      <c r="L523" s="456">
        <f t="shared" si="83"/>
        <v>0</v>
      </c>
      <c r="O523" s="455">
        <f t="shared" si="88"/>
        <v>0</v>
      </c>
      <c r="P523" s="455">
        <f t="shared" si="89"/>
        <v>0</v>
      </c>
      <c r="R523" s="458" t="s">
        <v>754</v>
      </c>
    </row>
    <row r="524" spans="1:18">
      <c r="A524" s="454"/>
      <c r="B524" s="454" t="str">
        <v>Wall finishes plaster</v>
      </c>
      <c r="C524" s="456"/>
      <c r="D524" s="456"/>
      <c r="E524" s="456">
        <f>D520*(D1-0.15)</f>
        <v>20.679500000000001</v>
      </c>
      <c r="F524" s="456">
        <f>-(Windows!K46*2.15)</f>
        <v>-7.8474999999999993</v>
      </c>
      <c r="G524" s="456">
        <f t="shared" si="82"/>
        <v>12.832000000000001</v>
      </c>
      <c r="H524" s="456" t="str">
        <v>Sq M</v>
      </c>
      <c r="I524" s="456" t="str">
        <v>External Plaster  - 15 mm</v>
      </c>
      <c r="J524" s="456">
        <v>85</v>
      </c>
      <c r="K524" s="456">
        <v>914.93999999999994</v>
      </c>
      <c r="L524" s="456">
        <f t="shared" si="83"/>
        <v>11740.51008</v>
      </c>
      <c r="O524" s="455">
        <f t="shared" si="88"/>
        <v>38.496000000000002</v>
      </c>
      <c r="P524" s="455">
        <f t="shared" si="89"/>
        <v>35221.53024</v>
      </c>
      <c r="R524" s="458" t="s">
        <v>751</v>
      </c>
    </row>
    <row r="525" spans="1:18">
      <c r="A525" s="454"/>
      <c r="B525" s="454" t="str">
        <v>Ceiling plaster</v>
      </c>
      <c r="C525" s="456"/>
      <c r="D525" s="456"/>
      <c r="E525" s="456">
        <f>E521</f>
        <v>2.8</v>
      </c>
      <c r="F525" s="456"/>
      <c r="G525" s="456">
        <f t="shared" si="82"/>
        <v>2.8</v>
      </c>
      <c r="H525" s="456" t="str">
        <v>Sq M</v>
      </c>
      <c r="I525" s="456" t="str">
        <v>Gypsum Plaster</v>
      </c>
      <c r="J525" s="456">
        <v>32</v>
      </c>
      <c r="K525" s="456">
        <v>344.44799999999998</v>
      </c>
      <c r="L525" s="456">
        <f t="shared" si="83"/>
        <v>964.45439999999985</v>
      </c>
      <c r="O525" s="455">
        <f t="shared" si="88"/>
        <v>8.3999999999999986</v>
      </c>
      <c r="P525" s="455">
        <f t="shared" si="89"/>
        <v>2893.3631999999998</v>
      </c>
      <c r="R525" s="458" t="s">
        <v>662</v>
      </c>
    </row>
    <row r="526" spans="1:18">
      <c r="A526" s="454"/>
      <c r="B526" s="454" t="str">
        <v>False ceiling</v>
      </c>
      <c r="C526" s="456"/>
      <c r="D526" s="456"/>
      <c r="E526" s="456"/>
      <c r="F526" s="456"/>
      <c r="G526" s="456">
        <f t="shared" si="82"/>
        <v>0</v>
      </c>
      <c r="H526" s="456" t="str">
        <v>Sq M</v>
      </c>
      <c r="I526" s="456" t="str">
        <v>N.A.</v>
      </c>
      <c r="J526" s="456">
        <v>0</v>
      </c>
      <c r="K526" s="456">
        <v>0</v>
      </c>
      <c r="L526" s="456">
        <f t="shared" si="83"/>
        <v>0</v>
      </c>
      <c r="O526" s="455">
        <f t="shared" si="88"/>
        <v>0</v>
      </c>
      <c r="P526" s="455">
        <f t="shared" si="89"/>
        <v>0</v>
      </c>
      <c r="R526" s="458" t="s">
        <v>414</v>
      </c>
    </row>
    <row r="527" spans="1:18">
      <c r="A527" s="454"/>
      <c r="B527" s="454" t="str">
        <v>Wall finishes Paint</v>
      </c>
      <c r="C527" s="456"/>
      <c r="D527" s="456"/>
      <c r="E527" s="456">
        <f>E524</f>
        <v>20.679500000000001</v>
      </c>
      <c r="F527" s="456">
        <f>F524</f>
        <v>-7.8474999999999993</v>
      </c>
      <c r="G527" s="456">
        <f t="shared" si="82"/>
        <v>12.832000000000001</v>
      </c>
      <c r="H527" s="456" t="str">
        <v>Sq M</v>
      </c>
      <c r="I527" s="456" t="str">
        <v>External Grade Paint</v>
      </c>
      <c r="J527" s="456">
        <v>45</v>
      </c>
      <c r="K527" s="456">
        <v>484.38</v>
      </c>
      <c r="L527" s="456">
        <f t="shared" si="83"/>
        <v>6215.5641599999999</v>
      </c>
      <c r="O527" s="455">
        <f t="shared" si="88"/>
        <v>38.496000000000002</v>
      </c>
      <c r="P527" s="455">
        <f t="shared" si="89"/>
        <v>18646.692479999998</v>
      </c>
      <c r="R527" s="458" t="s">
        <v>663</v>
      </c>
    </row>
    <row r="528" spans="1:18">
      <c r="A528" s="454"/>
      <c r="B528" s="454" t="str">
        <v>Ceiling Paint</v>
      </c>
      <c r="C528" s="456"/>
      <c r="D528" s="456"/>
      <c r="E528" s="456">
        <f>E525</f>
        <v>2.8</v>
      </c>
      <c r="F528" s="456"/>
      <c r="G528" s="456">
        <f t="shared" si="82"/>
        <v>2.8</v>
      </c>
      <c r="H528" s="456" t="str">
        <v>Sq M</v>
      </c>
      <c r="I528" s="456" t="str">
        <v>External Grade Paint</v>
      </c>
      <c r="J528" s="456">
        <v>45</v>
      </c>
      <c r="K528" s="456">
        <v>484.38</v>
      </c>
      <c r="L528" s="456">
        <f t="shared" si="83"/>
        <v>1356.2639999999999</v>
      </c>
      <c r="O528" s="455">
        <f t="shared" si="88"/>
        <v>8.3999999999999986</v>
      </c>
      <c r="P528" s="455">
        <f t="shared" si="89"/>
        <v>4068.7919999999995</v>
      </c>
      <c r="R528" s="458" t="s">
        <v>664</v>
      </c>
    </row>
    <row r="529" spans="1:16">
      <c r="A529" s="454"/>
      <c r="B529" s="454" t="str">
        <v>Others</v>
      </c>
      <c r="C529" s="456"/>
      <c r="D529" s="456"/>
      <c r="E529" s="456"/>
      <c r="F529" s="456"/>
      <c r="G529" s="524">
        <f t="shared" si="82"/>
        <v>0</v>
      </c>
      <c r="H529" s="456" t="str">
        <v>-</v>
      </c>
      <c r="I529" s="456" t="str">
        <v>N.A.</v>
      </c>
      <c r="J529" s="456">
        <v>0</v>
      </c>
      <c r="K529" s="456">
        <v>0</v>
      </c>
      <c r="L529" s="456">
        <f t="shared" si="83"/>
        <v>0</v>
      </c>
    </row>
    <row r="530" spans="1:16" ht="13.8" thickBot="1">
      <c r="A530" s="454"/>
      <c r="B530" s="454"/>
      <c r="C530" s="456"/>
      <c r="D530" s="456"/>
      <c r="E530" s="456"/>
      <c r="F530" s="456"/>
      <c r="G530" s="533">
        <f>SUM(G430:G529)</f>
        <v>822.32999999999981</v>
      </c>
      <c r="H530" s="456"/>
      <c r="I530" s="456"/>
      <c r="J530" s="456"/>
      <c r="K530" s="456"/>
      <c r="L530" s="525">
        <f>SUM(L430:L529)</f>
        <v>478045.89432919992</v>
      </c>
      <c r="O530" s="525">
        <f>SUM(O430:O529)</f>
        <v>2466.9900000000007</v>
      </c>
      <c r="P530" s="525">
        <f>SUM(P430:P529)</f>
        <v>1434137.6829875996</v>
      </c>
    </row>
    <row r="531" spans="1:16">
      <c r="A531" s="528"/>
      <c r="B531" s="529" t="s">
        <v>744</v>
      </c>
      <c r="C531" s="522"/>
      <c r="D531" s="522"/>
      <c r="E531" s="522"/>
      <c r="F531" s="522"/>
      <c r="G531" s="530"/>
      <c r="H531" s="522"/>
      <c r="I531" s="522"/>
      <c r="J531" s="522"/>
      <c r="K531" s="522"/>
      <c r="L531" s="522"/>
    </row>
    <row r="532" spans="1:16">
      <c r="A532" s="528"/>
      <c r="B532" s="528" t="s">
        <v>355</v>
      </c>
      <c r="C532" s="522"/>
      <c r="D532" s="522"/>
      <c r="E532" s="522"/>
      <c r="F532" s="522"/>
      <c r="G532" s="522">
        <f>SUMIF($B$430:$B$529,B532,$G$430:$G$529)</f>
        <v>70.279999999999987</v>
      </c>
      <c r="H532" s="522"/>
      <c r="I532" s="522"/>
      <c r="J532" s="522"/>
      <c r="K532" s="522"/>
      <c r="L532" s="522">
        <f>SUMIF($B$430:$B$529,B532,$L$430:$L$529)</f>
        <v>94641.124500000005</v>
      </c>
      <c r="O532" s="455">
        <f t="shared" ref="O532:O547" si="90">IF(I532="N.A",0,G532*$N$429)</f>
        <v>210.83999999999997</v>
      </c>
      <c r="P532" s="455">
        <f t="shared" ref="P532:P547" si="91">L532*$N$429</f>
        <v>283923.37349999999</v>
      </c>
    </row>
    <row r="533" spans="1:16">
      <c r="A533" s="528"/>
      <c r="B533" s="528" t="s">
        <v>695</v>
      </c>
      <c r="C533" s="522"/>
      <c r="D533" s="522"/>
      <c r="E533" s="522"/>
      <c r="F533" s="522"/>
      <c r="G533" s="522">
        <f t="shared" ref="G533:G547" si="92">SUMIF($B$430:$B$529,B533,$G$430:$G$529)</f>
        <v>62.959999999999994</v>
      </c>
      <c r="H533" s="522"/>
      <c r="I533" s="522"/>
      <c r="J533" s="522"/>
      <c r="K533" s="522"/>
      <c r="L533" s="522">
        <f t="shared" ref="L533:L547" si="93">SUMIF($B$430:$B$529,B533,$L$430:$L$529)</f>
        <v>24677.801599999995</v>
      </c>
      <c r="O533" s="455">
        <f t="shared" si="90"/>
        <v>188.88</v>
      </c>
      <c r="P533" s="455">
        <f t="shared" si="91"/>
        <v>74033.404799999989</v>
      </c>
    </row>
    <row r="534" spans="1:16">
      <c r="A534" s="528"/>
      <c r="B534" s="528" t="s">
        <v>698</v>
      </c>
      <c r="C534" s="522"/>
      <c r="D534" s="522"/>
      <c r="E534" s="522"/>
      <c r="F534" s="522"/>
      <c r="G534" s="522">
        <f t="shared" si="92"/>
        <v>44.736000000000004</v>
      </c>
      <c r="H534" s="522"/>
      <c r="I534" s="522"/>
      <c r="J534" s="522"/>
      <c r="K534" s="522"/>
      <c r="L534" s="522">
        <f t="shared" si="93"/>
        <v>65418.42528000001</v>
      </c>
      <c r="O534" s="455">
        <f t="shared" si="90"/>
        <v>134.20800000000003</v>
      </c>
      <c r="P534" s="455">
        <f t="shared" si="91"/>
        <v>196255.27584000002</v>
      </c>
    </row>
    <row r="535" spans="1:16">
      <c r="A535" s="528"/>
      <c r="B535" s="528" t="s">
        <v>700</v>
      </c>
      <c r="C535" s="522"/>
      <c r="D535" s="522"/>
      <c r="E535" s="522"/>
      <c r="F535" s="522"/>
      <c r="G535" s="522">
        <f t="shared" si="92"/>
        <v>186.16400000000002</v>
      </c>
      <c r="H535" s="522"/>
      <c r="I535" s="522"/>
      <c r="J535" s="522"/>
      <c r="K535" s="522"/>
      <c r="L535" s="522">
        <f t="shared" si="93"/>
        <v>82466.071739999985</v>
      </c>
      <c r="O535" s="455">
        <f t="shared" si="90"/>
        <v>558.49200000000008</v>
      </c>
      <c r="P535" s="455">
        <f t="shared" si="91"/>
        <v>247398.21521999995</v>
      </c>
    </row>
    <row r="536" spans="1:16">
      <c r="A536" s="528"/>
      <c r="B536" s="528" t="s">
        <v>702</v>
      </c>
      <c r="C536" s="522"/>
      <c r="D536" s="522"/>
      <c r="E536" s="522"/>
      <c r="F536" s="522"/>
      <c r="G536" s="522">
        <f t="shared" si="92"/>
        <v>70.279999999999987</v>
      </c>
      <c r="H536" s="522"/>
      <c r="I536" s="522"/>
      <c r="J536" s="522"/>
      <c r="K536" s="522"/>
      <c r="L536" s="522">
        <f t="shared" si="93"/>
        <v>24207.805439999996</v>
      </c>
      <c r="O536" s="455">
        <f t="shared" si="90"/>
        <v>210.83999999999997</v>
      </c>
      <c r="P536" s="455">
        <f t="shared" si="91"/>
        <v>72623.416319999989</v>
      </c>
    </row>
    <row r="537" spans="1:16">
      <c r="A537" s="528"/>
      <c r="B537" s="528" t="s">
        <v>703</v>
      </c>
      <c r="C537" s="522"/>
      <c r="D537" s="522"/>
      <c r="E537" s="522"/>
      <c r="F537" s="522"/>
      <c r="G537" s="522">
        <f t="shared" si="92"/>
        <v>0</v>
      </c>
      <c r="H537" s="522"/>
      <c r="I537" s="522"/>
      <c r="J537" s="522"/>
      <c r="K537" s="522"/>
      <c r="L537" s="522">
        <f t="shared" si="93"/>
        <v>0</v>
      </c>
      <c r="O537" s="455">
        <f t="shared" si="90"/>
        <v>0</v>
      </c>
      <c r="P537" s="455">
        <f t="shared" si="91"/>
        <v>0</v>
      </c>
    </row>
    <row r="538" spans="1:16">
      <c r="A538" s="528"/>
      <c r="B538" s="528" t="s">
        <v>704</v>
      </c>
      <c r="C538" s="522"/>
      <c r="D538" s="522"/>
      <c r="E538" s="522"/>
      <c r="F538" s="522"/>
      <c r="G538" s="522">
        <f t="shared" si="92"/>
        <v>186.16400000000002</v>
      </c>
      <c r="H538" s="522"/>
      <c r="I538" s="522"/>
      <c r="J538" s="522"/>
      <c r="K538" s="522"/>
      <c r="L538" s="522">
        <f t="shared" si="93"/>
        <v>48548.519370000002</v>
      </c>
      <c r="O538" s="455">
        <f t="shared" si="90"/>
        <v>558.49200000000008</v>
      </c>
      <c r="P538" s="455">
        <f t="shared" si="91"/>
        <v>145645.55811000001</v>
      </c>
    </row>
    <row r="539" spans="1:16">
      <c r="A539" s="528"/>
      <c r="B539" s="528" t="s">
        <v>706</v>
      </c>
      <c r="C539" s="522"/>
      <c r="D539" s="522"/>
      <c r="E539" s="522"/>
      <c r="F539" s="522"/>
      <c r="G539" s="522">
        <f t="shared" si="92"/>
        <v>70.279999999999987</v>
      </c>
      <c r="H539" s="522"/>
      <c r="I539" s="522"/>
      <c r="J539" s="522"/>
      <c r="K539" s="522"/>
      <c r="L539" s="522">
        <f t="shared" si="93"/>
        <v>16623.383399999999</v>
      </c>
      <c r="O539" s="455">
        <f t="shared" si="90"/>
        <v>210.83999999999997</v>
      </c>
      <c r="P539" s="455">
        <f t="shared" si="91"/>
        <v>49870.150199999996</v>
      </c>
    </row>
    <row r="540" spans="1:16">
      <c r="A540" s="528"/>
      <c r="B540" s="528" t="s">
        <v>713</v>
      </c>
      <c r="C540" s="522"/>
      <c r="D540" s="522"/>
      <c r="E540" s="522"/>
      <c r="F540" s="522"/>
      <c r="G540" s="522">
        <f t="shared" si="92"/>
        <v>22.8</v>
      </c>
      <c r="H540" s="522"/>
      <c r="I540" s="522"/>
      <c r="J540" s="522"/>
      <c r="K540" s="522"/>
      <c r="L540" s="522">
        <f t="shared" si="93"/>
        <v>14955.140159999999</v>
      </c>
      <c r="O540" s="455">
        <f t="shared" si="90"/>
        <v>68.400000000000006</v>
      </c>
      <c r="P540" s="455">
        <f t="shared" si="91"/>
        <v>44865.420480000001</v>
      </c>
    </row>
    <row r="541" spans="1:16">
      <c r="A541" s="528"/>
      <c r="B541" s="528" t="s">
        <v>715</v>
      </c>
      <c r="C541" s="522"/>
      <c r="D541" s="522"/>
      <c r="E541" s="522"/>
      <c r="F541" s="522"/>
      <c r="G541" s="522">
        <f t="shared" si="92"/>
        <v>48.14</v>
      </c>
      <c r="H541" s="522"/>
      <c r="I541" s="522"/>
      <c r="J541" s="522"/>
      <c r="K541" s="522"/>
      <c r="L541" s="522">
        <f t="shared" si="93"/>
        <v>31576.335407999995</v>
      </c>
      <c r="O541" s="455">
        <f t="shared" si="90"/>
        <v>144.42000000000002</v>
      </c>
      <c r="P541" s="455">
        <f t="shared" si="91"/>
        <v>94729.006223999982</v>
      </c>
    </row>
    <row r="542" spans="1:16">
      <c r="A542" s="528"/>
      <c r="B542" s="528" t="s">
        <v>716</v>
      </c>
      <c r="C542" s="522"/>
      <c r="D542" s="522"/>
      <c r="E542" s="522"/>
      <c r="F542" s="522"/>
      <c r="G542" s="522">
        <f t="shared" si="92"/>
        <v>48.14</v>
      </c>
      <c r="H542" s="522"/>
      <c r="I542" s="522"/>
      <c r="J542" s="522"/>
      <c r="K542" s="522"/>
      <c r="L542" s="522">
        <f t="shared" si="93"/>
        <v>19209.901136</v>
      </c>
      <c r="O542" s="455">
        <f t="shared" si="90"/>
        <v>144.42000000000002</v>
      </c>
      <c r="P542" s="455">
        <f t="shared" si="91"/>
        <v>57629.703408000001</v>
      </c>
    </row>
    <row r="543" spans="1:16">
      <c r="A543" s="528"/>
      <c r="B543" s="528" t="s">
        <v>707</v>
      </c>
      <c r="C543" s="522"/>
      <c r="D543" s="522"/>
      <c r="E543" s="522"/>
      <c r="F543" s="522"/>
      <c r="G543" s="522">
        <f t="shared" si="92"/>
        <v>0</v>
      </c>
      <c r="H543" s="522"/>
      <c r="I543" s="522"/>
      <c r="J543" s="522"/>
      <c r="K543" s="522"/>
      <c r="L543" s="522">
        <f t="shared" si="93"/>
        <v>0</v>
      </c>
      <c r="O543" s="455">
        <f t="shared" si="90"/>
        <v>0</v>
      </c>
      <c r="P543" s="455">
        <f t="shared" si="91"/>
        <v>0</v>
      </c>
    </row>
    <row r="544" spans="1:16">
      <c r="A544" s="528"/>
      <c r="B544" s="528" t="s">
        <v>718</v>
      </c>
      <c r="C544" s="522"/>
      <c r="D544" s="522"/>
      <c r="E544" s="522"/>
      <c r="F544" s="522"/>
      <c r="G544" s="522">
        <f t="shared" si="92"/>
        <v>0.72</v>
      </c>
      <c r="H544" s="522"/>
      <c r="I544" s="522"/>
      <c r="J544" s="522"/>
      <c r="K544" s="522"/>
      <c r="L544" s="522">
        <f t="shared" si="93"/>
        <v>4557.36384</v>
      </c>
      <c r="O544" s="455">
        <f t="shared" si="90"/>
        <v>2.16</v>
      </c>
      <c r="P544" s="455">
        <f t="shared" si="91"/>
        <v>13672.09152</v>
      </c>
    </row>
    <row r="545" spans="1:22">
      <c r="A545" s="528"/>
      <c r="B545" s="528" t="s">
        <v>755</v>
      </c>
      <c r="C545" s="522"/>
      <c r="D545" s="522"/>
      <c r="E545" s="522"/>
      <c r="F545" s="522"/>
      <c r="G545" s="522">
        <f t="shared" si="92"/>
        <v>5.5260000000000007</v>
      </c>
      <c r="H545" s="522"/>
      <c r="I545" s="522"/>
      <c r="J545" s="522"/>
      <c r="K545" s="522"/>
      <c r="L545" s="522">
        <f t="shared" si="93"/>
        <v>6263.4402792000001</v>
      </c>
      <c r="O545" s="455">
        <f t="shared" si="90"/>
        <v>16.578000000000003</v>
      </c>
      <c r="P545" s="455">
        <f t="shared" si="91"/>
        <v>18790.3208376</v>
      </c>
    </row>
    <row r="546" spans="1:22">
      <c r="A546" s="528"/>
      <c r="B546" s="528" t="s">
        <v>747</v>
      </c>
      <c r="C546" s="522"/>
      <c r="D546" s="522"/>
      <c r="E546" s="522"/>
      <c r="F546" s="522"/>
      <c r="G546" s="522">
        <f t="shared" si="92"/>
        <v>3.52</v>
      </c>
      <c r="H546" s="522"/>
      <c r="I546" s="522"/>
      <c r="J546" s="522"/>
      <c r="K546" s="522"/>
      <c r="L546" s="522">
        <f t="shared" si="93"/>
        <v>25741.050368000004</v>
      </c>
      <c r="O546" s="455">
        <f t="shared" si="90"/>
        <v>10.56</v>
      </c>
      <c r="P546" s="455">
        <f t="shared" si="91"/>
        <v>77223.151104000019</v>
      </c>
    </row>
    <row r="547" spans="1:22">
      <c r="A547" s="528"/>
      <c r="B547" s="528" t="s">
        <v>666</v>
      </c>
      <c r="C547" s="522"/>
      <c r="D547" s="522"/>
      <c r="E547" s="522"/>
      <c r="F547" s="522"/>
      <c r="G547" s="522">
        <f t="shared" si="92"/>
        <v>2.62</v>
      </c>
      <c r="H547" s="522"/>
      <c r="I547" s="522"/>
      <c r="J547" s="522"/>
      <c r="K547" s="522"/>
      <c r="L547" s="522">
        <f t="shared" si="93"/>
        <v>19159.531808000003</v>
      </c>
      <c r="O547" s="455">
        <f t="shared" si="90"/>
        <v>7.86</v>
      </c>
      <c r="P547" s="455">
        <f t="shared" si="91"/>
        <v>57478.595424000014</v>
      </c>
    </row>
    <row r="548" spans="1:22" ht="13.8" thickBot="1">
      <c r="A548" s="528"/>
      <c r="B548" s="528"/>
      <c r="C548" s="522"/>
      <c r="D548" s="522"/>
      <c r="E548" s="522"/>
      <c r="F548" s="522"/>
      <c r="G548" s="525">
        <f>SUM(G532:G547)</f>
        <v>822.32999999999981</v>
      </c>
      <c r="H548" s="522"/>
      <c r="I548" s="522"/>
      <c r="J548" s="522"/>
      <c r="K548" s="525" t="s">
        <v>442</v>
      </c>
      <c r="L548" s="525">
        <f>SUM(L532:L547)</f>
        <v>478045.89432919992</v>
      </c>
      <c r="O548" s="525">
        <f>SUM(O532:O547)</f>
        <v>2466.9900000000002</v>
      </c>
      <c r="P548" s="525">
        <f>SUM(P532:P547)</f>
        <v>1434137.6829875999</v>
      </c>
    </row>
    <row r="549" spans="1:22">
      <c r="A549" s="528"/>
      <c r="B549" s="528" t="s">
        <v>386</v>
      </c>
      <c r="C549" s="522"/>
      <c r="D549" s="522"/>
      <c r="E549" s="522"/>
      <c r="F549" s="522"/>
      <c r="G549" s="522">
        <f>Doors!E41</f>
        <v>6</v>
      </c>
      <c r="H549" s="522"/>
      <c r="I549" s="522"/>
      <c r="J549" s="522"/>
      <c r="K549" s="522"/>
      <c r="L549" s="522">
        <f>Doors!J41</f>
        <v>112000</v>
      </c>
    </row>
    <row r="550" spans="1:22">
      <c r="A550" s="528"/>
      <c r="B550" s="528" t="s">
        <v>391</v>
      </c>
      <c r="C550" s="522"/>
      <c r="D550" s="522"/>
      <c r="E550" s="522"/>
      <c r="F550" s="522"/>
      <c r="G550" s="522">
        <f>Windows!H47</f>
        <v>23.732999999999997</v>
      </c>
      <c r="H550" s="522"/>
      <c r="I550" s="522"/>
      <c r="J550" s="522"/>
      <c r="K550" s="522"/>
      <c r="L550" s="522">
        <f>Windows!N47</f>
        <v>184679.1066</v>
      </c>
    </row>
    <row r="551" spans="1:22" ht="13.8" thickBot="1">
      <c r="A551" s="528"/>
      <c r="B551" s="528"/>
      <c r="C551" s="522"/>
      <c r="D551" s="522"/>
      <c r="E551" s="522"/>
      <c r="F551" s="522"/>
      <c r="G551" s="522"/>
      <c r="H551" s="522"/>
      <c r="I551" s="522"/>
      <c r="J551" s="522"/>
      <c r="K551" s="525" t="s">
        <v>442</v>
      </c>
      <c r="L551" s="525">
        <f>SUM(L549:L550)</f>
        <v>296679.1066</v>
      </c>
    </row>
    <row r="552" spans="1:22" ht="13.8" thickBot="1">
      <c r="A552" s="528"/>
      <c r="B552" s="528"/>
      <c r="C552" s="522"/>
      <c r="D552" s="522"/>
      <c r="E552" s="522"/>
      <c r="F552" s="522"/>
      <c r="G552" s="522"/>
      <c r="H552" s="522"/>
      <c r="I552" s="522"/>
      <c r="J552" s="522"/>
      <c r="K552" s="525" t="s">
        <v>757</v>
      </c>
      <c r="L552" s="525">
        <f>L548+L551</f>
        <v>774725.00092919986</v>
      </c>
    </row>
    <row r="553" spans="1:22" s="474" customFormat="1" ht="13.5" customHeight="1">
      <c r="A553" s="465" t="s">
        <v>628</v>
      </c>
      <c r="B553" s="466" t="str">
        <f>'Flat Sizes'!B48</f>
        <v>Flat 3B,
3BHK</v>
      </c>
      <c r="C553" s="456"/>
      <c r="D553" s="456"/>
      <c r="E553" s="456"/>
      <c r="F553" s="456"/>
      <c r="G553" s="456"/>
      <c r="H553" s="456"/>
      <c r="I553" s="456"/>
      <c r="J553" s="456"/>
      <c r="K553" s="456"/>
      <c r="L553" s="456"/>
      <c r="M553" s="471"/>
      <c r="N553" s="472"/>
      <c r="O553" s="459"/>
      <c r="P553" s="459"/>
      <c r="Q553" s="473"/>
      <c r="S553" s="473"/>
      <c r="T553" s="473"/>
      <c r="U553" s="473"/>
      <c r="V553" s="473"/>
    </row>
    <row r="554" spans="1:22" s="479" customFormat="1" ht="13.5" customHeight="1">
      <c r="A554" s="475" t="s">
        <v>628</v>
      </c>
      <c r="B554" s="476" t="str">
        <f>'Flat Sizes'!B49</f>
        <v>Living, Dining &amp; Passage</v>
      </c>
      <c r="C554" s="477">
        <f>'Flat Sizes'!D49</f>
        <v>30.36</v>
      </c>
      <c r="D554" s="477">
        <f>'Flat Sizes'!G49</f>
        <v>31.47</v>
      </c>
      <c r="E554" s="477"/>
      <c r="F554" s="454"/>
      <c r="G554" s="477"/>
      <c r="H554" s="477"/>
      <c r="I554" s="477"/>
      <c r="J554" s="477"/>
      <c r="K554" s="477"/>
      <c r="L554" s="477"/>
      <c r="M554" s="459">
        <f>SUM(L555:L566)/C554/10.764</f>
        <v>371.79716299243711</v>
      </c>
      <c r="N554" s="472">
        <f>'Flat Sizes'!H48</f>
        <v>27</v>
      </c>
      <c r="O554" s="455"/>
      <c r="P554" s="455"/>
      <c r="Q554" s="478"/>
    </row>
    <row r="555" spans="1:22">
      <c r="A555" s="454"/>
      <c r="B555" s="454" t="str" cm="1">
        <f t="array" ref="B555:B566">'Rate List - Flats'!B6:B17</f>
        <v>Flooring</v>
      </c>
      <c r="C555" s="456"/>
      <c r="D555" s="456"/>
      <c r="E555" s="456">
        <f>C554</f>
        <v>30.36</v>
      </c>
      <c r="F555" s="456"/>
      <c r="G555" s="456">
        <f t="shared" ref="G555:G620" si="94">E555+F555</f>
        <v>30.36</v>
      </c>
      <c r="H555" s="456" t="str" cm="1">
        <f t="array" ref="H555:H566">'Rate List - Flats'!H6:H17</f>
        <v>Sq M</v>
      </c>
      <c r="I555" s="456" t="str" cm="1">
        <f t="array" ref="I555:I566">'Rate List - Flats'!C6:C17</f>
        <v>2'x2' Vitrified tiles</v>
      </c>
      <c r="J555" s="456" cm="1">
        <f t="array" ref="J555:J566">'Rate List - Flats'!E6:E17</f>
        <v>45</v>
      </c>
      <c r="K555" s="456" cm="1">
        <f t="array" ref="K555:K566">'Rate List - Flats'!G6:G17</f>
        <v>1340.1179999999999</v>
      </c>
      <c r="L555" s="456">
        <f t="shared" ref="L555:L620" si="95">G555*K555</f>
        <v>40685.982479999999</v>
      </c>
      <c r="O555" s="455">
        <f>IF(I555="N.A",0,G555*$N$554)</f>
        <v>819.72</v>
      </c>
      <c r="P555" s="455">
        <f>L555*$N$554</f>
        <v>1098521.5269599999</v>
      </c>
      <c r="R555" s="480" t="s">
        <v>659</v>
      </c>
    </row>
    <row r="556" spans="1:22">
      <c r="A556" s="454"/>
      <c r="B556" s="454" t="str">
        <v>Skirting</v>
      </c>
      <c r="C556" s="456"/>
      <c r="D556" s="456"/>
      <c r="E556" s="456">
        <f>D554</f>
        <v>31.47</v>
      </c>
      <c r="F556" s="456">
        <f>-(Doors!F43+Doors!F44+Doors!F46+Doors!F48+Doors!F50)</f>
        <v>-4.8</v>
      </c>
      <c r="G556" s="456">
        <f t="shared" si="94"/>
        <v>26.669999999999998</v>
      </c>
      <c r="H556" s="456" t="str">
        <v>RM</v>
      </c>
      <c r="I556" s="456" t="str">
        <v xml:space="preserve">2'x2' Vitrified tiles </v>
      </c>
      <c r="J556" s="456">
        <v>45</v>
      </c>
      <c r="K556" s="456">
        <v>391.96</v>
      </c>
      <c r="L556" s="456">
        <f t="shared" si="95"/>
        <v>10453.573199999999</v>
      </c>
      <c r="O556" s="455">
        <f t="shared" ref="O556:O566" si="96">IF(I556="N.A",0,G556*$N$554)</f>
        <v>720.08999999999992</v>
      </c>
      <c r="P556" s="455">
        <f t="shared" ref="P556:P566" si="97">L556*$N$554</f>
        <v>282246.47639999999</v>
      </c>
      <c r="R556" s="480" t="s">
        <v>660</v>
      </c>
    </row>
    <row r="557" spans="1:22">
      <c r="A557" s="454"/>
      <c r="B557" s="454" t="str">
        <v>Dado</v>
      </c>
      <c r="C557" s="456"/>
      <c r="D557" s="456"/>
      <c r="E557" s="456"/>
      <c r="F557" s="456"/>
      <c r="G557" s="456">
        <f t="shared" si="94"/>
        <v>0</v>
      </c>
      <c r="H557" s="456" t="str">
        <v>Sq M</v>
      </c>
      <c r="I557" s="456" t="str">
        <v>N.A.</v>
      </c>
      <c r="J557" s="456">
        <v>0</v>
      </c>
      <c r="K557" s="456">
        <v>0</v>
      </c>
      <c r="L557" s="456">
        <f t="shared" si="95"/>
        <v>0</v>
      </c>
      <c r="O557" s="455">
        <f t="shared" si="96"/>
        <v>0</v>
      </c>
      <c r="P557" s="455">
        <f t="shared" si="97"/>
        <v>0</v>
      </c>
      <c r="R557" s="480"/>
    </row>
    <row r="558" spans="1:22">
      <c r="A558" s="454"/>
      <c r="B558" s="454" t="str">
        <v>Wall finishes plaster</v>
      </c>
      <c r="C558" s="456"/>
      <c r="D558" s="456"/>
      <c r="E558" s="456">
        <f>D554*(D1-0.15)</f>
        <v>92.836500000000001</v>
      </c>
      <c r="F558" s="456">
        <f>-(Doors!H43+Doors!H44+Doors!H46+Doors!H48+Doors!H50+Windows!H49)</f>
        <v>-16.035500000000003</v>
      </c>
      <c r="G558" s="456">
        <f t="shared" si="94"/>
        <v>76.801000000000002</v>
      </c>
      <c r="H558" s="456" t="str">
        <v>Sq M</v>
      </c>
      <c r="I558" s="456" t="str">
        <v>Gypsum Plaster</v>
      </c>
      <c r="J558" s="456">
        <v>32</v>
      </c>
      <c r="K558" s="456">
        <v>344.44799999999998</v>
      </c>
      <c r="L558" s="456">
        <f t="shared" si="95"/>
        <v>26453.950848</v>
      </c>
      <c r="O558" s="455">
        <f t="shared" si="96"/>
        <v>2073.627</v>
      </c>
      <c r="P558" s="455">
        <f t="shared" si="97"/>
        <v>714256.67289599997</v>
      </c>
      <c r="R558" s="480" t="s">
        <v>661</v>
      </c>
    </row>
    <row r="559" spans="1:22">
      <c r="A559" s="454"/>
      <c r="B559" s="454" t="str">
        <v>Ceiling plaster</v>
      </c>
      <c r="C559" s="456"/>
      <c r="D559" s="456"/>
      <c r="E559" s="456">
        <f>E555</f>
        <v>30.36</v>
      </c>
      <c r="F559" s="456"/>
      <c r="G559" s="456">
        <f t="shared" si="94"/>
        <v>30.36</v>
      </c>
      <c r="H559" s="456" t="str">
        <v>Sq M</v>
      </c>
      <c r="I559" s="456" t="str">
        <v>Gypsum Plaster</v>
      </c>
      <c r="J559" s="456">
        <v>32</v>
      </c>
      <c r="K559" s="456">
        <v>344.44799999999998</v>
      </c>
      <c r="L559" s="456">
        <f t="shared" si="95"/>
        <v>10457.441279999999</v>
      </c>
      <c r="O559" s="455">
        <f t="shared" si="96"/>
        <v>819.72</v>
      </c>
      <c r="P559" s="455">
        <f t="shared" si="97"/>
        <v>282350.91455999995</v>
      </c>
      <c r="R559" s="480" t="s">
        <v>662</v>
      </c>
    </row>
    <row r="560" spans="1:22">
      <c r="A560" s="454"/>
      <c r="B560" s="454" t="str">
        <v>False ceiling</v>
      </c>
      <c r="C560" s="456"/>
      <c r="D560" s="456"/>
      <c r="E560" s="456"/>
      <c r="F560" s="456"/>
      <c r="G560" s="456">
        <f t="shared" si="94"/>
        <v>0</v>
      </c>
      <c r="H560" s="456" t="str">
        <v>Sq M</v>
      </c>
      <c r="I560" s="456" t="str">
        <v>N.A.</v>
      </c>
      <c r="J560" s="456">
        <v>0</v>
      </c>
      <c r="K560" s="456">
        <v>0</v>
      </c>
      <c r="L560" s="456">
        <f t="shared" si="95"/>
        <v>0</v>
      </c>
      <c r="O560" s="455">
        <f t="shared" si="96"/>
        <v>0</v>
      </c>
      <c r="P560" s="455">
        <f t="shared" si="97"/>
        <v>0</v>
      </c>
      <c r="R560" s="480"/>
    </row>
    <row r="561" spans="1:18">
      <c r="A561" s="454"/>
      <c r="B561" s="454" t="str">
        <v>Wall finishes Paint</v>
      </c>
      <c r="C561" s="456"/>
      <c r="D561" s="456"/>
      <c r="E561" s="456">
        <f>E558</f>
        <v>92.836500000000001</v>
      </c>
      <c r="F561" s="456">
        <f>F558</f>
        <v>-16.035500000000003</v>
      </c>
      <c r="G561" s="456">
        <f t="shared" si="94"/>
        <v>76.801000000000002</v>
      </c>
      <c r="H561" s="456" t="str">
        <v>Sq M</v>
      </c>
      <c r="I561" s="456" t="str">
        <v>Plastic paint</v>
      </c>
      <c r="J561" s="456">
        <v>20</v>
      </c>
      <c r="K561" s="456">
        <v>215.27999999999997</v>
      </c>
      <c r="L561" s="456">
        <f t="shared" si="95"/>
        <v>16533.719279999998</v>
      </c>
      <c r="O561" s="455">
        <f t="shared" si="96"/>
        <v>2073.627</v>
      </c>
      <c r="P561" s="455">
        <f t="shared" si="97"/>
        <v>446410.42055999994</v>
      </c>
      <c r="R561" s="480" t="s">
        <v>663</v>
      </c>
    </row>
    <row r="562" spans="1:18">
      <c r="A562" s="454"/>
      <c r="B562" s="454" t="str">
        <v>Ceiling Paint</v>
      </c>
      <c r="C562" s="456"/>
      <c r="D562" s="456"/>
      <c r="E562" s="456">
        <f>E559</f>
        <v>30.36</v>
      </c>
      <c r="F562" s="456"/>
      <c r="G562" s="456">
        <f t="shared" si="94"/>
        <v>30.36</v>
      </c>
      <c r="H562" s="456" t="str">
        <v>Sq M</v>
      </c>
      <c r="I562" s="456" t="str">
        <v>Plastic paint</v>
      </c>
      <c r="J562" s="456">
        <v>20</v>
      </c>
      <c r="K562" s="456">
        <v>215.27999999999997</v>
      </c>
      <c r="L562" s="456">
        <f t="shared" si="95"/>
        <v>6535.9007999999994</v>
      </c>
      <c r="O562" s="455">
        <f t="shared" si="96"/>
        <v>819.72</v>
      </c>
      <c r="P562" s="455">
        <f t="shared" si="97"/>
        <v>176469.3216</v>
      </c>
      <c r="R562" s="480" t="s">
        <v>664</v>
      </c>
    </row>
    <row r="563" spans="1:18">
      <c r="A563" s="454"/>
      <c r="B563" s="454" t="str">
        <v>Door Frames</v>
      </c>
      <c r="C563" s="456"/>
      <c r="D563" s="456"/>
      <c r="E563" s="456"/>
      <c r="F563" s="456"/>
      <c r="G563" s="456">
        <f t="shared" si="94"/>
        <v>0</v>
      </c>
      <c r="H563" s="456" t="str">
        <v>RM</v>
      </c>
      <c r="I563" s="456" t="str">
        <v>N.A.</v>
      </c>
      <c r="J563" s="456">
        <v>0</v>
      </c>
      <c r="K563" s="456">
        <v>0</v>
      </c>
      <c r="L563" s="456">
        <f t="shared" si="95"/>
        <v>0</v>
      </c>
      <c r="O563" s="455">
        <f t="shared" si="96"/>
        <v>0</v>
      </c>
      <c r="P563" s="455">
        <f t="shared" si="97"/>
        <v>0</v>
      </c>
      <c r="R563" s="480" t="s">
        <v>742</v>
      </c>
    </row>
    <row r="564" spans="1:18">
      <c r="A564" s="454"/>
      <c r="B564" s="454" t="str">
        <v>Window Frames - Internal</v>
      </c>
      <c r="C564" s="456"/>
      <c r="D564" s="456"/>
      <c r="E564" s="456">
        <f>Windows!F49*2+Windows!G49*2</f>
        <v>9.84</v>
      </c>
      <c r="F564" s="456"/>
      <c r="G564" s="456">
        <f t="shared" si="94"/>
        <v>9.84</v>
      </c>
      <c r="H564" s="456" t="str">
        <v>RM</v>
      </c>
      <c r="I564" s="456" t="str">
        <v>Granite Window Frame</v>
      </c>
      <c r="J564" s="456">
        <v>180</v>
      </c>
      <c r="K564" s="456">
        <v>655.92719999999997</v>
      </c>
      <c r="L564" s="456">
        <f t="shared" si="95"/>
        <v>6454.3236479999996</v>
      </c>
      <c r="O564" s="455">
        <f t="shared" si="96"/>
        <v>265.68</v>
      </c>
      <c r="P564" s="455">
        <f t="shared" si="97"/>
        <v>174266.73849599998</v>
      </c>
      <c r="R564" s="480" t="s">
        <v>743</v>
      </c>
    </row>
    <row r="565" spans="1:18">
      <c r="A565" s="454"/>
      <c r="B565" s="454" t="str">
        <v>Window Frames - External</v>
      </c>
      <c r="C565" s="456"/>
      <c r="D565" s="456"/>
      <c r="E565" s="456">
        <f>E564</f>
        <v>9.84</v>
      </c>
      <c r="F565" s="456"/>
      <c r="G565" s="456">
        <f t="shared" si="94"/>
        <v>9.84</v>
      </c>
      <c r="H565" s="456" t="str">
        <v>RM</v>
      </c>
      <c r="I565" s="456" t="str">
        <v>Marble Window Frames with Sill</v>
      </c>
      <c r="J565" s="456">
        <v>60</v>
      </c>
      <c r="K565" s="456">
        <v>399.04239999999999</v>
      </c>
      <c r="L565" s="456">
        <f t="shared" si="95"/>
        <v>3926.5772159999997</v>
      </c>
      <c r="O565" s="455">
        <f t="shared" si="96"/>
        <v>265.68</v>
      </c>
      <c r="P565" s="455">
        <f t="shared" si="97"/>
        <v>106017.58483199999</v>
      </c>
      <c r="R565" s="480" t="s">
        <v>409</v>
      </c>
    </row>
    <row r="566" spans="1:18">
      <c r="A566" s="454"/>
      <c r="B566" s="454" t="str">
        <v>Others</v>
      </c>
      <c r="C566" s="456"/>
      <c r="D566" s="456"/>
      <c r="E566" s="456"/>
      <c r="F566" s="456"/>
      <c r="G566" s="456">
        <f t="shared" si="94"/>
        <v>0</v>
      </c>
      <c r="H566" s="456" t="str">
        <v>-</v>
      </c>
      <c r="I566" s="456" t="str">
        <v>N.A.</v>
      </c>
      <c r="J566" s="456" t="str">
        <v>-</v>
      </c>
      <c r="K566" s="456" t="str">
        <v>-</v>
      </c>
      <c r="L566" s="456"/>
      <c r="O566" s="455">
        <f t="shared" si="96"/>
        <v>0</v>
      </c>
      <c r="P566" s="455">
        <f t="shared" si="97"/>
        <v>0</v>
      </c>
    </row>
    <row r="567" spans="1:18" s="479" customFormat="1" ht="13.5" customHeight="1">
      <c r="A567" s="475" t="s">
        <v>628</v>
      </c>
      <c r="B567" s="476" t="str">
        <f>'Flat Sizes'!B50</f>
        <v>M. Bedroom</v>
      </c>
      <c r="C567" s="477">
        <f>'Flat Sizes'!D50</f>
        <v>15.29</v>
      </c>
      <c r="D567" s="477">
        <f>'Flat Sizes'!G50</f>
        <v>18.32</v>
      </c>
      <c r="E567" s="477"/>
      <c r="F567" s="454"/>
      <c r="G567" s="477"/>
      <c r="H567" s="477"/>
      <c r="I567" s="477"/>
      <c r="J567" s="477"/>
      <c r="K567" s="477"/>
      <c r="L567" s="477"/>
      <c r="M567" s="459">
        <f>SUM(L568:L579)/C567/10.764</f>
        <v>432.57803931376037</v>
      </c>
      <c r="N567" s="472"/>
      <c r="O567" s="455"/>
      <c r="P567" s="455"/>
      <c r="Q567" s="478"/>
    </row>
    <row r="568" spans="1:18">
      <c r="A568" s="454"/>
      <c r="B568" s="454" t="str" cm="1">
        <f t="array" ref="B568:B579">'Rate List - Flats'!B34:B45</f>
        <v>Flooring</v>
      </c>
      <c r="C568" s="456"/>
      <c r="D568" s="456"/>
      <c r="E568" s="456">
        <f>C567</f>
        <v>15.29</v>
      </c>
      <c r="F568" s="456"/>
      <c r="G568" s="456">
        <f t="shared" si="94"/>
        <v>15.29</v>
      </c>
      <c r="H568" s="456" t="str" cm="1">
        <f t="array" ref="H568:H579">'Rate List - Flats'!H34:H45</f>
        <v>Sq M</v>
      </c>
      <c r="I568" s="456" t="str" cm="1">
        <f t="array" ref="I568:I579">'Rate List - Flats'!C34:C45</f>
        <v>2'x2' Vitrified tiles</v>
      </c>
      <c r="J568" s="456" cm="1">
        <f t="array" ref="J568:J579">'Rate List - Flats'!E34:E45</f>
        <v>45</v>
      </c>
      <c r="K568" s="456" cm="1">
        <f t="array" ref="K568:K579">'Rate List - Flats'!G34:G45</f>
        <v>1340.1179999999999</v>
      </c>
      <c r="L568" s="456">
        <f t="shared" si="95"/>
        <v>20490.404219999997</v>
      </c>
      <c r="O568" s="455">
        <f t="shared" ref="O568:O579" si="98">IF(I568="N.A",0,G568*$N$554)</f>
        <v>412.83</v>
      </c>
      <c r="P568" s="455">
        <f t="shared" ref="P568:P579" si="99">L568*$N$554</f>
        <v>553240.91393999988</v>
      </c>
      <c r="R568" s="480" t="s">
        <v>659</v>
      </c>
    </row>
    <row r="569" spans="1:18">
      <c r="A569" s="454"/>
      <c r="B569" s="454" t="str">
        <v>Skirting</v>
      </c>
      <c r="C569" s="456"/>
      <c r="D569" s="456"/>
      <c r="E569" s="456">
        <f>D567</f>
        <v>18.32</v>
      </c>
      <c r="F569" s="456">
        <f>-(Doors!F44+Doors!F45)</f>
        <v>-1.65</v>
      </c>
      <c r="G569" s="456">
        <f t="shared" si="94"/>
        <v>16.670000000000002</v>
      </c>
      <c r="H569" s="456" t="str">
        <v>RM</v>
      </c>
      <c r="I569" s="456" t="str">
        <v xml:space="preserve">2'x2' Vitrified tiles </v>
      </c>
      <c r="J569" s="456">
        <v>45</v>
      </c>
      <c r="K569" s="456">
        <v>391.96</v>
      </c>
      <c r="L569" s="456">
        <f t="shared" si="95"/>
        <v>6533.9732000000004</v>
      </c>
      <c r="O569" s="455">
        <f t="shared" si="98"/>
        <v>450.09000000000003</v>
      </c>
      <c r="P569" s="455">
        <f t="shared" si="99"/>
        <v>176417.2764</v>
      </c>
      <c r="R569" s="480" t="s">
        <v>660</v>
      </c>
    </row>
    <row r="570" spans="1:18">
      <c r="A570" s="454"/>
      <c r="B570" s="454" t="str">
        <v>Dado</v>
      </c>
      <c r="C570" s="456"/>
      <c r="D570" s="456"/>
      <c r="E570" s="456"/>
      <c r="F570" s="456"/>
      <c r="G570" s="456">
        <f t="shared" si="94"/>
        <v>0</v>
      </c>
      <c r="H570" s="456" t="str">
        <v>Sq M</v>
      </c>
      <c r="I570" s="456" t="str">
        <v>N.A.</v>
      </c>
      <c r="J570" s="456">
        <v>0</v>
      </c>
      <c r="K570" s="456">
        <v>0</v>
      </c>
      <c r="L570" s="456">
        <f t="shared" si="95"/>
        <v>0</v>
      </c>
      <c r="O570" s="455">
        <f t="shared" si="98"/>
        <v>0</v>
      </c>
      <c r="P570" s="455">
        <f t="shared" si="99"/>
        <v>0</v>
      </c>
      <c r="R570" s="480"/>
    </row>
    <row r="571" spans="1:18">
      <c r="A571" s="454"/>
      <c r="B571" s="454" t="str">
        <v>Wall finishes plaster</v>
      </c>
      <c r="C571" s="456"/>
      <c r="D571" s="456"/>
      <c r="E571" s="456">
        <f>D567*(D1-0.15)</f>
        <v>54.044000000000004</v>
      </c>
      <c r="F571" s="456">
        <f>-(Doors!H44+Doors!H45+Windows!H50)</f>
        <v>-10.022499999999999</v>
      </c>
      <c r="G571" s="456">
        <f t="shared" si="94"/>
        <v>44.021500000000003</v>
      </c>
      <c r="H571" s="456" t="str">
        <v>Sq M</v>
      </c>
      <c r="I571" s="456" t="str">
        <v>Gypsum Plaster</v>
      </c>
      <c r="J571" s="456">
        <v>32</v>
      </c>
      <c r="K571" s="456">
        <v>344.44799999999998</v>
      </c>
      <c r="L571" s="456">
        <f t="shared" si="95"/>
        <v>15163.117632</v>
      </c>
      <c r="O571" s="455">
        <f t="shared" si="98"/>
        <v>1188.5805</v>
      </c>
      <c r="P571" s="455">
        <f t="shared" si="99"/>
        <v>409404.176064</v>
      </c>
      <c r="R571" s="480" t="s">
        <v>661</v>
      </c>
    </row>
    <row r="572" spans="1:18">
      <c r="A572" s="454"/>
      <c r="B572" s="454" t="str">
        <v>Ceiling plaster</v>
      </c>
      <c r="C572" s="456"/>
      <c r="D572" s="456"/>
      <c r="E572" s="456">
        <f>E568</f>
        <v>15.29</v>
      </c>
      <c r="F572" s="456"/>
      <c r="G572" s="456">
        <f t="shared" si="94"/>
        <v>15.29</v>
      </c>
      <c r="H572" s="456" t="str">
        <v>Sq M</v>
      </c>
      <c r="I572" s="456" t="str">
        <v>Gypsum Plaster</v>
      </c>
      <c r="J572" s="456">
        <v>32</v>
      </c>
      <c r="K572" s="456">
        <v>344.44799999999998</v>
      </c>
      <c r="L572" s="456">
        <f t="shared" si="95"/>
        <v>5266.609919999999</v>
      </c>
      <c r="O572" s="455">
        <f t="shared" si="98"/>
        <v>412.83</v>
      </c>
      <c r="P572" s="455">
        <f t="shared" si="99"/>
        <v>142198.46783999997</v>
      </c>
      <c r="R572" s="480" t="s">
        <v>662</v>
      </c>
    </row>
    <row r="573" spans="1:18">
      <c r="A573" s="454"/>
      <c r="B573" s="454" t="str">
        <v>False ceiling</v>
      </c>
      <c r="C573" s="456"/>
      <c r="D573" s="456"/>
      <c r="E573" s="456"/>
      <c r="F573" s="456"/>
      <c r="G573" s="456">
        <f t="shared" si="94"/>
        <v>0</v>
      </c>
      <c r="H573" s="456" t="str">
        <v>Sq M</v>
      </c>
      <c r="I573" s="456" t="str">
        <v>N.A.</v>
      </c>
      <c r="J573" s="456">
        <v>0</v>
      </c>
      <c r="K573" s="456">
        <v>0</v>
      </c>
      <c r="L573" s="456">
        <f t="shared" si="95"/>
        <v>0</v>
      </c>
      <c r="O573" s="455">
        <f t="shared" si="98"/>
        <v>0</v>
      </c>
      <c r="P573" s="455">
        <f t="shared" si="99"/>
        <v>0</v>
      </c>
      <c r="R573" s="480"/>
    </row>
    <row r="574" spans="1:18">
      <c r="A574" s="454"/>
      <c r="B574" s="454" t="str">
        <v>Wall finishes Paint</v>
      </c>
      <c r="C574" s="456"/>
      <c r="D574" s="456"/>
      <c r="E574" s="456">
        <f>E571</f>
        <v>54.044000000000004</v>
      </c>
      <c r="F574" s="456">
        <f>F571</f>
        <v>-10.022499999999999</v>
      </c>
      <c r="G574" s="456">
        <f t="shared" si="94"/>
        <v>44.021500000000003</v>
      </c>
      <c r="H574" s="456" t="str">
        <v>Sq M</v>
      </c>
      <c r="I574" s="456" t="str">
        <v>Plastic paint</v>
      </c>
      <c r="J574" s="456">
        <v>20</v>
      </c>
      <c r="K574" s="456">
        <v>215.27999999999997</v>
      </c>
      <c r="L574" s="456">
        <f t="shared" si="95"/>
        <v>9476.9485199999999</v>
      </c>
      <c r="O574" s="455">
        <f t="shared" si="98"/>
        <v>1188.5805</v>
      </c>
      <c r="P574" s="455">
        <f t="shared" si="99"/>
        <v>255877.61004</v>
      </c>
      <c r="R574" s="480" t="s">
        <v>663</v>
      </c>
    </row>
    <row r="575" spans="1:18">
      <c r="A575" s="454"/>
      <c r="B575" s="454" t="str">
        <v>Ceiling Paint</v>
      </c>
      <c r="C575" s="456"/>
      <c r="D575" s="456"/>
      <c r="E575" s="456">
        <f>E572</f>
        <v>15.29</v>
      </c>
      <c r="F575" s="456"/>
      <c r="G575" s="456">
        <f t="shared" si="94"/>
        <v>15.29</v>
      </c>
      <c r="H575" s="456" t="str">
        <v>Sq M</v>
      </c>
      <c r="I575" s="456" t="str">
        <v>Plastic paint</v>
      </c>
      <c r="J575" s="456">
        <v>20</v>
      </c>
      <c r="K575" s="456">
        <v>215.27999999999997</v>
      </c>
      <c r="L575" s="456">
        <f t="shared" si="95"/>
        <v>3291.6311999999994</v>
      </c>
      <c r="O575" s="455">
        <f t="shared" si="98"/>
        <v>412.83</v>
      </c>
      <c r="P575" s="455">
        <f t="shared" si="99"/>
        <v>88874.042399999977</v>
      </c>
      <c r="R575" s="480" t="s">
        <v>664</v>
      </c>
    </row>
    <row r="576" spans="1:18">
      <c r="A576" s="454"/>
      <c r="B576" s="454" t="str">
        <v>Door Frames</v>
      </c>
      <c r="C576" s="456"/>
      <c r="D576" s="456"/>
      <c r="E576" s="456"/>
      <c r="F576" s="456"/>
      <c r="G576" s="456">
        <f t="shared" si="94"/>
        <v>0</v>
      </c>
      <c r="H576" s="456" t="str">
        <v>RM</v>
      </c>
      <c r="I576" s="456" t="str">
        <v>N.A.</v>
      </c>
      <c r="J576" s="456">
        <v>0</v>
      </c>
      <c r="K576" s="456">
        <v>0</v>
      </c>
      <c r="L576" s="456">
        <f t="shared" si="95"/>
        <v>0</v>
      </c>
      <c r="O576" s="455">
        <f t="shared" si="98"/>
        <v>0</v>
      </c>
      <c r="P576" s="455">
        <f t="shared" si="99"/>
        <v>0</v>
      </c>
      <c r="R576" s="480"/>
    </row>
    <row r="577" spans="1:18">
      <c r="A577" s="454"/>
      <c r="B577" s="454" t="str">
        <v>Window Frames - Internal</v>
      </c>
      <c r="C577" s="456"/>
      <c r="D577" s="456"/>
      <c r="E577" s="456">
        <f>Windows!F50*2+Windows!G50*2</f>
        <v>10.399999999999999</v>
      </c>
      <c r="F577" s="456"/>
      <c r="G577" s="456">
        <f t="shared" si="94"/>
        <v>10.399999999999999</v>
      </c>
      <c r="H577" s="456" t="str">
        <v>RM</v>
      </c>
      <c r="I577" s="456" t="str">
        <v>Granite Window Frame</v>
      </c>
      <c r="J577" s="456">
        <v>180</v>
      </c>
      <c r="K577" s="456">
        <v>655.92719999999997</v>
      </c>
      <c r="L577" s="456">
        <f t="shared" si="95"/>
        <v>6821.6428799999985</v>
      </c>
      <c r="O577" s="455">
        <f t="shared" si="98"/>
        <v>280.79999999999995</v>
      </c>
      <c r="P577" s="455">
        <f t="shared" si="99"/>
        <v>184184.35775999996</v>
      </c>
      <c r="R577" s="480" t="s">
        <v>743</v>
      </c>
    </row>
    <row r="578" spans="1:18">
      <c r="A578" s="454"/>
      <c r="B578" s="454" t="str">
        <v>Window Frames - External</v>
      </c>
      <c r="C578" s="456"/>
      <c r="D578" s="456"/>
      <c r="E578" s="456">
        <f>E577</f>
        <v>10.399999999999999</v>
      </c>
      <c r="F578" s="456"/>
      <c r="G578" s="456">
        <f t="shared" si="94"/>
        <v>10.399999999999999</v>
      </c>
      <c r="H578" s="456" t="str">
        <v>RM</v>
      </c>
      <c r="I578" s="456" t="str">
        <v>Marble Window Frames with Sill</v>
      </c>
      <c r="J578" s="456">
        <v>60</v>
      </c>
      <c r="K578" s="456">
        <v>399.04239999999999</v>
      </c>
      <c r="L578" s="456">
        <f t="shared" si="95"/>
        <v>4150.0409599999994</v>
      </c>
      <c r="O578" s="455">
        <f t="shared" si="98"/>
        <v>280.79999999999995</v>
      </c>
      <c r="P578" s="455">
        <f t="shared" si="99"/>
        <v>112051.10591999999</v>
      </c>
      <c r="R578" s="480" t="s">
        <v>409</v>
      </c>
    </row>
    <row r="579" spans="1:18">
      <c r="A579" s="454"/>
      <c r="B579" s="454" t="str">
        <v>Others</v>
      </c>
      <c r="C579" s="456"/>
      <c r="D579" s="456"/>
      <c r="E579" s="456"/>
      <c r="F579" s="456"/>
      <c r="G579" s="456">
        <f t="shared" si="94"/>
        <v>0</v>
      </c>
      <c r="H579" s="456" t="str">
        <v>-</v>
      </c>
      <c r="I579" s="456" t="str">
        <v>N.A.</v>
      </c>
      <c r="J579" s="456">
        <v>0</v>
      </c>
      <c r="K579" s="456">
        <v>0</v>
      </c>
      <c r="L579" s="456">
        <f t="shared" si="95"/>
        <v>0</v>
      </c>
      <c r="O579" s="455">
        <f t="shared" si="98"/>
        <v>0</v>
      </c>
      <c r="P579" s="455">
        <f t="shared" si="99"/>
        <v>0</v>
      </c>
    </row>
    <row r="580" spans="1:18" s="479" customFormat="1" ht="13.5" customHeight="1">
      <c r="A580" s="475" t="s">
        <v>628</v>
      </c>
      <c r="B580" s="476" t="str">
        <f>'Flat Sizes'!B51</f>
        <v>M. Toilet</v>
      </c>
      <c r="C580" s="477">
        <f>'Flat Sizes'!D51</f>
        <v>3.9</v>
      </c>
      <c r="D580" s="477">
        <f>'Flat Sizes'!G51</f>
        <v>8.27</v>
      </c>
      <c r="E580" s="477"/>
      <c r="F580" s="454"/>
      <c r="G580" s="477"/>
      <c r="H580" s="477"/>
      <c r="I580" s="477"/>
      <c r="J580" s="477"/>
      <c r="K580" s="477"/>
      <c r="L580" s="477"/>
      <c r="M580" s="459">
        <f>SUM(L581:L592)/C580/10.764</f>
        <v>1187.8186943658347</v>
      </c>
      <c r="N580" s="472"/>
      <c r="O580" s="455"/>
      <c r="P580" s="455"/>
      <c r="Q580" s="478"/>
    </row>
    <row r="581" spans="1:18">
      <c r="A581" s="454"/>
      <c r="B581" s="454" t="str" cm="1">
        <f t="array" ref="B581:B592">'Rate List - Flats'!B62:B73</f>
        <v>Flooring</v>
      </c>
      <c r="C581" s="456"/>
      <c r="D581" s="456"/>
      <c r="E581" s="456">
        <f>C580</f>
        <v>3.9</v>
      </c>
      <c r="F581" s="456"/>
      <c r="G581" s="456">
        <f t="shared" si="94"/>
        <v>3.9</v>
      </c>
      <c r="H581" s="456" t="str" cm="1">
        <f t="array" ref="H581:H592">'Rate List - Flats'!H62:H73</f>
        <v>Sq M</v>
      </c>
      <c r="I581" s="456" t="str" cm="1">
        <f t="array" ref="I581:I592">'Rate List - Flats'!C62:C73</f>
        <v>Ceramic tiles/vitrified anti-skid tiles</v>
      </c>
      <c r="J581" s="456" cm="1">
        <f t="array" ref="J581:J592">'Rate List - Flats'!E62:E73</f>
        <v>50</v>
      </c>
      <c r="K581" s="456" cm="1">
        <f t="array" ref="K581:K592">'Rate List - Flats'!G62:G73</f>
        <v>1399.32</v>
      </c>
      <c r="L581" s="456">
        <f t="shared" si="95"/>
        <v>5457.348</v>
      </c>
      <c r="O581" s="455">
        <f t="shared" ref="O581:O592" si="100">IF(I581="N.A",0,G581*$N$554)</f>
        <v>105.3</v>
      </c>
      <c r="P581" s="455">
        <f t="shared" ref="P581:P592" si="101">L581*$N$554</f>
        <v>147348.39600000001</v>
      </c>
      <c r="R581" s="480" t="s">
        <v>667</v>
      </c>
    </row>
    <row r="582" spans="1:18">
      <c r="A582" s="454"/>
      <c r="B582" s="454" t="str">
        <v>Skirting</v>
      </c>
      <c r="C582" s="456"/>
      <c r="D582" s="456"/>
      <c r="E582" s="456"/>
      <c r="F582" s="456"/>
      <c r="G582" s="456">
        <f t="shared" si="94"/>
        <v>0</v>
      </c>
      <c r="H582" s="456" t="str">
        <v xml:space="preserve">RM </v>
      </c>
      <c r="I582" s="456" t="str">
        <v>N.A.</v>
      </c>
      <c r="J582" s="456">
        <v>0</v>
      </c>
      <c r="K582" s="456">
        <v>0</v>
      </c>
      <c r="L582" s="456">
        <f t="shared" si="95"/>
        <v>0</v>
      </c>
      <c r="O582" s="455">
        <f t="shared" si="100"/>
        <v>0</v>
      </c>
      <c r="P582" s="455">
        <f t="shared" si="101"/>
        <v>0</v>
      </c>
      <c r="R582" s="480"/>
    </row>
    <row r="583" spans="1:18">
      <c r="A583" s="454"/>
      <c r="B583" s="454" t="str">
        <v>Dado</v>
      </c>
      <c r="C583" s="456"/>
      <c r="D583" s="456">
        <f>D1-0.7</f>
        <v>2.4000000000000004</v>
      </c>
      <c r="E583" s="456">
        <f>D580*D583</f>
        <v>19.848000000000003</v>
      </c>
      <c r="F583" s="456">
        <f>-(Doors!H45+Windows!H51)</f>
        <v>-2.0250000000000004</v>
      </c>
      <c r="G583" s="456">
        <f t="shared" si="94"/>
        <v>17.823</v>
      </c>
      <c r="H583" s="456" t="str">
        <v>Sq M</v>
      </c>
      <c r="I583" s="456" t="str">
        <v>Vitrified tiles</v>
      </c>
      <c r="J583" s="456">
        <v>50</v>
      </c>
      <c r="K583" s="456">
        <v>1480.05</v>
      </c>
      <c r="L583" s="456">
        <f t="shared" si="95"/>
        <v>26378.93115</v>
      </c>
      <c r="O583" s="455">
        <f t="shared" si="100"/>
        <v>481.221</v>
      </c>
      <c r="P583" s="455">
        <f t="shared" si="101"/>
        <v>712231.14104999998</v>
      </c>
      <c r="R583" s="480" t="s">
        <v>668</v>
      </c>
    </row>
    <row r="584" spans="1:18">
      <c r="A584" s="454"/>
      <c r="B584" s="454" t="str">
        <v>Wall finishes plaster</v>
      </c>
      <c r="C584" s="456"/>
      <c r="D584" s="456">
        <f>D1-D583</f>
        <v>0.69999999999999973</v>
      </c>
      <c r="E584" s="456">
        <f>D580*D584</f>
        <v>5.7889999999999979</v>
      </c>
      <c r="F584" s="456"/>
      <c r="G584" s="456">
        <f t="shared" si="94"/>
        <v>5.7889999999999979</v>
      </c>
      <c r="H584" s="456" t="str">
        <v>Sq M</v>
      </c>
      <c r="I584" s="456" t="str">
        <v>Gypsum Plaster</v>
      </c>
      <c r="J584" s="456">
        <v>32</v>
      </c>
      <c r="K584" s="456">
        <v>344.44799999999998</v>
      </c>
      <c r="L584" s="456">
        <f t="shared" si="95"/>
        <v>1994.0094719999993</v>
      </c>
      <c r="O584" s="455">
        <f t="shared" si="100"/>
        <v>156.30299999999994</v>
      </c>
      <c r="P584" s="455">
        <f t="shared" si="101"/>
        <v>53838.25574399998</v>
      </c>
      <c r="R584" s="480" t="s">
        <v>661</v>
      </c>
    </row>
    <row r="585" spans="1:18">
      <c r="A585" s="454"/>
      <c r="B585" s="454" t="str">
        <v>Ceiling plaster</v>
      </c>
      <c r="C585" s="456"/>
      <c r="D585" s="456"/>
      <c r="E585" s="456">
        <f>E581</f>
        <v>3.9</v>
      </c>
      <c r="F585" s="456"/>
      <c r="G585" s="456">
        <f t="shared" si="94"/>
        <v>3.9</v>
      </c>
      <c r="H585" s="456" t="str">
        <v>Sq M</v>
      </c>
      <c r="I585" s="456" t="str">
        <v>Gypsum Plaster</v>
      </c>
      <c r="J585" s="456">
        <v>32</v>
      </c>
      <c r="K585" s="456">
        <v>344.44799999999998</v>
      </c>
      <c r="L585" s="456">
        <f t="shared" si="95"/>
        <v>1343.3471999999999</v>
      </c>
      <c r="O585" s="455">
        <f t="shared" si="100"/>
        <v>105.3</v>
      </c>
      <c r="P585" s="455">
        <f t="shared" si="101"/>
        <v>36270.374400000001</v>
      </c>
      <c r="R585" s="480" t="s">
        <v>662</v>
      </c>
    </row>
    <row r="586" spans="1:18">
      <c r="A586" s="454"/>
      <c r="B586" s="454" t="str">
        <v>False ceiling</v>
      </c>
      <c r="C586" s="456"/>
      <c r="D586" s="456"/>
      <c r="E586" s="456"/>
      <c r="F586" s="456"/>
      <c r="G586" s="456">
        <f t="shared" si="94"/>
        <v>0</v>
      </c>
      <c r="H586" s="456" t="str">
        <v>Sq M</v>
      </c>
      <c r="I586" s="456" t="str">
        <v>N.A.</v>
      </c>
      <c r="J586" s="456">
        <v>0</v>
      </c>
      <c r="K586" s="456">
        <v>0</v>
      </c>
      <c r="L586" s="456">
        <f t="shared" si="95"/>
        <v>0</v>
      </c>
      <c r="O586" s="455">
        <f t="shared" si="100"/>
        <v>0</v>
      </c>
      <c r="P586" s="455">
        <f t="shared" si="101"/>
        <v>0</v>
      </c>
      <c r="R586" s="480"/>
    </row>
    <row r="587" spans="1:18">
      <c r="A587" s="454"/>
      <c r="B587" s="454" t="str">
        <v>Wall finishes Paint</v>
      </c>
      <c r="C587" s="456"/>
      <c r="D587" s="456"/>
      <c r="E587" s="456">
        <f>E584</f>
        <v>5.7889999999999979</v>
      </c>
      <c r="F587" s="456"/>
      <c r="G587" s="456">
        <f t="shared" si="94"/>
        <v>5.7889999999999979</v>
      </c>
      <c r="H587" s="456" t="str">
        <v>Sq M</v>
      </c>
      <c r="I587" s="456" t="str">
        <v>Plastic paint</v>
      </c>
      <c r="J587" s="456">
        <v>20</v>
      </c>
      <c r="K587" s="456">
        <v>215.27999999999997</v>
      </c>
      <c r="L587" s="456">
        <f t="shared" si="95"/>
        <v>1246.2559199999994</v>
      </c>
      <c r="O587" s="455">
        <f t="shared" si="100"/>
        <v>156.30299999999994</v>
      </c>
      <c r="P587" s="455">
        <f t="shared" si="101"/>
        <v>33648.909839999986</v>
      </c>
      <c r="R587" s="480" t="s">
        <v>663</v>
      </c>
    </row>
    <row r="588" spans="1:18">
      <c r="A588" s="454"/>
      <c r="B588" s="454" t="str">
        <v>Ceiling Paint</v>
      </c>
      <c r="C588" s="456"/>
      <c r="D588" s="456"/>
      <c r="E588" s="456">
        <f>E585</f>
        <v>3.9</v>
      </c>
      <c r="F588" s="456"/>
      <c r="G588" s="456">
        <f t="shared" si="94"/>
        <v>3.9</v>
      </c>
      <c r="H588" s="456" t="str">
        <v>Sq M</v>
      </c>
      <c r="I588" s="456" t="str">
        <v>Plastic paint</v>
      </c>
      <c r="J588" s="456">
        <v>20</v>
      </c>
      <c r="K588" s="456">
        <v>215.27999999999997</v>
      </c>
      <c r="L588" s="456">
        <f t="shared" si="95"/>
        <v>839.59199999999987</v>
      </c>
      <c r="O588" s="455">
        <f t="shared" si="100"/>
        <v>105.3</v>
      </c>
      <c r="P588" s="455">
        <f t="shared" si="101"/>
        <v>22668.983999999997</v>
      </c>
      <c r="R588" s="480" t="s">
        <v>664</v>
      </c>
    </row>
    <row r="589" spans="1:18">
      <c r="A589" s="454"/>
      <c r="B589" s="454" t="str">
        <v>Door Frames</v>
      </c>
      <c r="C589" s="456"/>
      <c r="D589" s="456"/>
      <c r="E589" s="456">
        <f>Doors!F45*4+Doors!G45*4</f>
        <v>11.4</v>
      </c>
      <c r="F589" s="456"/>
      <c r="G589" s="456">
        <f t="shared" si="94"/>
        <v>11.4</v>
      </c>
      <c r="H589" s="456" t="str">
        <v>RM</v>
      </c>
      <c r="I589" s="456" t="str">
        <v>Granite Frames</v>
      </c>
      <c r="J589" s="456">
        <v>180</v>
      </c>
      <c r="K589" s="456">
        <v>655.92719999999997</v>
      </c>
      <c r="L589" s="456">
        <f t="shared" si="95"/>
        <v>7477.5700799999995</v>
      </c>
      <c r="O589" s="455">
        <f t="shared" si="100"/>
        <v>307.8</v>
      </c>
      <c r="P589" s="455">
        <f t="shared" si="101"/>
        <v>201894.39215999999</v>
      </c>
      <c r="R589" s="480" t="s">
        <v>669</v>
      </c>
    </row>
    <row r="590" spans="1:18">
      <c r="A590" s="454"/>
      <c r="B590" s="454" t="str">
        <v>Window Frames - Internal</v>
      </c>
      <c r="C590" s="456"/>
      <c r="D590" s="456"/>
      <c r="E590" s="456">
        <f>Windows!F51*2+Windows!G51*2</f>
        <v>2.7</v>
      </c>
      <c r="F590" s="456"/>
      <c r="G590" s="456">
        <f t="shared" si="94"/>
        <v>2.7</v>
      </c>
      <c r="H590" s="456" t="str">
        <v>RM</v>
      </c>
      <c r="I590" s="456" t="str">
        <v>Granite Window Frame</v>
      </c>
      <c r="J590" s="456">
        <v>180</v>
      </c>
      <c r="K590" s="456">
        <v>655.92719999999997</v>
      </c>
      <c r="L590" s="456">
        <f t="shared" si="95"/>
        <v>1771.00344</v>
      </c>
      <c r="O590" s="455">
        <f t="shared" si="100"/>
        <v>72.900000000000006</v>
      </c>
      <c r="P590" s="455">
        <f t="shared" si="101"/>
        <v>47817.092879999997</v>
      </c>
      <c r="R590" s="480" t="s">
        <v>743</v>
      </c>
    </row>
    <row r="591" spans="1:18">
      <c r="A591" s="454"/>
      <c r="B591" s="454" t="str">
        <v>Window Frames - External</v>
      </c>
      <c r="C591" s="456"/>
      <c r="D591" s="456"/>
      <c r="E591" s="456">
        <f>E590</f>
        <v>2.7</v>
      </c>
      <c r="F591" s="456"/>
      <c r="G591" s="456">
        <f t="shared" si="94"/>
        <v>2.7</v>
      </c>
      <c r="H591" s="456" t="str">
        <v>RM</v>
      </c>
      <c r="I591" s="456" t="str">
        <v>Marble Window Frames with Sill</v>
      </c>
      <c r="J591" s="456">
        <v>60</v>
      </c>
      <c r="K591" s="456">
        <v>399.04239999999999</v>
      </c>
      <c r="L591" s="456">
        <f t="shared" si="95"/>
        <v>1077.4144800000001</v>
      </c>
      <c r="O591" s="455">
        <f t="shared" si="100"/>
        <v>72.900000000000006</v>
      </c>
      <c r="P591" s="455">
        <f t="shared" si="101"/>
        <v>29090.190960000004</v>
      </c>
      <c r="R591" s="480" t="s">
        <v>409</v>
      </c>
    </row>
    <row r="592" spans="1:18">
      <c r="A592" s="454"/>
      <c r="B592" s="454" t="str">
        <v>Others - Counter</v>
      </c>
      <c r="C592" s="456"/>
      <c r="D592" s="456"/>
      <c r="E592" s="456">
        <f>0.6*0.6</f>
        <v>0.36</v>
      </c>
      <c r="F592" s="456"/>
      <c r="G592" s="456">
        <f t="shared" si="94"/>
        <v>0.36</v>
      </c>
      <c r="H592" s="456" t="str">
        <v>Sq M</v>
      </c>
      <c r="I592" s="456" t="str">
        <v>Basin Counter 1'6" - Granite Basin Counter</v>
      </c>
      <c r="J592" s="456">
        <v>180</v>
      </c>
      <c r="K592" s="456">
        <v>6329.6720000000005</v>
      </c>
      <c r="L592" s="456">
        <f t="shared" si="95"/>
        <v>2278.68192</v>
      </c>
      <c r="O592" s="455">
        <f t="shared" si="100"/>
        <v>9.7199999999999989</v>
      </c>
      <c r="P592" s="455">
        <f t="shared" si="101"/>
        <v>61524.411840000001</v>
      </c>
      <c r="R592" s="480" t="s">
        <v>670</v>
      </c>
    </row>
    <row r="593" spans="1:18" s="479" customFormat="1" ht="13.5" customHeight="1">
      <c r="A593" s="475" t="s">
        <v>628</v>
      </c>
      <c r="B593" s="476" t="str">
        <f>'Flat Sizes'!B52</f>
        <v>M. Bedroom</v>
      </c>
      <c r="C593" s="477">
        <f>'Flat Sizes'!D52</f>
        <v>14.58</v>
      </c>
      <c r="D593" s="477">
        <f>'Flat Sizes'!G52</f>
        <v>17.350000000000001</v>
      </c>
      <c r="E593" s="477"/>
      <c r="F593" s="454"/>
      <c r="G593" s="477"/>
      <c r="H593" s="477"/>
      <c r="I593" s="477"/>
      <c r="J593" s="477"/>
      <c r="K593" s="477"/>
      <c r="L593" s="477"/>
      <c r="M593" s="459">
        <f>SUM(L594:L605)/C593/10.764</f>
        <v>467.27485154753003</v>
      </c>
      <c r="N593" s="472"/>
      <c r="O593" s="455"/>
      <c r="P593" s="455"/>
      <c r="Q593" s="478"/>
    </row>
    <row r="594" spans="1:18">
      <c r="A594" s="454"/>
      <c r="B594" s="454" t="str" cm="1">
        <f t="array" ref="B594:B605">'Rate List - Flats'!B34:B45</f>
        <v>Flooring</v>
      </c>
      <c r="C594" s="456"/>
      <c r="D594" s="456"/>
      <c r="E594" s="456">
        <f>C593</f>
        <v>14.58</v>
      </c>
      <c r="F594" s="456"/>
      <c r="G594" s="456">
        <f t="shared" si="94"/>
        <v>14.58</v>
      </c>
      <c r="H594" s="456" t="str" cm="1">
        <f t="array" ref="H594:H605">'Rate List - Flats'!H34:H45</f>
        <v>Sq M</v>
      </c>
      <c r="I594" s="456" t="str" cm="1">
        <f t="array" ref="I594:I605">'Rate List - Flats'!C34:C45</f>
        <v>2'x2' Vitrified tiles</v>
      </c>
      <c r="J594" s="456" cm="1">
        <f t="array" ref="J594:J605">'Rate List - Flats'!E34:E45</f>
        <v>45</v>
      </c>
      <c r="K594" s="456" cm="1">
        <f t="array" ref="K594:K605">'Rate List - Flats'!G34:G45</f>
        <v>1340.1179999999999</v>
      </c>
      <c r="L594" s="456">
        <f t="shared" si="95"/>
        <v>19538.920439999998</v>
      </c>
      <c r="O594" s="455">
        <f t="shared" ref="O594:O605" si="102">IF(I594="N.A",0,G594*$N$554)</f>
        <v>393.66</v>
      </c>
      <c r="P594" s="455">
        <f t="shared" ref="P594:P605" si="103">L594*$N$554</f>
        <v>527550.85187999997</v>
      </c>
      <c r="R594" s="480" t="s">
        <v>659</v>
      </c>
    </row>
    <row r="595" spans="1:18">
      <c r="A595" s="454"/>
      <c r="B595" s="454" t="str">
        <v>Skirting</v>
      </c>
      <c r="C595" s="456"/>
      <c r="D595" s="456"/>
      <c r="E595" s="456">
        <f>D593</f>
        <v>17.350000000000001</v>
      </c>
      <c r="F595" s="456">
        <f>-(Doors!F46+Doors!F47)</f>
        <v>-1.65</v>
      </c>
      <c r="G595" s="456">
        <f t="shared" si="94"/>
        <v>15.700000000000001</v>
      </c>
      <c r="H595" s="456" t="str">
        <v>RM</v>
      </c>
      <c r="I595" s="456" t="str">
        <v xml:space="preserve">2'x2' Vitrified tiles </v>
      </c>
      <c r="J595" s="456">
        <v>45</v>
      </c>
      <c r="K595" s="456">
        <v>391.96</v>
      </c>
      <c r="L595" s="456">
        <f t="shared" si="95"/>
        <v>6153.7719999999999</v>
      </c>
      <c r="O595" s="455">
        <f t="shared" si="102"/>
        <v>423.90000000000003</v>
      </c>
      <c r="P595" s="455">
        <f t="shared" si="103"/>
        <v>166151.84400000001</v>
      </c>
      <c r="R595" s="480" t="s">
        <v>660</v>
      </c>
    </row>
    <row r="596" spans="1:18">
      <c r="A596" s="454"/>
      <c r="B596" s="454" t="str">
        <v>Dado</v>
      </c>
      <c r="C596" s="456"/>
      <c r="D596" s="456"/>
      <c r="E596" s="456"/>
      <c r="F596" s="456"/>
      <c r="G596" s="456">
        <f t="shared" si="94"/>
        <v>0</v>
      </c>
      <c r="H596" s="456" t="str">
        <v>Sq M</v>
      </c>
      <c r="I596" s="456" t="str">
        <v>N.A.</v>
      </c>
      <c r="J596" s="456">
        <v>0</v>
      </c>
      <c r="K596" s="456">
        <v>0</v>
      </c>
      <c r="L596" s="456">
        <f t="shared" si="95"/>
        <v>0</v>
      </c>
      <c r="O596" s="455">
        <f t="shared" si="102"/>
        <v>0</v>
      </c>
      <c r="P596" s="455">
        <f t="shared" si="103"/>
        <v>0</v>
      </c>
      <c r="R596" s="480"/>
    </row>
    <row r="597" spans="1:18">
      <c r="A597" s="454"/>
      <c r="B597" s="454" t="str">
        <v>Wall finishes plaster</v>
      </c>
      <c r="C597" s="456"/>
      <c r="D597" s="456"/>
      <c r="E597" s="456">
        <f>D593*(D1-0.15)</f>
        <v>51.182500000000005</v>
      </c>
      <c r="F597" s="456">
        <f>-(Doors!H46+Doors!H47+Windows!H52+Windows!H53)</f>
        <v>-12.236999999999998</v>
      </c>
      <c r="G597" s="456">
        <f t="shared" si="94"/>
        <v>38.94550000000001</v>
      </c>
      <c r="H597" s="456" t="str">
        <v>Sq M</v>
      </c>
      <c r="I597" s="456" t="str">
        <v>Gypsum Plaster</v>
      </c>
      <c r="J597" s="456">
        <v>32</v>
      </c>
      <c r="K597" s="456">
        <v>344.44799999999998</v>
      </c>
      <c r="L597" s="456">
        <f t="shared" si="95"/>
        <v>13414.699584000002</v>
      </c>
      <c r="O597" s="455">
        <f t="shared" si="102"/>
        <v>1051.5285000000003</v>
      </c>
      <c r="P597" s="455">
        <f t="shared" si="103"/>
        <v>362196.88876800006</v>
      </c>
      <c r="R597" s="480" t="s">
        <v>661</v>
      </c>
    </row>
    <row r="598" spans="1:18">
      <c r="A598" s="454"/>
      <c r="B598" s="454" t="str">
        <v>Ceiling plaster</v>
      </c>
      <c r="C598" s="456"/>
      <c r="D598" s="456"/>
      <c r="E598" s="456">
        <f>E594</f>
        <v>14.58</v>
      </c>
      <c r="F598" s="456"/>
      <c r="G598" s="456">
        <f t="shared" si="94"/>
        <v>14.58</v>
      </c>
      <c r="H598" s="456" t="str">
        <v>Sq M</v>
      </c>
      <c r="I598" s="456" t="str">
        <v>Gypsum Plaster</v>
      </c>
      <c r="J598" s="456">
        <v>32</v>
      </c>
      <c r="K598" s="456">
        <v>344.44799999999998</v>
      </c>
      <c r="L598" s="456">
        <f t="shared" si="95"/>
        <v>5022.0518400000001</v>
      </c>
      <c r="O598" s="455">
        <f t="shared" si="102"/>
        <v>393.66</v>
      </c>
      <c r="P598" s="455">
        <f t="shared" si="103"/>
        <v>135595.39968</v>
      </c>
      <c r="R598" s="480" t="s">
        <v>662</v>
      </c>
    </row>
    <row r="599" spans="1:18">
      <c r="A599" s="454"/>
      <c r="B599" s="454" t="str">
        <v>False ceiling</v>
      </c>
      <c r="C599" s="456"/>
      <c r="D599" s="456"/>
      <c r="E599" s="456"/>
      <c r="F599" s="456"/>
      <c r="G599" s="456">
        <f t="shared" si="94"/>
        <v>0</v>
      </c>
      <c r="H599" s="456" t="str">
        <v>Sq M</v>
      </c>
      <c r="I599" s="456" t="str">
        <v>N.A.</v>
      </c>
      <c r="J599" s="456">
        <v>0</v>
      </c>
      <c r="K599" s="456">
        <v>0</v>
      </c>
      <c r="L599" s="456">
        <f t="shared" si="95"/>
        <v>0</v>
      </c>
      <c r="O599" s="455">
        <f t="shared" si="102"/>
        <v>0</v>
      </c>
      <c r="P599" s="455">
        <f t="shared" si="103"/>
        <v>0</v>
      </c>
      <c r="R599" s="480"/>
    </row>
    <row r="600" spans="1:18">
      <c r="A600" s="454"/>
      <c r="B600" s="454" t="str">
        <v>Wall finishes Paint</v>
      </c>
      <c r="C600" s="456"/>
      <c r="D600" s="456"/>
      <c r="E600" s="456">
        <f>E597</f>
        <v>51.182500000000005</v>
      </c>
      <c r="F600" s="456">
        <f>F597</f>
        <v>-12.236999999999998</v>
      </c>
      <c r="G600" s="456">
        <f t="shared" si="94"/>
        <v>38.94550000000001</v>
      </c>
      <c r="H600" s="456" t="str">
        <v>Sq M</v>
      </c>
      <c r="I600" s="456" t="str">
        <v>Plastic paint</v>
      </c>
      <c r="J600" s="456">
        <v>20</v>
      </c>
      <c r="K600" s="456">
        <v>215.27999999999997</v>
      </c>
      <c r="L600" s="456">
        <f t="shared" si="95"/>
        <v>8384.1872400000011</v>
      </c>
      <c r="O600" s="455">
        <f t="shared" si="102"/>
        <v>1051.5285000000003</v>
      </c>
      <c r="P600" s="455">
        <f t="shared" si="103"/>
        <v>226373.05548000004</v>
      </c>
      <c r="R600" s="480" t="s">
        <v>663</v>
      </c>
    </row>
    <row r="601" spans="1:18">
      <c r="A601" s="454"/>
      <c r="B601" s="454" t="str">
        <v>Ceiling Paint</v>
      </c>
      <c r="C601" s="456"/>
      <c r="D601" s="456"/>
      <c r="E601" s="456">
        <f>E598</f>
        <v>14.58</v>
      </c>
      <c r="F601" s="456"/>
      <c r="G601" s="456">
        <f t="shared" si="94"/>
        <v>14.58</v>
      </c>
      <c r="H601" s="456" t="str">
        <v>Sq M</v>
      </c>
      <c r="I601" s="456" t="str">
        <v>Plastic paint</v>
      </c>
      <c r="J601" s="456">
        <v>20</v>
      </c>
      <c r="K601" s="456">
        <v>215.27999999999997</v>
      </c>
      <c r="L601" s="456">
        <f t="shared" si="95"/>
        <v>3138.7823999999996</v>
      </c>
      <c r="O601" s="455">
        <f t="shared" si="102"/>
        <v>393.66</v>
      </c>
      <c r="P601" s="455">
        <f t="shared" si="103"/>
        <v>84747.124799999991</v>
      </c>
      <c r="R601" s="480" t="s">
        <v>664</v>
      </c>
    </row>
    <row r="602" spans="1:18">
      <c r="A602" s="454"/>
      <c r="B602" s="454" t="str">
        <v>Door Frames</v>
      </c>
      <c r="C602" s="456"/>
      <c r="D602" s="456"/>
      <c r="E602" s="456"/>
      <c r="F602" s="456"/>
      <c r="G602" s="456">
        <f t="shared" si="94"/>
        <v>0</v>
      </c>
      <c r="H602" s="456" t="str">
        <v>RM</v>
      </c>
      <c r="I602" s="456" t="str">
        <v>N.A.</v>
      </c>
      <c r="J602" s="456">
        <v>0</v>
      </c>
      <c r="K602" s="456">
        <v>0</v>
      </c>
      <c r="L602" s="456">
        <f t="shared" si="95"/>
        <v>0</v>
      </c>
      <c r="O602" s="455">
        <f t="shared" si="102"/>
        <v>0</v>
      </c>
      <c r="P602" s="455">
        <f t="shared" si="103"/>
        <v>0</v>
      </c>
      <c r="R602" s="480"/>
    </row>
    <row r="603" spans="1:18">
      <c r="A603" s="454"/>
      <c r="B603" s="454" t="str">
        <v>Window Frames - Internal</v>
      </c>
      <c r="C603" s="456"/>
      <c r="D603" s="456"/>
      <c r="E603" s="456">
        <f>Windows!F52*2+Windows!G52*2+Windows!F53*2+Windows!G53*2</f>
        <v>16.759999999999998</v>
      </c>
      <c r="F603" s="456"/>
      <c r="G603" s="456">
        <f t="shared" si="94"/>
        <v>16.759999999999998</v>
      </c>
      <c r="H603" s="456" t="str">
        <v>RM</v>
      </c>
      <c r="I603" s="456" t="str">
        <v>Granite Window Frame</v>
      </c>
      <c r="J603" s="456">
        <v>180</v>
      </c>
      <c r="K603" s="456">
        <v>655.92719999999997</v>
      </c>
      <c r="L603" s="456">
        <f t="shared" si="95"/>
        <v>10993.339871999999</v>
      </c>
      <c r="O603" s="455">
        <f t="shared" si="102"/>
        <v>452.51999999999992</v>
      </c>
      <c r="P603" s="455">
        <f t="shared" si="103"/>
        <v>296820.17654399999</v>
      </c>
      <c r="R603" s="480" t="s">
        <v>743</v>
      </c>
    </row>
    <row r="604" spans="1:18">
      <c r="A604" s="454"/>
      <c r="B604" s="454" t="str">
        <v>Window Frames - External</v>
      </c>
      <c r="C604" s="456"/>
      <c r="D604" s="456"/>
      <c r="E604" s="456">
        <f>E603</f>
        <v>16.759999999999998</v>
      </c>
      <c r="F604" s="456"/>
      <c r="G604" s="456">
        <f t="shared" si="94"/>
        <v>16.759999999999998</v>
      </c>
      <c r="H604" s="456" t="str">
        <v>RM</v>
      </c>
      <c r="I604" s="456" t="str">
        <v>Marble Window Frames with Sill</v>
      </c>
      <c r="J604" s="456">
        <v>60</v>
      </c>
      <c r="K604" s="456">
        <v>399.04239999999999</v>
      </c>
      <c r="L604" s="456">
        <f t="shared" si="95"/>
        <v>6687.9506239999992</v>
      </c>
      <c r="O604" s="455">
        <f t="shared" si="102"/>
        <v>452.51999999999992</v>
      </c>
      <c r="P604" s="455">
        <f t="shared" si="103"/>
        <v>180574.66684799996</v>
      </c>
      <c r="R604" s="480" t="s">
        <v>409</v>
      </c>
    </row>
    <row r="605" spans="1:18">
      <c r="A605" s="454"/>
      <c r="B605" s="454" t="str">
        <v>Others</v>
      </c>
      <c r="C605" s="456"/>
      <c r="D605" s="456"/>
      <c r="E605" s="456"/>
      <c r="F605" s="456"/>
      <c r="G605" s="456">
        <f t="shared" si="94"/>
        <v>0</v>
      </c>
      <c r="H605" s="456" t="str">
        <v>-</v>
      </c>
      <c r="I605" s="456" t="str">
        <v>N.A.</v>
      </c>
      <c r="J605" s="456">
        <v>0</v>
      </c>
      <c r="K605" s="456">
        <v>0</v>
      </c>
      <c r="L605" s="456">
        <f t="shared" si="95"/>
        <v>0</v>
      </c>
      <c r="O605" s="455">
        <f t="shared" si="102"/>
        <v>0</v>
      </c>
      <c r="P605" s="455">
        <f t="shared" si="103"/>
        <v>0</v>
      </c>
    </row>
    <row r="606" spans="1:18" s="479" customFormat="1" ht="13.5" customHeight="1">
      <c r="A606" s="475" t="s">
        <v>628</v>
      </c>
      <c r="B606" s="476" t="str">
        <f>'Flat Sizes'!B53</f>
        <v>M. Toilet</v>
      </c>
      <c r="C606" s="477">
        <f>'Flat Sizes'!D53</f>
        <v>3.82</v>
      </c>
      <c r="D606" s="477">
        <f>'Flat Sizes'!G53</f>
        <v>8.2100000000000009</v>
      </c>
      <c r="E606" s="477"/>
      <c r="F606" s="454"/>
      <c r="G606" s="477"/>
      <c r="H606" s="477"/>
      <c r="I606" s="477"/>
      <c r="J606" s="477"/>
      <c r="K606" s="477"/>
      <c r="L606" s="477"/>
      <c r="M606" s="459">
        <f>SUM(L607:L618)/C606/10.764</f>
        <v>1203.1279863944389</v>
      </c>
      <c r="N606" s="472"/>
      <c r="O606" s="455"/>
      <c r="P606" s="455"/>
      <c r="Q606" s="478"/>
    </row>
    <row r="607" spans="1:18">
      <c r="A607" s="454"/>
      <c r="B607" s="454" t="str" cm="1">
        <f t="array" ref="B607:B618">'Rate List - Flats'!B62:B73</f>
        <v>Flooring</v>
      </c>
      <c r="C607" s="456"/>
      <c r="D607" s="456"/>
      <c r="E607" s="456">
        <f>C606</f>
        <v>3.82</v>
      </c>
      <c r="F607" s="456"/>
      <c r="G607" s="456">
        <f t="shared" si="94"/>
        <v>3.82</v>
      </c>
      <c r="H607" s="456" t="str" cm="1">
        <f t="array" ref="H607:H618">'Rate List - Flats'!H62:H73</f>
        <v>Sq M</v>
      </c>
      <c r="I607" s="456" t="str" cm="1">
        <f t="array" ref="I607:I618">'Rate List - Flats'!C62:C73</f>
        <v>Ceramic tiles/vitrified anti-skid tiles</v>
      </c>
      <c r="J607" s="456" cm="1">
        <f t="array" ref="J607:J618">'Rate List - Flats'!E62:E73</f>
        <v>50</v>
      </c>
      <c r="K607" s="456" cm="1">
        <f t="array" ref="K607:K618">'Rate List - Flats'!G62:G73</f>
        <v>1399.32</v>
      </c>
      <c r="L607" s="456">
        <f t="shared" si="95"/>
        <v>5345.4023999999999</v>
      </c>
      <c r="O607" s="455">
        <f t="shared" ref="O607:O618" si="104">IF(I607="N.A",0,G607*$N$554)</f>
        <v>103.14</v>
      </c>
      <c r="P607" s="455">
        <f t="shared" ref="P607:P618" si="105">L607*$N$554</f>
        <v>144325.86480000001</v>
      </c>
      <c r="R607" s="480" t="s">
        <v>667</v>
      </c>
    </row>
    <row r="608" spans="1:18">
      <c r="A608" s="454"/>
      <c r="B608" s="454" t="str">
        <v>Skirting</v>
      </c>
      <c r="C608" s="456"/>
      <c r="D608" s="456"/>
      <c r="E608" s="456"/>
      <c r="F608" s="456"/>
      <c r="G608" s="456">
        <f t="shared" si="94"/>
        <v>0</v>
      </c>
      <c r="H608" s="456" t="str">
        <v xml:space="preserve">RM </v>
      </c>
      <c r="I608" s="456" t="str">
        <v>N.A.</v>
      </c>
      <c r="J608" s="456">
        <v>0</v>
      </c>
      <c r="K608" s="456">
        <v>0</v>
      </c>
      <c r="L608" s="456">
        <f t="shared" si="95"/>
        <v>0</v>
      </c>
      <c r="O608" s="455">
        <f t="shared" si="104"/>
        <v>0</v>
      </c>
      <c r="P608" s="455">
        <f t="shared" si="105"/>
        <v>0</v>
      </c>
      <c r="R608" s="480"/>
    </row>
    <row r="609" spans="1:18">
      <c r="A609" s="454"/>
      <c r="B609" s="454" t="str">
        <v>Dado</v>
      </c>
      <c r="C609" s="456"/>
      <c r="D609" s="456">
        <f>D1-0.7</f>
        <v>2.4000000000000004</v>
      </c>
      <c r="E609" s="456">
        <f>D606*D609</f>
        <v>19.704000000000004</v>
      </c>
      <c r="F609" s="456">
        <f>-(Doors!H47+Windows!H54)</f>
        <v>-2.0250000000000004</v>
      </c>
      <c r="G609" s="456">
        <f t="shared" si="94"/>
        <v>17.679000000000002</v>
      </c>
      <c r="H609" s="456" t="str">
        <v>Sq M</v>
      </c>
      <c r="I609" s="456" t="str">
        <v>Vitrified tiles</v>
      </c>
      <c r="J609" s="456">
        <v>50</v>
      </c>
      <c r="K609" s="456">
        <v>1480.05</v>
      </c>
      <c r="L609" s="456">
        <f t="shared" si="95"/>
        <v>26165.803950000001</v>
      </c>
      <c r="O609" s="455">
        <f t="shared" si="104"/>
        <v>477.33300000000008</v>
      </c>
      <c r="P609" s="455">
        <f t="shared" si="105"/>
        <v>706476.70665000007</v>
      </c>
      <c r="R609" s="480" t="s">
        <v>668</v>
      </c>
    </row>
    <row r="610" spans="1:18">
      <c r="A610" s="454"/>
      <c r="B610" s="454" t="str">
        <v>Wall finishes plaster</v>
      </c>
      <c r="C610" s="456"/>
      <c r="D610" s="456">
        <f>D1-D609</f>
        <v>0.69999999999999973</v>
      </c>
      <c r="E610" s="456">
        <f>D606*D610</f>
        <v>5.7469999999999981</v>
      </c>
      <c r="F610" s="456"/>
      <c r="G610" s="456">
        <f t="shared" si="94"/>
        <v>5.7469999999999981</v>
      </c>
      <c r="H610" s="456" t="str">
        <v>Sq M</v>
      </c>
      <c r="I610" s="456" t="str">
        <v>Gypsum Plaster</v>
      </c>
      <c r="J610" s="456">
        <v>32</v>
      </c>
      <c r="K610" s="456">
        <v>344.44799999999998</v>
      </c>
      <c r="L610" s="456">
        <f t="shared" si="95"/>
        <v>1979.5426559999992</v>
      </c>
      <c r="O610" s="455">
        <f t="shared" si="104"/>
        <v>155.16899999999995</v>
      </c>
      <c r="P610" s="455">
        <f t="shared" si="105"/>
        <v>53447.651711999977</v>
      </c>
      <c r="R610" s="480" t="s">
        <v>661</v>
      </c>
    </row>
    <row r="611" spans="1:18">
      <c r="A611" s="454"/>
      <c r="B611" s="454" t="str">
        <v>Ceiling plaster</v>
      </c>
      <c r="C611" s="456"/>
      <c r="D611" s="456"/>
      <c r="E611" s="456">
        <f>E607</f>
        <v>3.82</v>
      </c>
      <c r="F611" s="456"/>
      <c r="G611" s="456">
        <f t="shared" si="94"/>
        <v>3.82</v>
      </c>
      <c r="H611" s="456" t="str">
        <v>Sq M</v>
      </c>
      <c r="I611" s="456" t="str">
        <v>Gypsum Plaster</v>
      </c>
      <c r="J611" s="456">
        <v>32</v>
      </c>
      <c r="K611" s="456">
        <v>344.44799999999998</v>
      </c>
      <c r="L611" s="456">
        <f t="shared" si="95"/>
        <v>1315.7913599999999</v>
      </c>
      <c r="O611" s="455">
        <f t="shared" si="104"/>
        <v>103.14</v>
      </c>
      <c r="P611" s="455">
        <f t="shared" si="105"/>
        <v>35526.366719999998</v>
      </c>
      <c r="R611" s="480" t="s">
        <v>662</v>
      </c>
    </row>
    <row r="612" spans="1:18">
      <c r="A612" s="454"/>
      <c r="B612" s="454" t="str">
        <v>False ceiling</v>
      </c>
      <c r="C612" s="456"/>
      <c r="D612" s="456"/>
      <c r="E612" s="456"/>
      <c r="F612" s="456"/>
      <c r="G612" s="456">
        <f t="shared" si="94"/>
        <v>0</v>
      </c>
      <c r="H612" s="456" t="str">
        <v>Sq M</v>
      </c>
      <c r="I612" s="456" t="str">
        <v>N.A.</v>
      </c>
      <c r="J612" s="456">
        <v>0</v>
      </c>
      <c r="K612" s="456">
        <v>0</v>
      </c>
      <c r="L612" s="456">
        <f t="shared" si="95"/>
        <v>0</v>
      </c>
      <c r="O612" s="455">
        <f t="shared" si="104"/>
        <v>0</v>
      </c>
      <c r="P612" s="455">
        <f t="shared" si="105"/>
        <v>0</v>
      </c>
      <c r="R612" s="480"/>
    </row>
    <row r="613" spans="1:18">
      <c r="A613" s="454"/>
      <c r="B613" s="454" t="str">
        <v>Wall finishes Paint</v>
      </c>
      <c r="C613" s="456"/>
      <c r="D613" s="456"/>
      <c r="E613" s="456">
        <f>E610</f>
        <v>5.7469999999999981</v>
      </c>
      <c r="F613" s="456"/>
      <c r="G613" s="456">
        <f t="shared" si="94"/>
        <v>5.7469999999999981</v>
      </c>
      <c r="H613" s="456" t="str">
        <v>Sq M</v>
      </c>
      <c r="I613" s="456" t="str">
        <v>Plastic paint</v>
      </c>
      <c r="J613" s="456">
        <v>20</v>
      </c>
      <c r="K613" s="456">
        <v>215.27999999999997</v>
      </c>
      <c r="L613" s="456">
        <f t="shared" si="95"/>
        <v>1237.2141599999995</v>
      </c>
      <c r="O613" s="455">
        <f t="shared" si="104"/>
        <v>155.16899999999995</v>
      </c>
      <c r="P613" s="455">
        <f t="shared" si="105"/>
        <v>33404.782319999984</v>
      </c>
      <c r="R613" s="480" t="s">
        <v>663</v>
      </c>
    </row>
    <row r="614" spans="1:18">
      <c r="A614" s="454"/>
      <c r="B614" s="454" t="str">
        <v>Ceiling Paint</v>
      </c>
      <c r="C614" s="456"/>
      <c r="D614" s="456"/>
      <c r="E614" s="456">
        <f>E607</f>
        <v>3.82</v>
      </c>
      <c r="F614" s="456"/>
      <c r="G614" s="456">
        <f t="shared" si="94"/>
        <v>3.82</v>
      </c>
      <c r="H614" s="456" t="str">
        <v>Sq M</v>
      </c>
      <c r="I614" s="456" t="str">
        <v>Plastic paint</v>
      </c>
      <c r="J614" s="456">
        <v>20</v>
      </c>
      <c r="K614" s="456">
        <v>215.27999999999997</v>
      </c>
      <c r="L614" s="456">
        <f t="shared" si="95"/>
        <v>822.36959999999988</v>
      </c>
      <c r="O614" s="455">
        <f t="shared" si="104"/>
        <v>103.14</v>
      </c>
      <c r="P614" s="455">
        <f t="shared" si="105"/>
        <v>22203.979199999998</v>
      </c>
      <c r="R614" s="480" t="s">
        <v>664</v>
      </c>
    </row>
    <row r="615" spans="1:18">
      <c r="A615" s="454"/>
      <c r="B615" s="454" t="str">
        <v>Door Frames</v>
      </c>
      <c r="C615" s="456"/>
      <c r="D615" s="456"/>
      <c r="E615" s="456">
        <f>Doors!F47*4+Doors!G47*4</f>
        <v>11.4</v>
      </c>
      <c r="F615" s="456"/>
      <c r="G615" s="456">
        <f t="shared" si="94"/>
        <v>11.4</v>
      </c>
      <c r="H615" s="456" t="str">
        <v>RM</v>
      </c>
      <c r="I615" s="456" t="str">
        <v>Granite Frames</v>
      </c>
      <c r="J615" s="456">
        <v>180</v>
      </c>
      <c r="K615" s="456">
        <v>655.92719999999997</v>
      </c>
      <c r="L615" s="456">
        <f t="shared" si="95"/>
        <v>7477.5700799999995</v>
      </c>
      <c r="O615" s="455">
        <f t="shared" si="104"/>
        <v>307.8</v>
      </c>
      <c r="P615" s="455">
        <f t="shared" si="105"/>
        <v>201894.39215999999</v>
      </c>
      <c r="R615" s="480" t="s">
        <v>669</v>
      </c>
    </row>
    <row r="616" spans="1:18">
      <c r="A616" s="454"/>
      <c r="B616" s="454" t="str">
        <v>Window Frames - Internal</v>
      </c>
      <c r="C616" s="456"/>
      <c r="D616" s="456"/>
      <c r="E616" s="456">
        <f>Windows!F54*2+Windows!G54*2</f>
        <v>2.7</v>
      </c>
      <c r="F616" s="456"/>
      <c r="G616" s="456">
        <f t="shared" si="94"/>
        <v>2.7</v>
      </c>
      <c r="H616" s="456" t="str">
        <v>RM</v>
      </c>
      <c r="I616" s="456" t="str">
        <v>Granite Window Frame</v>
      </c>
      <c r="J616" s="456">
        <v>180</v>
      </c>
      <c r="K616" s="456">
        <v>655.92719999999997</v>
      </c>
      <c r="L616" s="456">
        <f t="shared" si="95"/>
        <v>1771.00344</v>
      </c>
      <c r="O616" s="455">
        <f t="shared" si="104"/>
        <v>72.900000000000006</v>
      </c>
      <c r="P616" s="455">
        <f t="shared" si="105"/>
        <v>47817.092879999997</v>
      </c>
      <c r="R616" s="480" t="s">
        <v>743</v>
      </c>
    </row>
    <row r="617" spans="1:18">
      <c r="A617" s="454"/>
      <c r="B617" s="454" t="str">
        <v>Window Frames - External</v>
      </c>
      <c r="C617" s="456"/>
      <c r="D617" s="456"/>
      <c r="E617" s="456">
        <f>E616</f>
        <v>2.7</v>
      </c>
      <c r="F617" s="456"/>
      <c r="G617" s="456">
        <f t="shared" si="94"/>
        <v>2.7</v>
      </c>
      <c r="H617" s="456" t="str">
        <v>RM</v>
      </c>
      <c r="I617" s="456" t="str">
        <v>Marble Window Frames with Sill</v>
      </c>
      <c r="J617" s="456">
        <v>60</v>
      </c>
      <c r="K617" s="456">
        <v>399.04239999999999</v>
      </c>
      <c r="L617" s="456">
        <f t="shared" si="95"/>
        <v>1077.4144800000001</v>
      </c>
      <c r="O617" s="455">
        <f t="shared" si="104"/>
        <v>72.900000000000006</v>
      </c>
      <c r="P617" s="455">
        <f t="shared" si="105"/>
        <v>29090.190960000004</v>
      </c>
      <c r="R617" s="480" t="s">
        <v>409</v>
      </c>
    </row>
    <row r="618" spans="1:18">
      <c r="A618" s="454"/>
      <c r="B618" s="454" t="str">
        <v>Others - Counter</v>
      </c>
      <c r="C618" s="456"/>
      <c r="D618" s="456"/>
      <c r="E618" s="456">
        <f>0.6*0.6</f>
        <v>0.36</v>
      </c>
      <c r="F618" s="456"/>
      <c r="G618" s="456">
        <f t="shared" si="94"/>
        <v>0.36</v>
      </c>
      <c r="H618" s="456" t="str">
        <v>Sq M</v>
      </c>
      <c r="I618" s="456" t="str">
        <v>Basin Counter 1'6" - Granite Basin Counter</v>
      </c>
      <c r="J618" s="456">
        <v>180</v>
      </c>
      <c r="K618" s="456">
        <v>6329.6720000000005</v>
      </c>
      <c r="L618" s="456">
        <f t="shared" si="95"/>
        <v>2278.68192</v>
      </c>
      <c r="O618" s="455">
        <f t="shared" si="104"/>
        <v>9.7199999999999989</v>
      </c>
      <c r="P618" s="455">
        <f t="shared" si="105"/>
        <v>61524.411840000001</v>
      </c>
      <c r="R618" s="480" t="s">
        <v>670</v>
      </c>
    </row>
    <row r="619" spans="1:18" s="479" customFormat="1" ht="13.5" customHeight="1">
      <c r="A619" s="475" t="s">
        <v>628</v>
      </c>
      <c r="B619" s="476" t="str">
        <f>'Flat Sizes'!B54</f>
        <v>C. Bedroom</v>
      </c>
      <c r="C619" s="477">
        <f>'Flat Sizes'!D54</f>
        <v>10.47</v>
      </c>
      <c r="D619" s="477">
        <f>'Flat Sizes'!G54</f>
        <v>13.43</v>
      </c>
      <c r="E619" s="477"/>
      <c r="F619" s="454"/>
      <c r="G619" s="477"/>
      <c r="H619" s="477"/>
      <c r="I619" s="477"/>
      <c r="J619" s="477"/>
      <c r="K619" s="477"/>
      <c r="L619" s="477"/>
      <c r="M619" s="459">
        <f>SUM(L620:L631)/C619/10.764</f>
        <v>461.81450769606994</v>
      </c>
      <c r="N619" s="472"/>
      <c r="O619" s="455"/>
      <c r="P619" s="455"/>
      <c r="Q619" s="478"/>
    </row>
    <row r="620" spans="1:18">
      <c r="A620" s="454"/>
      <c r="B620" s="454" t="str" cm="1">
        <f t="array" ref="B620:B631">'Rate List - Flats'!B48:B59</f>
        <v>Flooring</v>
      </c>
      <c r="C620" s="456"/>
      <c r="D620" s="456"/>
      <c r="E620" s="456">
        <f>C619</f>
        <v>10.47</v>
      </c>
      <c r="F620" s="456"/>
      <c r="G620" s="456">
        <f t="shared" si="94"/>
        <v>10.47</v>
      </c>
      <c r="H620" s="456" t="str" cm="1">
        <f t="array" ref="H620:H631">'Rate List - Flats'!H48:H59</f>
        <v>Sq M</v>
      </c>
      <c r="I620" s="456" t="str" cm="1">
        <f t="array" ref="I620:I631">'Rate List - Flats'!C48:C59</f>
        <v>2'x2' Vitrified tiles</v>
      </c>
      <c r="J620" s="456" cm="1">
        <f t="array" ref="J620:J631">'Rate List - Flats'!E48:E59</f>
        <v>45</v>
      </c>
      <c r="K620" s="456" cm="1">
        <f t="array" ref="K620:K631">'Rate List - Flats'!G48:G59</f>
        <v>1340.1179999999999</v>
      </c>
      <c r="L620" s="456">
        <f t="shared" si="95"/>
        <v>14031.035460000001</v>
      </c>
      <c r="O620" s="455">
        <f t="shared" ref="O620:O631" si="106">IF(I620="N.A",0,G620*$N$554)</f>
        <v>282.69</v>
      </c>
      <c r="P620" s="455">
        <f t="shared" ref="P620:P631" si="107">L620*$N$554</f>
        <v>378837.95742000005</v>
      </c>
      <c r="R620" s="480" t="s">
        <v>659</v>
      </c>
    </row>
    <row r="621" spans="1:18">
      <c r="A621" s="454"/>
      <c r="B621" s="454" t="str">
        <v>Skirting</v>
      </c>
      <c r="C621" s="456"/>
      <c r="D621" s="456"/>
      <c r="E621" s="456">
        <f>D619</f>
        <v>13.43</v>
      </c>
      <c r="F621" s="456">
        <f>-(Doors!F48+Doors!F49)</f>
        <v>-1.65</v>
      </c>
      <c r="G621" s="456">
        <f t="shared" ref="G621:G679" si="108">E621+F621</f>
        <v>11.78</v>
      </c>
      <c r="H621" s="456" t="str">
        <v>RM</v>
      </c>
      <c r="I621" s="456" t="str">
        <v xml:space="preserve">2'x2' Vitrified tiles </v>
      </c>
      <c r="J621" s="456">
        <v>45</v>
      </c>
      <c r="K621" s="456">
        <v>391.96</v>
      </c>
      <c r="L621" s="456">
        <f t="shared" ref="L621:L679" si="109">G621*K621</f>
        <v>4617.2887999999994</v>
      </c>
      <c r="O621" s="455">
        <f t="shared" si="106"/>
        <v>318.06</v>
      </c>
      <c r="P621" s="455">
        <f t="shared" si="107"/>
        <v>124666.79759999998</v>
      </c>
      <c r="R621" s="480" t="s">
        <v>660</v>
      </c>
    </row>
    <row r="622" spans="1:18">
      <c r="A622" s="454"/>
      <c r="B622" s="454" t="str">
        <v>Dado</v>
      </c>
      <c r="C622" s="456"/>
      <c r="D622" s="456"/>
      <c r="E622" s="456"/>
      <c r="F622" s="456"/>
      <c r="G622" s="456">
        <f t="shared" si="108"/>
        <v>0</v>
      </c>
      <c r="H622" s="456" t="str">
        <v>Sq M</v>
      </c>
      <c r="I622" s="456" t="str">
        <v>N.A.</v>
      </c>
      <c r="J622" s="456">
        <v>0</v>
      </c>
      <c r="K622" s="456">
        <v>0</v>
      </c>
      <c r="L622" s="456">
        <f t="shared" si="109"/>
        <v>0</v>
      </c>
      <c r="O622" s="455">
        <f t="shared" si="106"/>
        <v>0</v>
      </c>
      <c r="P622" s="455">
        <f t="shared" si="107"/>
        <v>0</v>
      </c>
      <c r="R622" s="480"/>
    </row>
    <row r="623" spans="1:18">
      <c r="A623" s="454"/>
      <c r="B623" s="454" t="str">
        <v>Wall finishes plaster</v>
      </c>
      <c r="C623" s="456"/>
      <c r="D623" s="456"/>
      <c r="E623" s="456">
        <f>D619*(D1-0.15)</f>
        <v>39.618500000000004</v>
      </c>
      <c r="F623" s="456">
        <f>-(Doors!H48+Doors!H49+Windows!H55)</f>
        <v>-10.022499999999999</v>
      </c>
      <c r="G623" s="456">
        <f t="shared" si="108"/>
        <v>29.596000000000004</v>
      </c>
      <c r="H623" s="456" t="str">
        <v>Sq M</v>
      </c>
      <c r="I623" s="456" t="str">
        <v>Gypsum Plaster</v>
      </c>
      <c r="J623" s="456">
        <v>32</v>
      </c>
      <c r="K623" s="456">
        <v>344.44799999999998</v>
      </c>
      <c r="L623" s="456">
        <f t="shared" si="109"/>
        <v>10194.283008</v>
      </c>
      <c r="O623" s="455">
        <f t="shared" si="106"/>
        <v>799.0920000000001</v>
      </c>
      <c r="P623" s="455">
        <f t="shared" si="107"/>
        <v>275245.64121600002</v>
      </c>
      <c r="R623" s="480" t="s">
        <v>661</v>
      </c>
    </row>
    <row r="624" spans="1:18">
      <c r="A624" s="454"/>
      <c r="B624" s="454" t="str">
        <v>Ceiling plaster</v>
      </c>
      <c r="C624" s="456"/>
      <c r="D624" s="456"/>
      <c r="E624" s="456">
        <f>E620</f>
        <v>10.47</v>
      </c>
      <c r="F624" s="456"/>
      <c r="G624" s="456">
        <f t="shared" si="108"/>
        <v>10.47</v>
      </c>
      <c r="H624" s="456" t="str">
        <v>Sq M</v>
      </c>
      <c r="I624" s="456" t="str">
        <v>Gypsum Plaster</v>
      </c>
      <c r="J624" s="456">
        <v>32</v>
      </c>
      <c r="K624" s="456">
        <v>344.44799999999998</v>
      </c>
      <c r="L624" s="456">
        <f t="shared" si="109"/>
        <v>3606.3705599999998</v>
      </c>
      <c r="O624" s="455">
        <f t="shared" si="106"/>
        <v>282.69</v>
      </c>
      <c r="P624" s="455">
        <f t="shared" si="107"/>
        <v>97372.005120000002</v>
      </c>
      <c r="R624" s="480" t="s">
        <v>662</v>
      </c>
    </row>
    <row r="625" spans="1:18">
      <c r="A625" s="454"/>
      <c r="B625" s="454" t="str">
        <v>False ceiling</v>
      </c>
      <c r="C625" s="456"/>
      <c r="D625" s="456"/>
      <c r="E625" s="456"/>
      <c r="F625" s="456"/>
      <c r="G625" s="456">
        <f t="shared" si="108"/>
        <v>0</v>
      </c>
      <c r="H625" s="456" t="str">
        <v>Sq M</v>
      </c>
      <c r="I625" s="456" t="str">
        <v>N.A.</v>
      </c>
      <c r="J625" s="456">
        <v>0</v>
      </c>
      <c r="K625" s="456">
        <v>0</v>
      </c>
      <c r="L625" s="456">
        <f t="shared" si="109"/>
        <v>0</v>
      </c>
      <c r="O625" s="455">
        <f t="shared" si="106"/>
        <v>0</v>
      </c>
      <c r="P625" s="455">
        <f t="shared" si="107"/>
        <v>0</v>
      </c>
      <c r="R625" s="480"/>
    </row>
    <row r="626" spans="1:18">
      <c r="A626" s="454"/>
      <c r="B626" s="454" t="str">
        <v>Wall finishes Paint</v>
      </c>
      <c r="C626" s="456"/>
      <c r="D626" s="456"/>
      <c r="E626" s="456">
        <f>E623</f>
        <v>39.618500000000004</v>
      </c>
      <c r="F626" s="456">
        <f>F623</f>
        <v>-10.022499999999999</v>
      </c>
      <c r="G626" s="456">
        <f t="shared" si="108"/>
        <v>29.596000000000004</v>
      </c>
      <c r="H626" s="456" t="str">
        <v>Sq M</v>
      </c>
      <c r="I626" s="456" t="str">
        <v>Plastic paint</v>
      </c>
      <c r="J626" s="456">
        <v>20</v>
      </c>
      <c r="K626" s="456">
        <v>215.27999999999997</v>
      </c>
      <c r="L626" s="456">
        <f t="shared" si="109"/>
        <v>6371.42688</v>
      </c>
      <c r="O626" s="455">
        <f t="shared" si="106"/>
        <v>799.0920000000001</v>
      </c>
      <c r="P626" s="455">
        <f t="shared" si="107"/>
        <v>172028.52575999999</v>
      </c>
      <c r="R626" s="480" t="s">
        <v>663</v>
      </c>
    </row>
    <row r="627" spans="1:18">
      <c r="A627" s="454"/>
      <c r="B627" s="454" t="str">
        <v>Ceiling Paint</v>
      </c>
      <c r="C627" s="456"/>
      <c r="D627" s="456"/>
      <c r="E627" s="456">
        <f>E624</f>
        <v>10.47</v>
      </c>
      <c r="F627" s="456"/>
      <c r="G627" s="456">
        <f t="shared" si="108"/>
        <v>10.47</v>
      </c>
      <c r="H627" s="456" t="str">
        <v>Sq M</v>
      </c>
      <c r="I627" s="456" t="str">
        <v>Plastic paint</v>
      </c>
      <c r="J627" s="456">
        <v>20</v>
      </c>
      <c r="K627" s="456">
        <v>215.27999999999997</v>
      </c>
      <c r="L627" s="456">
        <f t="shared" si="109"/>
        <v>2253.9816000000001</v>
      </c>
      <c r="O627" s="455">
        <f t="shared" si="106"/>
        <v>282.69</v>
      </c>
      <c r="P627" s="455">
        <f t="shared" si="107"/>
        <v>60857.503199999999</v>
      </c>
      <c r="R627" s="480" t="s">
        <v>664</v>
      </c>
    </row>
    <row r="628" spans="1:18">
      <c r="A628" s="454"/>
      <c r="B628" s="454" t="str">
        <v>Door Frames</v>
      </c>
      <c r="C628" s="456"/>
      <c r="D628" s="456"/>
      <c r="E628" s="456"/>
      <c r="F628" s="456"/>
      <c r="G628" s="456">
        <f t="shared" si="108"/>
        <v>0</v>
      </c>
      <c r="H628" s="456" t="str">
        <v>RM</v>
      </c>
      <c r="I628" s="456" t="str">
        <v>N.A.</v>
      </c>
      <c r="J628" s="456">
        <v>0</v>
      </c>
      <c r="K628" s="456">
        <v>0</v>
      </c>
      <c r="L628" s="456">
        <f t="shared" si="109"/>
        <v>0</v>
      </c>
      <c r="O628" s="455">
        <f t="shared" si="106"/>
        <v>0</v>
      </c>
      <c r="P628" s="455">
        <f t="shared" si="107"/>
        <v>0</v>
      </c>
      <c r="R628" s="480"/>
    </row>
    <row r="629" spans="1:18">
      <c r="A629" s="454"/>
      <c r="B629" s="454" t="str">
        <v>Window Frames - Internal</v>
      </c>
      <c r="C629" s="456"/>
      <c r="D629" s="456"/>
      <c r="E629" s="456">
        <f>Windows!F55*2+Windows!G55*2</f>
        <v>10.399999999999999</v>
      </c>
      <c r="F629" s="456"/>
      <c r="G629" s="456">
        <f t="shared" si="108"/>
        <v>10.399999999999999</v>
      </c>
      <c r="H629" s="456" t="str">
        <v>RM</v>
      </c>
      <c r="I629" s="456" t="str">
        <v>Granite Window Frame</v>
      </c>
      <c r="J629" s="456">
        <v>180</v>
      </c>
      <c r="K629" s="456">
        <v>655.92719999999997</v>
      </c>
      <c r="L629" s="456">
        <f t="shared" si="109"/>
        <v>6821.6428799999985</v>
      </c>
      <c r="O629" s="455">
        <f t="shared" si="106"/>
        <v>280.79999999999995</v>
      </c>
      <c r="P629" s="455">
        <f t="shared" si="107"/>
        <v>184184.35775999996</v>
      </c>
      <c r="R629" s="480" t="s">
        <v>743</v>
      </c>
    </row>
    <row r="630" spans="1:18">
      <c r="A630" s="454"/>
      <c r="B630" s="454" t="str">
        <v>Window Frames - External</v>
      </c>
      <c r="C630" s="456"/>
      <c r="D630" s="456"/>
      <c r="E630" s="456">
        <f>E629</f>
        <v>10.399999999999999</v>
      </c>
      <c r="F630" s="456"/>
      <c r="G630" s="456">
        <f t="shared" si="108"/>
        <v>10.399999999999999</v>
      </c>
      <c r="H630" s="456" t="str">
        <v>RM</v>
      </c>
      <c r="I630" s="456" t="str">
        <v>Marble Window Frames with Sill</v>
      </c>
      <c r="J630" s="456">
        <v>60</v>
      </c>
      <c r="K630" s="456">
        <v>399.04239999999999</v>
      </c>
      <c r="L630" s="456">
        <f t="shared" si="109"/>
        <v>4150.0409599999994</v>
      </c>
      <c r="O630" s="455">
        <f t="shared" si="106"/>
        <v>280.79999999999995</v>
      </c>
      <c r="P630" s="455">
        <f t="shared" si="107"/>
        <v>112051.10591999999</v>
      </c>
      <c r="R630" s="480" t="s">
        <v>409</v>
      </c>
    </row>
    <row r="631" spans="1:18">
      <c r="A631" s="454"/>
      <c r="B631" s="454" t="str">
        <v>Others</v>
      </c>
      <c r="C631" s="456"/>
      <c r="D631" s="456"/>
      <c r="E631" s="456"/>
      <c r="F631" s="456"/>
      <c r="G631" s="456">
        <f t="shared" si="108"/>
        <v>0</v>
      </c>
      <c r="H631" s="456" t="str">
        <v>-</v>
      </c>
      <c r="I631" s="456" t="str">
        <v>N.A.</v>
      </c>
      <c r="J631" s="456">
        <v>0</v>
      </c>
      <c r="K631" s="456">
        <v>0</v>
      </c>
      <c r="L631" s="456">
        <f t="shared" si="109"/>
        <v>0</v>
      </c>
      <c r="O631" s="455">
        <f t="shared" si="106"/>
        <v>0</v>
      </c>
      <c r="P631" s="455">
        <f t="shared" si="107"/>
        <v>0</v>
      </c>
    </row>
    <row r="632" spans="1:18" s="479" customFormat="1" ht="13.5" customHeight="1">
      <c r="A632" s="475" t="s">
        <v>628</v>
      </c>
      <c r="B632" s="476" t="str">
        <f>'Flat Sizes'!B55</f>
        <v>C. Toilet</v>
      </c>
      <c r="C632" s="477">
        <f>'Flat Sizes'!D55</f>
        <v>3.83</v>
      </c>
      <c r="D632" s="477">
        <f>'Flat Sizes'!G55</f>
        <v>8.2200000000000006</v>
      </c>
      <c r="E632" s="477"/>
      <c r="F632" s="454"/>
      <c r="G632" s="477"/>
      <c r="H632" s="477"/>
      <c r="I632" s="477"/>
      <c r="J632" s="477"/>
      <c r="K632" s="477"/>
      <c r="L632" s="477"/>
      <c r="M632" s="459">
        <f>SUM(L633:L644)/C632/10.764</f>
        <v>1201.4185138451062</v>
      </c>
      <c r="N632" s="472"/>
      <c r="O632" s="455"/>
      <c r="P632" s="455"/>
      <c r="Q632" s="478"/>
    </row>
    <row r="633" spans="1:18">
      <c r="A633" s="454"/>
      <c r="B633" s="454" t="str" cm="1">
        <f t="array" ref="B633:B644">'Rate List - Flats'!B76:B87</f>
        <v>Flooring</v>
      </c>
      <c r="C633" s="456"/>
      <c r="D633" s="456"/>
      <c r="E633" s="456">
        <f>C632</f>
        <v>3.83</v>
      </c>
      <c r="F633" s="456"/>
      <c r="G633" s="456">
        <f t="shared" si="108"/>
        <v>3.83</v>
      </c>
      <c r="H633" s="456" t="str" cm="1">
        <f t="array" ref="H633:H644">'Rate List - Flats'!H76:H87</f>
        <v>Sq M</v>
      </c>
      <c r="I633" s="456" t="str" cm="1">
        <f t="array" ref="I633:I644">'Rate List - Flats'!C76:C87</f>
        <v>ceramic tiles/vitrified anti-skid tiles</v>
      </c>
      <c r="J633" s="456" cm="1">
        <f t="array" ref="J633:J644">'Rate List - Flats'!E76:E87</f>
        <v>50</v>
      </c>
      <c r="K633" s="456" cm="1">
        <f t="array" ref="K633:K644">'Rate List - Flats'!G76:G87</f>
        <v>1399.32</v>
      </c>
      <c r="L633" s="456">
        <f t="shared" si="109"/>
        <v>5359.3955999999998</v>
      </c>
      <c r="O633" s="455">
        <f t="shared" ref="O633:O644" si="110">IF(I633="N.A",0,G633*$N$554)</f>
        <v>103.41</v>
      </c>
      <c r="P633" s="455">
        <f t="shared" ref="P633:P644" si="111">L633*$N$554</f>
        <v>144703.68119999999</v>
      </c>
      <c r="R633" s="480" t="s">
        <v>667</v>
      </c>
    </row>
    <row r="634" spans="1:18">
      <c r="A634" s="454"/>
      <c r="B634" s="454" t="str">
        <v>Skirting</v>
      </c>
      <c r="C634" s="456"/>
      <c r="D634" s="456"/>
      <c r="E634" s="456"/>
      <c r="F634" s="456"/>
      <c r="G634" s="456">
        <f t="shared" si="108"/>
        <v>0</v>
      </c>
      <c r="H634" s="456" t="str">
        <v xml:space="preserve">RM </v>
      </c>
      <c r="I634" s="456" t="str">
        <v>N.A.</v>
      </c>
      <c r="J634" s="456">
        <v>0</v>
      </c>
      <c r="K634" s="456">
        <v>0</v>
      </c>
      <c r="L634" s="456">
        <f t="shared" si="109"/>
        <v>0</v>
      </c>
      <c r="O634" s="455">
        <f t="shared" si="110"/>
        <v>0</v>
      </c>
      <c r="P634" s="455">
        <f t="shared" si="111"/>
        <v>0</v>
      </c>
      <c r="R634" s="480"/>
    </row>
    <row r="635" spans="1:18">
      <c r="A635" s="454"/>
      <c r="B635" s="454" t="str">
        <v>Dado</v>
      </c>
      <c r="C635" s="456"/>
      <c r="D635" s="456">
        <f>D1-0.7</f>
        <v>2.4000000000000004</v>
      </c>
      <c r="E635" s="456">
        <f>D632*D635</f>
        <v>19.728000000000005</v>
      </c>
      <c r="F635" s="456">
        <f>-(Doors!H47+Windows!H56)</f>
        <v>-2.0250000000000004</v>
      </c>
      <c r="G635" s="456">
        <f t="shared" si="108"/>
        <v>17.703000000000003</v>
      </c>
      <c r="H635" s="456" t="str">
        <v>Sq M</v>
      </c>
      <c r="I635" s="456" t="str">
        <v>Vitrified tiles</v>
      </c>
      <c r="J635" s="456">
        <v>50</v>
      </c>
      <c r="K635" s="456">
        <v>1480.05</v>
      </c>
      <c r="L635" s="456">
        <f t="shared" si="109"/>
        <v>26201.325150000004</v>
      </c>
      <c r="O635" s="455">
        <f t="shared" si="110"/>
        <v>477.98100000000011</v>
      </c>
      <c r="P635" s="455">
        <f t="shared" si="111"/>
        <v>707435.77905000013</v>
      </c>
      <c r="R635" s="480" t="s">
        <v>668</v>
      </c>
    </row>
    <row r="636" spans="1:18">
      <c r="A636" s="454"/>
      <c r="B636" s="454" t="str">
        <v>Wall finishes plaster</v>
      </c>
      <c r="C636" s="456"/>
      <c r="D636" s="456">
        <f>D1-D635</f>
        <v>0.69999999999999973</v>
      </c>
      <c r="E636" s="456">
        <f>D632*D636</f>
        <v>5.7539999999999987</v>
      </c>
      <c r="F636" s="456"/>
      <c r="G636" s="456">
        <f t="shared" si="108"/>
        <v>5.7539999999999987</v>
      </c>
      <c r="H636" s="456" t="str">
        <v>Sq M</v>
      </c>
      <c r="I636" s="456" t="str">
        <v>Gypsum Plaster</v>
      </c>
      <c r="J636" s="456">
        <v>32</v>
      </c>
      <c r="K636" s="456">
        <v>344.44799999999998</v>
      </c>
      <c r="L636" s="456">
        <f t="shared" si="109"/>
        <v>1981.9537919999993</v>
      </c>
      <c r="O636" s="455">
        <f t="shared" si="110"/>
        <v>155.35799999999998</v>
      </c>
      <c r="P636" s="455">
        <f t="shared" si="111"/>
        <v>53512.752383999985</v>
      </c>
      <c r="R636" s="480" t="s">
        <v>661</v>
      </c>
    </row>
    <row r="637" spans="1:18">
      <c r="A637" s="454"/>
      <c r="B637" s="454" t="str">
        <v>Ceiling plaster</v>
      </c>
      <c r="C637" s="456"/>
      <c r="D637" s="456"/>
      <c r="E637" s="456">
        <f>E633</f>
        <v>3.83</v>
      </c>
      <c r="F637" s="456"/>
      <c r="G637" s="456">
        <f t="shared" si="108"/>
        <v>3.83</v>
      </c>
      <c r="H637" s="456" t="str">
        <v>Sq M</v>
      </c>
      <c r="I637" s="456" t="str">
        <v>Gypsum Plaster</v>
      </c>
      <c r="J637" s="456">
        <v>32</v>
      </c>
      <c r="K637" s="456">
        <v>344.44799999999998</v>
      </c>
      <c r="L637" s="456">
        <f t="shared" si="109"/>
        <v>1319.2358400000001</v>
      </c>
      <c r="O637" s="455">
        <f t="shared" si="110"/>
        <v>103.41</v>
      </c>
      <c r="P637" s="455">
        <f t="shared" si="111"/>
        <v>35619.367680000003</v>
      </c>
      <c r="R637" s="480" t="s">
        <v>662</v>
      </c>
    </row>
    <row r="638" spans="1:18">
      <c r="A638" s="454"/>
      <c r="B638" s="454" t="str">
        <v>False ceiling</v>
      </c>
      <c r="C638" s="456"/>
      <c r="D638" s="456"/>
      <c r="E638" s="456"/>
      <c r="F638" s="456"/>
      <c r="G638" s="456">
        <f t="shared" si="108"/>
        <v>0</v>
      </c>
      <c r="H638" s="456" t="str">
        <v>Sq M</v>
      </c>
      <c r="I638" s="456" t="str">
        <v>N.A.</v>
      </c>
      <c r="J638" s="456">
        <v>0</v>
      </c>
      <c r="K638" s="456">
        <v>0</v>
      </c>
      <c r="L638" s="456">
        <f t="shared" si="109"/>
        <v>0</v>
      </c>
      <c r="O638" s="455">
        <f t="shared" si="110"/>
        <v>0</v>
      </c>
      <c r="P638" s="455">
        <f t="shared" si="111"/>
        <v>0</v>
      </c>
      <c r="R638" s="480"/>
    </row>
    <row r="639" spans="1:18">
      <c r="A639" s="454"/>
      <c r="B639" s="454" t="str">
        <v>Wall finishes Paint</v>
      </c>
      <c r="C639" s="456"/>
      <c r="D639" s="456"/>
      <c r="E639" s="456">
        <f>E636</f>
        <v>5.7539999999999987</v>
      </c>
      <c r="F639" s="456"/>
      <c r="G639" s="456">
        <f t="shared" si="108"/>
        <v>5.7539999999999987</v>
      </c>
      <c r="H639" s="456" t="str">
        <v>Sq M</v>
      </c>
      <c r="I639" s="456" t="str">
        <v>Plastic paint</v>
      </c>
      <c r="J639" s="456">
        <v>20</v>
      </c>
      <c r="K639" s="456">
        <v>215.27999999999997</v>
      </c>
      <c r="L639" s="456">
        <f t="shared" si="109"/>
        <v>1238.7211199999995</v>
      </c>
      <c r="O639" s="455">
        <f t="shared" si="110"/>
        <v>155.35799999999998</v>
      </c>
      <c r="P639" s="455">
        <f t="shared" si="111"/>
        <v>33445.470239999988</v>
      </c>
      <c r="R639" s="480" t="s">
        <v>663</v>
      </c>
    </row>
    <row r="640" spans="1:18">
      <c r="A640" s="454"/>
      <c r="B640" s="454" t="str">
        <v>Ceiling Paint</v>
      </c>
      <c r="C640" s="456"/>
      <c r="D640" s="456"/>
      <c r="E640" s="456">
        <f>E637</f>
        <v>3.83</v>
      </c>
      <c r="F640" s="456"/>
      <c r="G640" s="456">
        <f t="shared" si="108"/>
        <v>3.83</v>
      </c>
      <c r="H640" s="456" t="str">
        <v>Sq M</v>
      </c>
      <c r="I640" s="456" t="str">
        <v>Plastic paint</v>
      </c>
      <c r="J640" s="456">
        <v>20</v>
      </c>
      <c r="K640" s="456">
        <v>215.27999999999997</v>
      </c>
      <c r="L640" s="456">
        <f t="shared" si="109"/>
        <v>824.52239999999995</v>
      </c>
      <c r="O640" s="455">
        <f t="shared" si="110"/>
        <v>103.41</v>
      </c>
      <c r="P640" s="455">
        <f t="shared" si="111"/>
        <v>22262.104799999997</v>
      </c>
      <c r="R640" s="480" t="s">
        <v>664</v>
      </c>
    </row>
    <row r="641" spans="1:18">
      <c r="A641" s="454"/>
      <c r="B641" s="454" t="str">
        <v>Door Frames</v>
      </c>
      <c r="C641" s="456"/>
      <c r="D641" s="456"/>
      <c r="E641" s="456">
        <f>Doors!F49*4+Doors!G49*4</f>
        <v>11.4</v>
      </c>
      <c r="F641" s="456"/>
      <c r="G641" s="456">
        <f t="shared" si="108"/>
        <v>11.4</v>
      </c>
      <c r="H641" s="456" t="str">
        <v>RM</v>
      </c>
      <c r="I641" s="456" t="str">
        <v>Granite Frames</v>
      </c>
      <c r="J641" s="456">
        <v>180</v>
      </c>
      <c r="K641" s="456">
        <v>655.92719999999997</v>
      </c>
      <c r="L641" s="456">
        <f t="shared" si="109"/>
        <v>7477.5700799999995</v>
      </c>
      <c r="O641" s="455">
        <f t="shared" si="110"/>
        <v>307.8</v>
      </c>
      <c r="P641" s="455">
        <f t="shared" si="111"/>
        <v>201894.39215999999</v>
      </c>
      <c r="R641" s="480" t="s">
        <v>669</v>
      </c>
    </row>
    <row r="642" spans="1:18">
      <c r="A642" s="454"/>
      <c r="B642" s="454" t="str">
        <v>Window Frames - Internal</v>
      </c>
      <c r="C642" s="456"/>
      <c r="D642" s="456"/>
      <c r="E642" s="456">
        <f>Windows!F56*2+Windows!G56*2</f>
        <v>2.7</v>
      </c>
      <c r="F642" s="456"/>
      <c r="G642" s="456">
        <f t="shared" si="108"/>
        <v>2.7</v>
      </c>
      <c r="H642" s="456" t="str">
        <v>RM</v>
      </c>
      <c r="I642" s="456" t="str">
        <v>Granite Window Frame</v>
      </c>
      <c r="J642" s="456">
        <v>180</v>
      </c>
      <c r="K642" s="456">
        <v>655.92719999999997</v>
      </c>
      <c r="L642" s="456">
        <f t="shared" si="109"/>
        <v>1771.00344</v>
      </c>
      <c r="O642" s="455">
        <f t="shared" si="110"/>
        <v>72.900000000000006</v>
      </c>
      <c r="P642" s="455">
        <f t="shared" si="111"/>
        <v>47817.092879999997</v>
      </c>
      <c r="R642" s="480" t="s">
        <v>743</v>
      </c>
    </row>
    <row r="643" spans="1:18">
      <c r="A643" s="454"/>
      <c r="B643" s="454" t="str">
        <v>Window Frames - External</v>
      </c>
      <c r="C643" s="456"/>
      <c r="D643" s="456"/>
      <c r="E643" s="456">
        <f>E642</f>
        <v>2.7</v>
      </c>
      <c r="F643" s="456"/>
      <c r="G643" s="456">
        <f t="shared" si="108"/>
        <v>2.7</v>
      </c>
      <c r="H643" s="456" t="str">
        <v>RM</v>
      </c>
      <c r="I643" s="456" t="str">
        <v>Marble Window Frames with Sill</v>
      </c>
      <c r="J643" s="456">
        <v>60</v>
      </c>
      <c r="K643" s="456">
        <v>399.04239999999999</v>
      </c>
      <c r="L643" s="456">
        <f t="shared" si="109"/>
        <v>1077.4144800000001</v>
      </c>
      <c r="O643" s="455">
        <f t="shared" si="110"/>
        <v>72.900000000000006</v>
      </c>
      <c r="P643" s="455">
        <f t="shared" si="111"/>
        <v>29090.190960000004</v>
      </c>
      <c r="R643" s="480" t="s">
        <v>409</v>
      </c>
    </row>
    <row r="644" spans="1:18">
      <c r="A644" s="454"/>
      <c r="B644" s="454" t="str">
        <v>Others - Counter</v>
      </c>
      <c r="C644" s="456"/>
      <c r="D644" s="456"/>
      <c r="E644" s="456">
        <f>0.6*0.6</f>
        <v>0.36</v>
      </c>
      <c r="F644" s="456"/>
      <c r="G644" s="456">
        <f t="shared" si="108"/>
        <v>0.36</v>
      </c>
      <c r="H644" s="456" t="str">
        <v>Sq M</v>
      </c>
      <c r="I644" s="456" t="str">
        <v>Basin Counter 1'6" - Granite Basin Counter</v>
      </c>
      <c r="J644" s="456">
        <v>180</v>
      </c>
      <c r="K644" s="456">
        <v>6329.6720000000005</v>
      </c>
      <c r="L644" s="456">
        <f t="shared" si="109"/>
        <v>2278.68192</v>
      </c>
      <c r="O644" s="455">
        <f t="shared" si="110"/>
        <v>9.7199999999999989</v>
      </c>
      <c r="P644" s="455">
        <f t="shared" si="111"/>
        <v>61524.411840000001</v>
      </c>
      <c r="R644" s="480" t="s">
        <v>670</v>
      </c>
    </row>
    <row r="645" spans="1:18" s="479" customFormat="1" ht="13.5" customHeight="1">
      <c r="A645" s="475" t="s">
        <v>628</v>
      </c>
      <c r="B645" s="476" t="str">
        <f>'Flat Sizes'!B56</f>
        <v>Kitchen</v>
      </c>
      <c r="C645" s="477">
        <f>'Flat Sizes'!D56</f>
        <v>7.83</v>
      </c>
      <c r="D645" s="477">
        <f>'Flat Sizes'!G56</f>
        <v>11.93</v>
      </c>
      <c r="E645" s="477"/>
      <c r="F645" s="454"/>
      <c r="G645" s="477"/>
      <c r="H645" s="477"/>
      <c r="I645" s="477"/>
      <c r="J645" s="477"/>
      <c r="K645" s="477"/>
      <c r="L645" s="477"/>
      <c r="M645" s="459">
        <f>SUM(L646:L659)/C645/10.764</f>
        <v>1130.0591684831852</v>
      </c>
      <c r="N645" s="472"/>
      <c r="O645" s="455"/>
      <c r="P645" s="455"/>
      <c r="Q645" s="478"/>
    </row>
    <row r="646" spans="1:18">
      <c r="A646" s="454"/>
      <c r="B646" s="454" t="str" cm="1">
        <f t="array" ref="B646:B659">'Rate List - Flats'!B90:B103</f>
        <v>Flooring</v>
      </c>
      <c r="C646" s="456"/>
      <c r="D646" s="456"/>
      <c r="E646" s="456">
        <f>C645</f>
        <v>7.83</v>
      </c>
      <c r="F646" s="456"/>
      <c r="G646" s="456">
        <f t="shared" si="108"/>
        <v>7.83</v>
      </c>
      <c r="H646" s="456" t="str" cm="1">
        <f t="array" ref="H646:H659">'Rate List - Flats'!H90:H103</f>
        <v>Sq M</v>
      </c>
      <c r="I646" s="456" t="str" cm="1">
        <f t="array" ref="I646:I659">'Rate List - Flats'!C90:C103</f>
        <v>ceramic tiles/vitrified anti-skid tiles</v>
      </c>
      <c r="J646" s="456" cm="1">
        <f t="array" ref="J646:J659">'Rate List - Flats'!E90:E103</f>
        <v>45</v>
      </c>
      <c r="K646" s="456" cm="1">
        <f t="array" ref="K646:K659">'Rate List - Flats'!G90:G103</f>
        <v>1340.1179999999999</v>
      </c>
      <c r="L646" s="456">
        <f t="shared" si="109"/>
        <v>10493.123939999999</v>
      </c>
      <c r="O646" s="455">
        <f t="shared" ref="O646" si="112">IF(I646="N.A",0,G646*$N$554)</f>
        <v>211.41</v>
      </c>
      <c r="P646" s="455">
        <f t="shared" ref="P646" si="113">L646*$N$554</f>
        <v>283314.34638</v>
      </c>
      <c r="R646" s="458" t="s">
        <v>659</v>
      </c>
    </row>
    <row r="647" spans="1:18">
      <c r="A647" s="454"/>
      <c r="B647" s="454" t="str">
        <v>Skirting</v>
      </c>
      <c r="C647" s="456"/>
      <c r="D647" s="456"/>
      <c r="E647" s="456"/>
      <c r="F647" s="456"/>
      <c r="G647" s="456">
        <f t="shared" si="108"/>
        <v>0</v>
      </c>
      <c r="H647" s="456" t="str">
        <v xml:space="preserve">RM </v>
      </c>
      <c r="I647" s="456" t="str">
        <v>N.A.</v>
      </c>
      <c r="J647" s="456">
        <v>0</v>
      </c>
      <c r="K647" s="456">
        <v>0</v>
      </c>
      <c r="L647" s="456">
        <f t="shared" si="109"/>
        <v>0</v>
      </c>
      <c r="O647" s="455">
        <f t="shared" ref="O647:O659" si="114">IF(I647="N.A",0,G647*$N$554)</f>
        <v>0</v>
      </c>
      <c r="P647" s="455">
        <f t="shared" ref="P647:P659" si="115">L647*$N$554</f>
        <v>0</v>
      </c>
      <c r="R647" s="458" t="s">
        <v>660</v>
      </c>
    </row>
    <row r="648" spans="1:18">
      <c r="A648" s="454"/>
      <c r="B648" s="454" t="str">
        <v>Dado</v>
      </c>
      <c r="C648" s="456"/>
      <c r="D648" s="456">
        <f>D1-0.7-0.9</f>
        <v>1.5000000000000004</v>
      </c>
      <c r="E648" s="456">
        <f>(E658+E659)*D648</f>
        <v>9.2100000000000044</v>
      </c>
      <c r="F648" s="456"/>
      <c r="G648" s="456">
        <f t="shared" si="108"/>
        <v>9.2100000000000044</v>
      </c>
      <c r="H648" s="456" t="str">
        <v>Sq M</v>
      </c>
      <c r="I648" s="456" t="str">
        <v>Vitrified tiles</v>
      </c>
      <c r="J648" s="456">
        <v>45</v>
      </c>
      <c r="K648" s="456">
        <v>1393.9379999999999</v>
      </c>
      <c r="L648" s="456">
        <f t="shared" si="109"/>
        <v>12838.168980000006</v>
      </c>
      <c r="O648" s="455">
        <f t="shared" si="114"/>
        <v>248.67000000000013</v>
      </c>
      <c r="P648" s="455">
        <f t="shared" si="115"/>
        <v>346630.56246000016</v>
      </c>
      <c r="R648" s="458" t="s">
        <v>665</v>
      </c>
    </row>
    <row r="649" spans="1:18">
      <c r="A649" s="454"/>
      <c r="B649" s="454" t="str">
        <v>Dado Below Kitchen Platform</v>
      </c>
      <c r="C649" s="456"/>
      <c r="D649" s="456">
        <f>0.9</f>
        <v>0.9</v>
      </c>
      <c r="E649" s="456">
        <f>(E658+E659)*D649</f>
        <v>5.5260000000000007</v>
      </c>
      <c r="F649" s="456"/>
      <c r="G649" s="456">
        <f t="shared" si="108"/>
        <v>5.5260000000000007</v>
      </c>
      <c r="H649" s="456" t="str">
        <v>Sq M</v>
      </c>
      <c r="I649" s="456" t="str">
        <v>dado under platform</v>
      </c>
      <c r="J649" s="456">
        <v>23</v>
      </c>
      <c r="K649" s="456">
        <v>1133.4491999999998</v>
      </c>
      <c r="L649" s="456">
        <f t="shared" si="109"/>
        <v>6263.4402792000001</v>
      </c>
      <c r="O649" s="455">
        <f t="shared" si="114"/>
        <v>149.20200000000003</v>
      </c>
      <c r="P649" s="455">
        <f t="shared" si="115"/>
        <v>169112.88753840001</v>
      </c>
      <c r="R649" s="458" t="s">
        <v>746</v>
      </c>
    </row>
    <row r="650" spans="1:18">
      <c r="A650" s="454"/>
      <c r="B650" s="454" t="str">
        <v>Wall finishes plaster</v>
      </c>
      <c r="C650" s="456"/>
      <c r="D650" s="456">
        <f>D1-0.15</f>
        <v>2.95</v>
      </c>
      <c r="E650" s="456">
        <f>(D645*D650)-(E648+E649)</f>
        <v>20.457499999999996</v>
      </c>
      <c r="F650" s="456">
        <f>-(Doors!H50+Windows!H57)</f>
        <v>-4.04</v>
      </c>
      <c r="G650" s="456">
        <f t="shared" si="108"/>
        <v>16.417499999999997</v>
      </c>
      <c r="H650" s="456" t="str">
        <v>Sq M</v>
      </c>
      <c r="I650" s="456" t="str">
        <v>Gypsum Plaster</v>
      </c>
      <c r="J650" s="456">
        <v>32</v>
      </c>
      <c r="K650" s="456">
        <v>376.73999999999995</v>
      </c>
      <c r="L650" s="456">
        <f t="shared" si="109"/>
        <v>6185.1289499999984</v>
      </c>
      <c r="O650" s="455">
        <f t="shared" si="114"/>
        <v>443.27249999999992</v>
      </c>
      <c r="P650" s="455">
        <f t="shared" si="115"/>
        <v>166998.48164999997</v>
      </c>
      <c r="R650" s="458" t="s">
        <v>661</v>
      </c>
    </row>
    <row r="651" spans="1:18">
      <c r="A651" s="454"/>
      <c r="B651" s="454" t="str">
        <v>Ceiling plaster</v>
      </c>
      <c r="C651" s="456"/>
      <c r="D651" s="456"/>
      <c r="E651" s="456">
        <f>E646</f>
        <v>7.83</v>
      </c>
      <c r="F651" s="456"/>
      <c r="G651" s="456">
        <f t="shared" si="108"/>
        <v>7.83</v>
      </c>
      <c r="H651" s="456" t="str">
        <v>Sq M</v>
      </c>
      <c r="I651" s="456" t="str">
        <v>Gypsum Plaster</v>
      </c>
      <c r="J651" s="456">
        <v>32</v>
      </c>
      <c r="K651" s="456">
        <v>344.44799999999998</v>
      </c>
      <c r="L651" s="456">
        <f t="shared" si="109"/>
        <v>2697.0278399999997</v>
      </c>
      <c r="O651" s="455">
        <f t="shared" si="114"/>
        <v>211.41</v>
      </c>
      <c r="P651" s="455">
        <f t="shared" si="115"/>
        <v>72819.751679999987</v>
      </c>
      <c r="R651" s="458" t="s">
        <v>662</v>
      </c>
    </row>
    <row r="652" spans="1:18">
      <c r="A652" s="454"/>
      <c r="B652" s="454" t="str">
        <v>False ceiling</v>
      </c>
      <c r="C652" s="456"/>
      <c r="D652" s="456"/>
      <c r="E652" s="456"/>
      <c r="F652" s="456"/>
      <c r="G652" s="456">
        <f t="shared" si="108"/>
        <v>0</v>
      </c>
      <c r="H652" s="456" t="str">
        <v>Sq M</v>
      </c>
      <c r="I652" s="456" t="str">
        <v>N.A.</v>
      </c>
      <c r="J652" s="456">
        <v>0</v>
      </c>
      <c r="K652" s="456">
        <v>0</v>
      </c>
      <c r="L652" s="456">
        <f t="shared" si="109"/>
        <v>0</v>
      </c>
      <c r="O652" s="455">
        <f t="shared" si="114"/>
        <v>0</v>
      </c>
      <c r="P652" s="455">
        <f t="shared" si="115"/>
        <v>0</v>
      </c>
      <c r="R652" s="458"/>
    </row>
    <row r="653" spans="1:18">
      <c r="A653" s="454"/>
      <c r="B653" s="454" t="str">
        <v>Wall finishes Paint</v>
      </c>
      <c r="C653" s="456"/>
      <c r="D653" s="456"/>
      <c r="E653" s="456">
        <f>E650</f>
        <v>20.457499999999996</v>
      </c>
      <c r="F653" s="456">
        <f>F650</f>
        <v>-4.04</v>
      </c>
      <c r="G653" s="456">
        <f t="shared" si="108"/>
        <v>16.417499999999997</v>
      </c>
      <c r="H653" s="456" t="str">
        <v>Sq M</v>
      </c>
      <c r="I653" s="456" t="str">
        <v>Plastic paint</v>
      </c>
      <c r="J653" s="456">
        <v>20</v>
      </c>
      <c r="K653" s="456">
        <v>215.27999999999997</v>
      </c>
      <c r="L653" s="456">
        <f t="shared" si="109"/>
        <v>3534.3593999999989</v>
      </c>
      <c r="O653" s="455">
        <f t="shared" si="114"/>
        <v>443.27249999999992</v>
      </c>
      <c r="P653" s="455">
        <f t="shared" si="115"/>
        <v>95427.703799999974</v>
      </c>
      <c r="R653" s="458" t="s">
        <v>663</v>
      </c>
    </row>
    <row r="654" spans="1:18">
      <c r="A654" s="454"/>
      <c r="B654" s="454" t="str">
        <v>Ceiling Paint</v>
      </c>
      <c r="C654" s="456"/>
      <c r="D654" s="456"/>
      <c r="E654" s="456">
        <f>E651</f>
        <v>7.83</v>
      </c>
      <c r="F654" s="456"/>
      <c r="G654" s="456">
        <f t="shared" si="108"/>
        <v>7.83</v>
      </c>
      <c r="H654" s="456" t="str">
        <v>Sq M</v>
      </c>
      <c r="I654" s="456" t="str">
        <v>Plastic paint</v>
      </c>
      <c r="J654" s="456">
        <v>20</v>
      </c>
      <c r="K654" s="456">
        <v>215.27999999999997</v>
      </c>
      <c r="L654" s="456">
        <f t="shared" si="109"/>
        <v>1685.6423999999997</v>
      </c>
      <c r="O654" s="455">
        <f t="shared" si="114"/>
        <v>211.41</v>
      </c>
      <c r="P654" s="455">
        <f t="shared" si="115"/>
        <v>45512.344799999992</v>
      </c>
      <c r="R654" s="458" t="s">
        <v>664</v>
      </c>
    </row>
    <row r="655" spans="1:18">
      <c r="A655" s="454"/>
      <c r="B655" s="454" t="str">
        <v>Door Frames</v>
      </c>
      <c r="C655" s="456"/>
      <c r="D655" s="456"/>
      <c r="E655" s="456"/>
      <c r="F655" s="456"/>
      <c r="G655" s="456">
        <f t="shared" si="108"/>
        <v>0</v>
      </c>
      <c r="H655" s="456" t="str">
        <v>Sq M</v>
      </c>
      <c r="I655" s="456" t="str">
        <v>N.A.</v>
      </c>
      <c r="J655" s="456">
        <v>0</v>
      </c>
      <c r="K655" s="456">
        <v>0</v>
      </c>
      <c r="L655" s="456">
        <f t="shared" si="109"/>
        <v>0</v>
      </c>
      <c r="O655" s="455">
        <f t="shared" si="114"/>
        <v>0</v>
      </c>
      <c r="P655" s="455">
        <f t="shared" si="115"/>
        <v>0</v>
      </c>
      <c r="R655" s="458" t="s">
        <v>407</v>
      </c>
    </row>
    <row r="656" spans="1:18">
      <c r="A656" s="454"/>
      <c r="B656" s="454" t="str">
        <v>Window Frames - Internal</v>
      </c>
      <c r="C656" s="456"/>
      <c r="D656" s="456"/>
      <c r="E656" s="456">
        <f>Windows!F57*2+Windows!G57*2</f>
        <v>6.3</v>
      </c>
      <c r="F656" s="456"/>
      <c r="G656" s="456">
        <f t="shared" si="108"/>
        <v>6.3</v>
      </c>
      <c r="H656" s="456" t="str">
        <v>RM</v>
      </c>
      <c r="I656" s="456" t="str">
        <v>Granite Window Frame</v>
      </c>
      <c r="J656" s="456">
        <v>180</v>
      </c>
      <c r="K656" s="456">
        <v>655.92719999999997</v>
      </c>
      <c r="L656" s="456">
        <f t="shared" si="109"/>
        <v>4132.3413599999994</v>
      </c>
      <c r="O656" s="455">
        <f t="shared" si="114"/>
        <v>170.1</v>
      </c>
      <c r="P656" s="455">
        <f t="shared" si="115"/>
        <v>111573.21671999998</v>
      </c>
      <c r="R656" s="458" t="s">
        <v>408</v>
      </c>
    </row>
    <row r="657" spans="1:18">
      <c r="A657" s="454"/>
      <c r="B657" s="454" t="str">
        <v>Window Frames - External</v>
      </c>
      <c r="C657" s="456"/>
      <c r="D657" s="456"/>
      <c r="E657" s="456">
        <f>E656</f>
        <v>6.3</v>
      </c>
      <c r="F657" s="456"/>
      <c r="G657" s="456">
        <f t="shared" si="108"/>
        <v>6.3</v>
      </c>
      <c r="H657" s="456" t="str">
        <v>RM</v>
      </c>
      <c r="I657" s="456" t="str">
        <v>Marble Window Frames with Sill</v>
      </c>
      <c r="J657" s="456">
        <v>60</v>
      </c>
      <c r="K657" s="456">
        <v>399.04239999999999</v>
      </c>
      <c r="L657" s="456">
        <f t="shared" si="109"/>
        <v>2513.9671199999998</v>
      </c>
      <c r="O657" s="455">
        <f t="shared" si="114"/>
        <v>170.1</v>
      </c>
      <c r="P657" s="455">
        <f t="shared" si="115"/>
        <v>67877.112239999988</v>
      </c>
      <c r="R657" s="458" t="s">
        <v>409</v>
      </c>
    </row>
    <row r="658" spans="1:18">
      <c r="A658" s="454"/>
      <c r="B658" s="454" t="str">
        <v>Kitchen Platform</v>
      </c>
      <c r="C658" s="456"/>
      <c r="D658" s="456"/>
      <c r="E658" s="456">
        <v>3.52</v>
      </c>
      <c r="F658" s="456"/>
      <c r="G658" s="456">
        <f t="shared" si="108"/>
        <v>3.52</v>
      </c>
      <c r="H658" s="456" t="str">
        <v>RM</v>
      </c>
      <c r="I658" s="456" t="str">
        <v>Kitchen 2' Granite Main Counter</v>
      </c>
      <c r="J658" s="456">
        <v>180</v>
      </c>
      <c r="K658" s="456">
        <v>7312.7984000000006</v>
      </c>
      <c r="L658" s="456">
        <f t="shared" si="109"/>
        <v>25741.050368000004</v>
      </c>
      <c r="O658" s="455">
        <f t="shared" si="114"/>
        <v>95.04</v>
      </c>
      <c r="P658" s="455">
        <f t="shared" si="115"/>
        <v>695008.35993600008</v>
      </c>
      <c r="R658" s="458" t="s">
        <v>747</v>
      </c>
    </row>
    <row r="659" spans="1:18">
      <c r="A659" s="454"/>
      <c r="B659" s="454" t="str">
        <v>Service Platform</v>
      </c>
      <c r="C659" s="456"/>
      <c r="D659" s="456"/>
      <c r="E659" s="456">
        <f>E658-0.9</f>
        <v>2.62</v>
      </c>
      <c r="F659" s="456"/>
      <c r="G659" s="456">
        <f t="shared" si="108"/>
        <v>2.62</v>
      </c>
      <c r="H659" s="456" t="str">
        <v>RM</v>
      </c>
      <c r="I659" s="456" t="str">
        <v>Kitchen 1'6" Granite Main Counter</v>
      </c>
      <c r="J659" s="456">
        <v>180</v>
      </c>
      <c r="K659" s="456">
        <v>7312.7984000000006</v>
      </c>
      <c r="L659" s="456">
        <f t="shared" si="109"/>
        <v>19159.531808000003</v>
      </c>
      <c r="O659" s="455">
        <f t="shared" si="114"/>
        <v>70.740000000000009</v>
      </c>
      <c r="P659" s="455">
        <f t="shared" si="115"/>
        <v>517307.35881600011</v>
      </c>
      <c r="R659" s="458" t="s">
        <v>666</v>
      </c>
    </row>
    <row r="660" spans="1:18" s="479" customFormat="1" ht="13.5" customHeight="1">
      <c r="A660" s="475" t="s">
        <v>628</v>
      </c>
      <c r="B660" s="476" t="str">
        <f>'Flat Sizes'!B57</f>
        <v>Balcony</v>
      </c>
      <c r="C660" s="477">
        <f>'Flat Sizes'!D57</f>
        <v>2.8</v>
      </c>
      <c r="D660" s="477">
        <f>'Flat Sizes'!G57</f>
        <v>7.01</v>
      </c>
      <c r="E660" s="477"/>
      <c r="F660" s="454"/>
      <c r="G660" s="477"/>
      <c r="H660" s="477"/>
      <c r="I660" s="477"/>
      <c r="J660" s="477"/>
      <c r="K660" s="477"/>
      <c r="L660" s="477"/>
      <c r="M660" s="459">
        <f>SUM(L661:L669)/C660/10.764</f>
        <v>888.43640972554022</v>
      </c>
      <c r="N660" s="472"/>
      <c r="O660" s="455"/>
      <c r="P660" s="455"/>
      <c r="Q660" s="478"/>
    </row>
    <row r="661" spans="1:18">
      <c r="A661" s="454"/>
      <c r="B661" s="454" t="str" cm="1">
        <f t="array" ref="B661:B669">'Rate List - Flats'!B120:B128</f>
        <v>Flooring</v>
      </c>
      <c r="C661" s="456"/>
      <c r="D661" s="456"/>
      <c r="E661" s="456">
        <f>C660</f>
        <v>2.8</v>
      </c>
      <c r="F661" s="456"/>
      <c r="G661" s="456">
        <f t="shared" si="108"/>
        <v>2.8</v>
      </c>
      <c r="H661" s="456" t="str" cm="1">
        <f t="array" ref="H661:H669">'Rate List - Flats'!H120:H128</f>
        <v>Sq M</v>
      </c>
      <c r="I661" s="456" t="str" cm="1">
        <f t="array" ref="I661:I669">'Rate List - Flats'!C120:C128</f>
        <v>2'x2' Vitrified tiles</v>
      </c>
      <c r="J661" s="456" cm="1">
        <f t="array" ref="J661:J669">'Rate List - Flats'!E120:E128</f>
        <v>45</v>
      </c>
      <c r="K661" s="456" cm="1">
        <f t="array" ref="K661:K669">'Rate List - Flats'!G120:G128</f>
        <v>1340.1179999999999</v>
      </c>
      <c r="L661" s="456">
        <f t="shared" si="109"/>
        <v>3752.3303999999994</v>
      </c>
      <c r="O661" s="455">
        <f t="shared" ref="O661:O669" si="116">IF(I661="N.A",0,G661*$N$554)</f>
        <v>75.599999999999994</v>
      </c>
      <c r="P661" s="455">
        <f t="shared" ref="P661:P669" si="117">L661*$N$554</f>
        <v>101312.92079999998</v>
      </c>
      <c r="R661" s="458" t="s">
        <v>752</v>
      </c>
    </row>
    <row r="662" spans="1:18">
      <c r="A662" s="454"/>
      <c r="B662" s="454" t="str">
        <v>Skirting</v>
      </c>
      <c r="C662" s="456"/>
      <c r="D662" s="456"/>
      <c r="E662" s="456">
        <f>D660</f>
        <v>7.01</v>
      </c>
      <c r="F662" s="456"/>
      <c r="G662" s="456">
        <f t="shared" si="108"/>
        <v>7.01</v>
      </c>
      <c r="H662" s="456" t="str">
        <v xml:space="preserve">RM </v>
      </c>
      <c r="I662" s="456" t="str">
        <v xml:space="preserve">2'x2' Vitrified tiles </v>
      </c>
      <c r="J662" s="456">
        <v>45</v>
      </c>
      <c r="K662" s="456">
        <v>391.96</v>
      </c>
      <c r="L662" s="456">
        <f t="shared" si="109"/>
        <v>2747.6396</v>
      </c>
      <c r="O662" s="455">
        <f t="shared" si="116"/>
        <v>189.26999999999998</v>
      </c>
      <c r="P662" s="455">
        <f t="shared" si="117"/>
        <v>74186.269199999995</v>
      </c>
      <c r="R662" s="458" t="s">
        <v>753</v>
      </c>
    </row>
    <row r="663" spans="1:18">
      <c r="A663" s="454"/>
      <c r="B663" s="454" t="str">
        <v>Dado</v>
      </c>
      <c r="C663" s="456"/>
      <c r="D663" s="456"/>
      <c r="E663" s="456"/>
      <c r="F663" s="456"/>
      <c r="G663" s="456">
        <f t="shared" si="108"/>
        <v>0</v>
      </c>
      <c r="H663" s="456" t="str">
        <v>Sq M</v>
      </c>
      <c r="I663" s="456" t="str">
        <v>N.A</v>
      </c>
      <c r="J663" s="456">
        <v>0</v>
      </c>
      <c r="K663" s="456">
        <v>0</v>
      </c>
      <c r="L663" s="456">
        <f t="shared" si="109"/>
        <v>0</v>
      </c>
      <c r="O663" s="455">
        <f t="shared" si="116"/>
        <v>0</v>
      </c>
      <c r="P663" s="455">
        <f t="shared" si="117"/>
        <v>0</v>
      </c>
      <c r="R663" s="458" t="s">
        <v>754</v>
      </c>
    </row>
    <row r="664" spans="1:18">
      <c r="A664" s="454"/>
      <c r="B664" s="454" t="str">
        <v>Wall finishes plaster</v>
      </c>
      <c r="C664" s="456"/>
      <c r="D664" s="456"/>
      <c r="E664" s="456">
        <f>D660*(D1-0.15)</f>
        <v>20.679500000000001</v>
      </c>
      <c r="F664" s="456">
        <f>-(Windows!K58*2.15)</f>
        <v>-7.8474999999999993</v>
      </c>
      <c r="G664" s="456">
        <f t="shared" si="108"/>
        <v>12.832000000000001</v>
      </c>
      <c r="H664" s="456" t="str">
        <v>Sq M</v>
      </c>
      <c r="I664" s="456" t="str">
        <v>External Plaster  - 15 mm</v>
      </c>
      <c r="J664" s="456">
        <v>85</v>
      </c>
      <c r="K664" s="456">
        <v>914.93999999999994</v>
      </c>
      <c r="L664" s="456">
        <f t="shared" si="109"/>
        <v>11740.51008</v>
      </c>
      <c r="O664" s="455">
        <f t="shared" si="116"/>
        <v>346.464</v>
      </c>
      <c r="P664" s="455">
        <f t="shared" si="117"/>
        <v>316993.77215999999</v>
      </c>
      <c r="R664" s="458" t="s">
        <v>751</v>
      </c>
    </row>
    <row r="665" spans="1:18">
      <c r="A665" s="454"/>
      <c r="B665" s="454" t="str">
        <v>Ceiling plaster</v>
      </c>
      <c r="C665" s="456"/>
      <c r="D665" s="456"/>
      <c r="E665" s="456">
        <f>E661</f>
        <v>2.8</v>
      </c>
      <c r="F665" s="456"/>
      <c r="G665" s="456">
        <f t="shared" si="108"/>
        <v>2.8</v>
      </c>
      <c r="H665" s="456" t="str">
        <v>Sq M</v>
      </c>
      <c r="I665" s="456" t="str">
        <v>Gypsum Plaster</v>
      </c>
      <c r="J665" s="456">
        <v>32</v>
      </c>
      <c r="K665" s="456">
        <v>344.44799999999998</v>
      </c>
      <c r="L665" s="456">
        <f t="shared" si="109"/>
        <v>964.45439999999985</v>
      </c>
      <c r="O665" s="455">
        <f t="shared" si="116"/>
        <v>75.599999999999994</v>
      </c>
      <c r="P665" s="455">
        <f t="shared" si="117"/>
        <v>26040.268799999994</v>
      </c>
      <c r="R665" s="458" t="s">
        <v>662</v>
      </c>
    </row>
    <row r="666" spans="1:18">
      <c r="A666" s="454"/>
      <c r="B666" s="454" t="str">
        <v>False ceiling</v>
      </c>
      <c r="C666" s="456"/>
      <c r="D666" s="456"/>
      <c r="E666" s="456"/>
      <c r="F666" s="456"/>
      <c r="G666" s="456">
        <f t="shared" si="108"/>
        <v>0</v>
      </c>
      <c r="H666" s="456" t="str">
        <v>Sq M</v>
      </c>
      <c r="I666" s="456" t="str">
        <v>N.A.</v>
      </c>
      <c r="J666" s="456">
        <v>0</v>
      </c>
      <c r="K666" s="456">
        <v>0</v>
      </c>
      <c r="L666" s="456">
        <f t="shared" si="109"/>
        <v>0</v>
      </c>
      <c r="O666" s="455">
        <f t="shared" si="116"/>
        <v>0</v>
      </c>
      <c r="P666" s="455">
        <f t="shared" si="117"/>
        <v>0</v>
      </c>
      <c r="R666" s="458" t="s">
        <v>414</v>
      </c>
    </row>
    <row r="667" spans="1:18">
      <c r="A667" s="454"/>
      <c r="B667" s="454" t="str">
        <v>Wall finishes Paint</v>
      </c>
      <c r="C667" s="456"/>
      <c r="D667" s="456"/>
      <c r="E667" s="456">
        <f>E664</f>
        <v>20.679500000000001</v>
      </c>
      <c r="F667" s="456">
        <f>F664</f>
        <v>-7.8474999999999993</v>
      </c>
      <c r="G667" s="456">
        <f t="shared" si="108"/>
        <v>12.832000000000001</v>
      </c>
      <c r="H667" s="456" t="str">
        <v>Sq M</v>
      </c>
      <c r="I667" s="456" t="str">
        <v>External Grade Paint</v>
      </c>
      <c r="J667" s="456">
        <v>45</v>
      </c>
      <c r="K667" s="456">
        <v>484.38</v>
      </c>
      <c r="L667" s="456">
        <f t="shared" si="109"/>
        <v>6215.5641599999999</v>
      </c>
      <c r="O667" s="455">
        <f t="shared" si="116"/>
        <v>346.464</v>
      </c>
      <c r="P667" s="455">
        <f t="shared" si="117"/>
        <v>167820.23232000001</v>
      </c>
      <c r="R667" s="458" t="s">
        <v>663</v>
      </c>
    </row>
    <row r="668" spans="1:18">
      <c r="A668" s="454"/>
      <c r="B668" s="454" t="str">
        <v>Ceiling Paint</v>
      </c>
      <c r="C668" s="456"/>
      <c r="D668" s="456"/>
      <c r="E668" s="456">
        <f>E665</f>
        <v>2.8</v>
      </c>
      <c r="F668" s="456"/>
      <c r="G668" s="456">
        <f t="shared" si="108"/>
        <v>2.8</v>
      </c>
      <c r="H668" s="456" t="str">
        <v>Sq M</v>
      </c>
      <c r="I668" s="456" t="str">
        <v>External Grade Paint</v>
      </c>
      <c r="J668" s="456">
        <v>45</v>
      </c>
      <c r="K668" s="456">
        <v>484.38</v>
      </c>
      <c r="L668" s="456">
        <f t="shared" si="109"/>
        <v>1356.2639999999999</v>
      </c>
      <c r="O668" s="455">
        <f t="shared" si="116"/>
        <v>75.599999999999994</v>
      </c>
      <c r="P668" s="455">
        <f t="shared" si="117"/>
        <v>36619.127999999997</v>
      </c>
      <c r="R668" s="458" t="s">
        <v>664</v>
      </c>
    </row>
    <row r="669" spans="1:18">
      <c r="A669" s="454"/>
      <c r="B669" s="454" t="str">
        <v>Others</v>
      </c>
      <c r="C669" s="456"/>
      <c r="D669" s="456"/>
      <c r="E669" s="456"/>
      <c r="F669" s="456"/>
      <c r="G669" s="456">
        <f t="shared" si="108"/>
        <v>0</v>
      </c>
      <c r="H669" s="456" t="str">
        <v>-</v>
      </c>
      <c r="I669" s="456" t="str">
        <v>N.A.</v>
      </c>
      <c r="J669" s="456">
        <v>0</v>
      </c>
      <c r="K669" s="456">
        <v>0</v>
      </c>
      <c r="L669" s="456">
        <f t="shared" si="109"/>
        <v>0</v>
      </c>
      <c r="O669" s="455">
        <f t="shared" si="116"/>
        <v>0</v>
      </c>
      <c r="P669" s="455">
        <f t="shared" si="117"/>
        <v>0</v>
      </c>
    </row>
    <row r="670" spans="1:18" s="479" customFormat="1" ht="13.5" customHeight="1">
      <c r="A670" s="475" t="s">
        <v>628</v>
      </c>
      <c r="B670" s="476" t="str">
        <f>'Flat Sizes'!B58</f>
        <v>Utility</v>
      </c>
      <c r="C670" s="477">
        <f>'Flat Sizes'!D58</f>
        <v>2.82</v>
      </c>
      <c r="D670" s="477">
        <f>'Flat Sizes'!G58</f>
        <v>7.05</v>
      </c>
      <c r="E670" s="477"/>
      <c r="F670" s="454"/>
      <c r="G670" s="477"/>
      <c r="H670" s="477"/>
      <c r="I670" s="477"/>
      <c r="J670" s="477"/>
      <c r="K670" s="477"/>
      <c r="L670" s="477"/>
      <c r="M670" s="459">
        <f>SUM(L671:L679)/C670/10.764</f>
        <v>1152.1714560750177</v>
      </c>
      <c r="N670" s="472"/>
      <c r="O670" s="455"/>
      <c r="P670" s="455"/>
      <c r="Q670" s="478"/>
    </row>
    <row r="671" spans="1:18">
      <c r="A671" s="454"/>
      <c r="B671" s="454" t="str" cm="1">
        <f t="array" ref="B671:B679">'Rate List - Flats'!B120:B128</f>
        <v>Flooring</v>
      </c>
      <c r="C671" s="456"/>
      <c r="D671" s="456"/>
      <c r="E671" s="456">
        <f>C670</f>
        <v>2.82</v>
      </c>
      <c r="F671" s="456"/>
      <c r="G671" s="456">
        <f t="shared" si="108"/>
        <v>2.82</v>
      </c>
      <c r="H671" s="456" t="str" cm="1">
        <f t="array" ref="H671:H679">'Rate List - Flats'!H120:H128</f>
        <v>Sq M</v>
      </c>
      <c r="I671" s="456" t="str" cm="1">
        <f t="array" ref="I671:I679">'Rate List - Flats'!C120:C128</f>
        <v>2'x2' Vitrified tiles</v>
      </c>
      <c r="J671" s="456" cm="1">
        <f t="array" ref="J671:J679">'Rate List - Flats'!E120:E128</f>
        <v>45</v>
      </c>
      <c r="K671" s="456" cm="1">
        <f t="array" ref="K671:K679">'Rate List - Flats'!G120:G128</f>
        <v>1340.1179999999999</v>
      </c>
      <c r="L671" s="456">
        <f t="shared" si="109"/>
        <v>3779.1327599999995</v>
      </c>
      <c r="O671" s="455">
        <f t="shared" ref="O671:O679" si="118">IF(I671="N.A",0,G671*$N$554)</f>
        <v>76.14</v>
      </c>
      <c r="P671" s="455">
        <f t="shared" ref="P671:P679" si="119">L671*$N$554</f>
        <v>102036.58451999999</v>
      </c>
      <c r="R671" s="458" t="s">
        <v>748</v>
      </c>
    </row>
    <row r="672" spans="1:18">
      <c r="A672" s="454"/>
      <c r="B672" s="454" t="str">
        <v>Skirting</v>
      </c>
      <c r="C672" s="456"/>
      <c r="D672" s="456"/>
      <c r="E672" s="456">
        <f>D670</f>
        <v>7.05</v>
      </c>
      <c r="F672" s="456"/>
      <c r="G672" s="456">
        <f t="shared" si="108"/>
        <v>7.05</v>
      </c>
      <c r="H672" s="456" t="str">
        <v xml:space="preserve">RM </v>
      </c>
      <c r="I672" s="456" t="str">
        <v xml:space="preserve">2'x2' Vitrified tiles </v>
      </c>
      <c r="J672" s="456">
        <v>45</v>
      </c>
      <c r="K672" s="456">
        <v>391.96</v>
      </c>
      <c r="L672" s="456">
        <f t="shared" si="109"/>
        <v>2763.3179999999998</v>
      </c>
      <c r="O672" s="455">
        <f t="shared" si="118"/>
        <v>190.35</v>
      </c>
      <c r="P672" s="455">
        <f t="shared" si="119"/>
        <v>74609.585999999996</v>
      </c>
      <c r="R672" s="458" t="s">
        <v>749</v>
      </c>
    </row>
    <row r="673" spans="1:18">
      <c r="A673" s="454"/>
      <c r="B673" s="454" t="str">
        <v>Dado</v>
      </c>
      <c r="C673" s="456"/>
      <c r="D673" s="456"/>
      <c r="E673" s="456"/>
      <c r="F673" s="456"/>
      <c r="G673" s="456">
        <f t="shared" si="108"/>
        <v>0</v>
      </c>
      <c r="H673" s="456" t="str">
        <v>Sq M</v>
      </c>
      <c r="I673" s="456" t="str">
        <v>N.A</v>
      </c>
      <c r="J673" s="456">
        <v>0</v>
      </c>
      <c r="K673" s="456">
        <v>0</v>
      </c>
      <c r="L673" s="456">
        <f t="shared" si="109"/>
        <v>0</v>
      </c>
      <c r="O673" s="455">
        <f t="shared" si="118"/>
        <v>0</v>
      </c>
      <c r="P673" s="455">
        <f t="shared" si="119"/>
        <v>0</v>
      </c>
      <c r="R673" s="458" t="s">
        <v>750</v>
      </c>
    </row>
    <row r="674" spans="1:18">
      <c r="A674" s="454"/>
      <c r="B674" s="454" t="str">
        <v>Wall finishes plaster</v>
      </c>
      <c r="C674" s="456"/>
      <c r="D674" s="456"/>
      <c r="E674" s="456">
        <f>D670*(D1-0.15)</f>
        <v>20.797499999999999</v>
      </c>
      <c r="F674" s="456">
        <f>-Windows!K59*2.15</f>
        <v>-2.15</v>
      </c>
      <c r="G674" s="456">
        <f t="shared" si="108"/>
        <v>18.647500000000001</v>
      </c>
      <c r="H674" s="456" t="str">
        <v>Sq M</v>
      </c>
      <c r="I674" s="456" t="str">
        <v>External Plaster  - 15 mm</v>
      </c>
      <c r="J674" s="456">
        <v>85</v>
      </c>
      <c r="K674" s="456">
        <v>914.93999999999994</v>
      </c>
      <c r="L674" s="456">
        <f t="shared" si="109"/>
        <v>17061.343649999999</v>
      </c>
      <c r="O674" s="455">
        <f t="shared" si="118"/>
        <v>503.48250000000002</v>
      </c>
      <c r="P674" s="455">
        <f t="shared" si="119"/>
        <v>460656.27854999999</v>
      </c>
      <c r="R674" s="458" t="s">
        <v>751</v>
      </c>
    </row>
    <row r="675" spans="1:18">
      <c r="A675" s="454"/>
      <c r="B675" s="454" t="str">
        <v>Ceiling plaster</v>
      </c>
      <c r="C675" s="456"/>
      <c r="D675" s="456"/>
      <c r="E675" s="456">
        <f>E671</f>
        <v>2.82</v>
      </c>
      <c r="F675" s="456"/>
      <c r="G675" s="456">
        <f t="shared" si="108"/>
        <v>2.82</v>
      </c>
      <c r="H675" s="456" t="str">
        <v>Sq M</v>
      </c>
      <c r="I675" s="456" t="str">
        <v>Gypsum Plaster</v>
      </c>
      <c r="J675" s="456">
        <v>32</v>
      </c>
      <c r="K675" s="456">
        <v>344.44799999999998</v>
      </c>
      <c r="L675" s="456">
        <f t="shared" si="109"/>
        <v>971.34335999999985</v>
      </c>
      <c r="O675" s="455">
        <f t="shared" si="118"/>
        <v>76.14</v>
      </c>
      <c r="P675" s="455">
        <f t="shared" si="119"/>
        <v>26226.270719999997</v>
      </c>
      <c r="R675" s="458" t="s">
        <v>662</v>
      </c>
    </row>
    <row r="676" spans="1:18">
      <c r="A676" s="454"/>
      <c r="B676" s="454" t="str">
        <v>False ceiling</v>
      </c>
      <c r="C676" s="456"/>
      <c r="D676" s="456"/>
      <c r="E676" s="456"/>
      <c r="F676" s="456"/>
      <c r="G676" s="456">
        <f t="shared" si="108"/>
        <v>0</v>
      </c>
      <c r="H676" s="456" t="str">
        <v>Sq M</v>
      </c>
      <c r="I676" s="456" t="str">
        <v>N.A.</v>
      </c>
      <c r="J676" s="456">
        <v>0</v>
      </c>
      <c r="K676" s="456">
        <v>0</v>
      </c>
      <c r="L676" s="456">
        <f t="shared" si="109"/>
        <v>0</v>
      </c>
      <c r="O676" s="455">
        <f t="shared" si="118"/>
        <v>0</v>
      </c>
      <c r="P676" s="455">
        <f t="shared" si="119"/>
        <v>0</v>
      </c>
      <c r="R676" s="458" t="s">
        <v>414</v>
      </c>
    </row>
    <row r="677" spans="1:18">
      <c r="A677" s="454"/>
      <c r="B677" s="454" t="str">
        <v>Wall finishes Paint</v>
      </c>
      <c r="C677" s="456"/>
      <c r="D677" s="456"/>
      <c r="E677" s="456">
        <f>E674</f>
        <v>20.797499999999999</v>
      </c>
      <c r="F677" s="456">
        <f>F674</f>
        <v>-2.15</v>
      </c>
      <c r="G677" s="456">
        <f t="shared" si="108"/>
        <v>18.647500000000001</v>
      </c>
      <c r="H677" s="456" t="str">
        <v>Sq M</v>
      </c>
      <c r="I677" s="456" t="str">
        <v>External Grade Paint</v>
      </c>
      <c r="J677" s="456">
        <v>45</v>
      </c>
      <c r="K677" s="456">
        <v>484.38</v>
      </c>
      <c r="L677" s="456">
        <f t="shared" si="109"/>
        <v>9032.4760500000011</v>
      </c>
      <c r="O677" s="455">
        <f t="shared" si="118"/>
        <v>503.48250000000002</v>
      </c>
      <c r="P677" s="455">
        <f t="shared" si="119"/>
        <v>243876.85335000002</v>
      </c>
      <c r="R677" s="458" t="s">
        <v>663</v>
      </c>
    </row>
    <row r="678" spans="1:18">
      <c r="A678" s="454"/>
      <c r="B678" s="454" t="str">
        <v>Ceiling Paint</v>
      </c>
      <c r="C678" s="456"/>
      <c r="D678" s="456"/>
      <c r="E678" s="456">
        <f>E671</f>
        <v>2.82</v>
      </c>
      <c r="F678" s="456"/>
      <c r="G678" s="456">
        <f t="shared" si="108"/>
        <v>2.82</v>
      </c>
      <c r="H678" s="456" t="str">
        <v>Sq M</v>
      </c>
      <c r="I678" s="456" t="str">
        <v>External Grade Paint</v>
      </c>
      <c r="J678" s="456">
        <v>45</v>
      </c>
      <c r="K678" s="456">
        <v>484.38</v>
      </c>
      <c r="L678" s="456">
        <f t="shared" si="109"/>
        <v>1365.9515999999999</v>
      </c>
      <c r="O678" s="455">
        <f t="shared" si="118"/>
        <v>76.14</v>
      </c>
      <c r="P678" s="455">
        <f t="shared" si="119"/>
        <v>36880.693199999994</v>
      </c>
      <c r="R678" s="458" t="s">
        <v>664</v>
      </c>
    </row>
    <row r="679" spans="1:18">
      <c r="A679" s="454"/>
      <c r="B679" s="454" t="str">
        <v>Others</v>
      </c>
      <c r="C679" s="456"/>
      <c r="D679" s="456"/>
      <c r="E679" s="456"/>
      <c r="F679" s="456"/>
      <c r="G679" s="524">
        <f t="shared" si="108"/>
        <v>0</v>
      </c>
      <c r="H679" s="456" t="str">
        <v>-</v>
      </c>
      <c r="I679" s="456" t="str">
        <v>N.A.</v>
      </c>
      <c r="J679" s="456">
        <v>0</v>
      </c>
      <c r="K679" s="456">
        <v>0</v>
      </c>
      <c r="L679" s="456">
        <f t="shared" si="109"/>
        <v>0</v>
      </c>
      <c r="O679" s="455">
        <f t="shared" si="118"/>
        <v>0</v>
      </c>
      <c r="P679" s="455">
        <f t="shared" si="119"/>
        <v>0</v>
      </c>
    </row>
    <row r="680" spans="1:18" ht="13.8" thickBot="1">
      <c r="A680" s="454"/>
      <c r="B680" s="454"/>
      <c r="C680" s="456"/>
      <c r="D680" s="456"/>
      <c r="E680" s="456"/>
      <c r="F680" s="456"/>
      <c r="G680" s="525">
        <f>SUM(G554:G679)</f>
        <v>1114.0430000000006</v>
      </c>
      <c r="H680" s="456"/>
      <c r="I680" s="456"/>
      <c r="J680" s="456"/>
      <c r="K680" s="456"/>
      <c r="L680" s="525">
        <f>SUM(L554:L679)</f>
        <v>623934.49346719997</v>
      </c>
      <c r="O680" s="525">
        <f t="shared" ref="O680:P680" si="120">SUM(O554:O679)</f>
        <v>30079.160999999989</v>
      </c>
      <c r="P680" s="525">
        <f t="shared" si="120"/>
        <v>16846231.323614392</v>
      </c>
    </row>
    <row r="681" spans="1:18">
      <c r="A681" s="528"/>
      <c r="B681" s="529" t="s">
        <v>744</v>
      </c>
      <c r="C681" s="522"/>
      <c r="D681" s="522"/>
      <c r="E681" s="522"/>
      <c r="F681" s="522"/>
      <c r="G681" s="530"/>
      <c r="H681" s="522"/>
      <c r="I681" s="522"/>
      <c r="J681" s="522"/>
      <c r="K681" s="522"/>
      <c r="L681" s="522"/>
    </row>
    <row r="682" spans="1:18">
      <c r="A682" s="528"/>
      <c r="B682" s="528" t="s">
        <v>355</v>
      </c>
      <c r="C682" s="522"/>
      <c r="D682" s="522"/>
      <c r="E682" s="522"/>
      <c r="F682" s="522"/>
      <c r="G682" s="522">
        <f>SUMIF($B$554:$B$679,B682,$G$554:$G$679)</f>
        <v>95.699999999999974</v>
      </c>
      <c r="H682" s="522"/>
      <c r="I682" s="522"/>
      <c r="J682" s="522"/>
      <c r="K682" s="522"/>
      <c r="L682" s="522">
        <f>SUMIF($B$554:$B$679,B682,$L$554:$L$679)</f>
        <v>128933.07570000002</v>
      </c>
      <c r="O682" s="455">
        <f t="shared" ref="O682:O698" si="121">IF(I682="N.A",0,G682*$N$554)</f>
        <v>2583.8999999999992</v>
      </c>
      <c r="P682" s="455">
        <f t="shared" ref="P682:P698" si="122">L682*$N$554</f>
        <v>3481193.0439000004</v>
      </c>
    </row>
    <row r="683" spans="1:18">
      <c r="A683" s="528"/>
      <c r="B683" s="528" t="s">
        <v>695</v>
      </c>
      <c r="C683" s="522"/>
      <c r="D683" s="522"/>
      <c r="E683" s="522"/>
      <c r="F683" s="522"/>
      <c r="G683" s="522">
        <f t="shared" ref="G683:G698" si="123">SUMIF($B$554:$B$679,B683,$G$554:$G$679)</f>
        <v>84.88000000000001</v>
      </c>
      <c r="H683" s="522"/>
      <c r="I683" s="522"/>
      <c r="J683" s="522"/>
      <c r="K683" s="522"/>
      <c r="L683" s="522">
        <f t="shared" ref="L683:L698" si="124">SUMIF($B$554:$B$679,B683,$L$554:$L$679)</f>
        <v>33269.5648</v>
      </c>
      <c r="O683" s="455">
        <f t="shared" si="121"/>
        <v>2291.7600000000002</v>
      </c>
      <c r="P683" s="455">
        <f t="shared" si="122"/>
        <v>898278.24959999998</v>
      </c>
    </row>
    <row r="684" spans="1:18">
      <c r="A684" s="528"/>
      <c r="B684" s="528" t="s">
        <v>698</v>
      </c>
      <c r="C684" s="522"/>
      <c r="D684" s="522"/>
      <c r="E684" s="522"/>
      <c r="F684" s="522"/>
      <c r="G684" s="522">
        <f t="shared" si="123"/>
        <v>62.415000000000006</v>
      </c>
      <c r="H684" s="522"/>
      <c r="I684" s="522"/>
      <c r="J684" s="522"/>
      <c r="K684" s="522"/>
      <c r="L684" s="522">
        <f t="shared" si="124"/>
        <v>91584.229230000012</v>
      </c>
      <c r="O684" s="455">
        <f t="shared" si="121"/>
        <v>1685.2050000000002</v>
      </c>
      <c r="P684" s="455">
        <f t="shared" si="122"/>
        <v>2472774.1892100004</v>
      </c>
    </row>
    <row r="685" spans="1:18">
      <c r="A685" s="528"/>
      <c r="B685" s="528" t="s">
        <v>700</v>
      </c>
      <c r="C685" s="522"/>
      <c r="D685" s="522"/>
      <c r="E685" s="522"/>
      <c r="F685" s="522"/>
      <c r="G685" s="522">
        <f t="shared" si="123"/>
        <v>254.55099999999999</v>
      </c>
      <c r="H685" s="522"/>
      <c r="I685" s="522"/>
      <c r="J685" s="522"/>
      <c r="K685" s="522"/>
      <c r="L685" s="522">
        <f t="shared" si="124"/>
        <v>106168.53967199998</v>
      </c>
      <c r="O685" s="455">
        <f t="shared" si="121"/>
        <v>6872.8769999999995</v>
      </c>
      <c r="P685" s="455">
        <f t="shared" si="122"/>
        <v>2866550.5711439997</v>
      </c>
    </row>
    <row r="686" spans="1:18">
      <c r="A686" s="528"/>
      <c r="B686" s="528" t="s">
        <v>702</v>
      </c>
      <c r="C686" s="522"/>
      <c r="D686" s="522"/>
      <c r="E686" s="522"/>
      <c r="F686" s="522"/>
      <c r="G686" s="522">
        <f t="shared" si="123"/>
        <v>95.699999999999974</v>
      </c>
      <c r="H686" s="522"/>
      <c r="I686" s="522"/>
      <c r="J686" s="522"/>
      <c r="K686" s="522"/>
      <c r="L686" s="522">
        <f t="shared" si="124"/>
        <v>32963.673599999995</v>
      </c>
      <c r="O686" s="455">
        <f t="shared" si="121"/>
        <v>2583.8999999999992</v>
      </c>
      <c r="P686" s="455">
        <f t="shared" si="122"/>
        <v>890019.18719999981</v>
      </c>
    </row>
    <row r="687" spans="1:18">
      <c r="A687" s="528"/>
      <c r="B687" s="528" t="s">
        <v>703</v>
      </c>
      <c r="C687" s="522"/>
      <c r="D687" s="522"/>
      <c r="E687" s="522"/>
      <c r="F687" s="522"/>
      <c r="G687" s="522">
        <f t="shared" si="123"/>
        <v>0</v>
      </c>
      <c r="H687" s="522"/>
      <c r="I687" s="522"/>
      <c r="J687" s="522"/>
      <c r="K687" s="522"/>
      <c r="L687" s="522">
        <f t="shared" si="124"/>
        <v>0</v>
      </c>
      <c r="O687" s="455">
        <f t="shared" si="121"/>
        <v>0</v>
      </c>
      <c r="P687" s="455">
        <f t="shared" si="122"/>
        <v>0</v>
      </c>
    </row>
    <row r="688" spans="1:18">
      <c r="A688" s="528"/>
      <c r="B688" s="528" t="s">
        <v>704</v>
      </c>
      <c r="C688" s="522"/>
      <c r="D688" s="522"/>
      <c r="E688" s="522"/>
      <c r="F688" s="522"/>
      <c r="G688" s="522">
        <f t="shared" si="123"/>
        <v>254.55099999999999</v>
      </c>
      <c r="H688" s="522"/>
      <c r="I688" s="522"/>
      <c r="J688" s="522"/>
      <c r="K688" s="522"/>
      <c r="L688" s="522">
        <f t="shared" si="124"/>
        <v>63270.872730000003</v>
      </c>
      <c r="O688" s="455">
        <f t="shared" si="121"/>
        <v>6872.8769999999995</v>
      </c>
      <c r="P688" s="455">
        <f t="shared" si="122"/>
        <v>1708313.5637100001</v>
      </c>
    </row>
    <row r="689" spans="1:22">
      <c r="A689" s="528"/>
      <c r="B689" s="528" t="s">
        <v>706</v>
      </c>
      <c r="C689" s="522"/>
      <c r="D689" s="522"/>
      <c r="E689" s="522"/>
      <c r="F689" s="522"/>
      <c r="G689" s="522">
        <f t="shared" si="123"/>
        <v>95.699999999999974</v>
      </c>
      <c r="H689" s="522"/>
      <c r="I689" s="522"/>
      <c r="J689" s="522"/>
      <c r="K689" s="522"/>
      <c r="L689" s="522">
        <f t="shared" si="124"/>
        <v>22114.638000000003</v>
      </c>
      <c r="O689" s="455">
        <f t="shared" si="121"/>
        <v>2583.8999999999992</v>
      </c>
      <c r="P689" s="455">
        <f t="shared" si="122"/>
        <v>597095.22600000002</v>
      </c>
    </row>
    <row r="690" spans="1:22">
      <c r="A690" s="528"/>
      <c r="B690" s="528" t="s">
        <v>713</v>
      </c>
      <c r="C690" s="522"/>
      <c r="D690" s="522"/>
      <c r="E690" s="522"/>
      <c r="F690" s="522"/>
      <c r="G690" s="522">
        <f t="shared" si="123"/>
        <v>34.200000000000003</v>
      </c>
      <c r="H690" s="522"/>
      <c r="I690" s="522"/>
      <c r="J690" s="522"/>
      <c r="K690" s="522"/>
      <c r="L690" s="522">
        <f t="shared" si="124"/>
        <v>22432.71024</v>
      </c>
      <c r="O690" s="455">
        <f t="shared" si="121"/>
        <v>923.40000000000009</v>
      </c>
      <c r="P690" s="455">
        <f t="shared" si="122"/>
        <v>605683.17648000002</v>
      </c>
    </row>
    <row r="691" spans="1:22">
      <c r="A691" s="528"/>
      <c r="B691" s="528" t="s">
        <v>715</v>
      </c>
      <c r="C691" s="522"/>
      <c r="D691" s="522"/>
      <c r="E691" s="522"/>
      <c r="F691" s="522"/>
      <c r="G691" s="522">
        <f t="shared" si="123"/>
        <v>61.8</v>
      </c>
      <c r="H691" s="522"/>
      <c r="I691" s="522"/>
      <c r="J691" s="522"/>
      <c r="K691" s="522"/>
      <c r="L691" s="522">
        <f t="shared" si="124"/>
        <v>40536.300959999993</v>
      </c>
      <c r="O691" s="455">
        <f t="shared" si="121"/>
        <v>1668.6</v>
      </c>
      <c r="P691" s="455">
        <f t="shared" si="122"/>
        <v>1094480.1259199998</v>
      </c>
    </row>
    <row r="692" spans="1:22">
      <c r="A692" s="528"/>
      <c r="B692" s="528" t="s">
        <v>716</v>
      </c>
      <c r="C692" s="522"/>
      <c r="D692" s="522"/>
      <c r="E692" s="522"/>
      <c r="F692" s="522"/>
      <c r="G692" s="522">
        <f t="shared" si="123"/>
        <v>61.8</v>
      </c>
      <c r="H692" s="522"/>
      <c r="I692" s="522"/>
      <c r="J692" s="522"/>
      <c r="K692" s="522"/>
      <c r="L692" s="522">
        <f t="shared" si="124"/>
        <v>24660.820319999999</v>
      </c>
      <c r="O692" s="455">
        <f t="shared" si="121"/>
        <v>1668.6</v>
      </c>
      <c r="P692" s="455">
        <f t="shared" si="122"/>
        <v>665842.14864000003</v>
      </c>
    </row>
    <row r="693" spans="1:22">
      <c r="A693" s="528"/>
      <c r="B693" s="528" t="s">
        <v>707</v>
      </c>
      <c r="C693" s="522"/>
      <c r="D693" s="522"/>
      <c r="E693" s="522"/>
      <c r="F693" s="522"/>
      <c r="G693" s="522">
        <f t="shared" si="123"/>
        <v>0</v>
      </c>
      <c r="H693" s="522"/>
      <c r="I693" s="522"/>
      <c r="J693" s="522"/>
      <c r="K693" s="522"/>
      <c r="L693" s="522">
        <f t="shared" si="124"/>
        <v>0</v>
      </c>
      <c r="O693" s="455">
        <f t="shared" si="121"/>
        <v>0</v>
      </c>
      <c r="P693" s="455">
        <f t="shared" si="122"/>
        <v>0</v>
      </c>
    </row>
    <row r="694" spans="1:22">
      <c r="A694" s="528"/>
      <c r="B694" s="528" t="s">
        <v>718</v>
      </c>
      <c r="C694" s="522"/>
      <c r="D694" s="522"/>
      <c r="E694" s="522"/>
      <c r="F694" s="522"/>
      <c r="G694" s="522">
        <f t="shared" si="123"/>
        <v>1.08</v>
      </c>
      <c r="H694" s="522"/>
      <c r="I694" s="522"/>
      <c r="J694" s="522"/>
      <c r="K694" s="522"/>
      <c r="L694" s="522">
        <f t="shared" si="124"/>
        <v>6836.04576</v>
      </c>
      <c r="O694" s="455">
        <f t="shared" si="121"/>
        <v>29.160000000000004</v>
      </c>
      <c r="P694" s="455">
        <f t="shared" si="122"/>
        <v>184573.23551999999</v>
      </c>
    </row>
    <row r="695" spans="1:22">
      <c r="A695" s="528"/>
      <c r="B695" s="528" t="s">
        <v>497</v>
      </c>
      <c r="C695" s="522"/>
      <c r="D695" s="522"/>
      <c r="E695" s="522"/>
      <c r="F695" s="522"/>
      <c r="G695" s="522">
        <f t="shared" si="123"/>
        <v>0</v>
      </c>
      <c r="H695" s="522"/>
      <c r="I695" s="522"/>
      <c r="J695" s="522"/>
      <c r="K695" s="522"/>
      <c r="L695" s="522">
        <f t="shared" si="124"/>
        <v>0</v>
      </c>
      <c r="O695" s="455">
        <f t="shared" si="121"/>
        <v>0</v>
      </c>
      <c r="P695" s="455">
        <f t="shared" si="122"/>
        <v>0</v>
      </c>
    </row>
    <row r="696" spans="1:22">
      <c r="A696" s="528"/>
      <c r="B696" s="528" t="s">
        <v>755</v>
      </c>
      <c r="C696" s="522"/>
      <c r="D696" s="522"/>
      <c r="E696" s="522"/>
      <c r="F696" s="522"/>
      <c r="G696" s="522">
        <f t="shared" si="123"/>
        <v>5.5260000000000007</v>
      </c>
      <c r="H696" s="522"/>
      <c r="I696" s="522"/>
      <c r="J696" s="522"/>
      <c r="K696" s="522"/>
      <c r="L696" s="522">
        <f t="shared" si="124"/>
        <v>6263.4402792000001</v>
      </c>
      <c r="O696" s="455">
        <f t="shared" si="121"/>
        <v>149.20200000000003</v>
      </c>
      <c r="P696" s="455">
        <f t="shared" si="122"/>
        <v>169112.88753840001</v>
      </c>
    </row>
    <row r="697" spans="1:22">
      <c r="A697" s="528"/>
      <c r="B697" s="528" t="s">
        <v>747</v>
      </c>
      <c r="C697" s="522"/>
      <c r="D697" s="522"/>
      <c r="E697" s="522"/>
      <c r="F697" s="522"/>
      <c r="G697" s="522">
        <f t="shared" si="123"/>
        <v>3.52</v>
      </c>
      <c r="H697" s="522"/>
      <c r="I697" s="522"/>
      <c r="J697" s="522"/>
      <c r="K697" s="522"/>
      <c r="L697" s="522">
        <f t="shared" si="124"/>
        <v>25741.050368000004</v>
      </c>
      <c r="O697" s="455">
        <f t="shared" si="121"/>
        <v>95.04</v>
      </c>
      <c r="P697" s="455">
        <f t="shared" si="122"/>
        <v>695008.35993600008</v>
      </c>
    </row>
    <row r="698" spans="1:22">
      <c r="A698" s="528"/>
      <c r="B698" s="528" t="s">
        <v>666</v>
      </c>
      <c r="C698" s="522"/>
      <c r="D698" s="522"/>
      <c r="E698" s="522"/>
      <c r="F698" s="522"/>
      <c r="G698" s="537">
        <f t="shared" si="123"/>
        <v>2.62</v>
      </c>
      <c r="H698" s="522"/>
      <c r="I698" s="522"/>
      <c r="J698" s="522"/>
      <c r="K698" s="522"/>
      <c r="L698" s="537">
        <f t="shared" si="124"/>
        <v>19159.531808000003</v>
      </c>
      <c r="O698" s="455">
        <f t="shared" si="121"/>
        <v>70.740000000000009</v>
      </c>
      <c r="P698" s="455">
        <f t="shared" si="122"/>
        <v>517307.35881600011</v>
      </c>
    </row>
    <row r="699" spans="1:22" s="534" customFormat="1" ht="13.8" thickBot="1">
      <c r="A699" s="529"/>
      <c r="B699" s="529"/>
      <c r="C699" s="523"/>
      <c r="D699" s="523"/>
      <c r="E699" s="523"/>
      <c r="F699" s="523"/>
      <c r="G699" s="538">
        <f>SUM(G682:G698)</f>
        <v>1114.0429999999999</v>
      </c>
      <c r="H699" s="523"/>
      <c r="I699" s="523"/>
      <c r="J699" s="523"/>
      <c r="K699" s="523" t="s">
        <v>232</v>
      </c>
      <c r="L699" s="538">
        <f>SUM(L682:L698)</f>
        <v>623934.49346719997</v>
      </c>
      <c r="M699" s="484"/>
      <c r="N699" s="484"/>
      <c r="O699" s="535">
        <f>SUM(O682:O698)</f>
        <v>30079.160999999996</v>
      </c>
      <c r="P699" s="535">
        <f>SUM(P682:P698)</f>
        <v>16846231.3236144</v>
      </c>
      <c r="Q699" s="484"/>
      <c r="R699" s="484"/>
    </row>
    <row r="700" spans="1:22">
      <c r="A700" s="528"/>
      <c r="B700" s="528" t="s">
        <v>386</v>
      </c>
      <c r="C700" s="522"/>
      <c r="D700" s="522"/>
      <c r="E700" s="522"/>
      <c r="F700" s="522"/>
      <c r="G700" s="530">
        <f>Doors!E51</f>
        <v>8</v>
      </c>
      <c r="H700" s="522"/>
      <c r="I700" s="522"/>
      <c r="J700" s="522"/>
      <c r="K700" s="522"/>
      <c r="L700" s="530">
        <f>Doors!J51</f>
        <v>140500</v>
      </c>
    </row>
    <row r="701" spans="1:22">
      <c r="A701" s="528"/>
      <c r="B701" s="528" t="s">
        <v>391</v>
      </c>
      <c r="C701" s="522"/>
      <c r="D701" s="522"/>
      <c r="E701" s="522"/>
      <c r="F701" s="522"/>
      <c r="G701" s="522">
        <f>Windows!H60</f>
        <v>31.342499999999998</v>
      </c>
      <c r="H701" s="522"/>
      <c r="I701" s="522"/>
      <c r="J701" s="522"/>
      <c r="K701" s="537"/>
      <c r="L701" s="537">
        <f>Windows!N60</f>
        <v>229728.86850000001</v>
      </c>
    </row>
    <row r="702" spans="1:22">
      <c r="A702" s="528"/>
      <c r="B702" s="528"/>
      <c r="C702" s="522"/>
      <c r="D702" s="522"/>
      <c r="E702" s="522"/>
      <c r="F702" s="522"/>
      <c r="G702" s="522"/>
      <c r="H702" s="522"/>
      <c r="I702" s="522"/>
      <c r="J702" s="522"/>
      <c r="K702" s="539" t="s">
        <v>232</v>
      </c>
      <c r="L702" s="539">
        <f>SUM(L700:L701)</f>
        <v>370228.86849999998</v>
      </c>
    </row>
    <row r="703" spans="1:22" ht="13.8" thickBot="1">
      <c r="A703" s="528"/>
      <c r="B703" s="528"/>
      <c r="C703" s="522"/>
      <c r="D703" s="522"/>
      <c r="E703" s="522"/>
      <c r="F703" s="522"/>
      <c r="G703" s="522"/>
      <c r="H703" s="522"/>
      <c r="I703" s="522"/>
      <c r="J703" s="522"/>
      <c r="K703" s="525" t="s">
        <v>745</v>
      </c>
      <c r="L703" s="525">
        <f>L699+L702</f>
        <v>994163.36196719995</v>
      </c>
    </row>
    <row r="704" spans="1:22" s="474" customFormat="1" ht="13.5" customHeight="1">
      <c r="A704" s="465" t="s">
        <v>628</v>
      </c>
      <c r="B704" s="466" t="str">
        <f>'Flat Sizes'!B60</f>
        <v>Flat 4A,
2BHK</v>
      </c>
      <c r="C704" s="456"/>
      <c r="D704" s="456"/>
      <c r="E704" s="456"/>
      <c r="F704" s="456"/>
      <c r="G704" s="456"/>
      <c r="H704" s="456"/>
      <c r="I704" s="456"/>
      <c r="J704" s="456"/>
      <c r="K704" s="456"/>
      <c r="L704" s="456"/>
      <c r="M704" s="471"/>
      <c r="N704" s="472">
        <f>'Flat Sizes'!H60</f>
        <v>2</v>
      </c>
      <c r="O704" s="459"/>
      <c r="P704" s="459"/>
      <c r="Q704" s="473"/>
      <c r="S704" s="473"/>
      <c r="T704" s="473"/>
      <c r="U704" s="473"/>
      <c r="V704" s="473"/>
    </row>
    <row r="705" spans="1:18" s="479" customFormat="1" ht="13.5" customHeight="1">
      <c r="A705" s="475" t="s">
        <v>628</v>
      </c>
      <c r="B705" s="476" t="str">
        <f>'Flat Sizes'!B61</f>
        <v>Living, Dining &amp; Passage</v>
      </c>
      <c r="C705" s="477">
        <f>'Flat Sizes'!D61</f>
        <v>28.59</v>
      </c>
      <c r="D705" s="477">
        <f>'Flat Sizes'!G61</f>
        <v>29.12</v>
      </c>
      <c r="E705" s="477"/>
      <c r="F705" s="454"/>
      <c r="G705" s="477"/>
      <c r="H705" s="477"/>
      <c r="I705" s="477"/>
      <c r="J705" s="477"/>
      <c r="K705" s="477"/>
      <c r="L705" s="477"/>
      <c r="M705" s="459">
        <f>SUM(L706:L717)/C705/10.764</f>
        <v>372.86976594347834</v>
      </c>
      <c r="N705" s="472"/>
      <c r="O705" s="455"/>
      <c r="P705" s="455"/>
      <c r="Q705" s="478"/>
    </row>
    <row r="706" spans="1:18">
      <c r="A706" s="454"/>
      <c r="B706" s="454" t="str" cm="1">
        <f t="array" ref="B706:B717">'Rate List - Flats'!B6:B17</f>
        <v>Flooring</v>
      </c>
      <c r="C706" s="456"/>
      <c r="D706" s="456"/>
      <c r="E706" s="456">
        <f>C705</f>
        <v>28.59</v>
      </c>
      <c r="F706" s="456"/>
      <c r="G706" s="456">
        <f t="shared" ref="G706:G771" si="125">E706+F706</f>
        <v>28.59</v>
      </c>
      <c r="H706" s="456" t="str" cm="1">
        <f t="array" ref="H706:H717">'Rate List - Flats'!H6:H17</f>
        <v>Sq M</v>
      </c>
      <c r="I706" s="456" t="str" cm="1">
        <f t="array" ref="I706:I717">'Rate List - Flats'!C6:C17</f>
        <v>2'x2' Vitrified tiles</v>
      </c>
      <c r="J706" s="456" cm="1">
        <f t="array" ref="J706:J717">'Rate List - Flats'!E6:E17</f>
        <v>45</v>
      </c>
      <c r="K706" s="456" cm="1">
        <f t="array" ref="K706:K717">'Rate List - Flats'!G6:G17</f>
        <v>1340.1179999999999</v>
      </c>
      <c r="L706" s="456">
        <f t="shared" ref="L706:L771" si="126">G706*K706</f>
        <v>38313.973619999997</v>
      </c>
      <c r="O706" s="455">
        <f>IF(I706="N.A",0,G706*$N$704)</f>
        <v>57.18</v>
      </c>
      <c r="P706" s="455">
        <f>L706*$N$704</f>
        <v>76627.947239999994</v>
      </c>
      <c r="R706" s="480" t="s">
        <v>659</v>
      </c>
    </row>
    <row r="707" spans="1:18">
      <c r="A707" s="454"/>
      <c r="B707" s="454" t="str">
        <v>Skirting</v>
      </c>
      <c r="C707" s="456"/>
      <c r="D707" s="456"/>
      <c r="E707" s="456">
        <f>D705</f>
        <v>29.12</v>
      </c>
      <c r="F707" s="456">
        <f>-(Doors!F53+Doors!F54+Doors!F56+Doors!F58)</f>
        <v>-3.9</v>
      </c>
      <c r="G707" s="456">
        <f t="shared" si="125"/>
        <v>25.220000000000002</v>
      </c>
      <c r="H707" s="456" t="str">
        <v>RM</v>
      </c>
      <c r="I707" s="456" t="str">
        <v xml:space="preserve">2'x2' Vitrified tiles </v>
      </c>
      <c r="J707" s="456">
        <v>45</v>
      </c>
      <c r="K707" s="456">
        <v>391.96</v>
      </c>
      <c r="L707" s="456">
        <f t="shared" si="126"/>
        <v>9885.2312000000002</v>
      </c>
      <c r="O707" s="455">
        <f t="shared" ref="O707:O717" si="127">IF(I707="N.A",0,G707*$N$704)</f>
        <v>50.440000000000005</v>
      </c>
      <c r="P707" s="455">
        <f t="shared" ref="P707:P717" si="128">L707*$N$704</f>
        <v>19770.4624</v>
      </c>
      <c r="R707" s="480" t="s">
        <v>660</v>
      </c>
    </row>
    <row r="708" spans="1:18">
      <c r="A708" s="454"/>
      <c r="B708" s="454" t="str">
        <v>Dado</v>
      </c>
      <c r="C708" s="456"/>
      <c r="D708" s="456"/>
      <c r="E708" s="456"/>
      <c r="F708" s="456"/>
      <c r="G708" s="456">
        <f t="shared" si="125"/>
        <v>0</v>
      </c>
      <c r="H708" s="456" t="str">
        <v>Sq M</v>
      </c>
      <c r="I708" s="456" t="str">
        <v>N.A.</v>
      </c>
      <c r="J708" s="456">
        <v>0</v>
      </c>
      <c r="K708" s="456">
        <v>0</v>
      </c>
      <c r="L708" s="456">
        <f t="shared" si="126"/>
        <v>0</v>
      </c>
      <c r="O708" s="455">
        <f t="shared" si="127"/>
        <v>0</v>
      </c>
      <c r="P708" s="455">
        <f t="shared" si="128"/>
        <v>0</v>
      </c>
      <c r="R708" s="480"/>
    </row>
    <row r="709" spans="1:18">
      <c r="A709" s="454"/>
      <c r="B709" s="454" t="str">
        <v>Wall finishes plaster</v>
      </c>
      <c r="C709" s="456"/>
      <c r="D709" s="456"/>
      <c r="E709" s="456">
        <f>D705*(D1-0.15)</f>
        <v>85.904000000000011</v>
      </c>
      <c r="F709" s="456">
        <f>-(Doors!H53+Doors!H54+Doors!H56+Doors!H58+Windows!H62)</f>
        <v>-14.145500000000002</v>
      </c>
      <c r="G709" s="456">
        <f t="shared" si="125"/>
        <v>71.758500000000012</v>
      </c>
      <c r="H709" s="456" t="str">
        <v>Sq M</v>
      </c>
      <c r="I709" s="456" t="str">
        <v>Gypsum Plaster</v>
      </c>
      <c r="J709" s="456">
        <v>32</v>
      </c>
      <c r="K709" s="456">
        <v>344.44799999999998</v>
      </c>
      <c r="L709" s="456">
        <f t="shared" si="126"/>
        <v>24717.071808000004</v>
      </c>
      <c r="O709" s="455">
        <f t="shared" si="127"/>
        <v>143.51700000000002</v>
      </c>
      <c r="P709" s="455">
        <f t="shared" si="128"/>
        <v>49434.143616000008</v>
      </c>
      <c r="R709" s="480" t="s">
        <v>661</v>
      </c>
    </row>
    <row r="710" spans="1:18">
      <c r="A710" s="454"/>
      <c r="B710" s="454" t="str">
        <v>Ceiling plaster</v>
      </c>
      <c r="C710" s="456"/>
      <c r="D710" s="456"/>
      <c r="E710" s="456">
        <f>E706</f>
        <v>28.59</v>
      </c>
      <c r="F710" s="456"/>
      <c r="G710" s="456">
        <f t="shared" si="125"/>
        <v>28.59</v>
      </c>
      <c r="H710" s="456" t="str">
        <v>Sq M</v>
      </c>
      <c r="I710" s="456" t="str">
        <v>Gypsum Plaster</v>
      </c>
      <c r="J710" s="456">
        <v>32</v>
      </c>
      <c r="K710" s="456">
        <v>344.44799999999998</v>
      </c>
      <c r="L710" s="456">
        <f t="shared" si="126"/>
        <v>9847.7683199999992</v>
      </c>
      <c r="O710" s="455">
        <f t="shared" si="127"/>
        <v>57.18</v>
      </c>
      <c r="P710" s="455">
        <f t="shared" si="128"/>
        <v>19695.536639999998</v>
      </c>
      <c r="R710" s="480" t="s">
        <v>662</v>
      </c>
    </row>
    <row r="711" spans="1:18">
      <c r="A711" s="454"/>
      <c r="B711" s="454" t="str">
        <v>False ceiling</v>
      </c>
      <c r="C711" s="456"/>
      <c r="D711" s="456"/>
      <c r="E711" s="456"/>
      <c r="F711" s="456"/>
      <c r="G711" s="456">
        <f t="shared" si="125"/>
        <v>0</v>
      </c>
      <c r="H711" s="456" t="str">
        <v>Sq M</v>
      </c>
      <c r="I711" s="456" t="str">
        <v>N.A.</v>
      </c>
      <c r="J711" s="456">
        <v>0</v>
      </c>
      <c r="K711" s="456">
        <v>0</v>
      </c>
      <c r="L711" s="456">
        <f t="shared" si="126"/>
        <v>0</v>
      </c>
      <c r="O711" s="455">
        <f t="shared" si="127"/>
        <v>0</v>
      </c>
      <c r="P711" s="455">
        <f t="shared" si="128"/>
        <v>0</v>
      </c>
      <c r="R711" s="480"/>
    </row>
    <row r="712" spans="1:18">
      <c r="A712" s="454"/>
      <c r="B712" s="454" t="str">
        <v>Wall finishes Paint</v>
      </c>
      <c r="C712" s="456"/>
      <c r="D712" s="456"/>
      <c r="E712" s="456">
        <f>E709</f>
        <v>85.904000000000011</v>
      </c>
      <c r="F712" s="456">
        <f>F709</f>
        <v>-14.145500000000002</v>
      </c>
      <c r="G712" s="456">
        <f t="shared" si="125"/>
        <v>71.758500000000012</v>
      </c>
      <c r="H712" s="456" t="str">
        <v>Sq M</v>
      </c>
      <c r="I712" s="456" t="str">
        <v>Plastic paint</v>
      </c>
      <c r="J712" s="456">
        <v>20</v>
      </c>
      <c r="K712" s="456">
        <v>215.27999999999997</v>
      </c>
      <c r="L712" s="456">
        <f t="shared" si="126"/>
        <v>15448.169880000001</v>
      </c>
      <c r="O712" s="455">
        <f t="shared" si="127"/>
        <v>143.51700000000002</v>
      </c>
      <c r="P712" s="455">
        <f t="shared" si="128"/>
        <v>30896.339760000003</v>
      </c>
      <c r="R712" s="480" t="s">
        <v>663</v>
      </c>
    </row>
    <row r="713" spans="1:18">
      <c r="A713" s="454"/>
      <c r="B713" s="454" t="str">
        <v>Ceiling Paint</v>
      </c>
      <c r="C713" s="456"/>
      <c r="D713" s="456"/>
      <c r="E713" s="456">
        <f>E710</f>
        <v>28.59</v>
      </c>
      <c r="F713" s="456"/>
      <c r="G713" s="456">
        <f t="shared" si="125"/>
        <v>28.59</v>
      </c>
      <c r="H713" s="456" t="str">
        <v>Sq M</v>
      </c>
      <c r="I713" s="456" t="str">
        <v>Plastic paint</v>
      </c>
      <c r="J713" s="456">
        <v>20</v>
      </c>
      <c r="K713" s="456">
        <v>215.27999999999997</v>
      </c>
      <c r="L713" s="456">
        <f t="shared" si="126"/>
        <v>6154.8551999999991</v>
      </c>
      <c r="O713" s="455">
        <f t="shared" si="127"/>
        <v>57.18</v>
      </c>
      <c r="P713" s="455">
        <f t="shared" si="128"/>
        <v>12309.710399999998</v>
      </c>
      <c r="R713" s="480" t="s">
        <v>664</v>
      </c>
    </row>
    <row r="714" spans="1:18">
      <c r="A714" s="454"/>
      <c r="B714" s="454" t="str">
        <v>Door Frames</v>
      </c>
      <c r="C714" s="456"/>
      <c r="D714" s="456"/>
      <c r="E714" s="456"/>
      <c r="F714" s="456"/>
      <c r="G714" s="456">
        <f t="shared" si="125"/>
        <v>0</v>
      </c>
      <c r="H714" s="456" t="str">
        <v>RM</v>
      </c>
      <c r="I714" s="456" t="str">
        <v>N.A.</v>
      </c>
      <c r="J714" s="456">
        <v>0</v>
      </c>
      <c r="K714" s="456">
        <v>0</v>
      </c>
      <c r="L714" s="456">
        <f t="shared" si="126"/>
        <v>0</v>
      </c>
      <c r="O714" s="455">
        <f t="shared" si="127"/>
        <v>0</v>
      </c>
      <c r="P714" s="455">
        <f t="shared" si="128"/>
        <v>0</v>
      </c>
      <c r="R714" s="480" t="s">
        <v>742</v>
      </c>
    </row>
    <row r="715" spans="1:18">
      <c r="A715" s="454"/>
      <c r="B715" s="454" t="str">
        <v>Window Frames - Internal</v>
      </c>
      <c r="C715" s="456"/>
      <c r="D715" s="456"/>
      <c r="E715" s="456">
        <f>Windows!F62*2+Windows!G62*2</f>
        <v>9.84</v>
      </c>
      <c r="F715" s="456"/>
      <c r="G715" s="456">
        <f t="shared" si="125"/>
        <v>9.84</v>
      </c>
      <c r="H715" s="456" t="str">
        <v>RM</v>
      </c>
      <c r="I715" s="456" t="str">
        <v>Granite Window Frame</v>
      </c>
      <c r="J715" s="456">
        <v>180</v>
      </c>
      <c r="K715" s="456">
        <v>655.92719999999997</v>
      </c>
      <c r="L715" s="456">
        <f t="shared" si="126"/>
        <v>6454.3236479999996</v>
      </c>
      <c r="O715" s="455">
        <f t="shared" si="127"/>
        <v>19.68</v>
      </c>
      <c r="P715" s="455">
        <f t="shared" si="128"/>
        <v>12908.647295999999</v>
      </c>
      <c r="R715" s="480" t="s">
        <v>743</v>
      </c>
    </row>
    <row r="716" spans="1:18">
      <c r="A716" s="454"/>
      <c r="B716" s="454" t="str">
        <v>Window Frames - External</v>
      </c>
      <c r="C716" s="456"/>
      <c r="D716" s="456"/>
      <c r="E716" s="456">
        <f>E715</f>
        <v>9.84</v>
      </c>
      <c r="F716" s="456"/>
      <c r="G716" s="456">
        <f t="shared" si="125"/>
        <v>9.84</v>
      </c>
      <c r="H716" s="456" t="str">
        <v>RM</v>
      </c>
      <c r="I716" s="456" t="str">
        <v>Marble Window Frames with Sill</v>
      </c>
      <c r="J716" s="456">
        <v>60</v>
      </c>
      <c r="K716" s="456">
        <v>399.04239999999999</v>
      </c>
      <c r="L716" s="456">
        <f t="shared" si="126"/>
        <v>3926.5772159999997</v>
      </c>
      <c r="O716" s="455">
        <f t="shared" si="127"/>
        <v>19.68</v>
      </c>
      <c r="P716" s="455">
        <f t="shared" si="128"/>
        <v>7853.1544319999994</v>
      </c>
      <c r="R716" s="480" t="s">
        <v>409</v>
      </c>
    </row>
    <row r="717" spans="1:18">
      <c r="A717" s="454"/>
      <c r="B717" s="454" t="str">
        <v>Others</v>
      </c>
      <c r="C717" s="456"/>
      <c r="D717" s="456"/>
      <c r="E717" s="456"/>
      <c r="F717" s="456"/>
      <c r="G717" s="456">
        <f t="shared" si="125"/>
        <v>0</v>
      </c>
      <c r="H717" s="456" t="str">
        <v>-</v>
      </c>
      <c r="I717" s="456" t="str">
        <v>N.A.</v>
      </c>
      <c r="J717" s="456" t="str">
        <v>-</v>
      </c>
      <c r="K717" s="456" t="str">
        <v>-</v>
      </c>
      <c r="L717" s="456"/>
      <c r="O717" s="455">
        <f t="shared" si="127"/>
        <v>0</v>
      </c>
      <c r="P717" s="455">
        <f t="shared" si="128"/>
        <v>0</v>
      </c>
    </row>
    <row r="718" spans="1:18" s="479" customFormat="1" ht="13.5" customHeight="1">
      <c r="A718" s="475" t="s">
        <v>628</v>
      </c>
      <c r="B718" s="476" t="str">
        <f>'Flat Sizes'!B62</f>
        <v>M. Bedroom</v>
      </c>
      <c r="C718" s="477">
        <f>'Flat Sizes'!D62</f>
        <v>11.01</v>
      </c>
      <c r="D718" s="477">
        <f>'Flat Sizes'!G62</f>
        <v>13.69</v>
      </c>
      <c r="E718" s="477"/>
      <c r="F718" s="454"/>
      <c r="G718" s="477"/>
      <c r="H718" s="477"/>
      <c r="I718" s="477"/>
      <c r="J718" s="477"/>
      <c r="K718" s="477"/>
      <c r="L718" s="477"/>
      <c r="M718" s="459">
        <f>SUM(L719:L730)/C718/10.764</f>
        <v>452.30331775005391</v>
      </c>
      <c r="N718" s="472"/>
      <c r="O718" s="455"/>
      <c r="P718" s="455"/>
      <c r="Q718" s="478"/>
    </row>
    <row r="719" spans="1:18">
      <c r="A719" s="454"/>
      <c r="B719" s="454" t="str" cm="1">
        <f t="array" ref="B719:B730">'Rate List - Flats'!B34:B45</f>
        <v>Flooring</v>
      </c>
      <c r="C719" s="456"/>
      <c r="D719" s="456"/>
      <c r="E719" s="456">
        <f>C718</f>
        <v>11.01</v>
      </c>
      <c r="F719" s="456"/>
      <c r="G719" s="456">
        <f t="shared" si="125"/>
        <v>11.01</v>
      </c>
      <c r="H719" s="456" t="str" cm="1">
        <f t="array" ref="H719:H730">'Rate List - Flats'!H34:H45</f>
        <v>Sq M</v>
      </c>
      <c r="I719" s="456" t="str" cm="1">
        <f t="array" ref="I719:I730">'Rate List - Flats'!C34:C45</f>
        <v>2'x2' Vitrified tiles</v>
      </c>
      <c r="J719" s="456" cm="1">
        <f t="array" ref="J719:J730">'Rate List - Flats'!E34:E45</f>
        <v>45</v>
      </c>
      <c r="K719" s="456" cm="1">
        <f t="array" ref="K719:K730">'Rate List - Flats'!G34:G45</f>
        <v>1340.1179999999999</v>
      </c>
      <c r="L719" s="456">
        <f t="shared" si="126"/>
        <v>14754.69918</v>
      </c>
      <c r="O719" s="455">
        <f t="shared" ref="O719:O730" si="129">IF(I719="N.A",0,G719*$N$704)</f>
        <v>22.02</v>
      </c>
      <c r="P719" s="455">
        <f t="shared" ref="P719:P730" si="130">L719*$N$704</f>
        <v>29509.398359999999</v>
      </c>
      <c r="R719" s="480" t="s">
        <v>659</v>
      </c>
    </row>
    <row r="720" spans="1:18">
      <c r="A720" s="454"/>
      <c r="B720" s="454" t="str">
        <v>Skirting</v>
      </c>
      <c r="C720" s="456"/>
      <c r="D720" s="456"/>
      <c r="E720" s="456">
        <f>D718</f>
        <v>13.69</v>
      </c>
      <c r="F720" s="456">
        <f>-(Doors!F54+Doors!F55)</f>
        <v>-1.65</v>
      </c>
      <c r="G720" s="456">
        <f t="shared" si="125"/>
        <v>12.04</v>
      </c>
      <c r="H720" s="456" t="str">
        <v>RM</v>
      </c>
      <c r="I720" s="456" t="str">
        <v xml:space="preserve">2'x2' Vitrified tiles </v>
      </c>
      <c r="J720" s="456">
        <v>45</v>
      </c>
      <c r="K720" s="456">
        <v>391.96</v>
      </c>
      <c r="L720" s="456">
        <f t="shared" si="126"/>
        <v>4719.1983999999993</v>
      </c>
      <c r="O720" s="455">
        <f t="shared" si="129"/>
        <v>24.08</v>
      </c>
      <c r="P720" s="455">
        <f t="shared" si="130"/>
        <v>9438.3967999999986</v>
      </c>
      <c r="R720" s="480" t="s">
        <v>660</v>
      </c>
    </row>
    <row r="721" spans="1:18">
      <c r="A721" s="454"/>
      <c r="B721" s="454" t="str">
        <v>Dado</v>
      </c>
      <c r="C721" s="456"/>
      <c r="D721" s="456"/>
      <c r="E721" s="456"/>
      <c r="F721" s="456"/>
      <c r="G721" s="456">
        <f t="shared" si="125"/>
        <v>0</v>
      </c>
      <c r="H721" s="456" t="str">
        <v>Sq M</v>
      </c>
      <c r="I721" s="456" t="str">
        <v>N.A.</v>
      </c>
      <c r="J721" s="456">
        <v>0</v>
      </c>
      <c r="K721" s="456">
        <v>0</v>
      </c>
      <c r="L721" s="456">
        <f t="shared" si="126"/>
        <v>0</v>
      </c>
      <c r="O721" s="455">
        <f t="shared" si="129"/>
        <v>0</v>
      </c>
      <c r="P721" s="455">
        <f t="shared" si="130"/>
        <v>0</v>
      </c>
      <c r="R721" s="480"/>
    </row>
    <row r="722" spans="1:18">
      <c r="A722" s="454"/>
      <c r="B722" s="454" t="str">
        <v>Wall finishes plaster</v>
      </c>
      <c r="C722" s="456"/>
      <c r="D722" s="456"/>
      <c r="E722" s="456">
        <f>D718*(D1-0.15)</f>
        <v>40.3855</v>
      </c>
      <c r="F722" s="456">
        <f>-(Doors!H54+Doors!H55+Windows!H63)</f>
        <v>-10.022499999999999</v>
      </c>
      <c r="G722" s="456">
        <f t="shared" si="125"/>
        <v>30.363</v>
      </c>
      <c r="H722" s="456" t="str">
        <v>Sq M</v>
      </c>
      <c r="I722" s="456" t="str">
        <v>Gypsum Plaster</v>
      </c>
      <c r="J722" s="456">
        <v>32</v>
      </c>
      <c r="K722" s="456">
        <v>344.44799999999998</v>
      </c>
      <c r="L722" s="456">
        <f t="shared" si="126"/>
        <v>10458.474623999999</v>
      </c>
      <c r="O722" s="455">
        <f t="shared" si="129"/>
        <v>60.725999999999999</v>
      </c>
      <c r="P722" s="455">
        <f t="shared" si="130"/>
        <v>20916.949247999997</v>
      </c>
      <c r="R722" s="480" t="s">
        <v>661</v>
      </c>
    </row>
    <row r="723" spans="1:18">
      <c r="A723" s="454"/>
      <c r="B723" s="454" t="str">
        <v>Ceiling plaster</v>
      </c>
      <c r="C723" s="456"/>
      <c r="D723" s="456"/>
      <c r="E723" s="456">
        <f>E719</f>
        <v>11.01</v>
      </c>
      <c r="F723" s="456"/>
      <c r="G723" s="456">
        <f t="shared" si="125"/>
        <v>11.01</v>
      </c>
      <c r="H723" s="456" t="str">
        <v>Sq M</v>
      </c>
      <c r="I723" s="456" t="str">
        <v>Gypsum Plaster</v>
      </c>
      <c r="J723" s="456">
        <v>32</v>
      </c>
      <c r="K723" s="456">
        <v>344.44799999999998</v>
      </c>
      <c r="L723" s="456">
        <f t="shared" si="126"/>
        <v>3792.3724799999995</v>
      </c>
      <c r="O723" s="455">
        <f t="shared" si="129"/>
        <v>22.02</v>
      </c>
      <c r="P723" s="455">
        <f t="shared" si="130"/>
        <v>7584.7449599999991</v>
      </c>
      <c r="R723" s="480" t="s">
        <v>662</v>
      </c>
    </row>
    <row r="724" spans="1:18">
      <c r="A724" s="454"/>
      <c r="B724" s="454" t="str">
        <v>False ceiling</v>
      </c>
      <c r="C724" s="456"/>
      <c r="D724" s="456"/>
      <c r="E724" s="456"/>
      <c r="F724" s="456"/>
      <c r="G724" s="456">
        <f t="shared" si="125"/>
        <v>0</v>
      </c>
      <c r="H724" s="456" t="str">
        <v>Sq M</v>
      </c>
      <c r="I724" s="456" t="str">
        <v>N.A.</v>
      </c>
      <c r="J724" s="456">
        <v>0</v>
      </c>
      <c r="K724" s="456">
        <v>0</v>
      </c>
      <c r="L724" s="456">
        <f t="shared" si="126"/>
        <v>0</v>
      </c>
      <c r="O724" s="455">
        <f t="shared" si="129"/>
        <v>0</v>
      </c>
      <c r="P724" s="455">
        <f t="shared" si="130"/>
        <v>0</v>
      </c>
      <c r="R724" s="480"/>
    </row>
    <row r="725" spans="1:18">
      <c r="A725" s="454"/>
      <c r="B725" s="454" t="str">
        <v>Wall finishes Paint</v>
      </c>
      <c r="C725" s="456"/>
      <c r="D725" s="456"/>
      <c r="E725" s="456">
        <f>E722</f>
        <v>40.3855</v>
      </c>
      <c r="F725" s="456">
        <f>F722</f>
        <v>-10.022499999999999</v>
      </c>
      <c r="G725" s="456">
        <f t="shared" si="125"/>
        <v>30.363</v>
      </c>
      <c r="H725" s="456" t="str">
        <v>Sq M</v>
      </c>
      <c r="I725" s="456" t="str">
        <v>Plastic paint</v>
      </c>
      <c r="J725" s="456">
        <v>20</v>
      </c>
      <c r="K725" s="456">
        <v>215.27999999999997</v>
      </c>
      <c r="L725" s="456">
        <f t="shared" si="126"/>
        <v>6536.5466399999987</v>
      </c>
      <c r="O725" s="455">
        <f t="shared" si="129"/>
        <v>60.725999999999999</v>
      </c>
      <c r="P725" s="455">
        <f t="shared" si="130"/>
        <v>13073.093279999997</v>
      </c>
      <c r="R725" s="480" t="s">
        <v>663</v>
      </c>
    </row>
    <row r="726" spans="1:18">
      <c r="A726" s="454"/>
      <c r="B726" s="454" t="str">
        <v>Ceiling Paint</v>
      </c>
      <c r="C726" s="456"/>
      <c r="D726" s="456"/>
      <c r="E726" s="456">
        <f>E723</f>
        <v>11.01</v>
      </c>
      <c r="F726" s="456"/>
      <c r="G726" s="456">
        <f t="shared" si="125"/>
        <v>11.01</v>
      </c>
      <c r="H726" s="456" t="str">
        <v>Sq M</v>
      </c>
      <c r="I726" s="456" t="str">
        <v>Plastic paint</v>
      </c>
      <c r="J726" s="456">
        <v>20</v>
      </c>
      <c r="K726" s="456">
        <v>215.27999999999997</v>
      </c>
      <c r="L726" s="456">
        <f t="shared" si="126"/>
        <v>2370.2327999999998</v>
      </c>
      <c r="O726" s="455">
        <f t="shared" si="129"/>
        <v>22.02</v>
      </c>
      <c r="P726" s="455">
        <f t="shared" si="130"/>
        <v>4740.4655999999995</v>
      </c>
      <c r="R726" s="480" t="s">
        <v>664</v>
      </c>
    </row>
    <row r="727" spans="1:18">
      <c r="A727" s="454"/>
      <c r="B727" s="454" t="str">
        <v>Door Frames</v>
      </c>
      <c r="C727" s="456"/>
      <c r="D727" s="456"/>
      <c r="E727" s="456"/>
      <c r="F727" s="456"/>
      <c r="G727" s="456">
        <f t="shared" si="125"/>
        <v>0</v>
      </c>
      <c r="H727" s="456" t="str">
        <v>RM</v>
      </c>
      <c r="I727" s="456" t="str">
        <v>N.A.</v>
      </c>
      <c r="J727" s="456">
        <v>0</v>
      </c>
      <c r="K727" s="456">
        <v>0</v>
      </c>
      <c r="L727" s="456">
        <f t="shared" si="126"/>
        <v>0</v>
      </c>
      <c r="O727" s="455">
        <f t="shared" si="129"/>
        <v>0</v>
      </c>
      <c r="P727" s="455">
        <f t="shared" si="130"/>
        <v>0</v>
      </c>
      <c r="R727" s="480"/>
    </row>
    <row r="728" spans="1:18">
      <c r="A728" s="454"/>
      <c r="B728" s="454" t="str">
        <v>Window Frames - Internal</v>
      </c>
      <c r="C728" s="456"/>
      <c r="D728" s="456"/>
      <c r="E728" s="456">
        <f>Windows!F63*2+Windows!G63*2</f>
        <v>10.399999999999999</v>
      </c>
      <c r="F728" s="456"/>
      <c r="G728" s="456">
        <f t="shared" si="125"/>
        <v>10.399999999999999</v>
      </c>
      <c r="H728" s="456" t="str">
        <v>RM</v>
      </c>
      <c r="I728" s="456" t="str">
        <v>Granite Window Frame</v>
      </c>
      <c r="J728" s="456">
        <v>180</v>
      </c>
      <c r="K728" s="456">
        <v>655.92719999999997</v>
      </c>
      <c r="L728" s="456">
        <f t="shared" si="126"/>
        <v>6821.6428799999985</v>
      </c>
      <c r="O728" s="455">
        <f t="shared" si="129"/>
        <v>20.799999999999997</v>
      </c>
      <c r="P728" s="455">
        <f t="shared" si="130"/>
        <v>13643.285759999997</v>
      </c>
      <c r="R728" s="480" t="s">
        <v>743</v>
      </c>
    </row>
    <row r="729" spans="1:18">
      <c r="A729" s="454"/>
      <c r="B729" s="454" t="str">
        <v>Window Frames - External</v>
      </c>
      <c r="C729" s="456"/>
      <c r="D729" s="456"/>
      <c r="E729" s="456">
        <f>E728</f>
        <v>10.399999999999999</v>
      </c>
      <c r="F729" s="456"/>
      <c r="G729" s="456">
        <f t="shared" si="125"/>
        <v>10.399999999999999</v>
      </c>
      <c r="H729" s="456" t="str">
        <v>RM</v>
      </c>
      <c r="I729" s="456" t="str">
        <v>Marble Window Frames with Sill</v>
      </c>
      <c r="J729" s="456">
        <v>60</v>
      </c>
      <c r="K729" s="456">
        <v>399.04239999999999</v>
      </c>
      <c r="L729" s="456">
        <f t="shared" si="126"/>
        <v>4150.0409599999994</v>
      </c>
      <c r="O729" s="455">
        <f t="shared" si="129"/>
        <v>20.799999999999997</v>
      </c>
      <c r="P729" s="455">
        <f t="shared" si="130"/>
        <v>8300.0819199999987</v>
      </c>
      <c r="R729" s="480" t="s">
        <v>409</v>
      </c>
    </row>
    <row r="730" spans="1:18" ht="13.95" customHeight="1">
      <c r="A730" s="454"/>
      <c r="B730" s="454" t="str">
        <v>Others</v>
      </c>
      <c r="C730" s="456"/>
      <c r="D730" s="456"/>
      <c r="E730" s="456"/>
      <c r="F730" s="456"/>
      <c r="G730" s="456">
        <f t="shared" si="125"/>
        <v>0</v>
      </c>
      <c r="H730" s="456" t="str">
        <v>-</v>
      </c>
      <c r="I730" s="456" t="str">
        <v>N.A.</v>
      </c>
      <c r="J730" s="456">
        <v>0</v>
      </c>
      <c r="K730" s="456">
        <v>0</v>
      </c>
      <c r="L730" s="456">
        <f t="shared" si="126"/>
        <v>0</v>
      </c>
      <c r="O730" s="455">
        <f t="shared" si="129"/>
        <v>0</v>
      </c>
      <c r="P730" s="455">
        <f t="shared" si="130"/>
        <v>0</v>
      </c>
    </row>
    <row r="731" spans="1:18" s="479" customFormat="1" ht="13.5" customHeight="1">
      <c r="A731" s="475" t="s">
        <v>628</v>
      </c>
      <c r="B731" s="476" t="str">
        <f>'Flat Sizes'!B73</f>
        <v>M. Toilet</v>
      </c>
      <c r="C731" s="477">
        <f>'Flat Sizes'!D63</f>
        <v>3.83</v>
      </c>
      <c r="D731" s="477">
        <f>'Flat Sizes'!G63</f>
        <v>8.2100000000000009</v>
      </c>
      <c r="E731" s="477"/>
      <c r="F731" s="454"/>
      <c r="G731" s="477"/>
      <c r="H731" s="477"/>
      <c r="I731" s="477"/>
      <c r="J731" s="477"/>
      <c r="K731" s="477"/>
      <c r="L731" s="477"/>
      <c r="M731" s="459">
        <f>SUM(L732:L743)/C731/10.764</f>
        <v>1200.4618558816596</v>
      </c>
      <c r="N731" s="472"/>
      <c r="O731" s="455"/>
      <c r="P731" s="455"/>
      <c r="Q731" s="478"/>
    </row>
    <row r="732" spans="1:18">
      <c r="A732" s="454"/>
      <c r="B732" s="454" t="str" cm="1">
        <f t="array" ref="B732:B743">'Rate List - Flats'!B62:B73</f>
        <v>Flooring</v>
      </c>
      <c r="C732" s="456"/>
      <c r="D732" s="456"/>
      <c r="E732" s="456">
        <f>C731</f>
        <v>3.83</v>
      </c>
      <c r="F732" s="456"/>
      <c r="G732" s="456">
        <f t="shared" si="125"/>
        <v>3.83</v>
      </c>
      <c r="H732" s="456" t="str" cm="1">
        <f t="array" ref="H732:H743">'Rate List - Flats'!H62:H73</f>
        <v>Sq M</v>
      </c>
      <c r="I732" s="456" t="str" cm="1">
        <f t="array" ref="I732:I743">'Rate List - Flats'!C62:C73</f>
        <v>Ceramic tiles/vitrified anti-skid tiles</v>
      </c>
      <c r="J732" s="456" cm="1">
        <f t="array" ref="J732:J743">'Rate List - Flats'!E62:E73</f>
        <v>50</v>
      </c>
      <c r="K732" s="456" cm="1">
        <f t="array" ref="K732:K743">'Rate List - Flats'!G62:G73</f>
        <v>1399.32</v>
      </c>
      <c r="L732" s="456">
        <f t="shared" si="126"/>
        <v>5359.3955999999998</v>
      </c>
      <c r="O732" s="455">
        <f t="shared" ref="O732:O743" si="131">IF(I732="N.A",0,G732*$N$704)</f>
        <v>7.66</v>
      </c>
      <c r="P732" s="455">
        <f t="shared" ref="P732:P743" si="132">L732*$N$704</f>
        <v>10718.7912</v>
      </c>
      <c r="R732" s="480" t="s">
        <v>667</v>
      </c>
    </row>
    <row r="733" spans="1:18">
      <c r="A733" s="454"/>
      <c r="B733" s="454" t="str">
        <v>Skirting</v>
      </c>
      <c r="C733" s="456"/>
      <c r="D733" s="456"/>
      <c r="E733" s="456"/>
      <c r="F733" s="456"/>
      <c r="G733" s="456">
        <f t="shared" si="125"/>
        <v>0</v>
      </c>
      <c r="H733" s="456" t="str">
        <v xml:space="preserve">RM </v>
      </c>
      <c r="I733" s="456" t="str">
        <v>N.A.</v>
      </c>
      <c r="J733" s="456">
        <v>0</v>
      </c>
      <c r="K733" s="456">
        <v>0</v>
      </c>
      <c r="L733" s="456">
        <f t="shared" si="126"/>
        <v>0</v>
      </c>
      <c r="O733" s="455">
        <f t="shared" si="131"/>
        <v>0</v>
      </c>
      <c r="P733" s="455">
        <f t="shared" si="132"/>
        <v>0</v>
      </c>
      <c r="R733" s="480"/>
    </row>
    <row r="734" spans="1:18">
      <c r="A734" s="454"/>
      <c r="B734" s="454" t="str">
        <v>Dado</v>
      </c>
      <c r="C734" s="456"/>
      <c r="D734" s="456">
        <f>D1-0.7</f>
        <v>2.4000000000000004</v>
      </c>
      <c r="E734" s="456">
        <f>D731*D734</f>
        <v>19.704000000000004</v>
      </c>
      <c r="F734" s="456">
        <f>-(Doors!H55+Windows!H64)</f>
        <v>-2.0250000000000004</v>
      </c>
      <c r="G734" s="456">
        <f t="shared" si="125"/>
        <v>17.679000000000002</v>
      </c>
      <c r="H734" s="456" t="str">
        <v>Sq M</v>
      </c>
      <c r="I734" s="456" t="str">
        <v>Vitrified tiles</v>
      </c>
      <c r="J734" s="456">
        <v>50</v>
      </c>
      <c r="K734" s="456">
        <v>1480.05</v>
      </c>
      <c r="L734" s="456">
        <f t="shared" si="126"/>
        <v>26165.803950000001</v>
      </c>
      <c r="O734" s="455">
        <f t="shared" si="131"/>
        <v>35.358000000000004</v>
      </c>
      <c r="P734" s="455">
        <f t="shared" si="132"/>
        <v>52331.607900000003</v>
      </c>
      <c r="R734" s="480" t="s">
        <v>668</v>
      </c>
    </row>
    <row r="735" spans="1:18">
      <c r="A735" s="454"/>
      <c r="B735" s="454" t="str">
        <v>Wall finishes plaster</v>
      </c>
      <c r="C735" s="456"/>
      <c r="D735" s="456">
        <f>D1-D734</f>
        <v>0.69999999999999973</v>
      </c>
      <c r="E735" s="456">
        <f>D731*D735</f>
        <v>5.7469999999999981</v>
      </c>
      <c r="F735" s="456"/>
      <c r="G735" s="456">
        <f t="shared" si="125"/>
        <v>5.7469999999999981</v>
      </c>
      <c r="H735" s="456" t="str">
        <v>Sq M</v>
      </c>
      <c r="I735" s="456" t="str">
        <v>Gypsum Plaster</v>
      </c>
      <c r="J735" s="456">
        <v>32</v>
      </c>
      <c r="K735" s="456">
        <v>344.44799999999998</v>
      </c>
      <c r="L735" s="456">
        <f t="shared" si="126"/>
        <v>1979.5426559999992</v>
      </c>
      <c r="O735" s="455">
        <f t="shared" si="131"/>
        <v>11.493999999999996</v>
      </c>
      <c r="P735" s="455">
        <f t="shared" si="132"/>
        <v>3959.0853119999983</v>
      </c>
      <c r="R735" s="480" t="s">
        <v>661</v>
      </c>
    </row>
    <row r="736" spans="1:18">
      <c r="A736" s="454"/>
      <c r="B736" s="454" t="str">
        <v>Ceiling plaster</v>
      </c>
      <c r="C736" s="456"/>
      <c r="D736" s="456"/>
      <c r="E736" s="456">
        <f>E732</f>
        <v>3.83</v>
      </c>
      <c r="F736" s="456"/>
      <c r="G736" s="456">
        <f t="shared" si="125"/>
        <v>3.83</v>
      </c>
      <c r="H736" s="456" t="str">
        <v>Sq M</v>
      </c>
      <c r="I736" s="456" t="str">
        <v>Gypsum Plaster</v>
      </c>
      <c r="J736" s="456">
        <v>32</v>
      </c>
      <c r="K736" s="456">
        <v>344.44799999999998</v>
      </c>
      <c r="L736" s="456">
        <f t="shared" si="126"/>
        <v>1319.2358400000001</v>
      </c>
      <c r="O736" s="455">
        <f t="shared" si="131"/>
        <v>7.66</v>
      </c>
      <c r="P736" s="455">
        <f t="shared" si="132"/>
        <v>2638.4716800000001</v>
      </c>
      <c r="R736" s="480" t="s">
        <v>662</v>
      </c>
    </row>
    <row r="737" spans="1:18">
      <c r="A737" s="454"/>
      <c r="B737" s="454" t="str">
        <v>False ceiling</v>
      </c>
      <c r="C737" s="456"/>
      <c r="D737" s="456"/>
      <c r="E737" s="456"/>
      <c r="F737" s="456"/>
      <c r="G737" s="456">
        <f t="shared" si="125"/>
        <v>0</v>
      </c>
      <c r="H737" s="456" t="str">
        <v>Sq M</v>
      </c>
      <c r="I737" s="456" t="str">
        <v>N.A.</v>
      </c>
      <c r="J737" s="456">
        <v>0</v>
      </c>
      <c r="K737" s="456">
        <v>0</v>
      </c>
      <c r="L737" s="456">
        <f t="shared" si="126"/>
        <v>0</v>
      </c>
      <c r="O737" s="455">
        <f t="shared" si="131"/>
        <v>0</v>
      </c>
      <c r="P737" s="455">
        <f t="shared" si="132"/>
        <v>0</v>
      </c>
      <c r="R737" s="480"/>
    </row>
    <row r="738" spans="1:18">
      <c r="A738" s="454"/>
      <c r="B738" s="454" t="str">
        <v>Wall finishes Paint</v>
      </c>
      <c r="C738" s="456"/>
      <c r="D738" s="456"/>
      <c r="E738" s="456">
        <f>E735</f>
        <v>5.7469999999999981</v>
      </c>
      <c r="F738" s="456"/>
      <c r="G738" s="456">
        <f t="shared" si="125"/>
        <v>5.7469999999999981</v>
      </c>
      <c r="H738" s="456" t="str">
        <v>Sq M</v>
      </c>
      <c r="I738" s="456" t="str">
        <v>Plastic paint</v>
      </c>
      <c r="J738" s="456">
        <v>20</v>
      </c>
      <c r="K738" s="456">
        <v>215.27999999999997</v>
      </c>
      <c r="L738" s="456">
        <f t="shared" si="126"/>
        <v>1237.2141599999995</v>
      </c>
      <c r="O738" s="455">
        <f t="shared" si="131"/>
        <v>11.493999999999996</v>
      </c>
      <c r="P738" s="455">
        <f t="shared" si="132"/>
        <v>2474.4283199999991</v>
      </c>
      <c r="R738" s="480" t="s">
        <v>663</v>
      </c>
    </row>
    <row r="739" spans="1:18">
      <c r="A739" s="454"/>
      <c r="B739" s="454" t="str">
        <v>Ceiling Paint</v>
      </c>
      <c r="C739" s="456"/>
      <c r="D739" s="456"/>
      <c r="E739" s="456">
        <f>E736</f>
        <v>3.83</v>
      </c>
      <c r="F739" s="456"/>
      <c r="G739" s="456">
        <f t="shared" si="125"/>
        <v>3.83</v>
      </c>
      <c r="H739" s="456" t="str">
        <v>Sq M</v>
      </c>
      <c r="I739" s="456" t="str">
        <v>Plastic paint</v>
      </c>
      <c r="J739" s="456">
        <v>20</v>
      </c>
      <c r="K739" s="456">
        <v>215.27999999999997</v>
      </c>
      <c r="L739" s="456">
        <f t="shared" si="126"/>
        <v>824.52239999999995</v>
      </c>
      <c r="O739" s="455">
        <f t="shared" si="131"/>
        <v>7.66</v>
      </c>
      <c r="P739" s="455">
        <f t="shared" si="132"/>
        <v>1649.0447999999999</v>
      </c>
      <c r="R739" s="480" t="s">
        <v>664</v>
      </c>
    </row>
    <row r="740" spans="1:18">
      <c r="A740" s="454"/>
      <c r="B740" s="454" t="str">
        <v>Door Frames</v>
      </c>
      <c r="C740" s="456"/>
      <c r="D740" s="456"/>
      <c r="E740" s="456">
        <f>Doors!F55*4+Doors!G55*4</f>
        <v>11.4</v>
      </c>
      <c r="F740" s="456"/>
      <c r="G740" s="456">
        <f t="shared" si="125"/>
        <v>11.4</v>
      </c>
      <c r="H740" s="456" t="str">
        <v>RM</v>
      </c>
      <c r="I740" s="456" t="str">
        <v>Granite Frames</v>
      </c>
      <c r="J740" s="456">
        <v>180</v>
      </c>
      <c r="K740" s="456">
        <v>655.92719999999997</v>
      </c>
      <c r="L740" s="456">
        <f t="shared" si="126"/>
        <v>7477.5700799999995</v>
      </c>
      <c r="O740" s="455">
        <f t="shared" si="131"/>
        <v>22.8</v>
      </c>
      <c r="P740" s="455">
        <f t="shared" si="132"/>
        <v>14955.140159999999</v>
      </c>
      <c r="R740" s="480" t="s">
        <v>669</v>
      </c>
    </row>
    <row r="741" spans="1:18">
      <c r="A741" s="454"/>
      <c r="B741" s="454" t="str">
        <v>Window Frames - Internal</v>
      </c>
      <c r="C741" s="456"/>
      <c r="D741" s="456"/>
      <c r="E741" s="456">
        <f>Windows!F64*2+Windows!G64*2</f>
        <v>2.7</v>
      </c>
      <c r="F741" s="456"/>
      <c r="G741" s="456">
        <f t="shared" si="125"/>
        <v>2.7</v>
      </c>
      <c r="H741" s="456" t="str">
        <v>RM</v>
      </c>
      <c r="I741" s="456" t="str">
        <v>Granite Window Frame</v>
      </c>
      <c r="J741" s="456">
        <v>180</v>
      </c>
      <c r="K741" s="456">
        <v>655.92719999999997</v>
      </c>
      <c r="L741" s="456">
        <f t="shared" si="126"/>
        <v>1771.00344</v>
      </c>
      <c r="O741" s="455">
        <f t="shared" si="131"/>
        <v>5.4</v>
      </c>
      <c r="P741" s="455">
        <f t="shared" si="132"/>
        <v>3542.0068799999999</v>
      </c>
      <c r="R741" s="480" t="s">
        <v>743</v>
      </c>
    </row>
    <row r="742" spans="1:18">
      <c r="A742" s="454"/>
      <c r="B742" s="454" t="str">
        <v>Window Frames - External</v>
      </c>
      <c r="C742" s="456"/>
      <c r="D742" s="456"/>
      <c r="E742" s="456">
        <f>E741</f>
        <v>2.7</v>
      </c>
      <c r="F742" s="456"/>
      <c r="G742" s="456">
        <f t="shared" si="125"/>
        <v>2.7</v>
      </c>
      <c r="H742" s="456" t="str">
        <v>RM</v>
      </c>
      <c r="I742" s="456" t="str">
        <v>Marble Window Frames with Sill</v>
      </c>
      <c r="J742" s="456">
        <v>60</v>
      </c>
      <c r="K742" s="456">
        <v>399.04239999999999</v>
      </c>
      <c r="L742" s="456">
        <f t="shared" si="126"/>
        <v>1077.4144800000001</v>
      </c>
      <c r="O742" s="455">
        <f t="shared" si="131"/>
        <v>5.4</v>
      </c>
      <c r="P742" s="455">
        <f t="shared" si="132"/>
        <v>2154.8289600000003</v>
      </c>
      <c r="R742" s="480" t="s">
        <v>409</v>
      </c>
    </row>
    <row r="743" spans="1:18">
      <c r="A743" s="454"/>
      <c r="B743" s="454" t="str">
        <v>Others - Counter</v>
      </c>
      <c r="C743" s="456"/>
      <c r="D743" s="456"/>
      <c r="E743" s="456">
        <f>0.6*0.6</f>
        <v>0.36</v>
      </c>
      <c r="F743" s="456"/>
      <c r="G743" s="456">
        <f t="shared" si="125"/>
        <v>0.36</v>
      </c>
      <c r="H743" s="456" t="str">
        <v>Sq M</v>
      </c>
      <c r="I743" s="456" t="str">
        <v>Basin Counter 1'6" - Granite Basin Counter</v>
      </c>
      <c r="J743" s="456">
        <v>180</v>
      </c>
      <c r="K743" s="456">
        <v>6329.6720000000005</v>
      </c>
      <c r="L743" s="456">
        <f t="shared" si="126"/>
        <v>2278.68192</v>
      </c>
      <c r="O743" s="455">
        <f t="shared" si="131"/>
        <v>0.72</v>
      </c>
      <c r="P743" s="455">
        <f t="shared" si="132"/>
        <v>4557.36384</v>
      </c>
      <c r="R743" s="480" t="s">
        <v>670</v>
      </c>
    </row>
    <row r="744" spans="1:18" s="479" customFormat="1" ht="13.5" customHeight="1">
      <c r="A744" s="475" t="s">
        <v>628</v>
      </c>
      <c r="B744" s="476" t="str">
        <f>'Flat Sizes'!B64</f>
        <v>M. Bedroom</v>
      </c>
      <c r="C744" s="477">
        <f>'Flat Sizes'!D64</f>
        <v>11.26</v>
      </c>
      <c r="D744" s="477">
        <f>'Flat Sizes'!G64</f>
        <v>13.7</v>
      </c>
      <c r="E744" s="477"/>
      <c r="F744" s="454"/>
      <c r="G744" s="477"/>
      <c r="H744" s="477"/>
      <c r="I744" s="477"/>
      <c r="J744" s="477"/>
      <c r="K744" s="477"/>
      <c r="L744" s="477"/>
      <c r="M744" s="459">
        <f>SUM(L745:L756)/C744/10.764</f>
        <v>498.75367104214888</v>
      </c>
      <c r="N744" s="472"/>
      <c r="O744" s="455"/>
      <c r="P744" s="455"/>
      <c r="Q744" s="478"/>
    </row>
    <row r="745" spans="1:18">
      <c r="A745" s="454"/>
      <c r="B745" s="454" t="str" cm="1">
        <f t="array" ref="B745:B756">'Rate List - Flats'!B34:B45</f>
        <v>Flooring</v>
      </c>
      <c r="C745" s="456"/>
      <c r="D745" s="456"/>
      <c r="E745" s="456">
        <f>C744</f>
        <v>11.26</v>
      </c>
      <c r="F745" s="456"/>
      <c r="G745" s="456">
        <f t="shared" si="125"/>
        <v>11.26</v>
      </c>
      <c r="H745" s="456" t="str" cm="1">
        <f t="array" ref="H745:H756">'Rate List - Flats'!H34:H45</f>
        <v>Sq M</v>
      </c>
      <c r="I745" s="456" t="str" cm="1">
        <f t="array" ref="I745:I756">'Rate List - Flats'!C34:C45</f>
        <v>2'x2' Vitrified tiles</v>
      </c>
      <c r="J745" s="456" cm="1">
        <f t="array" ref="J745:J756">'Rate List - Flats'!E34:E45</f>
        <v>45</v>
      </c>
      <c r="K745" s="456" cm="1">
        <f t="array" ref="K745:K756">'Rate List - Flats'!G34:G45</f>
        <v>1340.1179999999999</v>
      </c>
      <c r="L745" s="456">
        <f t="shared" si="126"/>
        <v>15089.728679999998</v>
      </c>
      <c r="O745" s="455">
        <f t="shared" ref="O745:O756" si="133">IF(I745="N.A",0,G745*$N$704)</f>
        <v>22.52</v>
      </c>
      <c r="P745" s="455">
        <f t="shared" ref="P745:P756" si="134">L745*$N$704</f>
        <v>30179.457359999997</v>
      </c>
      <c r="R745" s="480" t="s">
        <v>659</v>
      </c>
    </row>
    <row r="746" spans="1:18">
      <c r="A746" s="454"/>
      <c r="B746" s="454" t="str">
        <v>Skirting</v>
      </c>
      <c r="C746" s="456"/>
      <c r="D746" s="456"/>
      <c r="E746" s="456">
        <f>D744</f>
        <v>13.7</v>
      </c>
      <c r="F746" s="456">
        <f>-(Doors!F56+Doors!F57)</f>
        <v>-1.65</v>
      </c>
      <c r="G746" s="456">
        <f t="shared" si="125"/>
        <v>12.049999999999999</v>
      </c>
      <c r="H746" s="456" t="str">
        <v>RM</v>
      </c>
      <c r="I746" s="456" t="str">
        <v xml:space="preserve">2'x2' Vitrified tiles </v>
      </c>
      <c r="J746" s="456">
        <v>45</v>
      </c>
      <c r="K746" s="456">
        <v>391.96</v>
      </c>
      <c r="L746" s="456">
        <f t="shared" si="126"/>
        <v>4723.1179999999995</v>
      </c>
      <c r="O746" s="455">
        <f t="shared" si="133"/>
        <v>24.099999999999998</v>
      </c>
      <c r="P746" s="455">
        <f t="shared" si="134"/>
        <v>9446.235999999999</v>
      </c>
      <c r="R746" s="480" t="s">
        <v>660</v>
      </c>
    </row>
    <row r="747" spans="1:18">
      <c r="A747" s="454"/>
      <c r="B747" s="454" t="str">
        <v>Dado</v>
      </c>
      <c r="C747" s="456"/>
      <c r="D747" s="456"/>
      <c r="E747" s="456"/>
      <c r="F747" s="456"/>
      <c r="G747" s="456">
        <f t="shared" si="125"/>
        <v>0</v>
      </c>
      <c r="H747" s="456" t="str">
        <v>Sq M</v>
      </c>
      <c r="I747" s="456" t="str">
        <v>N.A.</v>
      </c>
      <c r="J747" s="456">
        <v>0</v>
      </c>
      <c r="K747" s="456">
        <v>0</v>
      </c>
      <c r="L747" s="456">
        <f t="shared" si="126"/>
        <v>0</v>
      </c>
      <c r="O747" s="455">
        <f t="shared" si="133"/>
        <v>0</v>
      </c>
      <c r="P747" s="455">
        <f t="shared" si="134"/>
        <v>0</v>
      </c>
      <c r="R747" s="480"/>
    </row>
    <row r="748" spans="1:18">
      <c r="A748" s="454"/>
      <c r="B748" s="454" t="str">
        <v>Wall finishes plaster</v>
      </c>
      <c r="C748" s="456"/>
      <c r="D748" s="456"/>
      <c r="E748" s="456">
        <f>D744*(D1-0.15)</f>
        <v>40.414999999999999</v>
      </c>
      <c r="F748" s="456">
        <f>-(Doors!H56+Windows!H65+Windows!H66)</f>
        <v>-10.661999999999999</v>
      </c>
      <c r="G748" s="456">
        <f t="shared" si="125"/>
        <v>29.753</v>
      </c>
      <c r="H748" s="456" t="str">
        <v>Sq M</v>
      </c>
      <c r="I748" s="456" t="str">
        <v>Gypsum Plaster</v>
      </c>
      <c r="J748" s="456">
        <v>32</v>
      </c>
      <c r="K748" s="456">
        <v>344.44799999999998</v>
      </c>
      <c r="L748" s="456">
        <f t="shared" si="126"/>
        <v>10248.361343999999</v>
      </c>
      <c r="O748" s="455">
        <f t="shared" si="133"/>
        <v>59.506</v>
      </c>
      <c r="P748" s="455">
        <f t="shared" si="134"/>
        <v>20496.722687999998</v>
      </c>
      <c r="R748" s="480" t="s">
        <v>661</v>
      </c>
    </row>
    <row r="749" spans="1:18">
      <c r="A749" s="454"/>
      <c r="B749" s="454" t="str">
        <v>Ceiling plaster</v>
      </c>
      <c r="C749" s="456"/>
      <c r="D749" s="456"/>
      <c r="E749" s="456">
        <f>E745</f>
        <v>11.26</v>
      </c>
      <c r="F749" s="456"/>
      <c r="G749" s="456">
        <f t="shared" si="125"/>
        <v>11.26</v>
      </c>
      <c r="H749" s="456" t="str">
        <v>Sq M</v>
      </c>
      <c r="I749" s="456" t="str">
        <v>Gypsum Plaster</v>
      </c>
      <c r="J749" s="456">
        <v>32</v>
      </c>
      <c r="K749" s="456">
        <v>344.44799999999998</v>
      </c>
      <c r="L749" s="456">
        <f t="shared" si="126"/>
        <v>3878.4844799999996</v>
      </c>
      <c r="O749" s="455">
        <f t="shared" si="133"/>
        <v>22.52</v>
      </c>
      <c r="P749" s="455">
        <f t="shared" si="134"/>
        <v>7756.9689599999992</v>
      </c>
      <c r="R749" s="480" t="s">
        <v>662</v>
      </c>
    </row>
    <row r="750" spans="1:18">
      <c r="A750" s="454"/>
      <c r="B750" s="454" t="str">
        <v>False ceiling</v>
      </c>
      <c r="C750" s="456"/>
      <c r="D750" s="456"/>
      <c r="E750" s="456"/>
      <c r="F750" s="456"/>
      <c r="G750" s="456">
        <f t="shared" si="125"/>
        <v>0</v>
      </c>
      <c r="H750" s="456" t="str">
        <v>Sq M</v>
      </c>
      <c r="I750" s="456" t="str">
        <v>N.A.</v>
      </c>
      <c r="J750" s="456">
        <v>0</v>
      </c>
      <c r="K750" s="456">
        <v>0</v>
      </c>
      <c r="L750" s="456">
        <f t="shared" si="126"/>
        <v>0</v>
      </c>
      <c r="O750" s="455">
        <f t="shared" si="133"/>
        <v>0</v>
      </c>
      <c r="P750" s="455">
        <f t="shared" si="134"/>
        <v>0</v>
      </c>
      <c r="R750" s="480"/>
    </row>
    <row r="751" spans="1:18">
      <c r="A751" s="454"/>
      <c r="B751" s="454" t="str">
        <v>Wall finishes Paint</v>
      </c>
      <c r="C751" s="456"/>
      <c r="D751" s="456"/>
      <c r="E751" s="456">
        <f>E748</f>
        <v>40.414999999999999</v>
      </c>
      <c r="F751" s="456">
        <f>F748</f>
        <v>-10.661999999999999</v>
      </c>
      <c r="G751" s="456">
        <f t="shared" si="125"/>
        <v>29.753</v>
      </c>
      <c r="H751" s="456" t="str">
        <v>Sq M</v>
      </c>
      <c r="I751" s="456" t="str">
        <v>Plastic paint</v>
      </c>
      <c r="J751" s="456">
        <v>20</v>
      </c>
      <c r="K751" s="456">
        <v>215.27999999999997</v>
      </c>
      <c r="L751" s="456">
        <f t="shared" si="126"/>
        <v>6405.2258399999992</v>
      </c>
      <c r="O751" s="455">
        <f t="shared" si="133"/>
        <v>59.506</v>
      </c>
      <c r="P751" s="455">
        <f t="shared" si="134"/>
        <v>12810.451679999998</v>
      </c>
      <c r="R751" s="480" t="s">
        <v>663</v>
      </c>
    </row>
    <row r="752" spans="1:18">
      <c r="A752" s="454"/>
      <c r="B752" s="454" t="str">
        <v>Ceiling Paint</v>
      </c>
      <c r="C752" s="456"/>
      <c r="D752" s="456"/>
      <c r="E752" s="456">
        <f>E749</f>
        <v>11.26</v>
      </c>
      <c r="F752" s="456"/>
      <c r="G752" s="456">
        <f t="shared" si="125"/>
        <v>11.26</v>
      </c>
      <c r="H752" s="456" t="str">
        <v>Sq M</v>
      </c>
      <c r="I752" s="456" t="str">
        <v>Plastic paint</v>
      </c>
      <c r="J752" s="456">
        <v>20</v>
      </c>
      <c r="K752" s="456">
        <v>215.27999999999997</v>
      </c>
      <c r="L752" s="456">
        <f t="shared" si="126"/>
        <v>2424.0527999999995</v>
      </c>
      <c r="O752" s="455">
        <f t="shared" si="133"/>
        <v>22.52</v>
      </c>
      <c r="P752" s="455">
        <f t="shared" si="134"/>
        <v>4848.105599999999</v>
      </c>
      <c r="R752" s="480" t="s">
        <v>664</v>
      </c>
    </row>
    <row r="753" spans="1:18">
      <c r="A753" s="454"/>
      <c r="B753" s="454" t="str">
        <v>Door Frames</v>
      </c>
      <c r="C753" s="456"/>
      <c r="D753" s="456"/>
      <c r="E753" s="456"/>
      <c r="F753" s="456"/>
      <c r="G753" s="456">
        <f t="shared" si="125"/>
        <v>0</v>
      </c>
      <c r="H753" s="456" t="str">
        <v>RM</v>
      </c>
      <c r="I753" s="456" t="str">
        <v>N.A.</v>
      </c>
      <c r="J753" s="456">
        <v>0</v>
      </c>
      <c r="K753" s="456">
        <v>0</v>
      </c>
      <c r="L753" s="456">
        <f t="shared" si="126"/>
        <v>0</v>
      </c>
      <c r="O753" s="455">
        <f t="shared" si="133"/>
        <v>0</v>
      </c>
      <c r="P753" s="455">
        <f t="shared" si="134"/>
        <v>0</v>
      </c>
      <c r="R753" s="480"/>
    </row>
    <row r="754" spans="1:18">
      <c r="A754" s="454"/>
      <c r="B754" s="454" t="str">
        <v>Window Frames - Internal</v>
      </c>
      <c r="C754" s="456"/>
      <c r="D754" s="456"/>
      <c r="E754" s="456">
        <f>Windows!F65*2+Windows!G65*2+Windows!F66*2+Windows!G66*2</f>
        <v>16.759999999999998</v>
      </c>
      <c r="F754" s="456"/>
      <c r="G754" s="456">
        <f t="shared" si="125"/>
        <v>16.759999999999998</v>
      </c>
      <c r="H754" s="456" t="str">
        <v>RM</v>
      </c>
      <c r="I754" s="456" t="str">
        <v>Granite Window Frame</v>
      </c>
      <c r="J754" s="456">
        <v>180</v>
      </c>
      <c r="K754" s="456">
        <v>655.92719999999997</v>
      </c>
      <c r="L754" s="456">
        <f t="shared" si="126"/>
        <v>10993.339871999999</v>
      </c>
      <c r="O754" s="455">
        <f t="shared" si="133"/>
        <v>33.519999999999996</v>
      </c>
      <c r="P754" s="455">
        <f t="shared" si="134"/>
        <v>21986.679743999997</v>
      </c>
      <c r="R754" s="480" t="s">
        <v>743</v>
      </c>
    </row>
    <row r="755" spans="1:18">
      <c r="A755" s="454"/>
      <c r="B755" s="454" t="str">
        <v>Window Frames - External</v>
      </c>
      <c r="C755" s="456"/>
      <c r="D755" s="456"/>
      <c r="E755" s="456">
        <f>E754</f>
        <v>16.759999999999998</v>
      </c>
      <c r="F755" s="456"/>
      <c r="G755" s="456">
        <f t="shared" si="125"/>
        <v>16.759999999999998</v>
      </c>
      <c r="H755" s="456" t="str">
        <v>RM</v>
      </c>
      <c r="I755" s="456" t="str">
        <v>Marble Window Frames with Sill</v>
      </c>
      <c r="J755" s="456">
        <v>60</v>
      </c>
      <c r="K755" s="456">
        <v>399.04239999999999</v>
      </c>
      <c r="L755" s="456">
        <f t="shared" si="126"/>
        <v>6687.9506239999992</v>
      </c>
      <c r="O755" s="455">
        <f t="shared" si="133"/>
        <v>33.519999999999996</v>
      </c>
      <c r="P755" s="455">
        <f t="shared" si="134"/>
        <v>13375.901247999998</v>
      </c>
      <c r="R755" s="480" t="s">
        <v>409</v>
      </c>
    </row>
    <row r="756" spans="1:18">
      <c r="A756" s="454"/>
      <c r="B756" s="454" t="str">
        <v>Others</v>
      </c>
      <c r="C756" s="456"/>
      <c r="D756" s="456"/>
      <c r="E756" s="456"/>
      <c r="F756" s="456"/>
      <c r="G756" s="456">
        <f t="shared" si="125"/>
        <v>0</v>
      </c>
      <c r="H756" s="456" t="str">
        <v>-</v>
      </c>
      <c r="I756" s="456" t="str">
        <v>N.A.</v>
      </c>
      <c r="J756" s="456">
        <v>0</v>
      </c>
      <c r="K756" s="456">
        <v>0</v>
      </c>
      <c r="L756" s="456">
        <f t="shared" si="126"/>
        <v>0</v>
      </c>
      <c r="O756" s="455">
        <f t="shared" si="133"/>
        <v>0</v>
      </c>
      <c r="P756" s="455">
        <f t="shared" si="134"/>
        <v>0</v>
      </c>
    </row>
    <row r="757" spans="1:18" s="479" customFormat="1" ht="13.5" customHeight="1">
      <c r="A757" s="475" t="s">
        <v>628</v>
      </c>
      <c r="B757" s="476" t="str">
        <f>'Flat Sizes'!B65</f>
        <v>M. Toilet</v>
      </c>
      <c r="C757" s="477">
        <f>'Flat Sizes'!D65</f>
        <v>3.9</v>
      </c>
      <c r="D757" s="477">
        <f>'Flat Sizes'!G65</f>
        <v>8.27</v>
      </c>
      <c r="E757" s="477"/>
      <c r="F757" s="454"/>
      <c r="G757" s="477"/>
      <c r="H757" s="477"/>
      <c r="I757" s="477"/>
      <c r="J757" s="477"/>
      <c r="K757" s="477"/>
      <c r="L757" s="477"/>
      <c r="M757" s="459">
        <f>SUM(L758:L769)/C757/10.764</f>
        <v>1187.8186943658347</v>
      </c>
      <c r="N757" s="472"/>
      <c r="O757" s="455"/>
      <c r="P757" s="455"/>
      <c r="Q757" s="478"/>
    </row>
    <row r="758" spans="1:18">
      <c r="A758" s="454"/>
      <c r="B758" s="454" t="str" cm="1">
        <f t="array" ref="B758:B769">'Rate List - Flats'!B62:B73</f>
        <v>Flooring</v>
      </c>
      <c r="C758" s="456"/>
      <c r="D758" s="456"/>
      <c r="E758" s="456">
        <f>C757</f>
        <v>3.9</v>
      </c>
      <c r="F758" s="456"/>
      <c r="G758" s="456">
        <f t="shared" si="125"/>
        <v>3.9</v>
      </c>
      <c r="H758" s="456" t="str" cm="1">
        <f t="array" ref="H758:H769">'Rate List - Flats'!H62:H73</f>
        <v>Sq M</v>
      </c>
      <c r="I758" s="456" t="str" cm="1">
        <f t="array" ref="I758:I769">'Rate List - Flats'!C62:C73</f>
        <v>Ceramic tiles/vitrified anti-skid tiles</v>
      </c>
      <c r="J758" s="456" cm="1">
        <f t="array" ref="J758:J769">'Rate List - Flats'!E62:E73</f>
        <v>50</v>
      </c>
      <c r="K758" s="456" cm="1">
        <f t="array" ref="K758:K769">'Rate List - Flats'!G62:G73</f>
        <v>1399.32</v>
      </c>
      <c r="L758" s="456">
        <f t="shared" si="126"/>
        <v>5457.348</v>
      </c>
      <c r="O758" s="455">
        <f t="shared" ref="O758:O769" si="135">IF(I758="N.A",0,G758*$N$704)</f>
        <v>7.8</v>
      </c>
      <c r="P758" s="455">
        <f t="shared" ref="P758:P769" si="136">L758*$N$704</f>
        <v>10914.696</v>
      </c>
      <c r="R758" s="480" t="s">
        <v>667</v>
      </c>
    </row>
    <row r="759" spans="1:18">
      <c r="A759" s="454"/>
      <c r="B759" s="454" t="str">
        <v>Skirting</v>
      </c>
      <c r="C759" s="456"/>
      <c r="D759" s="456"/>
      <c r="E759" s="456"/>
      <c r="F759" s="456"/>
      <c r="G759" s="456">
        <f t="shared" si="125"/>
        <v>0</v>
      </c>
      <c r="H759" s="456" t="str">
        <v xml:space="preserve">RM </v>
      </c>
      <c r="I759" s="456" t="str">
        <v>N.A.</v>
      </c>
      <c r="J759" s="456">
        <v>0</v>
      </c>
      <c r="K759" s="456">
        <v>0</v>
      </c>
      <c r="L759" s="456">
        <f t="shared" si="126"/>
        <v>0</v>
      </c>
      <c r="O759" s="455">
        <f t="shared" si="135"/>
        <v>0</v>
      </c>
      <c r="P759" s="455">
        <f t="shared" si="136"/>
        <v>0</v>
      </c>
      <c r="R759" s="480"/>
    </row>
    <row r="760" spans="1:18">
      <c r="A760" s="454"/>
      <c r="B760" s="454" t="str">
        <v>Dado</v>
      </c>
      <c r="C760" s="456"/>
      <c r="D760" s="456">
        <f>D1-0.7</f>
        <v>2.4000000000000004</v>
      </c>
      <c r="E760" s="456">
        <f>D757*D760</f>
        <v>19.848000000000003</v>
      </c>
      <c r="F760" s="456">
        <f>-(Doors!H57+Windows!H67)</f>
        <v>-2.0250000000000004</v>
      </c>
      <c r="G760" s="456">
        <f t="shared" si="125"/>
        <v>17.823</v>
      </c>
      <c r="H760" s="456" t="str">
        <v>Sq M</v>
      </c>
      <c r="I760" s="456" t="str">
        <v>Vitrified tiles</v>
      </c>
      <c r="J760" s="456">
        <v>50</v>
      </c>
      <c r="K760" s="456">
        <v>1480.05</v>
      </c>
      <c r="L760" s="456">
        <f t="shared" si="126"/>
        <v>26378.93115</v>
      </c>
      <c r="O760" s="455">
        <f t="shared" si="135"/>
        <v>35.646000000000001</v>
      </c>
      <c r="P760" s="455">
        <f t="shared" si="136"/>
        <v>52757.862300000001</v>
      </c>
      <c r="R760" s="480" t="s">
        <v>668</v>
      </c>
    </row>
    <row r="761" spans="1:18">
      <c r="A761" s="454"/>
      <c r="B761" s="454" t="str">
        <v>Wall finishes plaster</v>
      </c>
      <c r="C761" s="456"/>
      <c r="D761" s="456">
        <f>D1-D760</f>
        <v>0.69999999999999973</v>
      </c>
      <c r="E761" s="456">
        <f>D757*D761</f>
        <v>5.7889999999999979</v>
      </c>
      <c r="F761" s="456"/>
      <c r="G761" s="456">
        <f t="shared" si="125"/>
        <v>5.7889999999999979</v>
      </c>
      <c r="H761" s="456" t="str">
        <v>Sq M</v>
      </c>
      <c r="I761" s="456" t="str">
        <v>Gypsum Plaster</v>
      </c>
      <c r="J761" s="456">
        <v>32</v>
      </c>
      <c r="K761" s="456">
        <v>344.44799999999998</v>
      </c>
      <c r="L761" s="456">
        <f t="shared" si="126"/>
        <v>1994.0094719999993</v>
      </c>
      <c r="O761" s="455">
        <f t="shared" si="135"/>
        <v>11.577999999999996</v>
      </c>
      <c r="P761" s="455">
        <f t="shared" si="136"/>
        <v>3988.0189439999986</v>
      </c>
      <c r="R761" s="480" t="s">
        <v>661</v>
      </c>
    </row>
    <row r="762" spans="1:18">
      <c r="A762" s="454"/>
      <c r="B762" s="454" t="str">
        <v>Ceiling plaster</v>
      </c>
      <c r="C762" s="456"/>
      <c r="D762" s="456"/>
      <c r="E762" s="456">
        <f>E758</f>
        <v>3.9</v>
      </c>
      <c r="F762" s="456"/>
      <c r="G762" s="456">
        <f t="shared" si="125"/>
        <v>3.9</v>
      </c>
      <c r="H762" s="456" t="str">
        <v>Sq M</v>
      </c>
      <c r="I762" s="456" t="str">
        <v>Gypsum Plaster</v>
      </c>
      <c r="J762" s="456">
        <v>32</v>
      </c>
      <c r="K762" s="456">
        <v>344.44799999999998</v>
      </c>
      <c r="L762" s="456">
        <f t="shared" si="126"/>
        <v>1343.3471999999999</v>
      </c>
      <c r="O762" s="455">
        <f t="shared" si="135"/>
        <v>7.8</v>
      </c>
      <c r="P762" s="455">
        <f t="shared" si="136"/>
        <v>2686.6943999999999</v>
      </c>
      <c r="R762" s="480" t="s">
        <v>662</v>
      </c>
    </row>
    <row r="763" spans="1:18">
      <c r="A763" s="454"/>
      <c r="B763" s="454" t="str">
        <v>False ceiling</v>
      </c>
      <c r="C763" s="456"/>
      <c r="D763" s="456"/>
      <c r="E763" s="456"/>
      <c r="F763" s="456"/>
      <c r="G763" s="456">
        <f t="shared" si="125"/>
        <v>0</v>
      </c>
      <c r="H763" s="456" t="str">
        <v>Sq M</v>
      </c>
      <c r="I763" s="456" t="str">
        <v>N.A.</v>
      </c>
      <c r="J763" s="456">
        <v>0</v>
      </c>
      <c r="K763" s="456">
        <v>0</v>
      </c>
      <c r="L763" s="456">
        <f t="shared" si="126"/>
        <v>0</v>
      </c>
      <c r="O763" s="455">
        <f t="shared" si="135"/>
        <v>0</v>
      </c>
      <c r="P763" s="455">
        <f t="shared" si="136"/>
        <v>0</v>
      </c>
      <c r="R763" s="480"/>
    </row>
    <row r="764" spans="1:18">
      <c r="A764" s="454"/>
      <c r="B764" s="454" t="str">
        <v>Wall finishes Paint</v>
      </c>
      <c r="C764" s="456"/>
      <c r="D764" s="456"/>
      <c r="E764" s="456">
        <f>E761</f>
        <v>5.7889999999999979</v>
      </c>
      <c r="F764" s="456"/>
      <c r="G764" s="456">
        <f t="shared" si="125"/>
        <v>5.7889999999999979</v>
      </c>
      <c r="H764" s="456" t="str">
        <v>Sq M</v>
      </c>
      <c r="I764" s="456" t="str">
        <v>Plastic paint</v>
      </c>
      <c r="J764" s="456">
        <v>20</v>
      </c>
      <c r="K764" s="456">
        <v>215.27999999999997</v>
      </c>
      <c r="L764" s="456">
        <f t="shared" si="126"/>
        <v>1246.2559199999994</v>
      </c>
      <c r="O764" s="455">
        <f t="shared" si="135"/>
        <v>11.577999999999996</v>
      </c>
      <c r="P764" s="455">
        <f t="shared" si="136"/>
        <v>2492.5118399999988</v>
      </c>
      <c r="R764" s="480" t="s">
        <v>663</v>
      </c>
    </row>
    <row r="765" spans="1:18">
      <c r="A765" s="454"/>
      <c r="B765" s="454" t="str">
        <v>Ceiling Paint</v>
      </c>
      <c r="C765" s="456"/>
      <c r="D765" s="456"/>
      <c r="E765" s="456">
        <f>E762</f>
        <v>3.9</v>
      </c>
      <c r="F765" s="456"/>
      <c r="G765" s="456">
        <f t="shared" si="125"/>
        <v>3.9</v>
      </c>
      <c r="H765" s="456" t="str">
        <v>Sq M</v>
      </c>
      <c r="I765" s="456" t="str">
        <v>Plastic paint</v>
      </c>
      <c r="J765" s="456">
        <v>20</v>
      </c>
      <c r="K765" s="456">
        <v>215.27999999999997</v>
      </c>
      <c r="L765" s="456">
        <f t="shared" si="126"/>
        <v>839.59199999999987</v>
      </c>
      <c r="O765" s="455">
        <f t="shared" si="135"/>
        <v>7.8</v>
      </c>
      <c r="P765" s="455">
        <f t="shared" si="136"/>
        <v>1679.1839999999997</v>
      </c>
      <c r="R765" s="480" t="s">
        <v>664</v>
      </c>
    </row>
    <row r="766" spans="1:18">
      <c r="A766" s="454"/>
      <c r="B766" s="454" t="str">
        <v>Door Frames</v>
      </c>
      <c r="C766" s="456"/>
      <c r="D766" s="456"/>
      <c r="E766" s="456">
        <f>Doors!F57*4+Doors!G57*4</f>
        <v>11.4</v>
      </c>
      <c r="F766" s="456"/>
      <c r="G766" s="456">
        <f t="shared" si="125"/>
        <v>11.4</v>
      </c>
      <c r="H766" s="456" t="str">
        <v>RM</v>
      </c>
      <c r="I766" s="456" t="str">
        <v>Granite Frames</v>
      </c>
      <c r="J766" s="456">
        <v>180</v>
      </c>
      <c r="K766" s="456">
        <v>655.92719999999997</v>
      </c>
      <c r="L766" s="456">
        <f t="shared" si="126"/>
        <v>7477.5700799999995</v>
      </c>
      <c r="O766" s="455">
        <f t="shared" si="135"/>
        <v>22.8</v>
      </c>
      <c r="P766" s="455">
        <f t="shared" si="136"/>
        <v>14955.140159999999</v>
      </c>
      <c r="R766" s="480" t="s">
        <v>669</v>
      </c>
    </row>
    <row r="767" spans="1:18">
      <c r="A767" s="454"/>
      <c r="B767" s="454" t="str">
        <v>Window Frames - Internal</v>
      </c>
      <c r="C767" s="456"/>
      <c r="D767" s="456"/>
      <c r="E767" s="456">
        <f>Windows!F67*2+Windows!G67*2</f>
        <v>2.7</v>
      </c>
      <c r="F767" s="456"/>
      <c r="G767" s="456">
        <f t="shared" si="125"/>
        <v>2.7</v>
      </c>
      <c r="H767" s="456" t="str">
        <v>RM</v>
      </c>
      <c r="I767" s="456" t="str">
        <v>Granite Window Frame</v>
      </c>
      <c r="J767" s="456">
        <v>180</v>
      </c>
      <c r="K767" s="456">
        <v>655.92719999999997</v>
      </c>
      <c r="L767" s="456">
        <f t="shared" si="126"/>
        <v>1771.00344</v>
      </c>
      <c r="O767" s="455">
        <f t="shared" si="135"/>
        <v>5.4</v>
      </c>
      <c r="P767" s="455">
        <f t="shared" si="136"/>
        <v>3542.0068799999999</v>
      </c>
      <c r="R767" s="480" t="s">
        <v>743</v>
      </c>
    </row>
    <row r="768" spans="1:18">
      <c r="A768" s="454"/>
      <c r="B768" s="454" t="str">
        <v>Window Frames - External</v>
      </c>
      <c r="C768" s="456"/>
      <c r="D768" s="456"/>
      <c r="E768" s="456">
        <f>E767</f>
        <v>2.7</v>
      </c>
      <c r="F768" s="456"/>
      <c r="G768" s="456">
        <f t="shared" si="125"/>
        <v>2.7</v>
      </c>
      <c r="H768" s="456" t="str">
        <v>RM</v>
      </c>
      <c r="I768" s="456" t="str">
        <v>Marble Window Frames with Sill</v>
      </c>
      <c r="J768" s="456">
        <v>60</v>
      </c>
      <c r="K768" s="456">
        <v>399.04239999999999</v>
      </c>
      <c r="L768" s="456">
        <f t="shared" si="126"/>
        <v>1077.4144800000001</v>
      </c>
      <c r="O768" s="455">
        <f t="shared" si="135"/>
        <v>5.4</v>
      </c>
      <c r="P768" s="455">
        <f t="shared" si="136"/>
        <v>2154.8289600000003</v>
      </c>
      <c r="R768" s="480" t="s">
        <v>409</v>
      </c>
    </row>
    <row r="769" spans="1:18">
      <c r="A769" s="454"/>
      <c r="B769" s="454" t="str">
        <v>Others - Counter</v>
      </c>
      <c r="C769" s="456"/>
      <c r="D769" s="456"/>
      <c r="E769" s="456">
        <f>0.6*0.6</f>
        <v>0.36</v>
      </c>
      <c r="F769" s="456"/>
      <c r="G769" s="456">
        <f t="shared" si="125"/>
        <v>0.36</v>
      </c>
      <c r="H769" s="456" t="str">
        <v>Sq M</v>
      </c>
      <c r="I769" s="456" t="str">
        <v>Basin Counter 1'6" - Granite Basin Counter</v>
      </c>
      <c r="J769" s="456">
        <v>180</v>
      </c>
      <c r="K769" s="456">
        <v>6329.6720000000005</v>
      </c>
      <c r="L769" s="456">
        <f t="shared" si="126"/>
        <v>2278.68192</v>
      </c>
      <c r="O769" s="455">
        <f t="shared" si="135"/>
        <v>0.72</v>
      </c>
      <c r="P769" s="455">
        <f t="shared" si="136"/>
        <v>4557.36384</v>
      </c>
      <c r="R769" s="480" t="s">
        <v>670</v>
      </c>
    </row>
    <row r="770" spans="1:18" s="479" customFormat="1" ht="13.5" customHeight="1">
      <c r="A770" s="475" t="s">
        <v>628</v>
      </c>
      <c r="B770" s="476" t="str">
        <f>'Flat Sizes'!B66</f>
        <v>Kitchen</v>
      </c>
      <c r="C770" s="477">
        <f>'Flat Sizes'!D66</f>
        <v>6.14</v>
      </c>
      <c r="D770" s="477">
        <f>'Flat Sizes'!G66</f>
        <v>10.4</v>
      </c>
      <c r="E770" s="477"/>
      <c r="F770" s="454"/>
      <c r="G770" s="477"/>
      <c r="H770" s="477"/>
      <c r="I770" s="477"/>
      <c r="J770" s="477"/>
      <c r="K770" s="477"/>
      <c r="L770" s="477"/>
      <c r="M770" s="459">
        <f>SUM(L771:L784)/C770/10.764</f>
        <v>1352.0905194174818</v>
      </c>
      <c r="N770" s="472"/>
      <c r="O770" s="455"/>
      <c r="P770" s="455"/>
      <c r="Q770" s="478"/>
    </row>
    <row r="771" spans="1:18">
      <c r="A771" s="454"/>
      <c r="B771" s="454" t="str" cm="1">
        <f t="array" ref="B771:B784">'Rate List - Flats'!B90:B103</f>
        <v>Flooring</v>
      </c>
      <c r="C771" s="456"/>
      <c r="D771" s="456"/>
      <c r="E771" s="456">
        <f>C770</f>
        <v>6.14</v>
      </c>
      <c r="F771" s="456"/>
      <c r="G771" s="456">
        <f t="shared" si="125"/>
        <v>6.14</v>
      </c>
      <c r="H771" s="456" t="str" cm="1">
        <f t="array" ref="H771:H784">'Rate List - Flats'!H90:H103</f>
        <v>Sq M</v>
      </c>
      <c r="I771" s="456" t="str" cm="1">
        <f t="array" ref="I771:I784">'Rate List - Flats'!C90:C103</f>
        <v>ceramic tiles/vitrified anti-skid tiles</v>
      </c>
      <c r="J771" s="456" cm="1">
        <f t="array" ref="J771:J784">'Rate List - Flats'!E90:E103</f>
        <v>45</v>
      </c>
      <c r="K771" s="456" cm="1">
        <f t="array" ref="K771:K784">'Rate List - Flats'!G90:G103</f>
        <v>1340.1179999999999</v>
      </c>
      <c r="L771" s="456">
        <f t="shared" si="126"/>
        <v>8228.3245199999983</v>
      </c>
      <c r="O771" s="455">
        <f t="shared" ref="O771:O784" si="137">IF(I771="N.A",0,G771*$N$704)</f>
        <v>12.28</v>
      </c>
      <c r="P771" s="455">
        <f t="shared" ref="P771:P784" si="138">L771*$N$704</f>
        <v>16456.649039999997</v>
      </c>
      <c r="R771" s="458" t="s">
        <v>659</v>
      </c>
    </row>
    <row r="772" spans="1:18">
      <c r="A772" s="454"/>
      <c r="B772" s="454" t="str">
        <v>Skirting</v>
      </c>
      <c r="C772" s="456"/>
      <c r="D772" s="456"/>
      <c r="E772" s="456"/>
      <c r="F772" s="456"/>
      <c r="G772" s="456">
        <f t="shared" ref="G772:G804" si="139">E772+F772</f>
        <v>0</v>
      </c>
      <c r="H772" s="456" t="str">
        <v xml:space="preserve">RM </v>
      </c>
      <c r="I772" s="456" t="str">
        <v>N.A.</v>
      </c>
      <c r="J772" s="456">
        <v>0</v>
      </c>
      <c r="K772" s="456">
        <v>0</v>
      </c>
      <c r="L772" s="456">
        <f t="shared" ref="L772:L804" si="140">G772*K772</f>
        <v>0</v>
      </c>
      <c r="O772" s="455">
        <f t="shared" si="137"/>
        <v>0</v>
      </c>
      <c r="P772" s="455">
        <f t="shared" si="138"/>
        <v>0</v>
      </c>
      <c r="R772" s="458" t="s">
        <v>660</v>
      </c>
    </row>
    <row r="773" spans="1:18">
      <c r="A773" s="454"/>
      <c r="B773" s="454" t="str">
        <v>Dado</v>
      </c>
      <c r="C773" s="456"/>
      <c r="D773" s="456">
        <f>D1-0.7-0.9</f>
        <v>1.5000000000000004</v>
      </c>
      <c r="E773" s="456">
        <f>(E783+E784)*D773</f>
        <v>9.2100000000000044</v>
      </c>
      <c r="F773" s="456"/>
      <c r="G773" s="456">
        <f t="shared" si="139"/>
        <v>9.2100000000000044</v>
      </c>
      <c r="H773" s="456" t="str">
        <v>Sq M</v>
      </c>
      <c r="I773" s="456" t="str">
        <v>Vitrified tiles</v>
      </c>
      <c r="J773" s="456">
        <v>45</v>
      </c>
      <c r="K773" s="456">
        <v>1393.9379999999999</v>
      </c>
      <c r="L773" s="456">
        <f t="shared" si="140"/>
        <v>12838.168980000006</v>
      </c>
      <c r="O773" s="455">
        <f t="shared" si="137"/>
        <v>18.420000000000009</v>
      </c>
      <c r="P773" s="455">
        <f t="shared" si="138"/>
        <v>25676.337960000012</v>
      </c>
      <c r="R773" s="458" t="s">
        <v>665</v>
      </c>
    </row>
    <row r="774" spans="1:18">
      <c r="A774" s="454"/>
      <c r="B774" s="454" t="str">
        <v>Dado Below Kitchen Platform</v>
      </c>
      <c r="C774" s="456"/>
      <c r="D774" s="456">
        <v>0.9</v>
      </c>
      <c r="E774" s="456">
        <f>(E783+E784)*D774</f>
        <v>5.5260000000000007</v>
      </c>
      <c r="F774" s="456"/>
      <c r="G774" s="456">
        <f t="shared" si="139"/>
        <v>5.5260000000000007</v>
      </c>
      <c r="H774" s="456" t="str">
        <v>Sq M</v>
      </c>
      <c r="I774" s="456" t="str">
        <v>dado under platform</v>
      </c>
      <c r="J774" s="456">
        <v>23</v>
      </c>
      <c r="K774" s="456">
        <v>1133.4491999999998</v>
      </c>
      <c r="L774" s="456">
        <f t="shared" si="140"/>
        <v>6263.4402792000001</v>
      </c>
      <c r="O774" s="455">
        <f t="shared" si="137"/>
        <v>11.052000000000001</v>
      </c>
      <c r="P774" s="455">
        <f t="shared" si="138"/>
        <v>12526.8805584</v>
      </c>
      <c r="R774" s="458" t="s">
        <v>746</v>
      </c>
    </row>
    <row r="775" spans="1:18">
      <c r="A775" s="454"/>
      <c r="B775" s="454" t="str">
        <v>Wall finishes plaster</v>
      </c>
      <c r="C775" s="456"/>
      <c r="D775" s="456">
        <f>D1-0.15</f>
        <v>2.95</v>
      </c>
      <c r="E775" s="456">
        <f>(D770*D775)-(E773+E774)</f>
        <v>15.943999999999999</v>
      </c>
      <c r="F775" s="456">
        <f>-(Doors!H58+Windows!H68)</f>
        <v>-4.04</v>
      </c>
      <c r="G775" s="456">
        <f t="shared" si="139"/>
        <v>11.904</v>
      </c>
      <c r="H775" s="456" t="str">
        <v>Sq M</v>
      </c>
      <c r="I775" s="456" t="str">
        <v>Gypsum Plaster</v>
      </c>
      <c r="J775" s="456">
        <v>32</v>
      </c>
      <c r="K775" s="456">
        <v>376.73999999999995</v>
      </c>
      <c r="L775" s="456">
        <f t="shared" si="140"/>
        <v>4484.7129599999998</v>
      </c>
      <c r="O775" s="455">
        <f t="shared" si="137"/>
        <v>23.808</v>
      </c>
      <c r="P775" s="455">
        <f t="shared" si="138"/>
        <v>8969.4259199999997</v>
      </c>
      <c r="R775" s="458" t="s">
        <v>661</v>
      </c>
    </row>
    <row r="776" spans="1:18">
      <c r="A776" s="454"/>
      <c r="B776" s="454" t="str">
        <v>Ceiling plaster</v>
      </c>
      <c r="C776" s="456"/>
      <c r="D776" s="456"/>
      <c r="E776" s="456">
        <f>E771</f>
        <v>6.14</v>
      </c>
      <c r="F776" s="456"/>
      <c r="G776" s="456">
        <f t="shared" si="139"/>
        <v>6.14</v>
      </c>
      <c r="H776" s="456" t="str">
        <v>Sq M</v>
      </c>
      <c r="I776" s="456" t="str">
        <v>Gypsum Plaster</v>
      </c>
      <c r="J776" s="456">
        <v>32</v>
      </c>
      <c r="K776" s="456">
        <v>344.44799999999998</v>
      </c>
      <c r="L776" s="456">
        <f t="shared" si="140"/>
        <v>2114.9107199999999</v>
      </c>
      <c r="O776" s="455">
        <f t="shared" si="137"/>
        <v>12.28</v>
      </c>
      <c r="P776" s="455">
        <f t="shared" si="138"/>
        <v>4229.8214399999997</v>
      </c>
      <c r="R776" s="458" t="s">
        <v>662</v>
      </c>
    </row>
    <row r="777" spans="1:18">
      <c r="A777" s="454"/>
      <c r="B777" s="454" t="str">
        <v>False ceiling</v>
      </c>
      <c r="C777" s="456"/>
      <c r="D777" s="456"/>
      <c r="E777" s="456"/>
      <c r="F777" s="456"/>
      <c r="G777" s="456">
        <f t="shared" si="139"/>
        <v>0</v>
      </c>
      <c r="H777" s="456" t="str">
        <v>Sq M</v>
      </c>
      <c r="I777" s="456" t="str">
        <v>N.A.</v>
      </c>
      <c r="J777" s="456">
        <v>0</v>
      </c>
      <c r="K777" s="456">
        <v>0</v>
      </c>
      <c r="L777" s="456">
        <f t="shared" si="140"/>
        <v>0</v>
      </c>
      <c r="O777" s="455">
        <f t="shared" si="137"/>
        <v>0</v>
      </c>
      <c r="P777" s="455">
        <f t="shared" si="138"/>
        <v>0</v>
      </c>
      <c r="R777" s="458"/>
    </row>
    <row r="778" spans="1:18">
      <c r="A778" s="454"/>
      <c r="B778" s="454" t="str">
        <v>Wall finishes Paint</v>
      </c>
      <c r="C778" s="456"/>
      <c r="D778" s="456"/>
      <c r="E778" s="456">
        <f>E775</f>
        <v>15.943999999999999</v>
      </c>
      <c r="F778" s="456">
        <f>F775</f>
        <v>-4.04</v>
      </c>
      <c r="G778" s="456">
        <f t="shared" si="139"/>
        <v>11.904</v>
      </c>
      <c r="H778" s="456" t="str">
        <v>Sq M</v>
      </c>
      <c r="I778" s="456" t="str">
        <v>Plastic paint</v>
      </c>
      <c r="J778" s="456">
        <v>20</v>
      </c>
      <c r="K778" s="456">
        <v>215.27999999999997</v>
      </c>
      <c r="L778" s="456">
        <f t="shared" si="140"/>
        <v>2562.6931199999995</v>
      </c>
      <c r="O778" s="455">
        <f t="shared" si="137"/>
        <v>23.808</v>
      </c>
      <c r="P778" s="455">
        <f t="shared" si="138"/>
        <v>5125.3862399999989</v>
      </c>
      <c r="R778" s="458" t="s">
        <v>663</v>
      </c>
    </row>
    <row r="779" spans="1:18">
      <c r="A779" s="454"/>
      <c r="B779" s="454" t="str">
        <v>Ceiling Paint</v>
      </c>
      <c r="C779" s="456"/>
      <c r="D779" s="456"/>
      <c r="E779" s="456">
        <f>E776</f>
        <v>6.14</v>
      </c>
      <c r="F779" s="456"/>
      <c r="G779" s="456">
        <f t="shared" si="139"/>
        <v>6.14</v>
      </c>
      <c r="H779" s="456" t="str">
        <v>Sq M</v>
      </c>
      <c r="I779" s="456" t="str">
        <v>Plastic paint</v>
      </c>
      <c r="J779" s="456">
        <v>20</v>
      </c>
      <c r="K779" s="456">
        <v>215.27999999999997</v>
      </c>
      <c r="L779" s="456">
        <f t="shared" si="140"/>
        <v>1321.8191999999997</v>
      </c>
      <c r="O779" s="455">
        <f t="shared" si="137"/>
        <v>12.28</v>
      </c>
      <c r="P779" s="455">
        <f t="shared" si="138"/>
        <v>2643.6383999999994</v>
      </c>
      <c r="R779" s="458" t="s">
        <v>664</v>
      </c>
    </row>
    <row r="780" spans="1:18">
      <c r="A780" s="454"/>
      <c r="B780" s="454" t="str">
        <v>Door Frames</v>
      </c>
      <c r="C780" s="456"/>
      <c r="D780" s="456"/>
      <c r="E780" s="456"/>
      <c r="F780" s="456"/>
      <c r="G780" s="456">
        <f t="shared" si="139"/>
        <v>0</v>
      </c>
      <c r="H780" s="456" t="str">
        <v>Sq M</v>
      </c>
      <c r="I780" s="456" t="str">
        <v>N.A.</v>
      </c>
      <c r="J780" s="456">
        <v>0</v>
      </c>
      <c r="K780" s="456">
        <v>0</v>
      </c>
      <c r="L780" s="456">
        <f t="shared" si="140"/>
        <v>0</v>
      </c>
      <c r="O780" s="455">
        <f t="shared" si="137"/>
        <v>0</v>
      </c>
      <c r="P780" s="455">
        <f t="shared" si="138"/>
        <v>0</v>
      </c>
      <c r="R780" s="458" t="s">
        <v>407</v>
      </c>
    </row>
    <row r="781" spans="1:18">
      <c r="A781" s="454"/>
      <c r="B781" s="454" t="str">
        <v>Window Frames - Internal</v>
      </c>
      <c r="C781" s="456"/>
      <c r="D781" s="456"/>
      <c r="E781" s="456">
        <f>Windows!F68*2+Windows!G68*2</f>
        <v>6.3</v>
      </c>
      <c r="F781" s="456"/>
      <c r="G781" s="456">
        <f t="shared" si="139"/>
        <v>6.3</v>
      </c>
      <c r="H781" s="456" t="str">
        <v>RM</v>
      </c>
      <c r="I781" s="456" t="str">
        <v>Granite Window Frame</v>
      </c>
      <c r="J781" s="456">
        <v>180</v>
      </c>
      <c r="K781" s="456">
        <v>655.92719999999997</v>
      </c>
      <c r="L781" s="456">
        <f t="shared" si="140"/>
        <v>4132.3413599999994</v>
      </c>
      <c r="O781" s="455">
        <f t="shared" si="137"/>
        <v>12.6</v>
      </c>
      <c r="P781" s="455">
        <f t="shared" si="138"/>
        <v>8264.6827199999989</v>
      </c>
      <c r="R781" s="458" t="s">
        <v>408</v>
      </c>
    </row>
    <row r="782" spans="1:18">
      <c r="A782" s="454"/>
      <c r="B782" s="454" t="str">
        <v>Window Frames - External</v>
      </c>
      <c r="C782" s="456"/>
      <c r="D782" s="456"/>
      <c r="E782" s="456">
        <f>E781</f>
        <v>6.3</v>
      </c>
      <c r="F782" s="456"/>
      <c r="G782" s="456">
        <f t="shared" si="139"/>
        <v>6.3</v>
      </c>
      <c r="H782" s="456" t="str">
        <v>RM</v>
      </c>
      <c r="I782" s="456" t="str">
        <v>Marble Window Frames with Sill</v>
      </c>
      <c r="J782" s="456">
        <v>60</v>
      </c>
      <c r="K782" s="456">
        <v>399.04239999999999</v>
      </c>
      <c r="L782" s="456">
        <f t="shared" si="140"/>
        <v>2513.9671199999998</v>
      </c>
      <c r="O782" s="455">
        <f t="shared" si="137"/>
        <v>12.6</v>
      </c>
      <c r="P782" s="455">
        <f t="shared" si="138"/>
        <v>5027.9342399999996</v>
      </c>
      <c r="R782" s="458" t="s">
        <v>409</v>
      </c>
    </row>
    <row r="783" spans="1:18">
      <c r="A783" s="454"/>
      <c r="B783" s="454" t="str">
        <v>Kitchen Platform</v>
      </c>
      <c r="C783" s="456"/>
      <c r="D783" s="456"/>
      <c r="E783" s="456">
        <v>3.52</v>
      </c>
      <c r="F783" s="456"/>
      <c r="G783" s="456">
        <f t="shared" si="139"/>
        <v>3.52</v>
      </c>
      <c r="H783" s="456" t="str">
        <v>RM</v>
      </c>
      <c r="I783" s="456" t="str">
        <v>Kitchen 2' Granite Main Counter</v>
      </c>
      <c r="J783" s="456">
        <v>180</v>
      </c>
      <c r="K783" s="456">
        <v>7312.7984000000006</v>
      </c>
      <c r="L783" s="456">
        <f t="shared" si="140"/>
        <v>25741.050368000004</v>
      </c>
      <c r="O783" s="455">
        <f t="shared" si="137"/>
        <v>7.04</v>
      </c>
      <c r="P783" s="455">
        <f t="shared" si="138"/>
        <v>51482.100736000008</v>
      </c>
      <c r="R783" s="458" t="s">
        <v>747</v>
      </c>
    </row>
    <row r="784" spans="1:18">
      <c r="A784" s="454"/>
      <c r="B784" s="454" t="str">
        <v>Service Platform</v>
      </c>
      <c r="C784" s="456"/>
      <c r="D784" s="456"/>
      <c r="E784" s="456">
        <f>E783-0.9</f>
        <v>2.62</v>
      </c>
      <c r="F784" s="456"/>
      <c r="G784" s="456">
        <f t="shared" si="139"/>
        <v>2.62</v>
      </c>
      <c r="H784" s="456" t="str">
        <v>RM</v>
      </c>
      <c r="I784" s="456" t="str">
        <v>Kitchen 1'6" Granite Main Counter</v>
      </c>
      <c r="J784" s="456">
        <v>180</v>
      </c>
      <c r="K784" s="456">
        <v>7312.7984000000006</v>
      </c>
      <c r="L784" s="456">
        <f t="shared" si="140"/>
        <v>19159.531808000003</v>
      </c>
      <c r="O784" s="455">
        <f t="shared" si="137"/>
        <v>5.24</v>
      </c>
      <c r="P784" s="455">
        <f t="shared" si="138"/>
        <v>38319.063616000007</v>
      </c>
      <c r="R784" s="458" t="s">
        <v>666</v>
      </c>
    </row>
    <row r="785" spans="1:18" s="479" customFormat="1" ht="13.5" customHeight="1">
      <c r="A785" s="475" t="s">
        <v>628</v>
      </c>
      <c r="B785" s="476" t="str">
        <f>'Flat Sizes'!B67</f>
        <v>Utility</v>
      </c>
      <c r="C785" s="477">
        <f>'Flat Sizes'!D67</f>
        <v>2.75</v>
      </c>
      <c r="D785" s="477">
        <f>'Flat Sizes'!G67</f>
        <v>7.05</v>
      </c>
      <c r="E785" s="477"/>
      <c r="F785" s="454"/>
      <c r="G785" s="477"/>
      <c r="H785" s="477"/>
      <c r="I785" s="477"/>
      <c r="J785" s="477"/>
      <c r="K785" s="477"/>
      <c r="L785" s="477"/>
      <c r="M785" s="459">
        <f>SUM(L786:L794)/C785/10.764</f>
        <v>1176.3703658660179</v>
      </c>
      <c r="N785" s="472"/>
      <c r="O785" s="455"/>
      <c r="P785" s="455"/>
      <c r="Q785" s="478"/>
    </row>
    <row r="786" spans="1:18">
      <c r="A786" s="454"/>
      <c r="B786" s="454" t="str" cm="1">
        <f t="array" ref="B786:B794">'Rate List - Flats'!B120:B128</f>
        <v>Flooring</v>
      </c>
      <c r="C786" s="456"/>
      <c r="D786" s="456"/>
      <c r="E786" s="456">
        <f>C785</f>
        <v>2.75</v>
      </c>
      <c r="F786" s="456"/>
      <c r="G786" s="456">
        <f t="shared" si="139"/>
        <v>2.75</v>
      </c>
      <c r="H786" s="456" t="str" cm="1">
        <f t="array" ref="H786:H794">'Rate List - Flats'!H120:H128</f>
        <v>Sq M</v>
      </c>
      <c r="I786" s="456" t="str" cm="1">
        <f t="array" ref="I786:I794">'Rate List - Flats'!C120:C128</f>
        <v>2'x2' Vitrified tiles</v>
      </c>
      <c r="J786" s="456" cm="1">
        <f t="array" ref="J786:J794">'Rate List - Flats'!E120:E128</f>
        <v>45</v>
      </c>
      <c r="K786" s="456" cm="1">
        <f t="array" ref="K786:K794">'Rate List - Flats'!G120:G128</f>
        <v>1340.1179999999999</v>
      </c>
      <c r="L786" s="456">
        <f t="shared" si="140"/>
        <v>3685.3244999999997</v>
      </c>
      <c r="O786" s="455">
        <f t="shared" ref="O786:O794" si="141">IF(I786="N.A",0,G786*$N$704)</f>
        <v>5.5</v>
      </c>
      <c r="P786" s="455">
        <f t="shared" ref="P786:P794" si="142">L786*$N$704</f>
        <v>7370.6489999999994</v>
      </c>
      <c r="R786" s="458" t="s">
        <v>748</v>
      </c>
    </row>
    <row r="787" spans="1:18">
      <c r="A787" s="454"/>
      <c r="B787" s="454" t="str">
        <v>Skirting</v>
      </c>
      <c r="C787" s="456"/>
      <c r="D787" s="456"/>
      <c r="E787" s="456">
        <f>D785</f>
        <v>7.05</v>
      </c>
      <c r="F787" s="456"/>
      <c r="G787" s="456">
        <f t="shared" si="139"/>
        <v>7.05</v>
      </c>
      <c r="H787" s="456" t="str">
        <v xml:space="preserve">RM </v>
      </c>
      <c r="I787" s="456" t="str">
        <v xml:space="preserve">2'x2' Vitrified tiles </v>
      </c>
      <c r="J787" s="456">
        <v>45</v>
      </c>
      <c r="K787" s="456">
        <v>391.96</v>
      </c>
      <c r="L787" s="456">
        <f t="shared" si="140"/>
        <v>2763.3179999999998</v>
      </c>
      <c r="O787" s="455">
        <f t="shared" si="141"/>
        <v>14.1</v>
      </c>
      <c r="P787" s="455">
        <f t="shared" si="142"/>
        <v>5526.6359999999995</v>
      </c>
      <c r="R787" s="458" t="s">
        <v>749</v>
      </c>
    </row>
    <row r="788" spans="1:18">
      <c r="A788" s="454"/>
      <c r="B788" s="454" t="str">
        <v>Dado</v>
      </c>
      <c r="C788" s="456"/>
      <c r="D788" s="456"/>
      <c r="E788" s="456"/>
      <c r="F788" s="456"/>
      <c r="G788" s="456">
        <f t="shared" si="139"/>
        <v>0</v>
      </c>
      <c r="H788" s="456" t="str">
        <v>Sq M</v>
      </c>
      <c r="I788" s="456" t="str">
        <v>N.A</v>
      </c>
      <c r="J788" s="456">
        <v>0</v>
      </c>
      <c r="K788" s="456">
        <v>0</v>
      </c>
      <c r="L788" s="456">
        <f t="shared" si="140"/>
        <v>0</v>
      </c>
      <c r="O788" s="455">
        <f t="shared" si="141"/>
        <v>0</v>
      </c>
      <c r="P788" s="455">
        <f t="shared" si="142"/>
        <v>0</v>
      </c>
      <c r="R788" s="458" t="s">
        <v>750</v>
      </c>
    </row>
    <row r="789" spans="1:18">
      <c r="A789" s="454"/>
      <c r="B789" s="454" t="str">
        <v>Wall finishes plaster</v>
      </c>
      <c r="C789" s="456"/>
      <c r="D789" s="456"/>
      <c r="E789" s="456">
        <f>D785*(D1-0.15)</f>
        <v>20.797499999999999</v>
      </c>
      <c r="F789" s="456">
        <f>-(Windows!K69*2.15)</f>
        <v>-2.15</v>
      </c>
      <c r="G789" s="456">
        <f t="shared" si="139"/>
        <v>18.647500000000001</v>
      </c>
      <c r="H789" s="456" t="str">
        <v>Sq M</v>
      </c>
      <c r="I789" s="456" t="str">
        <v>External Plaster  - 15 mm</v>
      </c>
      <c r="J789" s="456">
        <v>85</v>
      </c>
      <c r="K789" s="456">
        <v>914.93999999999994</v>
      </c>
      <c r="L789" s="456">
        <f t="shared" si="140"/>
        <v>17061.343649999999</v>
      </c>
      <c r="O789" s="455">
        <f t="shared" si="141"/>
        <v>37.295000000000002</v>
      </c>
      <c r="P789" s="455">
        <f t="shared" si="142"/>
        <v>34122.687299999998</v>
      </c>
      <c r="R789" s="458" t="s">
        <v>751</v>
      </c>
    </row>
    <row r="790" spans="1:18">
      <c r="A790" s="454"/>
      <c r="B790" s="454" t="str">
        <v>Ceiling plaster</v>
      </c>
      <c r="C790" s="456"/>
      <c r="D790" s="456"/>
      <c r="E790" s="456">
        <f>E786</f>
        <v>2.75</v>
      </c>
      <c r="F790" s="456"/>
      <c r="G790" s="456">
        <f t="shared" si="139"/>
        <v>2.75</v>
      </c>
      <c r="H790" s="456" t="str">
        <v>Sq M</v>
      </c>
      <c r="I790" s="456" t="str">
        <v>Gypsum Plaster</v>
      </c>
      <c r="J790" s="456">
        <v>32</v>
      </c>
      <c r="K790" s="456">
        <v>344.44799999999998</v>
      </c>
      <c r="L790" s="456">
        <f t="shared" si="140"/>
        <v>947.23199999999997</v>
      </c>
      <c r="O790" s="455">
        <f t="shared" si="141"/>
        <v>5.5</v>
      </c>
      <c r="P790" s="455">
        <f t="shared" si="142"/>
        <v>1894.4639999999999</v>
      </c>
      <c r="R790" s="458" t="s">
        <v>662</v>
      </c>
    </row>
    <row r="791" spans="1:18">
      <c r="A791" s="454"/>
      <c r="B791" s="454" t="str">
        <v>False ceiling</v>
      </c>
      <c r="C791" s="456"/>
      <c r="D791" s="456"/>
      <c r="E791" s="456"/>
      <c r="F791" s="456"/>
      <c r="G791" s="456">
        <f t="shared" si="139"/>
        <v>0</v>
      </c>
      <c r="H791" s="456" t="str">
        <v>Sq M</v>
      </c>
      <c r="I791" s="456" t="str">
        <v>N.A.</v>
      </c>
      <c r="J791" s="456">
        <v>0</v>
      </c>
      <c r="K791" s="456">
        <v>0</v>
      </c>
      <c r="L791" s="456">
        <f t="shared" si="140"/>
        <v>0</v>
      </c>
      <c r="O791" s="455">
        <f t="shared" si="141"/>
        <v>0</v>
      </c>
      <c r="P791" s="455">
        <f t="shared" si="142"/>
        <v>0</v>
      </c>
      <c r="R791" s="458" t="s">
        <v>414</v>
      </c>
    </row>
    <row r="792" spans="1:18">
      <c r="A792" s="454"/>
      <c r="B792" s="454" t="str">
        <v>Wall finishes Paint</v>
      </c>
      <c r="C792" s="456"/>
      <c r="D792" s="456"/>
      <c r="E792" s="456">
        <f>E789</f>
        <v>20.797499999999999</v>
      </c>
      <c r="F792" s="456">
        <f>F789</f>
        <v>-2.15</v>
      </c>
      <c r="G792" s="456">
        <f t="shared" si="139"/>
        <v>18.647500000000001</v>
      </c>
      <c r="H792" s="456" t="str">
        <v>Sq M</v>
      </c>
      <c r="I792" s="456" t="str">
        <v>External Grade Paint</v>
      </c>
      <c r="J792" s="456">
        <v>45</v>
      </c>
      <c r="K792" s="456">
        <v>484.38</v>
      </c>
      <c r="L792" s="456">
        <f t="shared" si="140"/>
        <v>9032.4760500000011</v>
      </c>
      <c r="O792" s="455">
        <f t="shared" si="141"/>
        <v>37.295000000000002</v>
      </c>
      <c r="P792" s="455">
        <f t="shared" si="142"/>
        <v>18064.952100000002</v>
      </c>
      <c r="R792" s="458" t="s">
        <v>663</v>
      </c>
    </row>
    <row r="793" spans="1:18">
      <c r="A793" s="454"/>
      <c r="B793" s="454" t="str">
        <v>Ceiling Paint</v>
      </c>
      <c r="C793" s="456"/>
      <c r="D793" s="456"/>
      <c r="E793" s="456">
        <f>E790</f>
        <v>2.75</v>
      </c>
      <c r="F793" s="456"/>
      <c r="G793" s="456">
        <f t="shared" si="139"/>
        <v>2.75</v>
      </c>
      <c r="H793" s="456" t="str">
        <v>Sq M</v>
      </c>
      <c r="I793" s="456" t="str">
        <v>External Grade Paint</v>
      </c>
      <c r="J793" s="456">
        <v>45</v>
      </c>
      <c r="K793" s="456">
        <v>484.38</v>
      </c>
      <c r="L793" s="456">
        <f t="shared" si="140"/>
        <v>1332.0450000000001</v>
      </c>
      <c r="O793" s="455">
        <f t="shared" si="141"/>
        <v>5.5</v>
      </c>
      <c r="P793" s="455">
        <f t="shared" si="142"/>
        <v>2664.09</v>
      </c>
      <c r="R793" s="458" t="s">
        <v>664</v>
      </c>
    </row>
    <row r="794" spans="1:18">
      <c r="A794" s="454"/>
      <c r="B794" s="454" t="str">
        <v>Others</v>
      </c>
      <c r="C794" s="456"/>
      <c r="D794" s="456"/>
      <c r="E794" s="456"/>
      <c r="F794" s="456"/>
      <c r="G794" s="456">
        <f t="shared" si="139"/>
        <v>0</v>
      </c>
      <c r="H794" s="456" t="str">
        <v>-</v>
      </c>
      <c r="I794" s="456" t="str">
        <v>N.A.</v>
      </c>
      <c r="J794" s="456">
        <v>0</v>
      </c>
      <c r="K794" s="456">
        <v>0</v>
      </c>
      <c r="L794" s="456">
        <f t="shared" si="140"/>
        <v>0</v>
      </c>
      <c r="O794" s="455">
        <f t="shared" si="141"/>
        <v>0</v>
      </c>
      <c r="P794" s="455">
        <f t="shared" si="142"/>
        <v>0</v>
      </c>
    </row>
    <row r="795" spans="1:18" s="479" customFormat="1" ht="13.5" customHeight="1">
      <c r="A795" s="475" t="s">
        <v>628</v>
      </c>
      <c r="B795" s="476" t="str">
        <f>'Flat Sizes'!B68</f>
        <v>Balcony</v>
      </c>
      <c r="C795" s="477">
        <f>'Flat Sizes'!D68</f>
        <v>2.8</v>
      </c>
      <c r="D795" s="477">
        <f>'Flat Sizes'!G68</f>
        <v>7.01</v>
      </c>
      <c r="E795" s="477"/>
      <c r="F795" s="454"/>
      <c r="G795" s="477"/>
      <c r="H795" s="477"/>
      <c r="I795" s="477"/>
      <c r="J795" s="477"/>
      <c r="K795" s="477"/>
      <c r="L795" s="477"/>
      <c r="M795" s="459">
        <f>SUM(L796:L804)/C795/10.764</f>
        <v>888.43640972554022</v>
      </c>
      <c r="N795" s="472"/>
      <c r="O795" s="455"/>
      <c r="P795" s="455"/>
      <c r="Q795" s="478"/>
    </row>
    <row r="796" spans="1:18">
      <c r="A796" s="454"/>
      <c r="B796" s="454" t="str" cm="1">
        <f t="array" ref="B796:B804">'Rate List - Flats'!B120:B128</f>
        <v>Flooring</v>
      </c>
      <c r="C796" s="456"/>
      <c r="D796" s="456"/>
      <c r="E796" s="456">
        <f>C795</f>
        <v>2.8</v>
      </c>
      <c r="F796" s="456"/>
      <c r="G796" s="456">
        <f t="shared" si="139"/>
        <v>2.8</v>
      </c>
      <c r="H796" s="456" t="str" cm="1">
        <f t="array" ref="H796:H804">'Rate List - Flats'!H120:H128</f>
        <v>Sq M</v>
      </c>
      <c r="I796" s="456" t="str" cm="1">
        <f t="array" ref="I796:I804">'Rate List - Flats'!C120:C128</f>
        <v>2'x2' Vitrified tiles</v>
      </c>
      <c r="J796" s="456" cm="1">
        <f t="array" ref="J796:J804">'Rate List - Flats'!E120:E128</f>
        <v>45</v>
      </c>
      <c r="K796" s="456" cm="1">
        <f t="array" ref="K796:K804">'Rate List - Flats'!G120:G128</f>
        <v>1340.1179999999999</v>
      </c>
      <c r="L796" s="456">
        <f t="shared" si="140"/>
        <v>3752.3303999999994</v>
      </c>
      <c r="O796" s="455">
        <f t="shared" ref="O796:O804" si="143">IF(I796="N.A",0,G796*$N$704)</f>
        <v>5.6</v>
      </c>
      <c r="P796" s="455">
        <f t="shared" ref="P796:P804" si="144">L796*$N$704</f>
        <v>7504.6607999999987</v>
      </c>
      <c r="R796" s="458" t="s">
        <v>752</v>
      </c>
    </row>
    <row r="797" spans="1:18">
      <c r="A797" s="454"/>
      <c r="B797" s="454" t="str">
        <v>Skirting</v>
      </c>
      <c r="C797" s="456"/>
      <c r="D797" s="456"/>
      <c r="E797" s="456">
        <f>D795</f>
        <v>7.01</v>
      </c>
      <c r="F797" s="456"/>
      <c r="G797" s="456">
        <f t="shared" si="139"/>
        <v>7.01</v>
      </c>
      <c r="H797" s="456" t="str">
        <v xml:space="preserve">RM </v>
      </c>
      <c r="I797" s="456" t="str">
        <v xml:space="preserve">2'x2' Vitrified tiles </v>
      </c>
      <c r="J797" s="456">
        <v>45</v>
      </c>
      <c r="K797" s="456">
        <v>391.96</v>
      </c>
      <c r="L797" s="456">
        <f t="shared" si="140"/>
        <v>2747.6396</v>
      </c>
      <c r="O797" s="455">
        <f t="shared" si="143"/>
        <v>14.02</v>
      </c>
      <c r="P797" s="455">
        <f t="shared" si="144"/>
        <v>5495.2791999999999</v>
      </c>
      <c r="R797" s="458" t="s">
        <v>753</v>
      </c>
    </row>
    <row r="798" spans="1:18">
      <c r="A798" s="454"/>
      <c r="B798" s="454" t="str">
        <v>Dado</v>
      </c>
      <c r="C798" s="456"/>
      <c r="D798" s="456"/>
      <c r="E798" s="456"/>
      <c r="F798" s="456"/>
      <c r="G798" s="456">
        <f t="shared" si="139"/>
        <v>0</v>
      </c>
      <c r="H798" s="456" t="str">
        <v>Sq M</v>
      </c>
      <c r="I798" s="456" t="str">
        <v>N.A</v>
      </c>
      <c r="J798" s="456">
        <v>0</v>
      </c>
      <c r="K798" s="456">
        <v>0</v>
      </c>
      <c r="L798" s="456">
        <f t="shared" si="140"/>
        <v>0</v>
      </c>
      <c r="O798" s="455">
        <f t="shared" si="143"/>
        <v>0</v>
      </c>
      <c r="P798" s="455">
        <f t="shared" si="144"/>
        <v>0</v>
      </c>
      <c r="R798" s="458" t="s">
        <v>754</v>
      </c>
    </row>
    <row r="799" spans="1:18">
      <c r="A799" s="454"/>
      <c r="B799" s="454" t="str">
        <v>Wall finishes plaster</v>
      </c>
      <c r="C799" s="456"/>
      <c r="D799" s="456"/>
      <c r="E799" s="456">
        <f>D795*(D1-0.15)</f>
        <v>20.679500000000001</v>
      </c>
      <c r="F799" s="456">
        <f>-(Windows!K70*2.15)</f>
        <v>-7.8474999999999993</v>
      </c>
      <c r="G799" s="456">
        <f t="shared" si="139"/>
        <v>12.832000000000001</v>
      </c>
      <c r="H799" s="456" t="str">
        <v>Sq M</v>
      </c>
      <c r="I799" s="456" t="str">
        <v>External Plaster  - 15 mm</v>
      </c>
      <c r="J799" s="456">
        <v>85</v>
      </c>
      <c r="K799" s="456">
        <v>914.93999999999994</v>
      </c>
      <c r="L799" s="456">
        <f t="shared" si="140"/>
        <v>11740.51008</v>
      </c>
      <c r="O799" s="455">
        <f t="shared" si="143"/>
        <v>25.664000000000001</v>
      </c>
      <c r="P799" s="455">
        <f t="shared" si="144"/>
        <v>23481.02016</v>
      </c>
      <c r="R799" s="458" t="s">
        <v>751</v>
      </c>
    </row>
    <row r="800" spans="1:18">
      <c r="A800" s="454"/>
      <c r="B800" s="454" t="str">
        <v>Ceiling plaster</v>
      </c>
      <c r="C800" s="456"/>
      <c r="D800" s="456"/>
      <c r="E800" s="456">
        <f>E796</f>
        <v>2.8</v>
      </c>
      <c r="F800" s="456"/>
      <c r="G800" s="456">
        <f t="shared" si="139"/>
        <v>2.8</v>
      </c>
      <c r="H800" s="456" t="str">
        <v>Sq M</v>
      </c>
      <c r="I800" s="456" t="str">
        <v>Gypsum Plaster</v>
      </c>
      <c r="J800" s="456">
        <v>32</v>
      </c>
      <c r="K800" s="456">
        <v>344.44799999999998</v>
      </c>
      <c r="L800" s="456">
        <f t="shared" si="140"/>
        <v>964.45439999999985</v>
      </c>
      <c r="O800" s="455">
        <f t="shared" si="143"/>
        <v>5.6</v>
      </c>
      <c r="P800" s="455">
        <f t="shared" si="144"/>
        <v>1928.9087999999997</v>
      </c>
      <c r="R800" s="458" t="s">
        <v>662</v>
      </c>
    </row>
    <row r="801" spans="1:18">
      <c r="A801" s="454"/>
      <c r="B801" s="454" t="str">
        <v>False ceiling</v>
      </c>
      <c r="C801" s="456"/>
      <c r="D801" s="456"/>
      <c r="E801" s="456"/>
      <c r="F801" s="456"/>
      <c r="G801" s="456">
        <f t="shared" si="139"/>
        <v>0</v>
      </c>
      <c r="H801" s="456" t="str">
        <v>Sq M</v>
      </c>
      <c r="I801" s="456" t="str">
        <v>N.A.</v>
      </c>
      <c r="J801" s="456">
        <v>0</v>
      </c>
      <c r="K801" s="456">
        <v>0</v>
      </c>
      <c r="L801" s="456">
        <f t="shared" si="140"/>
        <v>0</v>
      </c>
      <c r="O801" s="455">
        <f t="shared" si="143"/>
        <v>0</v>
      </c>
      <c r="P801" s="455">
        <f t="shared" si="144"/>
        <v>0</v>
      </c>
      <c r="R801" s="458" t="s">
        <v>414</v>
      </c>
    </row>
    <row r="802" spans="1:18">
      <c r="A802" s="454"/>
      <c r="B802" s="454" t="str">
        <v>Wall finishes Paint</v>
      </c>
      <c r="C802" s="456"/>
      <c r="D802" s="456"/>
      <c r="E802" s="456">
        <f>E799</f>
        <v>20.679500000000001</v>
      </c>
      <c r="F802" s="456">
        <f>F799</f>
        <v>-7.8474999999999993</v>
      </c>
      <c r="G802" s="456">
        <f t="shared" si="139"/>
        <v>12.832000000000001</v>
      </c>
      <c r="H802" s="456" t="str">
        <v>Sq M</v>
      </c>
      <c r="I802" s="456" t="str">
        <v>External Grade Paint</v>
      </c>
      <c r="J802" s="456">
        <v>45</v>
      </c>
      <c r="K802" s="456">
        <v>484.38</v>
      </c>
      <c r="L802" s="456">
        <f t="shared" si="140"/>
        <v>6215.5641599999999</v>
      </c>
      <c r="O802" s="455">
        <f t="shared" si="143"/>
        <v>25.664000000000001</v>
      </c>
      <c r="P802" s="455">
        <f t="shared" si="144"/>
        <v>12431.12832</v>
      </c>
      <c r="R802" s="458" t="s">
        <v>663</v>
      </c>
    </row>
    <row r="803" spans="1:18">
      <c r="A803" s="454"/>
      <c r="B803" s="454" t="str">
        <v>Ceiling Paint</v>
      </c>
      <c r="C803" s="456"/>
      <c r="D803" s="456"/>
      <c r="E803" s="456">
        <f>E800</f>
        <v>2.8</v>
      </c>
      <c r="F803" s="456"/>
      <c r="G803" s="456">
        <f t="shared" si="139"/>
        <v>2.8</v>
      </c>
      <c r="H803" s="456" t="str">
        <v>Sq M</v>
      </c>
      <c r="I803" s="456" t="str">
        <v>External Grade Paint</v>
      </c>
      <c r="J803" s="456">
        <v>45</v>
      </c>
      <c r="K803" s="456">
        <v>484.38</v>
      </c>
      <c r="L803" s="456">
        <f t="shared" si="140"/>
        <v>1356.2639999999999</v>
      </c>
      <c r="O803" s="455">
        <f t="shared" si="143"/>
        <v>5.6</v>
      </c>
      <c r="P803" s="455">
        <f t="shared" si="144"/>
        <v>2712.5279999999998</v>
      </c>
      <c r="R803" s="458" t="s">
        <v>664</v>
      </c>
    </row>
    <row r="804" spans="1:18">
      <c r="A804" s="454"/>
      <c r="B804" s="454" t="str">
        <v>Others</v>
      </c>
      <c r="C804" s="456"/>
      <c r="D804" s="456"/>
      <c r="E804" s="456"/>
      <c r="F804" s="456"/>
      <c r="G804" s="524">
        <f t="shared" si="139"/>
        <v>0</v>
      </c>
      <c r="H804" s="456" t="str">
        <v>-</v>
      </c>
      <c r="I804" s="456" t="str">
        <v>N.A.</v>
      </c>
      <c r="J804" s="456">
        <v>0</v>
      </c>
      <c r="K804" s="456">
        <v>0</v>
      </c>
      <c r="L804" s="456">
        <f t="shared" si="140"/>
        <v>0</v>
      </c>
      <c r="O804" s="455">
        <f t="shared" si="143"/>
        <v>0</v>
      </c>
      <c r="P804" s="455">
        <f t="shared" si="144"/>
        <v>0</v>
      </c>
    </row>
    <row r="805" spans="1:18" ht="13.8" thickBot="1">
      <c r="A805" s="454"/>
      <c r="B805" s="454"/>
      <c r="C805" s="456"/>
      <c r="D805" s="456"/>
      <c r="E805" s="456"/>
      <c r="F805" s="456"/>
      <c r="G805" s="533">
        <f>SUM(G705:G804)</f>
        <v>825.09599999999955</v>
      </c>
      <c r="H805" s="456"/>
      <c r="I805" s="456"/>
      <c r="J805" s="456"/>
      <c r="K805" s="456"/>
      <c r="L805" s="525">
        <f>SUM(L705:L804)</f>
        <v>479115.44095920003</v>
      </c>
      <c r="M805" s="484"/>
      <c r="N805" s="484"/>
      <c r="O805" s="525">
        <f>SUM(O705:O804)</f>
        <v>1650.1919999999991</v>
      </c>
      <c r="P805" s="525">
        <f>SUM(P705:P804)</f>
        <v>958230.88191840006</v>
      </c>
    </row>
    <row r="806" spans="1:18">
      <c r="A806" s="528"/>
      <c r="B806" s="529" t="s">
        <v>744</v>
      </c>
      <c r="C806" s="522"/>
      <c r="D806" s="522"/>
      <c r="E806" s="522"/>
      <c r="F806" s="522"/>
      <c r="G806" s="530"/>
      <c r="H806" s="522"/>
      <c r="I806" s="522"/>
      <c r="J806" s="522"/>
      <c r="K806" s="522"/>
      <c r="L806" s="522"/>
    </row>
    <row r="807" spans="1:18">
      <c r="A807" s="528"/>
      <c r="B807" s="528" t="s">
        <v>355</v>
      </c>
      <c r="C807" s="522"/>
      <c r="D807" s="522"/>
      <c r="E807" s="522"/>
      <c r="F807" s="522"/>
      <c r="G807" s="522">
        <f>SUMIF($B$705:$B$804,B807,$G$705:$G$804)</f>
        <v>70.279999999999987</v>
      </c>
      <c r="H807" s="522"/>
      <c r="I807" s="522"/>
      <c r="J807" s="522"/>
      <c r="K807" s="522"/>
      <c r="L807" s="522">
        <f>SUMIF($B$705:$B$804,B807,$L$705:$L$804)</f>
        <v>94641.124500000005</v>
      </c>
      <c r="O807" s="455">
        <f t="shared" ref="O807:O822" si="145">IF(I807="N.A",0,G807*$N$704)</f>
        <v>140.55999999999997</v>
      </c>
      <c r="P807" s="455">
        <f t="shared" ref="P807:P822" si="146">L807*$N$704</f>
        <v>189282.24900000001</v>
      </c>
    </row>
    <row r="808" spans="1:18">
      <c r="A808" s="528"/>
      <c r="B808" s="528" t="s">
        <v>695</v>
      </c>
      <c r="C808" s="522"/>
      <c r="D808" s="522"/>
      <c r="E808" s="522"/>
      <c r="F808" s="522"/>
      <c r="G808" s="522">
        <f t="shared" ref="G808:G822" si="147">SUMIF($B$705:$B$804,B808,$G$705:$G$804)</f>
        <v>63.37</v>
      </c>
      <c r="H808" s="522"/>
      <c r="I808" s="522"/>
      <c r="J808" s="522"/>
      <c r="K808" s="522"/>
      <c r="L808" s="522">
        <f t="shared" ref="L808:L822" si="148">SUMIF($B$705:$B$804,B808,$L$705:$L$804)</f>
        <v>24838.505199999996</v>
      </c>
      <c r="O808" s="455">
        <f t="shared" si="145"/>
        <v>126.74</v>
      </c>
      <c r="P808" s="455">
        <f t="shared" si="146"/>
        <v>49677.010399999992</v>
      </c>
    </row>
    <row r="809" spans="1:18">
      <c r="A809" s="528"/>
      <c r="B809" s="528" t="s">
        <v>698</v>
      </c>
      <c r="C809" s="522"/>
      <c r="D809" s="522"/>
      <c r="E809" s="522"/>
      <c r="F809" s="522"/>
      <c r="G809" s="522">
        <f t="shared" si="147"/>
        <v>44.712000000000003</v>
      </c>
      <c r="H809" s="522"/>
      <c r="I809" s="522"/>
      <c r="J809" s="522"/>
      <c r="K809" s="522"/>
      <c r="L809" s="522">
        <f t="shared" si="148"/>
        <v>65382.904080000008</v>
      </c>
      <c r="O809" s="455">
        <f t="shared" si="145"/>
        <v>89.424000000000007</v>
      </c>
      <c r="P809" s="455">
        <f t="shared" si="146"/>
        <v>130765.80816000002</v>
      </c>
    </row>
    <row r="810" spans="1:18">
      <c r="A810" s="528"/>
      <c r="B810" s="528" t="s">
        <v>700</v>
      </c>
      <c r="C810" s="522"/>
      <c r="D810" s="522"/>
      <c r="E810" s="522"/>
      <c r="F810" s="522"/>
      <c r="G810" s="522">
        <f t="shared" si="147"/>
        <v>186.79400000000001</v>
      </c>
      <c r="H810" s="522"/>
      <c r="I810" s="522"/>
      <c r="J810" s="522"/>
      <c r="K810" s="522"/>
      <c r="L810" s="522">
        <f t="shared" si="148"/>
        <v>82684.026593999995</v>
      </c>
      <c r="O810" s="455">
        <f t="shared" si="145"/>
        <v>373.58800000000002</v>
      </c>
      <c r="P810" s="455">
        <f t="shared" si="146"/>
        <v>165368.05318799999</v>
      </c>
    </row>
    <row r="811" spans="1:18">
      <c r="A811" s="528"/>
      <c r="B811" s="528" t="s">
        <v>702</v>
      </c>
      <c r="C811" s="522"/>
      <c r="D811" s="522"/>
      <c r="E811" s="522"/>
      <c r="F811" s="522"/>
      <c r="G811" s="522">
        <f t="shared" si="147"/>
        <v>70.279999999999987</v>
      </c>
      <c r="H811" s="522"/>
      <c r="I811" s="522"/>
      <c r="J811" s="522"/>
      <c r="K811" s="522"/>
      <c r="L811" s="522">
        <f t="shared" si="148"/>
        <v>24207.805439999996</v>
      </c>
      <c r="O811" s="455">
        <f t="shared" si="145"/>
        <v>140.55999999999997</v>
      </c>
      <c r="P811" s="455">
        <f t="shared" si="146"/>
        <v>48415.610879999993</v>
      </c>
    </row>
    <row r="812" spans="1:18">
      <c r="A812" s="528"/>
      <c r="B812" s="528" t="s">
        <v>703</v>
      </c>
      <c r="C812" s="522"/>
      <c r="D812" s="522"/>
      <c r="E812" s="522"/>
      <c r="F812" s="522"/>
      <c r="G812" s="522">
        <f t="shared" si="147"/>
        <v>0</v>
      </c>
      <c r="H812" s="522"/>
      <c r="I812" s="522"/>
      <c r="J812" s="522"/>
      <c r="K812" s="522"/>
      <c r="L812" s="522">
        <f t="shared" si="148"/>
        <v>0</v>
      </c>
      <c r="O812" s="455">
        <f t="shared" si="145"/>
        <v>0</v>
      </c>
      <c r="P812" s="455">
        <f t="shared" si="146"/>
        <v>0</v>
      </c>
    </row>
    <row r="813" spans="1:18">
      <c r="A813" s="528"/>
      <c r="B813" s="528" t="s">
        <v>704</v>
      </c>
      <c r="C813" s="522"/>
      <c r="D813" s="522"/>
      <c r="E813" s="522"/>
      <c r="F813" s="522"/>
      <c r="G813" s="522">
        <f t="shared" si="147"/>
        <v>186.79400000000001</v>
      </c>
      <c r="H813" s="522"/>
      <c r="I813" s="522"/>
      <c r="J813" s="522"/>
      <c r="K813" s="522"/>
      <c r="L813" s="522">
        <f t="shared" si="148"/>
        <v>48684.145769999996</v>
      </c>
      <c r="O813" s="455">
        <f t="shared" si="145"/>
        <v>373.58800000000002</v>
      </c>
      <c r="P813" s="455">
        <f t="shared" si="146"/>
        <v>97368.291539999991</v>
      </c>
    </row>
    <row r="814" spans="1:18">
      <c r="A814" s="528"/>
      <c r="B814" s="528" t="s">
        <v>706</v>
      </c>
      <c r="C814" s="522"/>
      <c r="D814" s="522"/>
      <c r="E814" s="522"/>
      <c r="F814" s="522"/>
      <c r="G814" s="522">
        <f t="shared" si="147"/>
        <v>70.279999999999987</v>
      </c>
      <c r="H814" s="522"/>
      <c r="I814" s="522"/>
      <c r="J814" s="522"/>
      <c r="K814" s="522"/>
      <c r="L814" s="522">
        <f t="shared" si="148"/>
        <v>16623.383399999999</v>
      </c>
      <c r="O814" s="455">
        <f t="shared" si="145"/>
        <v>140.55999999999997</v>
      </c>
      <c r="P814" s="455">
        <f t="shared" si="146"/>
        <v>33246.766799999998</v>
      </c>
    </row>
    <row r="815" spans="1:18">
      <c r="A815" s="528"/>
      <c r="B815" s="528" t="s">
        <v>713</v>
      </c>
      <c r="C815" s="522"/>
      <c r="D815" s="522"/>
      <c r="E815" s="522"/>
      <c r="F815" s="522"/>
      <c r="G815" s="522">
        <f t="shared" si="147"/>
        <v>22.8</v>
      </c>
      <c r="H815" s="522"/>
      <c r="I815" s="522"/>
      <c r="J815" s="522"/>
      <c r="K815" s="522"/>
      <c r="L815" s="522">
        <f t="shared" si="148"/>
        <v>14955.140159999999</v>
      </c>
      <c r="O815" s="455">
        <f t="shared" si="145"/>
        <v>45.6</v>
      </c>
      <c r="P815" s="455">
        <f t="shared" si="146"/>
        <v>29910.280319999998</v>
      </c>
    </row>
    <row r="816" spans="1:18">
      <c r="A816" s="528"/>
      <c r="B816" s="528" t="s">
        <v>715</v>
      </c>
      <c r="C816" s="522"/>
      <c r="D816" s="522"/>
      <c r="E816" s="522"/>
      <c r="F816" s="522"/>
      <c r="G816" s="522">
        <f t="shared" si="147"/>
        <v>48.699999999999996</v>
      </c>
      <c r="H816" s="522"/>
      <c r="I816" s="522"/>
      <c r="J816" s="522"/>
      <c r="K816" s="522"/>
      <c r="L816" s="522">
        <f t="shared" si="148"/>
        <v>31943.654639999993</v>
      </c>
      <c r="O816" s="455">
        <f t="shared" si="145"/>
        <v>97.399999999999991</v>
      </c>
      <c r="P816" s="455">
        <f t="shared" si="146"/>
        <v>63887.309279999987</v>
      </c>
    </row>
    <row r="817" spans="1:22">
      <c r="A817" s="528"/>
      <c r="B817" s="528" t="s">
        <v>716</v>
      </c>
      <c r="C817" s="522"/>
      <c r="D817" s="522"/>
      <c r="E817" s="522"/>
      <c r="F817" s="522"/>
      <c r="G817" s="522">
        <f t="shared" si="147"/>
        <v>48.699999999999996</v>
      </c>
      <c r="H817" s="522"/>
      <c r="I817" s="522"/>
      <c r="J817" s="522"/>
      <c r="K817" s="522"/>
      <c r="L817" s="522">
        <f t="shared" si="148"/>
        <v>19433.364880000001</v>
      </c>
      <c r="O817" s="455">
        <f t="shared" si="145"/>
        <v>97.399999999999991</v>
      </c>
      <c r="P817" s="455">
        <f t="shared" si="146"/>
        <v>38866.729760000002</v>
      </c>
    </row>
    <row r="818" spans="1:22">
      <c r="A818" s="528"/>
      <c r="B818" s="528" t="s">
        <v>707</v>
      </c>
      <c r="C818" s="522"/>
      <c r="D818" s="522"/>
      <c r="E818" s="522"/>
      <c r="F818" s="522"/>
      <c r="G818" s="522">
        <f t="shared" si="147"/>
        <v>0</v>
      </c>
      <c r="H818" s="522"/>
      <c r="I818" s="522"/>
      <c r="J818" s="522"/>
      <c r="K818" s="522"/>
      <c r="L818" s="522">
        <f t="shared" si="148"/>
        <v>0</v>
      </c>
      <c r="O818" s="455">
        <f t="shared" si="145"/>
        <v>0</v>
      </c>
      <c r="P818" s="455">
        <f t="shared" si="146"/>
        <v>0</v>
      </c>
    </row>
    <row r="819" spans="1:22">
      <c r="A819" s="528"/>
      <c r="B819" s="528" t="s">
        <v>718</v>
      </c>
      <c r="C819" s="522"/>
      <c r="D819" s="522"/>
      <c r="E819" s="522"/>
      <c r="F819" s="522"/>
      <c r="G819" s="522">
        <f t="shared" si="147"/>
        <v>0.72</v>
      </c>
      <c r="H819" s="522"/>
      <c r="I819" s="522"/>
      <c r="J819" s="522"/>
      <c r="K819" s="522"/>
      <c r="L819" s="522">
        <f t="shared" si="148"/>
        <v>4557.36384</v>
      </c>
      <c r="O819" s="455">
        <f t="shared" si="145"/>
        <v>1.44</v>
      </c>
      <c r="P819" s="455">
        <f t="shared" si="146"/>
        <v>9114.72768</v>
      </c>
    </row>
    <row r="820" spans="1:22">
      <c r="A820" s="528"/>
      <c r="B820" s="528" t="s">
        <v>755</v>
      </c>
      <c r="C820" s="522"/>
      <c r="D820" s="522"/>
      <c r="E820" s="522"/>
      <c r="F820" s="522"/>
      <c r="G820" s="522">
        <f t="shared" si="147"/>
        <v>5.5260000000000007</v>
      </c>
      <c r="H820" s="522"/>
      <c r="I820" s="522"/>
      <c r="J820" s="522"/>
      <c r="K820" s="522"/>
      <c r="L820" s="522">
        <f t="shared" si="148"/>
        <v>6263.4402792000001</v>
      </c>
      <c r="O820" s="455">
        <f t="shared" si="145"/>
        <v>11.052000000000001</v>
      </c>
      <c r="P820" s="455">
        <f t="shared" si="146"/>
        <v>12526.8805584</v>
      </c>
    </row>
    <row r="821" spans="1:22">
      <c r="A821" s="528"/>
      <c r="B821" s="528" t="s">
        <v>747</v>
      </c>
      <c r="C821" s="522"/>
      <c r="D821" s="522"/>
      <c r="E821" s="522"/>
      <c r="F821" s="522"/>
      <c r="G821" s="522">
        <f t="shared" si="147"/>
        <v>3.52</v>
      </c>
      <c r="H821" s="522"/>
      <c r="I821" s="522"/>
      <c r="J821" s="522"/>
      <c r="K821" s="522"/>
      <c r="L821" s="522">
        <f t="shared" si="148"/>
        <v>25741.050368000004</v>
      </c>
      <c r="O821" s="455">
        <f t="shared" si="145"/>
        <v>7.04</v>
      </c>
      <c r="P821" s="455">
        <f t="shared" si="146"/>
        <v>51482.100736000008</v>
      </c>
    </row>
    <row r="822" spans="1:22">
      <c r="A822" s="528"/>
      <c r="B822" s="528" t="s">
        <v>666</v>
      </c>
      <c r="C822" s="522"/>
      <c r="D822" s="522"/>
      <c r="E822" s="522"/>
      <c r="F822" s="522"/>
      <c r="G822" s="522">
        <f t="shared" si="147"/>
        <v>2.62</v>
      </c>
      <c r="H822" s="522"/>
      <c r="I822" s="522"/>
      <c r="J822" s="522"/>
      <c r="K822" s="522"/>
      <c r="L822" s="522">
        <f t="shared" si="148"/>
        <v>19159.531808000003</v>
      </c>
      <c r="O822" s="455">
        <f t="shared" si="145"/>
        <v>5.24</v>
      </c>
      <c r="P822" s="455">
        <f t="shared" si="146"/>
        <v>38319.063616000007</v>
      </c>
    </row>
    <row r="823" spans="1:22" ht="13.8" thickBot="1">
      <c r="A823" s="528"/>
      <c r="B823" s="528"/>
      <c r="C823" s="522"/>
      <c r="D823" s="522"/>
      <c r="E823" s="522"/>
      <c r="F823" s="522"/>
      <c r="G823" s="540">
        <f>SUM(G807:G822)</f>
        <v>825.09599999999989</v>
      </c>
      <c r="H823" s="522"/>
      <c r="I823" s="522"/>
      <c r="J823" s="522"/>
      <c r="K823" s="540" t="s">
        <v>232</v>
      </c>
      <c r="L823" s="541">
        <f>SUM(L807:L822)</f>
        <v>479115.44095920003</v>
      </c>
      <c r="O823" s="540">
        <f>SUM(O807:O822)</f>
        <v>1650.1919999999998</v>
      </c>
      <c r="P823" s="540">
        <f>SUM(P807:P822)</f>
        <v>958230.88191840006</v>
      </c>
    </row>
    <row r="824" spans="1:22">
      <c r="A824" s="528"/>
      <c r="B824" s="528" t="s">
        <v>386</v>
      </c>
      <c r="C824" s="522"/>
      <c r="D824" s="522"/>
      <c r="E824" s="522"/>
      <c r="F824" s="522"/>
      <c r="G824" s="522">
        <f>Doors!E59</f>
        <v>6</v>
      </c>
      <c r="H824" s="522"/>
      <c r="I824" s="522"/>
      <c r="J824" s="522"/>
      <c r="K824" s="522"/>
      <c r="L824" s="522">
        <f>Doors!J59</f>
        <v>112000</v>
      </c>
    </row>
    <row r="825" spans="1:22">
      <c r="A825" s="528"/>
      <c r="B825" s="528" t="s">
        <v>391</v>
      </c>
      <c r="C825" s="522"/>
      <c r="D825" s="522"/>
      <c r="E825" s="522"/>
      <c r="F825" s="522"/>
      <c r="G825" s="522">
        <f>Windows!H71</f>
        <v>24.334999999999997</v>
      </c>
      <c r="H825" s="522"/>
      <c r="I825" s="522"/>
      <c r="J825" s="522"/>
      <c r="K825" s="522"/>
      <c r="L825" s="522">
        <f>Windows!N71</f>
        <v>188243.06700000001</v>
      </c>
    </row>
    <row r="826" spans="1:22">
      <c r="A826" s="528"/>
      <c r="B826" s="528"/>
      <c r="C826" s="522"/>
      <c r="D826" s="522"/>
      <c r="E826" s="522"/>
      <c r="F826" s="522"/>
      <c r="G826" s="522"/>
      <c r="H826" s="522"/>
      <c r="I826" s="522"/>
      <c r="J826" s="522"/>
      <c r="K826" s="542" t="s">
        <v>232</v>
      </c>
      <c r="L826" s="543">
        <f>SUM(L824:L825)</f>
        <v>300243.06700000004</v>
      </c>
    </row>
    <row r="827" spans="1:22" ht="13.8" thickBot="1">
      <c r="A827" s="528"/>
      <c r="B827" s="528"/>
      <c r="C827" s="522"/>
      <c r="D827" s="522"/>
      <c r="E827" s="522"/>
      <c r="F827" s="522"/>
      <c r="G827" s="522"/>
      <c r="H827" s="522"/>
      <c r="I827" s="522"/>
      <c r="J827" s="522"/>
      <c r="K827" s="525" t="s">
        <v>758</v>
      </c>
      <c r="L827" s="525">
        <f>L823+L826</f>
        <v>779358.50795920007</v>
      </c>
    </row>
    <row r="828" spans="1:22" s="474" customFormat="1" ht="13.5" customHeight="1">
      <c r="A828" s="465" t="s">
        <v>628</v>
      </c>
      <c r="B828" s="466" t="str">
        <f>'Flat Sizes'!B70</f>
        <v>Flat 4B,
3BHK</v>
      </c>
      <c r="C828" s="456"/>
      <c r="D828" s="456"/>
      <c r="E828" s="456"/>
      <c r="F828" s="456"/>
      <c r="G828" s="456"/>
      <c r="H828" s="456"/>
      <c r="I828" s="456"/>
      <c r="J828" s="456"/>
      <c r="K828" s="456"/>
      <c r="L828" s="456"/>
      <c r="M828" s="471"/>
      <c r="N828" s="472">
        <f>'Flat Sizes'!H70</f>
        <v>24</v>
      </c>
      <c r="O828" s="459"/>
      <c r="P828" s="459"/>
      <c r="Q828" s="473"/>
      <c r="S828" s="473"/>
      <c r="T828" s="473"/>
      <c r="U828" s="473"/>
      <c r="V828" s="473"/>
    </row>
    <row r="829" spans="1:22" s="479" customFormat="1" ht="13.5" customHeight="1">
      <c r="A829" s="475" t="s">
        <v>628</v>
      </c>
      <c r="B829" s="476" t="str">
        <f>'Flat Sizes'!B71</f>
        <v>Living, Dining &amp; Passage</v>
      </c>
      <c r="C829" s="477">
        <f>'Flat Sizes'!D71</f>
        <v>30.55</v>
      </c>
      <c r="D829" s="477">
        <f>'Flat Sizes'!G71</f>
        <v>31.89</v>
      </c>
      <c r="E829" s="477"/>
      <c r="F829" s="454"/>
      <c r="G829" s="477"/>
      <c r="H829" s="477"/>
      <c r="I829" s="477"/>
      <c r="J829" s="477"/>
      <c r="K829" s="477"/>
      <c r="L829" s="477"/>
      <c r="M829" s="459">
        <f>SUM(L830:L841)/C829/10.764</f>
        <v>373.1921026808767</v>
      </c>
      <c r="N829" s="472"/>
      <c r="O829" s="455"/>
      <c r="P829" s="455"/>
      <c r="Q829" s="478"/>
    </row>
    <row r="830" spans="1:22">
      <c r="A830" s="454"/>
      <c r="B830" s="454" t="str" cm="1">
        <f t="array" ref="B830:B841">'Rate List - Flats'!B6:B17</f>
        <v>Flooring</v>
      </c>
      <c r="C830" s="456"/>
      <c r="D830" s="456"/>
      <c r="E830" s="456">
        <f>C829</f>
        <v>30.55</v>
      </c>
      <c r="F830" s="456"/>
      <c r="G830" s="456">
        <f t="shared" ref="G830:G895" si="149">E830+F830</f>
        <v>30.55</v>
      </c>
      <c r="H830" s="456" t="str" cm="1">
        <f t="array" ref="H830:H841">'Rate List - Flats'!H6:H17</f>
        <v>Sq M</v>
      </c>
      <c r="I830" s="456" t="str" cm="1">
        <f t="array" ref="I830:I841">'Rate List - Flats'!C6:C17</f>
        <v>2'x2' Vitrified tiles</v>
      </c>
      <c r="J830" s="456" cm="1">
        <f t="array" ref="J830:J841">'Rate List - Flats'!E6:E17</f>
        <v>45</v>
      </c>
      <c r="K830" s="456" cm="1">
        <f t="array" ref="K830:K841">'Rate List - Flats'!G6:G17</f>
        <v>1340.1179999999999</v>
      </c>
      <c r="L830" s="456">
        <f t="shared" ref="L830:L895" si="150">G830*K830</f>
        <v>40940.604899999998</v>
      </c>
      <c r="O830" s="455">
        <f>IF(I830="N.A",0,G830*$N$828)</f>
        <v>733.2</v>
      </c>
      <c r="P830" s="455">
        <f>L830*$N$828</f>
        <v>982574.5175999999</v>
      </c>
      <c r="R830" s="480" t="s">
        <v>659</v>
      </c>
    </row>
    <row r="831" spans="1:22">
      <c r="A831" s="454"/>
      <c r="B831" s="454" t="str">
        <v>Skirting</v>
      </c>
      <c r="C831" s="456"/>
      <c r="D831" s="456"/>
      <c r="E831" s="456">
        <f>D829</f>
        <v>31.89</v>
      </c>
      <c r="F831" s="456">
        <f>-(Doors!F61+Doors!F62+Doors!F64+Doors!F66+Doors!F68)</f>
        <v>-4.8</v>
      </c>
      <c r="G831" s="456">
        <f t="shared" si="149"/>
        <v>27.09</v>
      </c>
      <c r="H831" s="456" t="str">
        <v>RM</v>
      </c>
      <c r="I831" s="456" t="str">
        <v xml:space="preserve">2'x2' Vitrified tiles </v>
      </c>
      <c r="J831" s="456">
        <v>45</v>
      </c>
      <c r="K831" s="456">
        <v>391.96</v>
      </c>
      <c r="L831" s="456">
        <f t="shared" si="150"/>
        <v>10618.196399999999</v>
      </c>
      <c r="O831" s="455">
        <f t="shared" ref="O831:O840" si="151">IF(I831="N.A",0,G831*$N$828)</f>
        <v>650.16</v>
      </c>
      <c r="P831" s="455">
        <f t="shared" ref="P831:P840" si="152">L831*$N$828</f>
        <v>254836.71359999996</v>
      </c>
      <c r="R831" s="480" t="s">
        <v>660</v>
      </c>
    </row>
    <row r="832" spans="1:22">
      <c r="A832" s="454"/>
      <c r="B832" s="454" t="str">
        <v>Dado</v>
      </c>
      <c r="C832" s="456"/>
      <c r="D832" s="456"/>
      <c r="E832" s="456"/>
      <c r="F832" s="456"/>
      <c r="G832" s="456">
        <f t="shared" si="149"/>
        <v>0</v>
      </c>
      <c r="H832" s="456" t="str">
        <v>Sq M</v>
      </c>
      <c r="I832" s="456" t="str">
        <v>N.A.</v>
      </c>
      <c r="J832" s="456">
        <v>0</v>
      </c>
      <c r="K832" s="456">
        <v>0</v>
      </c>
      <c r="L832" s="456">
        <f t="shared" si="150"/>
        <v>0</v>
      </c>
      <c r="O832" s="455">
        <f t="shared" si="151"/>
        <v>0</v>
      </c>
      <c r="P832" s="455">
        <f t="shared" si="152"/>
        <v>0</v>
      </c>
      <c r="R832" s="480"/>
    </row>
    <row r="833" spans="1:18">
      <c r="A833" s="454"/>
      <c r="B833" s="454" t="str">
        <v>Wall finishes plaster</v>
      </c>
      <c r="C833" s="456"/>
      <c r="D833" s="456"/>
      <c r="E833" s="456">
        <f>D829*(D1-0.15)</f>
        <v>94.075500000000005</v>
      </c>
      <c r="F833" s="456">
        <f>-(Doors!H61+Doors!H62+Doors!H64+Doors!H66+Doors!H68+Windows!H73)</f>
        <v>-16.035500000000003</v>
      </c>
      <c r="G833" s="456">
        <f t="shared" si="149"/>
        <v>78.040000000000006</v>
      </c>
      <c r="H833" s="456" t="str">
        <v>Sq M</v>
      </c>
      <c r="I833" s="456" t="str">
        <v>Gypsum Plaster</v>
      </c>
      <c r="J833" s="456">
        <v>32</v>
      </c>
      <c r="K833" s="456">
        <v>344.44799999999998</v>
      </c>
      <c r="L833" s="456">
        <f t="shared" si="150"/>
        <v>26880.72192</v>
      </c>
      <c r="O833" s="455">
        <f t="shared" si="151"/>
        <v>1872.96</v>
      </c>
      <c r="P833" s="455">
        <f t="shared" si="152"/>
        <v>645137.32608000003</v>
      </c>
      <c r="R833" s="480" t="s">
        <v>661</v>
      </c>
    </row>
    <row r="834" spans="1:18">
      <c r="A834" s="454"/>
      <c r="B834" s="454" t="str">
        <v>Ceiling plaster</v>
      </c>
      <c r="C834" s="456"/>
      <c r="D834" s="456"/>
      <c r="E834" s="456">
        <f>E830</f>
        <v>30.55</v>
      </c>
      <c r="F834" s="456"/>
      <c r="G834" s="456">
        <f t="shared" si="149"/>
        <v>30.55</v>
      </c>
      <c r="H834" s="456" t="str">
        <v>Sq M</v>
      </c>
      <c r="I834" s="456" t="str">
        <v>Gypsum Plaster</v>
      </c>
      <c r="J834" s="456">
        <v>32</v>
      </c>
      <c r="K834" s="456">
        <v>344.44799999999998</v>
      </c>
      <c r="L834" s="456">
        <f t="shared" si="150"/>
        <v>10522.886399999999</v>
      </c>
      <c r="O834" s="455">
        <f t="shared" si="151"/>
        <v>733.2</v>
      </c>
      <c r="P834" s="455">
        <f t="shared" si="152"/>
        <v>252549.27359999999</v>
      </c>
      <c r="R834" s="480" t="s">
        <v>662</v>
      </c>
    </row>
    <row r="835" spans="1:18">
      <c r="A835" s="454"/>
      <c r="B835" s="454" t="str">
        <v>False ceiling</v>
      </c>
      <c r="C835" s="456"/>
      <c r="D835" s="456"/>
      <c r="E835" s="456"/>
      <c r="F835" s="456"/>
      <c r="G835" s="456">
        <f t="shared" si="149"/>
        <v>0</v>
      </c>
      <c r="H835" s="456" t="str">
        <v>Sq M</v>
      </c>
      <c r="I835" s="456" t="str">
        <v>N.A.</v>
      </c>
      <c r="J835" s="456">
        <v>0</v>
      </c>
      <c r="K835" s="456">
        <v>0</v>
      </c>
      <c r="L835" s="456">
        <f t="shared" si="150"/>
        <v>0</v>
      </c>
      <c r="O835" s="455">
        <f t="shared" si="151"/>
        <v>0</v>
      </c>
      <c r="P835" s="455">
        <f t="shared" si="152"/>
        <v>0</v>
      </c>
      <c r="R835" s="480"/>
    </row>
    <row r="836" spans="1:18">
      <c r="A836" s="454"/>
      <c r="B836" s="454" t="str">
        <v>Wall finishes Paint</v>
      </c>
      <c r="C836" s="456"/>
      <c r="D836" s="456"/>
      <c r="E836" s="456">
        <f>E833</f>
        <v>94.075500000000005</v>
      </c>
      <c r="F836" s="456">
        <f>F833</f>
        <v>-16.035500000000003</v>
      </c>
      <c r="G836" s="456">
        <f t="shared" si="149"/>
        <v>78.040000000000006</v>
      </c>
      <c r="H836" s="456" t="str">
        <v>Sq M</v>
      </c>
      <c r="I836" s="456" t="str">
        <v>Plastic paint</v>
      </c>
      <c r="J836" s="456">
        <v>20</v>
      </c>
      <c r="K836" s="456">
        <v>215.27999999999997</v>
      </c>
      <c r="L836" s="456">
        <f t="shared" si="150"/>
        <v>16800.4512</v>
      </c>
      <c r="O836" s="455">
        <f t="shared" si="151"/>
        <v>1872.96</v>
      </c>
      <c r="P836" s="455">
        <f t="shared" si="152"/>
        <v>403210.82880000002</v>
      </c>
      <c r="R836" s="480" t="s">
        <v>663</v>
      </c>
    </row>
    <row r="837" spans="1:18">
      <c r="A837" s="454"/>
      <c r="B837" s="454" t="str">
        <v>Ceiling Paint</v>
      </c>
      <c r="C837" s="456"/>
      <c r="D837" s="456"/>
      <c r="E837" s="456">
        <f>E834</f>
        <v>30.55</v>
      </c>
      <c r="F837" s="456"/>
      <c r="G837" s="456">
        <f t="shared" si="149"/>
        <v>30.55</v>
      </c>
      <c r="H837" s="456" t="str">
        <v>Sq M</v>
      </c>
      <c r="I837" s="456" t="str">
        <v>Plastic paint</v>
      </c>
      <c r="J837" s="456">
        <v>20</v>
      </c>
      <c r="K837" s="456">
        <v>215.27999999999997</v>
      </c>
      <c r="L837" s="456">
        <f t="shared" si="150"/>
        <v>6576.8039999999992</v>
      </c>
      <c r="O837" s="455">
        <f t="shared" si="151"/>
        <v>733.2</v>
      </c>
      <c r="P837" s="455">
        <f t="shared" si="152"/>
        <v>157843.29599999997</v>
      </c>
      <c r="R837" s="480" t="s">
        <v>664</v>
      </c>
    </row>
    <row r="838" spans="1:18">
      <c r="A838" s="454"/>
      <c r="B838" s="454" t="str">
        <v>Door Frames</v>
      </c>
      <c r="C838" s="456"/>
      <c r="D838" s="456"/>
      <c r="E838" s="456"/>
      <c r="F838" s="456"/>
      <c r="G838" s="456">
        <f t="shared" si="149"/>
        <v>0</v>
      </c>
      <c r="H838" s="456" t="str">
        <v>RM</v>
      </c>
      <c r="I838" s="456" t="str">
        <v>N.A.</v>
      </c>
      <c r="J838" s="456">
        <v>0</v>
      </c>
      <c r="K838" s="456">
        <v>0</v>
      </c>
      <c r="L838" s="456">
        <f t="shared" si="150"/>
        <v>0</v>
      </c>
      <c r="O838" s="455">
        <f t="shared" si="151"/>
        <v>0</v>
      </c>
      <c r="P838" s="455">
        <f t="shared" si="152"/>
        <v>0</v>
      </c>
      <c r="R838" s="480" t="s">
        <v>742</v>
      </c>
    </row>
    <row r="839" spans="1:18">
      <c r="A839" s="454"/>
      <c r="B839" s="454" t="str">
        <v>Window Frames - Internal</v>
      </c>
      <c r="C839" s="456"/>
      <c r="D839" s="456"/>
      <c r="E839" s="456">
        <f>Windows!F73*2+Windows!G73*2</f>
        <v>9.84</v>
      </c>
      <c r="F839" s="456"/>
      <c r="G839" s="456">
        <f t="shared" si="149"/>
        <v>9.84</v>
      </c>
      <c r="H839" s="456" t="str">
        <v>RM</v>
      </c>
      <c r="I839" s="456" t="str">
        <v>Granite Window Frame</v>
      </c>
      <c r="J839" s="456">
        <v>180</v>
      </c>
      <c r="K839" s="456">
        <v>655.92719999999997</v>
      </c>
      <c r="L839" s="456">
        <f t="shared" si="150"/>
        <v>6454.3236479999996</v>
      </c>
      <c r="O839" s="455">
        <f t="shared" si="151"/>
        <v>236.16</v>
      </c>
      <c r="P839" s="455">
        <f t="shared" si="152"/>
        <v>154903.767552</v>
      </c>
      <c r="R839" s="480" t="s">
        <v>743</v>
      </c>
    </row>
    <row r="840" spans="1:18">
      <c r="A840" s="454"/>
      <c r="B840" s="454" t="str">
        <v>Window Frames - External</v>
      </c>
      <c r="C840" s="456"/>
      <c r="D840" s="456"/>
      <c r="E840" s="456">
        <f>E839</f>
        <v>9.84</v>
      </c>
      <c r="F840" s="456"/>
      <c r="G840" s="456">
        <f t="shared" si="149"/>
        <v>9.84</v>
      </c>
      <c r="H840" s="456" t="str">
        <v>RM</v>
      </c>
      <c r="I840" s="456" t="str">
        <v>Marble Window Frames with Sill</v>
      </c>
      <c r="J840" s="456">
        <v>60</v>
      </c>
      <c r="K840" s="456">
        <v>399.04239999999999</v>
      </c>
      <c r="L840" s="456">
        <f t="shared" si="150"/>
        <v>3926.5772159999997</v>
      </c>
      <c r="O840" s="455">
        <f t="shared" si="151"/>
        <v>236.16</v>
      </c>
      <c r="P840" s="455">
        <f t="shared" si="152"/>
        <v>94237.853183999992</v>
      </c>
      <c r="R840" s="480" t="s">
        <v>409</v>
      </c>
    </row>
    <row r="841" spans="1:18">
      <c r="A841" s="454"/>
      <c r="B841" s="454" t="str">
        <v>Others</v>
      </c>
      <c r="C841" s="456"/>
      <c r="D841" s="456"/>
      <c r="E841" s="456"/>
      <c r="F841" s="456"/>
      <c r="G841" s="456">
        <f t="shared" si="149"/>
        <v>0</v>
      </c>
      <c r="H841" s="456" t="str">
        <v>-</v>
      </c>
      <c r="I841" s="456" t="str">
        <v>N.A.</v>
      </c>
      <c r="J841" s="456" t="str">
        <v>-</v>
      </c>
      <c r="K841" s="456" t="str">
        <v>-</v>
      </c>
      <c r="L841" s="456"/>
    </row>
    <row r="842" spans="1:18" s="479" customFormat="1" ht="13.5" customHeight="1">
      <c r="A842" s="475" t="s">
        <v>628</v>
      </c>
      <c r="B842" s="476" t="str">
        <f>'Flat Sizes'!B72</f>
        <v>M. Bedroom</v>
      </c>
      <c r="C842" s="477">
        <f>'Flat Sizes'!D72</f>
        <v>14.53</v>
      </c>
      <c r="D842" s="477">
        <f>'Flat Sizes'!G72</f>
        <v>17.23</v>
      </c>
      <c r="E842" s="477"/>
      <c r="F842" s="454"/>
      <c r="G842" s="477"/>
      <c r="H842" s="477"/>
      <c r="I842" s="477"/>
      <c r="J842" s="477"/>
      <c r="K842" s="477"/>
      <c r="L842" s="477"/>
      <c r="M842" s="459">
        <f>SUM(L843:L854)/C842/10.764</f>
        <v>431.73303448598648</v>
      </c>
      <c r="N842" s="472"/>
      <c r="O842" s="455"/>
      <c r="P842" s="455"/>
      <c r="Q842" s="478"/>
    </row>
    <row r="843" spans="1:18">
      <c r="A843" s="454"/>
      <c r="B843" s="454" t="str" cm="1">
        <f t="array" ref="B843:B854">'Rate List - Flats'!B34:B45</f>
        <v>Flooring</v>
      </c>
      <c r="C843" s="456"/>
      <c r="D843" s="456"/>
      <c r="E843" s="456">
        <f>C842</f>
        <v>14.53</v>
      </c>
      <c r="F843" s="456"/>
      <c r="G843" s="456">
        <f t="shared" si="149"/>
        <v>14.53</v>
      </c>
      <c r="H843" s="456" t="str" cm="1">
        <f t="array" ref="H843:H854">'Rate List - Flats'!H34:H45</f>
        <v>Sq M</v>
      </c>
      <c r="I843" s="456" t="str" cm="1">
        <f t="array" ref="I843:I854">'Rate List - Flats'!C34:C45</f>
        <v>2'x2' Vitrified tiles</v>
      </c>
      <c r="J843" s="456" cm="1">
        <f t="array" ref="J843:J854">'Rate List - Flats'!E34:E45</f>
        <v>45</v>
      </c>
      <c r="K843" s="456" cm="1">
        <f t="array" ref="K843:K854">'Rate List - Flats'!G34:G45</f>
        <v>1340.1179999999999</v>
      </c>
      <c r="L843" s="456">
        <f t="shared" si="150"/>
        <v>19471.914539999998</v>
      </c>
      <c r="O843" s="455">
        <f t="shared" ref="O843:O854" si="153">IF(I843="N.A",0,G843*$N$828)</f>
        <v>348.71999999999997</v>
      </c>
      <c r="P843" s="455">
        <f t="shared" ref="P843:P854" si="154">L843*$N$828</f>
        <v>467325.94895999995</v>
      </c>
      <c r="R843" s="480" t="s">
        <v>659</v>
      </c>
    </row>
    <row r="844" spans="1:18">
      <c r="A844" s="454"/>
      <c r="B844" s="454" t="str">
        <v>Skirting</v>
      </c>
      <c r="C844" s="456"/>
      <c r="D844" s="456"/>
      <c r="E844" s="456">
        <f>D842</f>
        <v>17.23</v>
      </c>
      <c r="F844" s="456">
        <f>-(Doors!F62+Doors!F63)</f>
        <v>-1.65</v>
      </c>
      <c r="G844" s="456">
        <f t="shared" si="149"/>
        <v>15.58</v>
      </c>
      <c r="H844" s="456" t="str">
        <v>RM</v>
      </c>
      <c r="I844" s="456" t="str">
        <v xml:space="preserve">2'x2' Vitrified tiles </v>
      </c>
      <c r="J844" s="456">
        <v>45</v>
      </c>
      <c r="K844" s="456">
        <v>391.96</v>
      </c>
      <c r="L844" s="456">
        <f t="shared" si="150"/>
        <v>6106.7367999999997</v>
      </c>
      <c r="O844" s="455">
        <f t="shared" si="153"/>
        <v>373.92</v>
      </c>
      <c r="P844" s="455">
        <f t="shared" si="154"/>
        <v>146561.6832</v>
      </c>
      <c r="R844" s="480" t="s">
        <v>660</v>
      </c>
    </row>
    <row r="845" spans="1:18">
      <c r="A845" s="454"/>
      <c r="B845" s="454" t="str">
        <v>Dado</v>
      </c>
      <c r="C845" s="456"/>
      <c r="D845" s="456"/>
      <c r="E845" s="456"/>
      <c r="F845" s="456"/>
      <c r="G845" s="456">
        <f t="shared" si="149"/>
        <v>0</v>
      </c>
      <c r="H845" s="456" t="str">
        <v>Sq M</v>
      </c>
      <c r="I845" s="456" t="str">
        <v>N.A.</v>
      </c>
      <c r="J845" s="456">
        <v>0</v>
      </c>
      <c r="K845" s="456">
        <v>0</v>
      </c>
      <c r="L845" s="456">
        <f t="shared" si="150"/>
        <v>0</v>
      </c>
      <c r="O845" s="455">
        <f t="shared" si="153"/>
        <v>0</v>
      </c>
      <c r="P845" s="455">
        <f t="shared" si="154"/>
        <v>0</v>
      </c>
      <c r="R845" s="480"/>
    </row>
    <row r="846" spans="1:18">
      <c r="A846" s="454"/>
      <c r="B846" s="454" t="str">
        <v>Wall finishes plaster</v>
      </c>
      <c r="C846" s="456"/>
      <c r="D846" s="456"/>
      <c r="E846" s="456">
        <f>D842*(D1-0.15)</f>
        <v>50.828500000000005</v>
      </c>
      <c r="F846" s="456">
        <f>-(Doors!H62+Doors!H63+Windows!H74)</f>
        <v>-10.022499999999999</v>
      </c>
      <c r="G846" s="456">
        <f t="shared" si="149"/>
        <v>40.806000000000004</v>
      </c>
      <c r="H846" s="456" t="str">
        <v>Sq M</v>
      </c>
      <c r="I846" s="456" t="str">
        <v>Gypsum Plaster</v>
      </c>
      <c r="J846" s="456">
        <v>32</v>
      </c>
      <c r="K846" s="456">
        <v>344.44799999999998</v>
      </c>
      <c r="L846" s="456">
        <f t="shared" si="150"/>
        <v>14055.545088000001</v>
      </c>
      <c r="O846" s="455">
        <f t="shared" si="153"/>
        <v>979.34400000000005</v>
      </c>
      <c r="P846" s="455">
        <f t="shared" si="154"/>
        <v>337333.08211200003</v>
      </c>
      <c r="R846" s="480" t="s">
        <v>661</v>
      </c>
    </row>
    <row r="847" spans="1:18">
      <c r="A847" s="454"/>
      <c r="B847" s="454" t="str">
        <v>Ceiling plaster</v>
      </c>
      <c r="C847" s="456"/>
      <c r="D847" s="456"/>
      <c r="E847" s="456">
        <f>E843</f>
        <v>14.53</v>
      </c>
      <c r="F847" s="456"/>
      <c r="G847" s="456">
        <f t="shared" si="149"/>
        <v>14.53</v>
      </c>
      <c r="H847" s="456" t="str">
        <v>Sq M</v>
      </c>
      <c r="I847" s="456" t="str">
        <v>Gypsum Plaster</v>
      </c>
      <c r="J847" s="456">
        <v>32</v>
      </c>
      <c r="K847" s="456">
        <v>344.44799999999998</v>
      </c>
      <c r="L847" s="456">
        <f t="shared" si="150"/>
        <v>5004.8294399999995</v>
      </c>
      <c r="O847" s="455">
        <f t="shared" si="153"/>
        <v>348.71999999999997</v>
      </c>
      <c r="P847" s="455">
        <f t="shared" si="154"/>
        <v>120115.90655999999</v>
      </c>
      <c r="R847" s="480" t="s">
        <v>662</v>
      </c>
    </row>
    <row r="848" spans="1:18">
      <c r="A848" s="454"/>
      <c r="B848" s="454" t="str">
        <v>False ceiling</v>
      </c>
      <c r="C848" s="456"/>
      <c r="D848" s="456"/>
      <c r="E848" s="456"/>
      <c r="F848" s="456"/>
      <c r="G848" s="456">
        <f t="shared" si="149"/>
        <v>0</v>
      </c>
      <c r="H848" s="456" t="str">
        <v>Sq M</v>
      </c>
      <c r="I848" s="456" t="str">
        <v>N.A.</v>
      </c>
      <c r="J848" s="456">
        <v>0</v>
      </c>
      <c r="K848" s="456">
        <v>0</v>
      </c>
      <c r="L848" s="456">
        <f t="shared" si="150"/>
        <v>0</v>
      </c>
      <c r="O848" s="455">
        <f t="shared" si="153"/>
        <v>0</v>
      </c>
      <c r="P848" s="455">
        <f t="shared" si="154"/>
        <v>0</v>
      </c>
      <c r="R848" s="480"/>
    </row>
    <row r="849" spans="1:18">
      <c r="A849" s="454"/>
      <c r="B849" s="454" t="str">
        <v>Wall finishes Paint</v>
      </c>
      <c r="C849" s="456"/>
      <c r="D849" s="456"/>
      <c r="E849" s="456">
        <f>E846</f>
        <v>50.828500000000005</v>
      </c>
      <c r="F849" s="456">
        <f>F846</f>
        <v>-10.022499999999999</v>
      </c>
      <c r="G849" s="456">
        <f t="shared" si="149"/>
        <v>40.806000000000004</v>
      </c>
      <c r="H849" s="456" t="str">
        <v>Sq M</v>
      </c>
      <c r="I849" s="456" t="str">
        <v>Plastic paint</v>
      </c>
      <c r="J849" s="456">
        <v>20</v>
      </c>
      <c r="K849" s="456">
        <v>215.27999999999997</v>
      </c>
      <c r="L849" s="456">
        <f t="shared" si="150"/>
        <v>8784.7156799999993</v>
      </c>
      <c r="O849" s="455">
        <f t="shared" si="153"/>
        <v>979.34400000000005</v>
      </c>
      <c r="P849" s="455">
        <f t="shared" si="154"/>
        <v>210833.17631999997</v>
      </c>
      <c r="R849" s="480" t="s">
        <v>663</v>
      </c>
    </row>
    <row r="850" spans="1:18">
      <c r="A850" s="454"/>
      <c r="B850" s="454" t="str">
        <v>Ceiling Paint</v>
      </c>
      <c r="C850" s="456"/>
      <c r="D850" s="456"/>
      <c r="E850" s="456">
        <f>E847</f>
        <v>14.53</v>
      </c>
      <c r="F850" s="456"/>
      <c r="G850" s="456">
        <f t="shared" si="149"/>
        <v>14.53</v>
      </c>
      <c r="H850" s="456" t="str">
        <v>Sq M</v>
      </c>
      <c r="I850" s="456" t="str">
        <v>Plastic paint</v>
      </c>
      <c r="J850" s="456">
        <v>20</v>
      </c>
      <c r="K850" s="456">
        <v>215.27999999999997</v>
      </c>
      <c r="L850" s="456">
        <f t="shared" si="150"/>
        <v>3128.0183999999995</v>
      </c>
      <c r="O850" s="455">
        <f t="shared" si="153"/>
        <v>348.71999999999997</v>
      </c>
      <c r="P850" s="455">
        <f t="shared" si="154"/>
        <v>75072.441599999991</v>
      </c>
      <c r="R850" s="480" t="s">
        <v>664</v>
      </c>
    </row>
    <row r="851" spans="1:18">
      <c r="A851" s="454"/>
      <c r="B851" s="454" t="str">
        <v>Door Frames</v>
      </c>
      <c r="C851" s="456"/>
      <c r="D851" s="456"/>
      <c r="E851" s="456"/>
      <c r="F851" s="456"/>
      <c r="G851" s="456">
        <f t="shared" si="149"/>
        <v>0</v>
      </c>
      <c r="H851" s="456" t="str">
        <v>RM</v>
      </c>
      <c r="I851" s="456" t="str">
        <v>N.A.</v>
      </c>
      <c r="J851" s="456">
        <v>0</v>
      </c>
      <c r="K851" s="456">
        <v>0</v>
      </c>
      <c r="L851" s="456">
        <f t="shared" si="150"/>
        <v>0</v>
      </c>
      <c r="O851" s="455">
        <f t="shared" si="153"/>
        <v>0</v>
      </c>
      <c r="P851" s="455">
        <f t="shared" si="154"/>
        <v>0</v>
      </c>
      <c r="R851" s="480"/>
    </row>
    <row r="852" spans="1:18">
      <c r="A852" s="454"/>
      <c r="B852" s="454" t="str">
        <v>Window Frames - Internal</v>
      </c>
      <c r="C852" s="456"/>
      <c r="D852" s="456"/>
      <c r="E852" s="456">
        <f>Windows!F74*2+Windows!G74*2</f>
        <v>10.399999999999999</v>
      </c>
      <c r="F852" s="456"/>
      <c r="G852" s="456">
        <f t="shared" si="149"/>
        <v>10.399999999999999</v>
      </c>
      <c r="H852" s="456" t="str">
        <v>RM</v>
      </c>
      <c r="I852" s="456" t="str">
        <v>Granite Window Frame</v>
      </c>
      <c r="J852" s="456">
        <v>180</v>
      </c>
      <c r="K852" s="456">
        <v>655.92719999999997</v>
      </c>
      <c r="L852" s="456">
        <f t="shared" si="150"/>
        <v>6821.6428799999985</v>
      </c>
      <c r="O852" s="455">
        <f t="shared" si="153"/>
        <v>249.59999999999997</v>
      </c>
      <c r="P852" s="455">
        <f t="shared" si="154"/>
        <v>163719.42911999996</v>
      </c>
      <c r="R852" s="480" t="s">
        <v>743</v>
      </c>
    </row>
    <row r="853" spans="1:18">
      <c r="A853" s="454"/>
      <c r="B853" s="454" t="str">
        <v>Window Frames - External</v>
      </c>
      <c r="C853" s="456"/>
      <c r="D853" s="456"/>
      <c r="E853" s="456">
        <f>E852</f>
        <v>10.399999999999999</v>
      </c>
      <c r="F853" s="456"/>
      <c r="G853" s="456">
        <f t="shared" si="149"/>
        <v>10.399999999999999</v>
      </c>
      <c r="H853" s="456" t="str">
        <v>RM</v>
      </c>
      <c r="I853" s="456" t="str">
        <v>Marble Window Frames with Sill</v>
      </c>
      <c r="J853" s="456">
        <v>60</v>
      </c>
      <c r="K853" s="456">
        <v>399.04239999999999</v>
      </c>
      <c r="L853" s="456">
        <f t="shared" si="150"/>
        <v>4150.0409599999994</v>
      </c>
      <c r="O853" s="455">
        <f t="shared" si="153"/>
        <v>249.59999999999997</v>
      </c>
      <c r="P853" s="455">
        <f t="shared" si="154"/>
        <v>99600.983039999992</v>
      </c>
      <c r="R853" s="480" t="s">
        <v>409</v>
      </c>
    </row>
    <row r="854" spans="1:18">
      <c r="A854" s="454"/>
      <c r="B854" s="454" t="str">
        <v>Others</v>
      </c>
      <c r="C854" s="456"/>
      <c r="D854" s="456"/>
      <c r="E854" s="456"/>
      <c r="F854" s="456"/>
      <c r="G854" s="456">
        <f t="shared" si="149"/>
        <v>0</v>
      </c>
      <c r="H854" s="456" t="str">
        <v>-</v>
      </c>
      <c r="I854" s="456" t="str">
        <v>N.A.</v>
      </c>
      <c r="J854" s="456">
        <v>0</v>
      </c>
      <c r="K854" s="456">
        <v>0</v>
      </c>
      <c r="L854" s="456">
        <f t="shared" si="150"/>
        <v>0</v>
      </c>
      <c r="O854" s="455">
        <f t="shared" si="153"/>
        <v>0</v>
      </c>
      <c r="P854" s="455">
        <f t="shared" si="154"/>
        <v>0</v>
      </c>
    </row>
    <row r="855" spans="1:18" s="479" customFormat="1" ht="13.5" customHeight="1">
      <c r="A855" s="475" t="s">
        <v>628</v>
      </c>
      <c r="B855" s="476" t="str">
        <f>'Flat Sizes'!B73</f>
        <v>M. Toilet</v>
      </c>
      <c r="C855" s="477">
        <f>'Flat Sizes'!D73</f>
        <v>3.83</v>
      </c>
      <c r="D855" s="477">
        <f>'Flat Sizes'!G73</f>
        <v>8.2200000000000006</v>
      </c>
      <c r="E855" s="477"/>
      <c r="F855" s="454"/>
      <c r="G855" s="477"/>
      <c r="H855" s="477"/>
      <c r="I855" s="477"/>
      <c r="J855" s="477"/>
      <c r="K855" s="477"/>
      <c r="L855" s="477"/>
      <c r="M855" s="459">
        <f>SUM(L856:L867)/C855/10.764</f>
        <v>1201.4185138451062</v>
      </c>
      <c r="N855" s="472"/>
      <c r="O855" s="455"/>
      <c r="P855" s="455"/>
      <c r="Q855" s="478"/>
    </row>
    <row r="856" spans="1:18">
      <c r="A856" s="454"/>
      <c r="B856" s="454" t="str" cm="1">
        <f t="array" ref="B856:B867">'Rate List - Flats'!B62:B73</f>
        <v>Flooring</v>
      </c>
      <c r="C856" s="456"/>
      <c r="D856" s="456"/>
      <c r="E856" s="456">
        <f>C855</f>
        <v>3.83</v>
      </c>
      <c r="F856" s="456"/>
      <c r="G856" s="456">
        <f t="shared" si="149"/>
        <v>3.83</v>
      </c>
      <c r="H856" s="456" t="str" cm="1">
        <f t="array" ref="H856:H867">'Rate List - Flats'!H62:H73</f>
        <v>Sq M</v>
      </c>
      <c r="I856" s="456" t="str" cm="1">
        <f t="array" ref="I856:I867">'Rate List - Flats'!C62:C73</f>
        <v>Ceramic tiles/vitrified anti-skid tiles</v>
      </c>
      <c r="J856" s="456" cm="1">
        <f t="array" ref="J856:J867">'Rate List - Flats'!E62:E73</f>
        <v>50</v>
      </c>
      <c r="K856" s="456" cm="1">
        <f t="array" ref="K856:K867">'Rate List - Flats'!G62:G73</f>
        <v>1399.32</v>
      </c>
      <c r="L856" s="456">
        <f t="shared" si="150"/>
        <v>5359.3955999999998</v>
      </c>
      <c r="O856" s="455">
        <f t="shared" ref="O856:O867" si="155">IF(I856="N.A",0,G856*$N$828)</f>
        <v>91.92</v>
      </c>
      <c r="P856" s="455">
        <f t="shared" ref="P856:P867" si="156">L856*$N$828</f>
        <v>128625.4944</v>
      </c>
      <c r="R856" s="480" t="s">
        <v>667</v>
      </c>
    </row>
    <row r="857" spans="1:18">
      <c r="A857" s="454"/>
      <c r="B857" s="454" t="str">
        <v>Skirting</v>
      </c>
      <c r="C857" s="456"/>
      <c r="D857" s="456"/>
      <c r="E857" s="456"/>
      <c r="F857" s="456"/>
      <c r="G857" s="456">
        <f t="shared" si="149"/>
        <v>0</v>
      </c>
      <c r="H857" s="456" t="str">
        <v xml:space="preserve">RM </v>
      </c>
      <c r="I857" s="456" t="str">
        <v>N.A.</v>
      </c>
      <c r="J857" s="456">
        <v>0</v>
      </c>
      <c r="K857" s="456">
        <v>0</v>
      </c>
      <c r="L857" s="456">
        <f t="shared" si="150"/>
        <v>0</v>
      </c>
      <c r="O857" s="455">
        <f t="shared" si="155"/>
        <v>0</v>
      </c>
      <c r="P857" s="455">
        <f t="shared" si="156"/>
        <v>0</v>
      </c>
      <c r="R857" s="480"/>
    </row>
    <row r="858" spans="1:18">
      <c r="A858" s="454"/>
      <c r="B858" s="454" t="str">
        <v>Dado</v>
      </c>
      <c r="C858" s="456"/>
      <c r="D858" s="456">
        <f>D1-0.7</f>
        <v>2.4000000000000004</v>
      </c>
      <c r="E858" s="456">
        <f>D855*D858</f>
        <v>19.728000000000005</v>
      </c>
      <c r="F858" s="456">
        <f>-(Doors!H63+Windows!H75)</f>
        <v>-2.0250000000000004</v>
      </c>
      <c r="G858" s="456">
        <f t="shared" si="149"/>
        <v>17.703000000000003</v>
      </c>
      <c r="H858" s="456" t="str">
        <v>Sq M</v>
      </c>
      <c r="I858" s="456" t="str">
        <v>Vitrified tiles</v>
      </c>
      <c r="J858" s="456">
        <v>50</v>
      </c>
      <c r="K858" s="456">
        <v>1480.05</v>
      </c>
      <c r="L858" s="456">
        <f t="shared" si="150"/>
        <v>26201.325150000004</v>
      </c>
      <c r="O858" s="455">
        <f t="shared" si="155"/>
        <v>424.87200000000007</v>
      </c>
      <c r="P858" s="455">
        <f t="shared" si="156"/>
        <v>628831.8036000001</v>
      </c>
      <c r="R858" s="480" t="s">
        <v>668</v>
      </c>
    </row>
    <row r="859" spans="1:18">
      <c r="A859" s="454"/>
      <c r="B859" s="454" t="str">
        <v>Wall finishes plaster</v>
      </c>
      <c r="C859" s="456"/>
      <c r="D859" s="456">
        <f>D1-D858</f>
        <v>0.69999999999999973</v>
      </c>
      <c r="E859" s="456">
        <f>D855*D859</f>
        <v>5.7539999999999987</v>
      </c>
      <c r="F859" s="456"/>
      <c r="G859" s="456">
        <f t="shared" si="149"/>
        <v>5.7539999999999987</v>
      </c>
      <c r="H859" s="456" t="str">
        <v>Sq M</v>
      </c>
      <c r="I859" s="456" t="str">
        <v>Gypsum Plaster</v>
      </c>
      <c r="J859" s="456">
        <v>32</v>
      </c>
      <c r="K859" s="456">
        <v>344.44799999999998</v>
      </c>
      <c r="L859" s="456">
        <f t="shared" si="150"/>
        <v>1981.9537919999993</v>
      </c>
      <c r="O859" s="455">
        <f t="shared" si="155"/>
        <v>138.09599999999998</v>
      </c>
      <c r="P859" s="455">
        <f t="shared" si="156"/>
        <v>47566.891007999984</v>
      </c>
      <c r="R859" s="480" t="s">
        <v>661</v>
      </c>
    </row>
    <row r="860" spans="1:18">
      <c r="A860" s="454"/>
      <c r="B860" s="454" t="str">
        <v>Ceiling plaster</v>
      </c>
      <c r="C860" s="456"/>
      <c r="D860" s="456"/>
      <c r="E860" s="456">
        <f>E856</f>
        <v>3.83</v>
      </c>
      <c r="F860" s="456"/>
      <c r="G860" s="456">
        <f t="shared" si="149"/>
        <v>3.83</v>
      </c>
      <c r="H860" s="456" t="str">
        <v>Sq M</v>
      </c>
      <c r="I860" s="456" t="str">
        <v>Gypsum Plaster</v>
      </c>
      <c r="J860" s="456">
        <v>32</v>
      </c>
      <c r="K860" s="456">
        <v>344.44799999999998</v>
      </c>
      <c r="L860" s="456">
        <f t="shared" si="150"/>
        <v>1319.2358400000001</v>
      </c>
      <c r="O860" s="455">
        <f t="shared" si="155"/>
        <v>91.92</v>
      </c>
      <c r="P860" s="455">
        <f t="shared" si="156"/>
        <v>31661.660159999999</v>
      </c>
      <c r="R860" s="480" t="s">
        <v>662</v>
      </c>
    </row>
    <row r="861" spans="1:18">
      <c r="A861" s="454"/>
      <c r="B861" s="454" t="str">
        <v>False ceiling</v>
      </c>
      <c r="C861" s="456"/>
      <c r="D861" s="456"/>
      <c r="E861" s="456"/>
      <c r="F861" s="456"/>
      <c r="G861" s="456">
        <f t="shared" si="149"/>
        <v>0</v>
      </c>
      <c r="H861" s="456" t="str">
        <v>Sq M</v>
      </c>
      <c r="I861" s="456" t="str">
        <v>N.A.</v>
      </c>
      <c r="J861" s="456">
        <v>0</v>
      </c>
      <c r="K861" s="456">
        <v>0</v>
      </c>
      <c r="L861" s="456">
        <f t="shared" si="150"/>
        <v>0</v>
      </c>
      <c r="O861" s="455">
        <f t="shared" si="155"/>
        <v>0</v>
      </c>
      <c r="P861" s="455">
        <f t="shared" si="156"/>
        <v>0</v>
      </c>
      <c r="R861" s="480"/>
    </row>
    <row r="862" spans="1:18">
      <c r="A862" s="454"/>
      <c r="B862" s="454" t="str">
        <v>Wall finishes Paint</v>
      </c>
      <c r="C862" s="456"/>
      <c r="D862" s="456"/>
      <c r="E862" s="456">
        <f>E859</f>
        <v>5.7539999999999987</v>
      </c>
      <c r="F862" s="456"/>
      <c r="G862" s="456">
        <f t="shared" si="149"/>
        <v>5.7539999999999987</v>
      </c>
      <c r="H862" s="456" t="str">
        <v>Sq M</v>
      </c>
      <c r="I862" s="456" t="str">
        <v>Plastic paint</v>
      </c>
      <c r="J862" s="456">
        <v>20</v>
      </c>
      <c r="K862" s="456">
        <v>215.27999999999997</v>
      </c>
      <c r="L862" s="456">
        <f t="shared" si="150"/>
        <v>1238.7211199999995</v>
      </c>
      <c r="O862" s="455">
        <f t="shared" si="155"/>
        <v>138.09599999999998</v>
      </c>
      <c r="P862" s="455">
        <f t="shared" si="156"/>
        <v>29729.306879999989</v>
      </c>
      <c r="R862" s="480" t="s">
        <v>663</v>
      </c>
    </row>
    <row r="863" spans="1:18">
      <c r="A863" s="454"/>
      <c r="B863" s="454" t="str">
        <v>Ceiling Paint</v>
      </c>
      <c r="C863" s="456"/>
      <c r="D863" s="456"/>
      <c r="E863" s="456">
        <f>E860</f>
        <v>3.83</v>
      </c>
      <c r="F863" s="456"/>
      <c r="G863" s="456">
        <f t="shared" si="149"/>
        <v>3.83</v>
      </c>
      <c r="H863" s="456" t="str">
        <v>Sq M</v>
      </c>
      <c r="I863" s="456" t="str">
        <v>Plastic paint</v>
      </c>
      <c r="J863" s="456">
        <v>20</v>
      </c>
      <c r="K863" s="456">
        <v>215.27999999999997</v>
      </c>
      <c r="L863" s="456">
        <f t="shared" si="150"/>
        <v>824.52239999999995</v>
      </c>
      <c r="O863" s="455">
        <f t="shared" si="155"/>
        <v>91.92</v>
      </c>
      <c r="P863" s="455">
        <f t="shared" si="156"/>
        <v>19788.5376</v>
      </c>
      <c r="R863" s="480" t="s">
        <v>664</v>
      </c>
    </row>
    <row r="864" spans="1:18">
      <c r="A864" s="454"/>
      <c r="B864" s="454" t="str">
        <v>Door Frames</v>
      </c>
      <c r="C864" s="456"/>
      <c r="D864" s="456"/>
      <c r="E864" s="456">
        <f>Doors!F63*4+Doors!G63*4</f>
        <v>11.4</v>
      </c>
      <c r="F864" s="456"/>
      <c r="G864" s="456">
        <f t="shared" si="149"/>
        <v>11.4</v>
      </c>
      <c r="H864" s="456" t="str">
        <v>RM</v>
      </c>
      <c r="I864" s="456" t="str">
        <v>Granite Frames</v>
      </c>
      <c r="J864" s="456">
        <v>180</v>
      </c>
      <c r="K864" s="456">
        <v>655.92719999999997</v>
      </c>
      <c r="L864" s="456">
        <f t="shared" si="150"/>
        <v>7477.5700799999995</v>
      </c>
      <c r="O864" s="455">
        <f t="shared" si="155"/>
        <v>273.60000000000002</v>
      </c>
      <c r="P864" s="455">
        <f t="shared" si="156"/>
        <v>179461.68192</v>
      </c>
      <c r="R864" s="480" t="s">
        <v>669</v>
      </c>
    </row>
    <row r="865" spans="1:18">
      <c r="A865" s="454"/>
      <c r="B865" s="454" t="str">
        <v>Window Frames - Internal</v>
      </c>
      <c r="C865" s="456"/>
      <c r="D865" s="456"/>
      <c r="E865" s="456">
        <f>Windows!F75*2+Windows!G75*2</f>
        <v>2.7</v>
      </c>
      <c r="F865" s="456"/>
      <c r="G865" s="456">
        <f t="shared" si="149"/>
        <v>2.7</v>
      </c>
      <c r="H865" s="456" t="str">
        <v>RM</v>
      </c>
      <c r="I865" s="456" t="str">
        <v>Granite Window Frame</v>
      </c>
      <c r="J865" s="456">
        <v>180</v>
      </c>
      <c r="K865" s="456">
        <v>655.92719999999997</v>
      </c>
      <c r="L865" s="456">
        <f t="shared" si="150"/>
        <v>1771.00344</v>
      </c>
      <c r="O865" s="455">
        <f t="shared" si="155"/>
        <v>64.800000000000011</v>
      </c>
      <c r="P865" s="455">
        <f t="shared" si="156"/>
        <v>42504.082559999995</v>
      </c>
      <c r="R865" s="480" t="s">
        <v>743</v>
      </c>
    </row>
    <row r="866" spans="1:18">
      <c r="A866" s="454"/>
      <c r="B866" s="454" t="str">
        <v>Window Frames - External</v>
      </c>
      <c r="C866" s="456"/>
      <c r="D866" s="456"/>
      <c r="E866" s="456">
        <f>E865</f>
        <v>2.7</v>
      </c>
      <c r="F866" s="456"/>
      <c r="G866" s="456">
        <f t="shared" si="149"/>
        <v>2.7</v>
      </c>
      <c r="H866" s="456" t="str">
        <v>RM</v>
      </c>
      <c r="I866" s="456" t="str">
        <v>Marble Window Frames with Sill</v>
      </c>
      <c r="J866" s="456">
        <v>60</v>
      </c>
      <c r="K866" s="456">
        <v>399.04239999999999</v>
      </c>
      <c r="L866" s="456">
        <f t="shared" si="150"/>
        <v>1077.4144800000001</v>
      </c>
      <c r="O866" s="455">
        <f t="shared" si="155"/>
        <v>64.800000000000011</v>
      </c>
      <c r="P866" s="455">
        <f t="shared" si="156"/>
        <v>25857.947520000002</v>
      </c>
      <c r="R866" s="480" t="s">
        <v>409</v>
      </c>
    </row>
    <row r="867" spans="1:18" ht="13.95" customHeight="1">
      <c r="A867" s="454"/>
      <c r="B867" s="454" t="str">
        <v>Others - Counter</v>
      </c>
      <c r="C867" s="456"/>
      <c r="D867" s="456"/>
      <c r="E867" s="456">
        <f>0.6*0.6</f>
        <v>0.36</v>
      </c>
      <c r="F867" s="456"/>
      <c r="G867" s="456">
        <f t="shared" si="149"/>
        <v>0.36</v>
      </c>
      <c r="H867" s="456" t="str">
        <v>Sq M</v>
      </c>
      <c r="I867" s="456" t="str">
        <v>Basin Counter 1'6" - Granite Basin Counter</v>
      </c>
      <c r="J867" s="456">
        <v>180</v>
      </c>
      <c r="K867" s="456">
        <v>6329.6720000000005</v>
      </c>
      <c r="L867" s="456">
        <f t="shared" si="150"/>
        <v>2278.68192</v>
      </c>
      <c r="O867" s="455">
        <f t="shared" si="155"/>
        <v>8.64</v>
      </c>
      <c r="P867" s="455">
        <f t="shared" si="156"/>
        <v>54688.36608</v>
      </c>
      <c r="R867" s="480" t="s">
        <v>670</v>
      </c>
    </row>
    <row r="868" spans="1:18" s="479" customFormat="1" ht="13.5" customHeight="1">
      <c r="A868" s="475" t="s">
        <v>628</v>
      </c>
      <c r="B868" s="476" t="str">
        <f>'Flat Sizes'!B74</f>
        <v>M. Bedroom</v>
      </c>
      <c r="C868" s="477">
        <f>'Flat Sizes'!D74</f>
        <v>15.16</v>
      </c>
      <c r="D868" s="477">
        <f>'Flat Sizes'!G74</f>
        <v>18.02</v>
      </c>
      <c r="E868" s="477"/>
      <c r="F868" s="454"/>
      <c r="G868" s="477"/>
      <c r="H868" s="477"/>
      <c r="I868" s="477"/>
      <c r="J868" s="477"/>
      <c r="K868" s="477"/>
      <c r="L868" s="477"/>
      <c r="M868" s="459">
        <f>SUM(L869:L880)/C868/10.764</f>
        <v>473.90473296603847</v>
      </c>
      <c r="N868" s="472"/>
      <c r="O868" s="455"/>
      <c r="P868" s="455"/>
      <c r="Q868" s="478"/>
    </row>
    <row r="869" spans="1:18">
      <c r="A869" s="454"/>
      <c r="B869" s="454" t="str" cm="1">
        <f t="array" ref="B869:B880">'Rate List - Flats'!B34:B45</f>
        <v>Flooring</v>
      </c>
      <c r="C869" s="456"/>
      <c r="D869" s="456"/>
      <c r="E869" s="456">
        <f>C868</f>
        <v>15.16</v>
      </c>
      <c r="F869" s="456"/>
      <c r="G869" s="456">
        <f t="shared" si="149"/>
        <v>15.16</v>
      </c>
      <c r="H869" s="456" t="str" cm="1">
        <f t="array" ref="H869:H880">'Rate List - Flats'!H34:H45</f>
        <v>Sq M</v>
      </c>
      <c r="I869" s="456" t="str" cm="1">
        <f t="array" ref="I869:I880">'Rate List - Flats'!C34:C45</f>
        <v>2'x2' Vitrified tiles</v>
      </c>
      <c r="J869" s="456" cm="1">
        <f t="array" ref="J869:J880">'Rate List - Flats'!E34:E45</f>
        <v>45</v>
      </c>
      <c r="K869" s="456" cm="1">
        <f t="array" ref="K869:K880">'Rate List - Flats'!G34:G45</f>
        <v>1340.1179999999999</v>
      </c>
      <c r="L869" s="456">
        <f t="shared" si="150"/>
        <v>20316.188879999998</v>
      </c>
      <c r="O869" s="455">
        <f t="shared" ref="O869:O880" si="157">IF(I869="N.A",0,G869*$N$828)</f>
        <v>363.84000000000003</v>
      </c>
      <c r="P869" s="455">
        <f t="shared" ref="P869:P880" si="158">L869*$N$828</f>
        <v>487588.53311999992</v>
      </c>
      <c r="R869" s="480" t="s">
        <v>659</v>
      </c>
    </row>
    <row r="870" spans="1:18">
      <c r="A870" s="454"/>
      <c r="B870" s="454" t="str">
        <v>Skirting</v>
      </c>
      <c r="C870" s="456"/>
      <c r="D870" s="456"/>
      <c r="E870" s="456">
        <f>D868</f>
        <v>18.02</v>
      </c>
      <c r="F870" s="456"/>
      <c r="G870" s="456">
        <f t="shared" si="149"/>
        <v>18.02</v>
      </c>
      <c r="H870" s="456" t="str">
        <v>RM</v>
      </c>
      <c r="I870" s="456" t="str">
        <v xml:space="preserve">2'x2' Vitrified tiles </v>
      </c>
      <c r="J870" s="456">
        <v>45</v>
      </c>
      <c r="K870" s="456">
        <v>391.96</v>
      </c>
      <c r="L870" s="456">
        <f t="shared" si="150"/>
        <v>7063.1191999999992</v>
      </c>
      <c r="O870" s="455">
        <f t="shared" si="157"/>
        <v>432.48</v>
      </c>
      <c r="P870" s="455">
        <f t="shared" si="158"/>
        <v>169514.86079999997</v>
      </c>
      <c r="R870" s="480" t="s">
        <v>660</v>
      </c>
    </row>
    <row r="871" spans="1:18">
      <c r="A871" s="454"/>
      <c r="B871" s="454" t="str">
        <v>Dado</v>
      </c>
      <c r="C871" s="456"/>
      <c r="D871" s="456"/>
      <c r="E871" s="456"/>
      <c r="F871" s="456"/>
      <c r="G871" s="456"/>
      <c r="H871" s="456" t="str">
        <v>Sq M</v>
      </c>
      <c r="I871" s="456" t="str">
        <v>N.A.</v>
      </c>
      <c r="J871" s="456">
        <v>0</v>
      </c>
      <c r="K871" s="456">
        <v>0</v>
      </c>
      <c r="L871" s="456">
        <f t="shared" si="150"/>
        <v>0</v>
      </c>
      <c r="O871" s="455">
        <f t="shared" si="157"/>
        <v>0</v>
      </c>
      <c r="P871" s="455">
        <f t="shared" si="158"/>
        <v>0</v>
      </c>
      <c r="R871" s="480"/>
    </row>
    <row r="872" spans="1:18">
      <c r="A872" s="454"/>
      <c r="B872" s="454" t="str">
        <v>Wall finishes plaster</v>
      </c>
      <c r="C872" s="456"/>
      <c r="D872" s="456"/>
      <c r="E872" s="456">
        <f>D868*(D1-0.15)</f>
        <v>53.158999999999999</v>
      </c>
      <c r="F872" s="456">
        <f>-(Doors!H64+Windows!H76+Windows!H77)</f>
        <v>-10.661999999999999</v>
      </c>
      <c r="G872" s="456">
        <f>E872+F872</f>
        <v>42.497</v>
      </c>
      <c r="H872" s="456" t="str">
        <v>Sq M</v>
      </c>
      <c r="I872" s="456" t="str">
        <v>Gypsum Plaster</v>
      </c>
      <c r="J872" s="456">
        <v>32</v>
      </c>
      <c r="K872" s="456">
        <v>344.44799999999998</v>
      </c>
      <c r="L872" s="456">
        <f t="shared" si="150"/>
        <v>14638.006656</v>
      </c>
      <c r="O872" s="455">
        <f t="shared" si="157"/>
        <v>1019.928</v>
      </c>
      <c r="P872" s="455">
        <f t="shared" si="158"/>
        <v>351312.159744</v>
      </c>
      <c r="R872" s="480" t="s">
        <v>661</v>
      </c>
    </row>
    <row r="873" spans="1:18">
      <c r="A873" s="454"/>
      <c r="B873" s="454" t="str">
        <v>Ceiling plaster</v>
      </c>
      <c r="C873" s="456"/>
      <c r="D873" s="456"/>
      <c r="E873" s="456">
        <f>E869</f>
        <v>15.16</v>
      </c>
      <c r="F873" s="456"/>
      <c r="G873" s="456">
        <f t="shared" si="149"/>
        <v>15.16</v>
      </c>
      <c r="H873" s="456" t="str">
        <v>Sq M</v>
      </c>
      <c r="I873" s="456" t="str">
        <v>Gypsum Plaster</v>
      </c>
      <c r="J873" s="456">
        <v>32</v>
      </c>
      <c r="K873" s="456">
        <v>344.44799999999998</v>
      </c>
      <c r="L873" s="456">
        <f t="shared" si="150"/>
        <v>5221.8316799999993</v>
      </c>
      <c r="O873" s="455">
        <f t="shared" si="157"/>
        <v>363.84000000000003</v>
      </c>
      <c r="P873" s="455">
        <f t="shared" si="158"/>
        <v>125323.96031999998</v>
      </c>
      <c r="R873" s="480" t="s">
        <v>662</v>
      </c>
    </row>
    <row r="874" spans="1:18">
      <c r="A874" s="454"/>
      <c r="B874" s="454" t="str">
        <v>False ceiling</v>
      </c>
      <c r="C874" s="456"/>
      <c r="D874" s="456"/>
      <c r="E874" s="456"/>
      <c r="F874" s="456"/>
      <c r="G874" s="456">
        <f t="shared" si="149"/>
        <v>0</v>
      </c>
      <c r="H874" s="456" t="str">
        <v>Sq M</v>
      </c>
      <c r="I874" s="456" t="str">
        <v>N.A.</v>
      </c>
      <c r="J874" s="456">
        <v>0</v>
      </c>
      <c r="K874" s="456">
        <v>0</v>
      </c>
      <c r="L874" s="456">
        <f t="shared" si="150"/>
        <v>0</v>
      </c>
      <c r="O874" s="455">
        <f t="shared" si="157"/>
        <v>0</v>
      </c>
      <c r="P874" s="455">
        <f t="shared" si="158"/>
        <v>0</v>
      </c>
      <c r="R874" s="480"/>
    </row>
    <row r="875" spans="1:18">
      <c r="A875" s="454"/>
      <c r="B875" s="454" t="str">
        <v>Wall finishes Paint</v>
      </c>
      <c r="C875" s="456"/>
      <c r="D875" s="456"/>
      <c r="E875" s="456">
        <f>E872</f>
        <v>53.158999999999999</v>
      </c>
      <c r="F875" s="456">
        <f>F872</f>
        <v>-10.661999999999999</v>
      </c>
      <c r="G875" s="456">
        <f t="shared" si="149"/>
        <v>42.497</v>
      </c>
      <c r="H875" s="456" t="str">
        <v>Sq M</v>
      </c>
      <c r="I875" s="456" t="str">
        <v>Plastic paint</v>
      </c>
      <c r="J875" s="456">
        <v>20</v>
      </c>
      <c r="K875" s="456">
        <v>215.27999999999997</v>
      </c>
      <c r="L875" s="456">
        <f t="shared" si="150"/>
        <v>9148.7541599999986</v>
      </c>
      <c r="O875" s="455">
        <f t="shared" si="157"/>
        <v>1019.928</v>
      </c>
      <c r="P875" s="455">
        <f t="shared" si="158"/>
        <v>219570.09983999998</v>
      </c>
      <c r="R875" s="480" t="s">
        <v>663</v>
      </c>
    </row>
    <row r="876" spans="1:18">
      <c r="A876" s="454"/>
      <c r="B876" s="454" t="str">
        <v>Ceiling Paint</v>
      </c>
      <c r="C876" s="456"/>
      <c r="D876" s="456"/>
      <c r="E876" s="456">
        <f>E873</f>
        <v>15.16</v>
      </c>
      <c r="F876" s="456"/>
      <c r="G876" s="456">
        <f t="shared" si="149"/>
        <v>15.16</v>
      </c>
      <c r="H876" s="456" t="str">
        <v>Sq M</v>
      </c>
      <c r="I876" s="456" t="str">
        <v>Plastic paint</v>
      </c>
      <c r="J876" s="456">
        <v>20</v>
      </c>
      <c r="K876" s="456">
        <v>215.27999999999997</v>
      </c>
      <c r="L876" s="456">
        <f t="shared" si="150"/>
        <v>3263.6447999999996</v>
      </c>
      <c r="O876" s="455">
        <f t="shared" si="157"/>
        <v>363.84000000000003</v>
      </c>
      <c r="P876" s="455">
        <f t="shared" si="158"/>
        <v>78327.475199999986</v>
      </c>
      <c r="R876" s="480" t="s">
        <v>664</v>
      </c>
    </row>
    <row r="877" spans="1:18">
      <c r="A877" s="454"/>
      <c r="B877" s="454" t="str">
        <v>Door Frames</v>
      </c>
      <c r="C877" s="456"/>
      <c r="D877" s="456"/>
      <c r="E877" s="456"/>
      <c r="F877" s="456"/>
      <c r="G877" s="456">
        <f t="shared" si="149"/>
        <v>0</v>
      </c>
      <c r="H877" s="456" t="str">
        <v>RM</v>
      </c>
      <c r="I877" s="456" t="str">
        <v>N.A.</v>
      </c>
      <c r="J877" s="456">
        <v>0</v>
      </c>
      <c r="K877" s="456">
        <v>0</v>
      </c>
      <c r="L877" s="456">
        <f t="shared" si="150"/>
        <v>0</v>
      </c>
      <c r="O877" s="455">
        <f t="shared" si="157"/>
        <v>0</v>
      </c>
      <c r="P877" s="455">
        <f t="shared" si="158"/>
        <v>0</v>
      </c>
      <c r="R877" s="480"/>
    </row>
    <row r="878" spans="1:18">
      <c r="A878" s="454"/>
      <c r="B878" s="454" t="str">
        <v>Window Frames - Internal</v>
      </c>
      <c r="C878" s="456"/>
      <c r="D878" s="456"/>
      <c r="E878" s="456">
        <f>Windows!F76*2+Windows!G76*2+Windows!F77*2+Windows!G77*2</f>
        <v>16.759999999999998</v>
      </c>
      <c r="F878" s="456"/>
      <c r="G878" s="456">
        <f t="shared" si="149"/>
        <v>16.759999999999998</v>
      </c>
      <c r="H878" s="456" t="str">
        <v>RM</v>
      </c>
      <c r="I878" s="456" t="str">
        <v>Granite Window Frame</v>
      </c>
      <c r="J878" s="456">
        <v>180</v>
      </c>
      <c r="K878" s="456">
        <v>655.92719999999997</v>
      </c>
      <c r="L878" s="456">
        <f t="shared" si="150"/>
        <v>10993.339871999999</v>
      </c>
      <c r="O878" s="455">
        <f t="shared" si="157"/>
        <v>402.23999999999995</v>
      </c>
      <c r="P878" s="455">
        <f t="shared" si="158"/>
        <v>263840.15692799998</v>
      </c>
      <c r="R878" s="480" t="s">
        <v>743</v>
      </c>
    </row>
    <row r="879" spans="1:18">
      <c r="A879" s="454"/>
      <c r="B879" s="454" t="str">
        <v>Window Frames - External</v>
      </c>
      <c r="C879" s="456"/>
      <c r="D879" s="456"/>
      <c r="E879" s="456">
        <f>E878</f>
        <v>16.759999999999998</v>
      </c>
      <c r="F879" s="456"/>
      <c r="G879" s="456">
        <f t="shared" si="149"/>
        <v>16.759999999999998</v>
      </c>
      <c r="H879" s="456" t="str">
        <v>RM</v>
      </c>
      <c r="I879" s="456" t="str">
        <v>Marble Window Frames with Sill</v>
      </c>
      <c r="J879" s="456">
        <v>60</v>
      </c>
      <c r="K879" s="456">
        <v>399.04239999999999</v>
      </c>
      <c r="L879" s="456">
        <f t="shared" si="150"/>
        <v>6687.9506239999992</v>
      </c>
      <c r="O879" s="455">
        <f t="shared" si="157"/>
        <v>402.23999999999995</v>
      </c>
      <c r="P879" s="455">
        <f t="shared" si="158"/>
        <v>160510.81497599999</v>
      </c>
      <c r="R879" s="480" t="s">
        <v>409</v>
      </c>
    </row>
    <row r="880" spans="1:18">
      <c r="A880" s="454"/>
      <c r="B880" s="454" t="str">
        <v>Others</v>
      </c>
      <c r="C880" s="456"/>
      <c r="D880" s="456"/>
      <c r="E880" s="456"/>
      <c r="F880" s="456"/>
      <c r="G880" s="456">
        <f t="shared" si="149"/>
        <v>0</v>
      </c>
      <c r="H880" s="456" t="str">
        <v>-</v>
      </c>
      <c r="I880" s="456" t="str">
        <v>N.A.</v>
      </c>
      <c r="J880" s="456">
        <v>0</v>
      </c>
      <c r="K880" s="456">
        <v>0</v>
      </c>
      <c r="L880" s="456">
        <f t="shared" si="150"/>
        <v>0</v>
      </c>
      <c r="O880" s="455">
        <f t="shared" si="157"/>
        <v>0</v>
      </c>
      <c r="P880" s="455">
        <f t="shared" si="158"/>
        <v>0</v>
      </c>
    </row>
    <row r="881" spans="1:18" s="479" customFormat="1" ht="13.5" customHeight="1">
      <c r="A881" s="475" t="s">
        <v>628</v>
      </c>
      <c r="B881" s="476" t="str">
        <f>'Flat Sizes'!B75</f>
        <v>M. Toilet</v>
      </c>
      <c r="C881" s="477">
        <f>'Flat Sizes'!D75</f>
        <v>3.9</v>
      </c>
      <c r="D881" s="477">
        <f>'Flat Sizes'!G75</f>
        <v>8.27</v>
      </c>
      <c r="E881" s="477"/>
      <c r="F881" s="454"/>
      <c r="G881" s="477"/>
      <c r="H881" s="477"/>
      <c r="I881" s="477"/>
      <c r="J881" s="477"/>
      <c r="K881" s="477"/>
      <c r="L881" s="477"/>
      <c r="M881" s="459">
        <f>SUM(L882:L893)/C881/10.764</f>
        <v>1187.8186943658347</v>
      </c>
      <c r="N881" s="472"/>
      <c r="O881" s="455"/>
      <c r="P881" s="455"/>
      <c r="Q881" s="478"/>
    </row>
    <row r="882" spans="1:18">
      <c r="A882" s="454"/>
      <c r="B882" s="454" t="str" cm="1">
        <f t="array" ref="B882:B893">'Rate List - Flats'!B62:B73</f>
        <v>Flooring</v>
      </c>
      <c r="C882" s="456"/>
      <c r="D882" s="456"/>
      <c r="E882" s="456">
        <f>C881</f>
        <v>3.9</v>
      </c>
      <c r="F882" s="456"/>
      <c r="G882" s="456">
        <f t="shared" si="149"/>
        <v>3.9</v>
      </c>
      <c r="H882" s="456" t="str" cm="1">
        <f t="array" ref="H882:H893">'Rate List - Flats'!H62:H73</f>
        <v>Sq M</v>
      </c>
      <c r="I882" s="456" t="str" cm="1">
        <f t="array" ref="I882:I893">'Rate List - Flats'!C62:C73</f>
        <v>Ceramic tiles/vitrified anti-skid tiles</v>
      </c>
      <c r="J882" s="456" cm="1">
        <f t="array" ref="J882:J893">'Rate List - Flats'!E62:E73</f>
        <v>50</v>
      </c>
      <c r="K882" s="456" cm="1">
        <f t="array" ref="K882:K893">'Rate List - Flats'!G62:G73</f>
        <v>1399.32</v>
      </c>
      <c r="L882" s="456">
        <f t="shared" si="150"/>
        <v>5457.348</v>
      </c>
      <c r="O882" s="455">
        <f t="shared" ref="O882:O893" si="159">IF(I882="N.A",0,G882*$N$828)</f>
        <v>93.6</v>
      </c>
      <c r="P882" s="455">
        <f t="shared" ref="P882:P893" si="160">L882*$N$828</f>
        <v>130976.352</v>
      </c>
      <c r="R882" s="480" t="s">
        <v>667</v>
      </c>
    </row>
    <row r="883" spans="1:18">
      <c r="A883" s="454"/>
      <c r="B883" s="454" t="str">
        <v>Skirting</v>
      </c>
      <c r="C883" s="456"/>
      <c r="D883" s="456"/>
      <c r="E883" s="456"/>
      <c r="F883" s="456"/>
      <c r="G883" s="456">
        <f t="shared" si="149"/>
        <v>0</v>
      </c>
      <c r="H883" s="456" t="str">
        <v xml:space="preserve">RM </v>
      </c>
      <c r="I883" s="456" t="str">
        <v>N.A.</v>
      </c>
      <c r="J883" s="456">
        <v>0</v>
      </c>
      <c r="K883" s="456">
        <v>0</v>
      </c>
      <c r="L883" s="456">
        <f t="shared" si="150"/>
        <v>0</v>
      </c>
      <c r="O883" s="455">
        <f t="shared" si="159"/>
        <v>0</v>
      </c>
      <c r="P883" s="455">
        <f t="shared" si="160"/>
        <v>0</v>
      </c>
      <c r="R883" s="480"/>
    </row>
    <row r="884" spans="1:18">
      <c r="A884" s="454"/>
      <c r="B884" s="454" t="str">
        <v>Dado</v>
      </c>
      <c r="C884" s="456"/>
      <c r="D884" s="456">
        <f>D1-0.7</f>
        <v>2.4000000000000004</v>
      </c>
      <c r="E884" s="456">
        <f>D881*D884</f>
        <v>19.848000000000003</v>
      </c>
      <c r="F884" s="456">
        <f>-(Doors!H65+Windows!H78)</f>
        <v>-2.0250000000000004</v>
      </c>
      <c r="G884" s="456">
        <f t="shared" si="149"/>
        <v>17.823</v>
      </c>
      <c r="H884" s="456" t="str">
        <v>Sq M</v>
      </c>
      <c r="I884" s="456" t="str">
        <v>Vitrified tiles</v>
      </c>
      <c r="J884" s="456">
        <v>50</v>
      </c>
      <c r="K884" s="456">
        <v>1480.05</v>
      </c>
      <c r="L884" s="456">
        <f t="shared" si="150"/>
        <v>26378.93115</v>
      </c>
      <c r="O884" s="455">
        <f t="shared" si="159"/>
        <v>427.75200000000001</v>
      </c>
      <c r="P884" s="455">
        <f t="shared" si="160"/>
        <v>633094.34759999998</v>
      </c>
      <c r="R884" s="480" t="s">
        <v>668</v>
      </c>
    </row>
    <row r="885" spans="1:18">
      <c r="A885" s="454"/>
      <c r="B885" s="454" t="str">
        <v>Wall finishes plaster</v>
      </c>
      <c r="C885" s="456"/>
      <c r="D885" s="456">
        <f>D1-D884</f>
        <v>0.69999999999999973</v>
      </c>
      <c r="E885" s="456">
        <f>D881*D885</f>
        <v>5.7889999999999979</v>
      </c>
      <c r="F885" s="456"/>
      <c r="G885" s="456">
        <f t="shared" si="149"/>
        <v>5.7889999999999979</v>
      </c>
      <c r="H885" s="456" t="str">
        <v>Sq M</v>
      </c>
      <c r="I885" s="456" t="str">
        <v>Gypsum Plaster</v>
      </c>
      <c r="J885" s="456">
        <v>32</v>
      </c>
      <c r="K885" s="456">
        <v>344.44799999999998</v>
      </c>
      <c r="L885" s="456">
        <f t="shared" si="150"/>
        <v>1994.0094719999993</v>
      </c>
      <c r="O885" s="455">
        <f t="shared" si="159"/>
        <v>138.93599999999995</v>
      </c>
      <c r="P885" s="455">
        <f t="shared" si="160"/>
        <v>47856.227327999979</v>
      </c>
      <c r="R885" s="480" t="s">
        <v>661</v>
      </c>
    </row>
    <row r="886" spans="1:18">
      <c r="A886" s="454"/>
      <c r="B886" s="454" t="str">
        <v>Ceiling plaster</v>
      </c>
      <c r="C886" s="456"/>
      <c r="D886" s="456"/>
      <c r="E886" s="456">
        <f>E882</f>
        <v>3.9</v>
      </c>
      <c r="F886" s="456"/>
      <c r="G886" s="456">
        <f t="shared" si="149"/>
        <v>3.9</v>
      </c>
      <c r="H886" s="456" t="str">
        <v>Sq M</v>
      </c>
      <c r="I886" s="456" t="str">
        <v>Gypsum Plaster</v>
      </c>
      <c r="J886" s="456">
        <v>32</v>
      </c>
      <c r="K886" s="456">
        <v>344.44799999999998</v>
      </c>
      <c r="L886" s="456">
        <f t="shared" si="150"/>
        <v>1343.3471999999999</v>
      </c>
      <c r="O886" s="455">
        <f t="shared" si="159"/>
        <v>93.6</v>
      </c>
      <c r="P886" s="455">
        <f t="shared" si="160"/>
        <v>32240.332799999996</v>
      </c>
      <c r="R886" s="480" t="s">
        <v>662</v>
      </c>
    </row>
    <row r="887" spans="1:18">
      <c r="A887" s="454"/>
      <c r="B887" s="454" t="str">
        <v>False ceiling</v>
      </c>
      <c r="C887" s="456"/>
      <c r="D887" s="456"/>
      <c r="E887" s="456"/>
      <c r="F887" s="456"/>
      <c r="G887" s="456">
        <f t="shared" si="149"/>
        <v>0</v>
      </c>
      <c r="H887" s="456" t="str">
        <v>Sq M</v>
      </c>
      <c r="I887" s="456" t="str">
        <v>N.A.</v>
      </c>
      <c r="J887" s="456">
        <v>0</v>
      </c>
      <c r="K887" s="456">
        <v>0</v>
      </c>
      <c r="L887" s="456">
        <f t="shared" si="150"/>
        <v>0</v>
      </c>
      <c r="O887" s="455">
        <f t="shared" si="159"/>
        <v>0</v>
      </c>
      <c r="P887" s="455">
        <f t="shared" si="160"/>
        <v>0</v>
      </c>
      <c r="R887" s="480"/>
    </row>
    <row r="888" spans="1:18">
      <c r="A888" s="454"/>
      <c r="B888" s="454" t="str">
        <v>Wall finishes Paint</v>
      </c>
      <c r="C888" s="456"/>
      <c r="D888" s="456"/>
      <c r="E888" s="456">
        <f>E885</f>
        <v>5.7889999999999979</v>
      </c>
      <c r="F888" s="456"/>
      <c r="G888" s="456">
        <f t="shared" si="149"/>
        <v>5.7889999999999979</v>
      </c>
      <c r="H888" s="456" t="str">
        <v>Sq M</v>
      </c>
      <c r="I888" s="456" t="str">
        <v>Plastic paint</v>
      </c>
      <c r="J888" s="456">
        <v>20</v>
      </c>
      <c r="K888" s="456">
        <v>215.27999999999997</v>
      </c>
      <c r="L888" s="456">
        <f t="shared" si="150"/>
        <v>1246.2559199999994</v>
      </c>
      <c r="O888" s="455">
        <f t="shared" si="159"/>
        <v>138.93599999999995</v>
      </c>
      <c r="P888" s="455">
        <f t="shared" si="160"/>
        <v>29910.142079999983</v>
      </c>
      <c r="R888" s="480" t="s">
        <v>663</v>
      </c>
    </row>
    <row r="889" spans="1:18">
      <c r="A889" s="454"/>
      <c r="B889" s="454" t="str">
        <v>Ceiling Paint</v>
      </c>
      <c r="C889" s="456"/>
      <c r="D889" s="456"/>
      <c r="E889" s="456">
        <f>E886</f>
        <v>3.9</v>
      </c>
      <c r="F889" s="456"/>
      <c r="G889" s="456">
        <f t="shared" si="149"/>
        <v>3.9</v>
      </c>
      <c r="H889" s="456" t="str">
        <v>Sq M</v>
      </c>
      <c r="I889" s="456" t="str">
        <v>Plastic paint</v>
      </c>
      <c r="J889" s="456">
        <v>20</v>
      </c>
      <c r="K889" s="456">
        <v>215.27999999999997</v>
      </c>
      <c r="L889" s="456">
        <f t="shared" si="150"/>
        <v>839.59199999999987</v>
      </c>
      <c r="O889" s="455">
        <f t="shared" si="159"/>
        <v>93.6</v>
      </c>
      <c r="P889" s="455">
        <f t="shared" si="160"/>
        <v>20150.207999999999</v>
      </c>
      <c r="R889" s="480" t="s">
        <v>664</v>
      </c>
    </row>
    <row r="890" spans="1:18">
      <c r="A890" s="454"/>
      <c r="B890" s="454" t="str">
        <v>Door Frames</v>
      </c>
      <c r="C890" s="456"/>
      <c r="D890" s="456"/>
      <c r="E890" s="456">
        <f>Doors!F65*4+Doors!G65*4</f>
        <v>11.4</v>
      </c>
      <c r="F890" s="456"/>
      <c r="G890" s="456">
        <f t="shared" si="149"/>
        <v>11.4</v>
      </c>
      <c r="H890" s="456" t="str">
        <v>RM</v>
      </c>
      <c r="I890" s="456" t="str">
        <v>Granite Frames</v>
      </c>
      <c r="J890" s="456">
        <v>180</v>
      </c>
      <c r="K890" s="456">
        <v>655.92719999999997</v>
      </c>
      <c r="L890" s="456">
        <f t="shared" si="150"/>
        <v>7477.5700799999995</v>
      </c>
      <c r="O890" s="455">
        <f t="shared" si="159"/>
        <v>273.60000000000002</v>
      </c>
      <c r="P890" s="455">
        <f t="shared" si="160"/>
        <v>179461.68192</v>
      </c>
      <c r="R890" s="480" t="s">
        <v>669</v>
      </c>
    </row>
    <row r="891" spans="1:18">
      <c r="A891" s="454"/>
      <c r="B891" s="454" t="str">
        <v>Window Frames - Internal</v>
      </c>
      <c r="C891" s="456"/>
      <c r="D891" s="456"/>
      <c r="E891" s="456">
        <f>Windows!F78*2+Windows!G78*2</f>
        <v>2.7</v>
      </c>
      <c r="F891" s="456"/>
      <c r="G891" s="456">
        <f t="shared" si="149"/>
        <v>2.7</v>
      </c>
      <c r="H891" s="456" t="str">
        <v>RM</v>
      </c>
      <c r="I891" s="456" t="str">
        <v>Granite Window Frame</v>
      </c>
      <c r="J891" s="456">
        <v>180</v>
      </c>
      <c r="K891" s="456">
        <v>655.92719999999997</v>
      </c>
      <c r="L891" s="456">
        <f t="shared" si="150"/>
        <v>1771.00344</v>
      </c>
      <c r="O891" s="455">
        <f t="shared" si="159"/>
        <v>64.800000000000011</v>
      </c>
      <c r="P891" s="455">
        <f t="shared" si="160"/>
        <v>42504.082559999995</v>
      </c>
      <c r="R891" s="480" t="s">
        <v>743</v>
      </c>
    </row>
    <row r="892" spans="1:18">
      <c r="A892" s="454"/>
      <c r="B892" s="454" t="str">
        <v>Window Frames - External</v>
      </c>
      <c r="C892" s="456"/>
      <c r="D892" s="456"/>
      <c r="E892" s="456">
        <f>E891</f>
        <v>2.7</v>
      </c>
      <c r="F892" s="456"/>
      <c r="G892" s="456">
        <f t="shared" si="149"/>
        <v>2.7</v>
      </c>
      <c r="H892" s="456" t="str">
        <v>RM</v>
      </c>
      <c r="I892" s="456" t="str">
        <v>Marble Window Frames with Sill</v>
      </c>
      <c r="J892" s="456">
        <v>60</v>
      </c>
      <c r="K892" s="456">
        <v>399.04239999999999</v>
      </c>
      <c r="L892" s="456">
        <f t="shared" si="150"/>
        <v>1077.4144800000001</v>
      </c>
      <c r="O892" s="455">
        <f t="shared" si="159"/>
        <v>64.800000000000011</v>
      </c>
      <c r="P892" s="455">
        <f t="shared" si="160"/>
        <v>25857.947520000002</v>
      </c>
      <c r="R892" s="480" t="s">
        <v>409</v>
      </c>
    </row>
    <row r="893" spans="1:18">
      <c r="A893" s="454"/>
      <c r="B893" s="454" t="str">
        <v>Others - Counter</v>
      </c>
      <c r="C893" s="456"/>
      <c r="D893" s="456"/>
      <c r="E893" s="456">
        <f>0.6*0.6</f>
        <v>0.36</v>
      </c>
      <c r="F893" s="456"/>
      <c r="G893" s="456">
        <f t="shared" si="149"/>
        <v>0.36</v>
      </c>
      <c r="H893" s="456" t="str">
        <v>Sq M</v>
      </c>
      <c r="I893" s="456" t="str">
        <v>Basin Counter 1'6" - Granite Basin Counter</v>
      </c>
      <c r="J893" s="456">
        <v>180</v>
      </c>
      <c r="K893" s="456">
        <v>6329.6720000000005</v>
      </c>
      <c r="L893" s="456">
        <f t="shared" si="150"/>
        <v>2278.68192</v>
      </c>
      <c r="O893" s="455">
        <f t="shared" si="159"/>
        <v>8.64</v>
      </c>
      <c r="P893" s="455">
        <f t="shared" si="160"/>
        <v>54688.36608</v>
      </c>
      <c r="R893" s="480" t="s">
        <v>670</v>
      </c>
    </row>
    <row r="894" spans="1:18" s="479" customFormat="1" ht="13.5" customHeight="1">
      <c r="A894" s="475" t="s">
        <v>628</v>
      </c>
      <c r="B894" s="476" t="str">
        <f>'Flat Sizes'!B76</f>
        <v>C. Bedroom</v>
      </c>
      <c r="C894" s="477">
        <f>'Flat Sizes'!D76</f>
        <v>10.47</v>
      </c>
      <c r="D894" s="477">
        <f>'Flat Sizes'!G76</f>
        <v>13.43</v>
      </c>
      <c r="E894" s="477"/>
      <c r="F894" s="454"/>
      <c r="G894" s="477"/>
      <c r="H894" s="477"/>
      <c r="I894" s="477"/>
      <c r="J894" s="477"/>
      <c r="K894" s="477"/>
      <c r="L894" s="477"/>
      <c r="M894" s="459">
        <f>SUM(L895:L906)/C894/10.764</f>
        <v>461.81450769606994</v>
      </c>
      <c r="N894" s="472"/>
      <c r="O894" s="455"/>
      <c r="P894" s="455"/>
      <c r="Q894" s="478"/>
    </row>
    <row r="895" spans="1:18">
      <c r="A895" s="454"/>
      <c r="B895" s="454" t="str" cm="1">
        <f t="array" ref="B895:B906">'Rate List - Flats'!B48:B59</f>
        <v>Flooring</v>
      </c>
      <c r="C895" s="456"/>
      <c r="D895" s="456"/>
      <c r="E895" s="456">
        <f>C894</f>
        <v>10.47</v>
      </c>
      <c r="F895" s="456"/>
      <c r="G895" s="456">
        <f t="shared" si="149"/>
        <v>10.47</v>
      </c>
      <c r="H895" s="456" t="str" cm="1">
        <f t="array" ref="H895:H906">'Rate List - Flats'!H48:H59</f>
        <v>Sq M</v>
      </c>
      <c r="I895" s="456" t="str" cm="1">
        <f t="array" ref="I895:I906">'Rate List - Flats'!C48:C59</f>
        <v>2'x2' Vitrified tiles</v>
      </c>
      <c r="J895" s="456" cm="1">
        <f t="array" ref="J895:J906">'Rate List - Flats'!E48:E59</f>
        <v>45</v>
      </c>
      <c r="K895" s="456" cm="1">
        <f t="array" ref="K895:K906">'Rate List - Flats'!G48:G59</f>
        <v>1340.1179999999999</v>
      </c>
      <c r="L895" s="456">
        <f t="shared" si="150"/>
        <v>14031.035460000001</v>
      </c>
      <c r="O895" s="455">
        <f t="shared" ref="O895:O906" si="161">IF(I895="N.A",0,G895*$N$828)</f>
        <v>251.28000000000003</v>
      </c>
      <c r="P895" s="455">
        <f t="shared" ref="P895:P906" si="162">L895*$N$828</f>
        <v>336744.85104000004</v>
      </c>
      <c r="R895" s="480" t="s">
        <v>659</v>
      </c>
    </row>
    <row r="896" spans="1:18">
      <c r="A896" s="454"/>
      <c r="B896" s="454" t="str">
        <v>Skirting</v>
      </c>
      <c r="C896" s="456"/>
      <c r="D896" s="456"/>
      <c r="E896" s="456">
        <f>D894</f>
        <v>13.43</v>
      </c>
      <c r="F896" s="456">
        <f>-(Doors!F66+Doors!F67)</f>
        <v>-1.65</v>
      </c>
      <c r="G896" s="456">
        <f t="shared" ref="G896:G954" si="163">E896+F896</f>
        <v>11.78</v>
      </c>
      <c r="H896" s="456" t="str">
        <v>RM</v>
      </c>
      <c r="I896" s="456" t="str">
        <v xml:space="preserve">2'x2' Vitrified tiles </v>
      </c>
      <c r="J896" s="456">
        <v>45</v>
      </c>
      <c r="K896" s="456">
        <v>391.96</v>
      </c>
      <c r="L896" s="456">
        <f t="shared" ref="L896:L954" si="164">G896*K896</f>
        <v>4617.2887999999994</v>
      </c>
      <c r="O896" s="455">
        <f t="shared" si="161"/>
        <v>282.71999999999997</v>
      </c>
      <c r="P896" s="455">
        <f t="shared" si="162"/>
        <v>110814.93119999999</v>
      </c>
      <c r="R896" s="480" t="s">
        <v>660</v>
      </c>
    </row>
    <row r="897" spans="1:18">
      <c r="A897" s="454"/>
      <c r="B897" s="454" t="str">
        <v>Dado</v>
      </c>
      <c r="C897" s="456"/>
      <c r="D897" s="456"/>
      <c r="E897" s="456"/>
      <c r="F897" s="456"/>
      <c r="G897" s="456">
        <f t="shared" si="163"/>
        <v>0</v>
      </c>
      <c r="H897" s="456" t="str">
        <v>Sq M</v>
      </c>
      <c r="I897" s="456" t="str">
        <v>N.A.</v>
      </c>
      <c r="J897" s="456">
        <v>0</v>
      </c>
      <c r="K897" s="456">
        <v>0</v>
      </c>
      <c r="L897" s="456">
        <f t="shared" si="164"/>
        <v>0</v>
      </c>
      <c r="O897" s="455">
        <f t="shared" si="161"/>
        <v>0</v>
      </c>
      <c r="P897" s="455">
        <f t="shared" si="162"/>
        <v>0</v>
      </c>
      <c r="R897" s="480"/>
    </row>
    <row r="898" spans="1:18">
      <c r="A898" s="454"/>
      <c r="B898" s="454" t="str">
        <v>Wall finishes plaster</v>
      </c>
      <c r="C898" s="456"/>
      <c r="D898" s="456"/>
      <c r="E898" s="456">
        <f>D894*(D1-0.15)</f>
        <v>39.618500000000004</v>
      </c>
      <c r="F898" s="456">
        <f>-(Doors!H66+Doors!H67+Windows!H79)</f>
        <v>-10.022499999999999</v>
      </c>
      <c r="G898" s="456">
        <f t="shared" si="163"/>
        <v>29.596000000000004</v>
      </c>
      <c r="H898" s="456" t="str">
        <v>Sq M</v>
      </c>
      <c r="I898" s="456" t="str">
        <v>Gypsum Plaster</v>
      </c>
      <c r="J898" s="456">
        <v>32</v>
      </c>
      <c r="K898" s="456">
        <v>344.44799999999998</v>
      </c>
      <c r="L898" s="456">
        <f t="shared" si="164"/>
        <v>10194.283008</v>
      </c>
      <c r="O898" s="455">
        <f t="shared" si="161"/>
        <v>710.30400000000009</v>
      </c>
      <c r="P898" s="455">
        <f t="shared" si="162"/>
        <v>244662.79219200002</v>
      </c>
      <c r="R898" s="480" t="s">
        <v>661</v>
      </c>
    </row>
    <row r="899" spans="1:18">
      <c r="A899" s="454"/>
      <c r="B899" s="454" t="str">
        <v>Ceiling plaster</v>
      </c>
      <c r="C899" s="456"/>
      <c r="D899" s="456"/>
      <c r="E899" s="456">
        <f>E895</f>
        <v>10.47</v>
      </c>
      <c r="F899" s="456"/>
      <c r="G899" s="456">
        <f t="shared" si="163"/>
        <v>10.47</v>
      </c>
      <c r="H899" s="456" t="str">
        <v>Sq M</v>
      </c>
      <c r="I899" s="456" t="str">
        <v>Gypsum Plaster</v>
      </c>
      <c r="J899" s="456">
        <v>32</v>
      </c>
      <c r="K899" s="456">
        <v>344.44799999999998</v>
      </c>
      <c r="L899" s="456">
        <f t="shared" si="164"/>
        <v>3606.3705599999998</v>
      </c>
      <c r="O899" s="455">
        <f t="shared" si="161"/>
        <v>251.28000000000003</v>
      </c>
      <c r="P899" s="455">
        <f t="shared" si="162"/>
        <v>86552.89344</v>
      </c>
      <c r="R899" s="480" t="s">
        <v>662</v>
      </c>
    </row>
    <row r="900" spans="1:18">
      <c r="A900" s="454"/>
      <c r="B900" s="454" t="str">
        <v>False ceiling</v>
      </c>
      <c r="C900" s="456"/>
      <c r="D900" s="456"/>
      <c r="E900" s="456"/>
      <c r="F900" s="456"/>
      <c r="G900" s="456">
        <f t="shared" si="163"/>
        <v>0</v>
      </c>
      <c r="H900" s="456" t="str">
        <v>Sq M</v>
      </c>
      <c r="I900" s="456" t="str">
        <v>N.A.</v>
      </c>
      <c r="J900" s="456">
        <v>0</v>
      </c>
      <c r="K900" s="456">
        <v>0</v>
      </c>
      <c r="L900" s="456">
        <f t="shared" si="164"/>
        <v>0</v>
      </c>
      <c r="O900" s="455">
        <f t="shared" si="161"/>
        <v>0</v>
      </c>
      <c r="P900" s="455">
        <f t="shared" si="162"/>
        <v>0</v>
      </c>
      <c r="R900" s="480"/>
    </row>
    <row r="901" spans="1:18">
      <c r="A901" s="454"/>
      <c r="B901" s="454" t="str">
        <v>Wall finishes Paint</v>
      </c>
      <c r="C901" s="456"/>
      <c r="D901" s="456"/>
      <c r="E901" s="456">
        <f>E898</f>
        <v>39.618500000000004</v>
      </c>
      <c r="F901" s="456">
        <f>F898</f>
        <v>-10.022499999999999</v>
      </c>
      <c r="G901" s="456">
        <f t="shared" si="163"/>
        <v>29.596000000000004</v>
      </c>
      <c r="H901" s="456" t="str">
        <v>Sq M</v>
      </c>
      <c r="I901" s="456" t="str">
        <v>Plastic paint</v>
      </c>
      <c r="J901" s="456">
        <v>20</v>
      </c>
      <c r="K901" s="456">
        <v>215.27999999999997</v>
      </c>
      <c r="L901" s="456">
        <f t="shared" si="164"/>
        <v>6371.42688</v>
      </c>
      <c r="O901" s="455">
        <f t="shared" si="161"/>
        <v>710.30400000000009</v>
      </c>
      <c r="P901" s="455">
        <f t="shared" si="162"/>
        <v>152914.24512000001</v>
      </c>
      <c r="R901" s="480" t="s">
        <v>663</v>
      </c>
    </row>
    <row r="902" spans="1:18">
      <c r="A902" s="454"/>
      <c r="B902" s="454" t="str">
        <v>Ceiling Paint</v>
      </c>
      <c r="C902" s="456"/>
      <c r="D902" s="456"/>
      <c r="E902" s="456">
        <f>E899</f>
        <v>10.47</v>
      </c>
      <c r="F902" s="456"/>
      <c r="G902" s="456">
        <f t="shared" si="163"/>
        <v>10.47</v>
      </c>
      <c r="H902" s="456" t="str">
        <v>Sq M</v>
      </c>
      <c r="I902" s="456" t="str">
        <v>Plastic paint</v>
      </c>
      <c r="J902" s="456">
        <v>20</v>
      </c>
      <c r="K902" s="456">
        <v>215.27999999999997</v>
      </c>
      <c r="L902" s="456">
        <f t="shared" si="164"/>
        <v>2253.9816000000001</v>
      </c>
      <c r="O902" s="455">
        <f t="shared" si="161"/>
        <v>251.28000000000003</v>
      </c>
      <c r="P902" s="455">
        <f t="shared" si="162"/>
        <v>54095.558400000002</v>
      </c>
      <c r="R902" s="480" t="s">
        <v>664</v>
      </c>
    </row>
    <row r="903" spans="1:18">
      <c r="A903" s="454"/>
      <c r="B903" s="454" t="str">
        <v>Door Frames</v>
      </c>
      <c r="C903" s="456"/>
      <c r="D903" s="456"/>
      <c r="E903" s="456"/>
      <c r="F903" s="456"/>
      <c r="G903" s="456">
        <f t="shared" si="163"/>
        <v>0</v>
      </c>
      <c r="H903" s="456" t="str">
        <v>RM</v>
      </c>
      <c r="I903" s="456" t="str">
        <v>N.A.</v>
      </c>
      <c r="J903" s="456">
        <v>0</v>
      </c>
      <c r="K903" s="456">
        <v>0</v>
      </c>
      <c r="L903" s="456">
        <f t="shared" si="164"/>
        <v>0</v>
      </c>
      <c r="O903" s="455">
        <f t="shared" si="161"/>
        <v>0</v>
      </c>
      <c r="P903" s="455">
        <f t="shared" si="162"/>
        <v>0</v>
      </c>
      <c r="R903" s="480"/>
    </row>
    <row r="904" spans="1:18">
      <c r="A904" s="454"/>
      <c r="B904" s="454" t="str">
        <v>Window Frames - Internal</v>
      </c>
      <c r="C904" s="456"/>
      <c r="D904" s="456"/>
      <c r="E904" s="456">
        <f>Windows!F79*2+Windows!G79*2</f>
        <v>10.399999999999999</v>
      </c>
      <c r="F904" s="456"/>
      <c r="G904" s="456">
        <f t="shared" si="163"/>
        <v>10.399999999999999</v>
      </c>
      <c r="H904" s="456" t="str">
        <v>RM</v>
      </c>
      <c r="I904" s="456" t="str">
        <v>Granite Window Frame</v>
      </c>
      <c r="J904" s="456">
        <v>180</v>
      </c>
      <c r="K904" s="456">
        <v>655.92719999999997</v>
      </c>
      <c r="L904" s="456">
        <f t="shared" si="164"/>
        <v>6821.6428799999985</v>
      </c>
      <c r="O904" s="455">
        <f t="shared" si="161"/>
        <v>249.59999999999997</v>
      </c>
      <c r="P904" s="455">
        <f t="shared" si="162"/>
        <v>163719.42911999996</v>
      </c>
      <c r="R904" s="480" t="s">
        <v>743</v>
      </c>
    </row>
    <row r="905" spans="1:18">
      <c r="A905" s="454"/>
      <c r="B905" s="454" t="str">
        <v>Window Frames - External</v>
      </c>
      <c r="C905" s="456"/>
      <c r="D905" s="456"/>
      <c r="E905" s="456">
        <f>E904</f>
        <v>10.399999999999999</v>
      </c>
      <c r="F905" s="456"/>
      <c r="G905" s="456">
        <f t="shared" si="163"/>
        <v>10.399999999999999</v>
      </c>
      <c r="H905" s="456" t="str">
        <v>RM</v>
      </c>
      <c r="I905" s="456" t="str">
        <v>Marble Window Frames with Sill</v>
      </c>
      <c r="J905" s="456">
        <v>60</v>
      </c>
      <c r="K905" s="456">
        <v>399.04239999999999</v>
      </c>
      <c r="L905" s="456">
        <f t="shared" si="164"/>
        <v>4150.0409599999994</v>
      </c>
      <c r="O905" s="455">
        <f t="shared" si="161"/>
        <v>249.59999999999997</v>
      </c>
      <c r="P905" s="455">
        <f t="shared" si="162"/>
        <v>99600.983039999992</v>
      </c>
      <c r="R905" s="480" t="s">
        <v>409</v>
      </c>
    </row>
    <row r="906" spans="1:18">
      <c r="A906" s="454"/>
      <c r="B906" s="454" t="str">
        <v>Others</v>
      </c>
      <c r="C906" s="456"/>
      <c r="D906" s="456"/>
      <c r="E906" s="456"/>
      <c r="F906" s="456"/>
      <c r="G906" s="456">
        <f t="shared" si="163"/>
        <v>0</v>
      </c>
      <c r="H906" s="456" t="str">
        <v>-</v>
      </c>
      <c r="I906" s="456" t="str">
        <v>N.A.</v>
      </c>
      <c r="J906" s="456">
        <v>0</v>
      </c>
      <c r="K906" s="456">
        <v>0</v>
      </c>
      <c r="L906" s="456">
        <f t="shared" si="164"/>
        <v>0</v>
      </c>
      <c r="O906" s="455">
        <f t="shared" si="161"/>
        <v>0</v>
      </c>
      <c r="P906" s="455">
        <f t="shared" si="162"/>
        <v>0</v>
      </c>
    </row>
    <row r="907" spans="1:18" s="479" customFormat="1" ht="13.5" customHeight="1">
      <c r="A907" s="475" t="s">
        <v>628</v>
      </c>
      <c r="B907" s="476" t="str">
        <f>'Flat Sizes'!B77</f>
        <v>C. Toilet</v>
      </c>
      <c r="C907" s="477">
        <f>'Flat Sizes'!D77</f>
        <v>3.83</v>
      </c>
      <c r="D907" s="477">
        <f>'Flat Sizes'!G77</f>
        <v>8.2200000000000006</v>
      </c>
      <c r="E907" s="477"/>
      <c r="F907" s="454"/>
      <c r="G907" s="477"/>
      <c r="H907" s="477"/>
      <c r="I907" s="477"/>
      <c r="J907" s="477"/>
      <c r="K907" s="477"/>
      <c r="L907" s="477"/>
      <c r="M907" s="459">
        <f>SUM(L908:L919)/C907/10.764</f>
        <v>1201.4185138451062</v>
      </c>
      <c r="N907" s="472"/>
      <c r="O907" s="455"/>
      <c r="P907" s="455"/>
      <c r="Q907" s="478"/>
    </row>
    <row r="908" spans="1:18">
      <c r="A908" s="454"/>
      <c r="B908" s="454" t="str" cm="1">
        <f t="array" ref="B908:B919">'Rate List - Flats'!B76:B87</f>
        <v>Flooring</v>
      </c>
      <c r="C908" s="456"/>
      <c r="D908" s="456"/>
      <c r="E908" s="456">
        <f>C907</f>
        <v>3.83</v>
      </c>
      <c r="F908" s="456"/>
      <c r="G908" s="456">
        <f t="shared" si="163"/>
        <v>3.83</v>
      </c>
      <c r="H908" s="456" t="str" cm="1">
        <f t="array" ref="H908:H919">'Rate List - Flats'!H76:H87</f>
        <v>Sq M</v>
      </c>
      <c r="I908" s="456" t="str" cm="1">
        <f t="array" ref="I908:I919">'Rate List - Flats'!C76:C87</f>
        <v>ceramic tiles/vitrified anti-skid tiles</v>
      </c>
      <c r="J908" s="456" cm="1">
        <f t="array" ref="J908:J919">'Rate List - Flats'!E76:E87</f>
        <v>50</v>
      </c>
      <c r="K908" s="456" cm="1">
        <f t="array" ref="K908:K919">'Rate List - Flats'!G76:G87</f>
        <v>1399.32</v>
      </c>
      <c r="L908" s="456">
        <f t="shared" si="164"/>
        <v>5359.3955999999998</v>
      </c>
      <c r="O908" s="455">
        <f t="shared" ref="O908:O919" si="165">IF(I908="N.A",0,G908*$N$828)</f>
        <v>91.92</v>
      </c>
      <c r="P908" s="455">
        <f t="shared" ref="P908:P919" si="166">L908*$N$828</f>
        <v>128625.4944</v>
      </c>
      <c r="R908" s="480" t="s">
        <v>667</v>
      </c>
    </row>
    <row r="909" spans="1:18">
      <c r="A909" s="454"/>
      <c r="B909" s="454" t="str">
        <v>Skirting</v>
      </c>
      <c r="C909" s="456"/>
      <c r="D909" s="456"/>
      <c r="E909" s="456"/>
      <c r="F909" s="456"/>
      <c r="G909" s="456">
        <f t="shared" si="163"/>
        <v>0</v>
      </c>
      <c r="H909" s="456" t="str">
        <v xml:space="preserve">RM </v>
      </c>
      <c r="I909" s="456" t="str">
        <v>N.A.</v>
      </c>
      <c r="J909" s="456">
        <v>0</v>
      </c>
      <c r="K909" s="456">
        <v>0</v>
      </c>
      <c r="L909" s="456">
        <f t="shared" si="164"/>
        <v>0</v>
      </c>
      <c r="O909" s="455">
        <f t="shared" si="165"/>
        <v>0</v>
      </c>
      <c r="P909" s="455">
        <f t="shared" si="166"/>
        <v>0</v>
      </c>
      <c r="R909" s="480"/>
    </row>
    <row r="910" spans="1:18">
      <c r="A910" s="454"/>
      <c r="B910" s="454" t="str">
        <v>Dado</v>
      </c>
      <c r="C910" s="456"/>
      <c r="D910" s="456">
        <f>D1-0.7</f>
        <v>2.4000000000000004</v>
      </c>
      <c r="E910" s="456">
        <f>D907*D910</f>
        <v>19.728000000000005</v>
      </c>
      <c r="F910" s="456">
        <f>-(Doors!H67+Windows!H80)</f>
        <v>-2.0250000000000004</v>
      </c>
      <c r="G910" s="456">
        <f t="shared" si="163"/>
        <v>17.703000000000003</v>
      </c>
      <c r="H910" s="456" t="str">
        <v>Sq M</v>
      </c>
      <c r="I910" s="456" t="str">
        <v>Vitrified tiles</v>
      </c>
      <c r="J910" s="456">
        <v>50</v>
      </c>
      <c r="K910" s="456">
        <v>1480.05</v>
      </c>
      <c r="L910" s="456">
        <f t="shared" si="164"/>
        <v>26201.325150000004</v>
      </c>
      <c r="O910" s="455">
        <f t="shared" si="165"/>
        <v>424.87200000000007</v>
      </c>
      <c r="P910" s="455">
        <f t="shared" si="166"/>
        <v>628831.8036000001</v>
      </c>
      <c r="R910" s="480" t="s">
        <v>668</v>
      </c>
    </row>
    <row r="911" spans="1:18">
      <c r="A911" s="454"/>
      <c r="B911" s="454" t="str">
        <v>Wall finishes plaster</v>
      </c>
      <c r="C911" s="456"/>
      <c r="D911" s="456">
        <f>D1-D910</f>
        <v>0.69999999999999973</v>
      </c>
      <c r="E911" s="456">
        <f>D907*D911</f>
        <v>5.7539999999999987</v>
      </c>
      <c r="F911" s="456"/>
      <c r="G911" s="456">
        <f t="shared" si="163"/>
        <v>5.7539999999999987</v>
      </c>
      <c r="H911" s="456" t="str">
        <v>Sq M</v>
      </c>
      <c r="I911" s="456" t="str">
        <v>Gypsum Plaster</v>
      </c>
      <c r="J911" s="456">
        <v>32</v>
      </c>
      <c r="K911" s="456">
        <v>344.44799999999998</v>
      </c>
      <c r="L911" s="456">
        <f t="shared" si="164"/>
        <v>1981.9537919999993</v>
      </c>
      <c r="O911" s="455">
        <f t="shared" si="165"/>
        <v>138.09599999999998</v>
      </c>
      <c r="P911" s="455">
        <f t="shared" si="166"/>
        <v>47566.891007999984</v>
      </c>
      <c r="R911" s="480" t="s">
        <v>661</v>
      </c>
    </row>
    <row r="912" spans="1:18">
      <c r="A912" s="454"/>
      <c r="B912" s="454" t="str">
        <v>Ceiling plaster</v>
      </c>
      <c r="C912" s="456"/>
      <c r="D912" s="456"/>
      <c r="E912" s="456">
        <f>E908</f>
        <v>3.83</v>
      </c>
      <c r="F912" s="456"/>
      <c r="G912" s="456">
        <f>E912+F912</f>
        <v>3.83</v>
      </c>
      <c r="H912" s="456" t="str">
        <v>Sq M</v>
      </c>
      <c r="I912" s="456" t="str">
        <v>Gypsum Plaster</v>
      </c>
      <c r="J912" s="456">
        <v>32</v>
      </c>
      <c r="K912" s="456">
        <v>344.44799999999998</v>
      </c>
      <c r="L912" s="456">
        <f t="shared" si="164"/>
        <v>1319.2358400000001</v>
      </c>
      <c r="O912" s="455">
        <f t="shared" si="165"/>
        <v>91.92</v>
      </c>
      <c r="P912" s="455">
        <f t="shared" si="166"/>
        <v>31661.660159999999</v>
      </c>
      <c r="R912" s="480" t="s">
        <v>662</v>
      </c>
    </row>
    <row r="913" spans="1:18">
      <c r="A913" s="454"/>
      <c r="B913" s="454" t="str">
        <v>False ceiling</v>
      </c>
      <c r="C913" s="456"/>
      <c r="D913" s="456"/>
      <c r="E913" s="456"/>
      <c r="F913" s="456"/>
      <c r="G913" s="456">
        <f>E913+F913</f>
        <v>0</v>
      </c>
      <c r="H913" s="456" t="str">
        <v>Sq M</v>
      </c>
      <c r="I913" s="456" t="str">
        <v>N.A.</v>
      </c>
      <c r="J913" s="456">
        <v>0</v>
      </c>
      <c r="K913" s="456">
        <v>0</v>
      </c>
      <c r="L913" s="456">
        <f t="shared" si="164"/>
        <v>0</v>
      </c>
      <c r="O913" s="455">
        <f t="shared" si="165"/>
        <v>0</v>
      </c>
      <c r="P913" s="455">
        <f t="shared" si="166"/>
        <v>0</v>
      </c>
      <c r="R913" s="480"/>
    </row>
    <row r="914" spans="1:18">
      <c r="A914" s="454"/>
      <c r="B914" s="454" t="str">
        <v>Wall finishes Paint</v>
      </c>
      <c r="C914" s="456"/>
      <c r="D914" s="456"/>
      <c r="E914" s="456">
        <f>E911</f>
        <v>5.7539999999999987</v>
      </c>
      <c r="F914" s="456"/>
      <c r="G914" s="456">
        <f t="shared" si="163"/>
        <v>5.7539999999999987</v>
      </c>
      <c r="H914" s="456" t="str">
        <v>Sq M</v>
      </c>
      <c r="I914" s="456" t="str">
        <v>Plastic paint</v>
      </c>
      <c r="J914" s="456">
        <v>20</v>
      </c>
      <c r="K914" s="456">
        <v>215.27999999999997</v>
      </c>
      <c r="L914" s="456">
        <f t="shared" si="164"/>
        <v>1238.7211199999995</v>
      </c>
      <c r="O914" s="455">
        <f t="shared" si="165"/>
        <v>138.09599999999998</v>
      </c>
      <c r="P914" s="455">
        <f t="shared" si="166"/>
        <v>29729.306879999989</v>
      </c>
      <c r="R914" s="480" t="s">
        <v>663</v>
      </c>
    </row>
    <row r="915" spans="1:18">
      <c r="A915" s="454"/>
      <c r="B915" s="454" t="str">
        <v>Ceiling Paint</v>
      </c>
      <c r="C915" s="456"/>
      <c r="D915" s="456"/>
      <c r="E915" s="456">
        <f>E912</f>
        <v>3.83</v>
      </c>
      <c r="F915" s="456"/>
      <c r="G915" s="456">
        <f t="shared" si="163"/>
        <v>3.83</v>
      </c>
      <c r="H915" s="456" t="str">
        <v>Sq M</v>
      </c>
      <c r="I915" s="456" t="str">
        <v>Plastic paint</v>
      </c>
      <c r="J915" s="456">
        <v>20</v>
      </c>
      <c r="K915" s="456">
        <v>215.27999999999997</v>
      </c>
      <c r="L915" s="456">
        <f t="shared" si="164"/>
        <v>824.52239999999995</v>
      </c>
      <c r="O915" s="455">
        <f t="shared" si="165"/>
        <v>91.92</v>
      </c>
      <c r="P915" s="455">
        <f t="shared" si="166"/>
        <v>19788.5376</v>
      </c>
      <c r="R915" s="480" t="s">
        <v>664</v>
      </c>
    </row>
    <row r="916" spans="1:18">
      <c r="A916" s="454"/>
      <c r="B916" s="454" t="str">
        <v>Door Frames</v>
      </c>
      <c r="C916" s="456"/>
      <c r="D916" s="456"/>
      <c r="E916" s="456">
        <f>Doors!F67*4+Doors!G67*4</f>
        <v>11.4</v>
      </c>
      <c r="F916" s="456"/>
      <c r="G916" s="456">
        <f t="shared" si="163"/>
        <v>11.4</v>
      </c>
      <c r="H916" s="456" t="str">
        <v>RM</v>
      </c>
      <c r="I916" s="456" t="str">
        <v>Granite Frames</v>
      </c>
      <c r="J916" s="456">
        <v>180</v>
      </c>
      <c r="K916" s="456">
        <v>655.92719999999997</v>
      </c>
      <c r="L916" s="456">
        <f t="shared" si="164"/>
        <v>7477.5700799999995</v>
      </c>
      <c r="O916" s="455">
        <f t="shared" si="165"/>
        <v>273.60000000000002</v>
      </c>
      <c r="P916" s="455">
        <f t="shared" si="166"/>
        <v>179461.68192</v>
      </c>
      <c r="R916" s="480" t="s">
        <v>669</v>
      </c>
    </row>
    <row r="917" spans="1:18">
      <c r="A917" s="454"/>
      <c r="B917" s="454" t="str">
        <v>Window Frames - Internal</v>
      </c>
      <c r="C917" s="456"/>
      <c r="D917" s="456"/>
      <c r="E917" s="456">
        <f>Windows!F80*2+Windows!G80*2</f>
        <v>2.7</v>
      </c>
      <c r="F917" s="456"/>
      <c r="G917" s="456">
        <f t="shared" si="163"/>
        <v>2.7</v>
      </c>
      <c r="H917" s="456" t="str">
        <v>RM</v>
      </c>
      <c r="I917" s="456" t="str">
        <v>Granite Window Frame</v>
      </c>
      <c r="J917" s="456">
        <v>180</v>
      </c>
      <c r="K917" s="456">
        <v>655.92719999999997</v>
      </c>
      <c r="L917" s="456">
        <f t="shared" si="164"/>
        <v>1771.00344</v>
      </c>
      <c r="O917" s="455">
        <f t="shared" si="165"/>
        <v>64.800000000000011</v>
      </c>
      <c r="P917" s="455">
        <f t="shared" si="166"/>
        <v>42504.082559999995</v>
      </c>
      <c r="R917" s="480" t="s">
        <v>743</v>
      </c>
    </row>
    <row r="918" spans="1:18">
      <c r="A918" s="454"/>
      <c r="B918" s="454" t="str">
        <v>Window Frames - External</v>
      </c>
      <c r="C918" s="456"/>
      <c r="D918" s="456"/>
      <c r="E918" s="456">
        <f>E917</f>
        <v>2.7</v>
      </c>
      <c r="F918" s="456"/>
      <c r="G918" s="456">
        <f t="shared" si="163"/>
        <v>2.7</v>
      </c>
      <c r="H918" s="456" t="str">
        <v>RM</v>
      </c>
      <c r="I918" s="456" t="str">
        <v>Marble Window Frames with Sill</v>
      </c>
      <c r="J918" s="456">
        <v>60</v>
      </c>
      <c r="K918" s="456">
        <v>399.04239999999999</v>
      </c>
      <c r="L918" s="456">
        <f t="shared" si="164"/>
        <v>1077.4144800000001</v>
      </c>
      <c r="O918" s="455">
        <f t="shared" si="165"/>
        <v>64.800000000000011</v>
      </c>
      <c r="P918" s="455">
        <f t="shared" si="166"/>
        <v>25857.947520000002</v>
      </c>
      <c r="R918" s="480" t="s">
        <v>409</v>
      </c>
    </row>
    <row r="919" spans="1:18">
      <c r="A919" s="454"/>
      <c r="B919" s="454" t="str">
        <v>Others - Counter</v>
      </c>
      <c r="C919" s="456"/>
      <c r="D919" s="456"/>
      <c r="E919" s="456">
        <f>0.6*0.6</f>
        <v>0.36</v>
      </c>
      <c r="F919" s="456"/>
      <c r="G919" s="456">
        <f t="shared" si="163"/>
        <v>0.36</v>
      </c>
      <c r="H919" s="456" t="str">
        <v>Sq M</v>
      </c>
      <c r="I919" s="456" t="str">
        <v>Basin Counter 1'6" - Granite Basin Counter</v>
      </c>
      <c r="J919" s="456">
        <v>180</v>
      </c>
      <c r="K919" s="456">
        <v>6329.6720000000005</v>
      </c>
      <c r="L919" s="456">
        <f t="shared" si="164"/>
        <v>2278.68192</v>
      </c>
      <c r="O919" s="455">
        <f t="shared" si="165"/>
        <v>8.64</v>
      </c>
      <c r="P919" s="455">
        <f t="shared" si="166"/>
        <v>54688.36608</v>
      </c>
      <c r="R919" s="480" t="s">
        <v>670</v>
      </c>
    </row>
    <row r="920" spans="1:18" s="479" customFormat="1" ht="13.5" customHeight="1">
      <c r="A920" s="475" t="s">
        <v>628</v>
      </c>
      <c r="B920" s="476" t="str">
        <f>'Flat Sizes'!B78</f>
        <v>Kitchen</v>
      </c>
      <c r="C920" s="477">
        <f>'Flat Sizes'!D78</f>
        <v>7.83</v>
      </c>
      <c r="D920" s="477">
        <f>'Flat Sizes'!G78</f>
        <v>11.93</v>
      </c>
      <c r="E920" s="477"/>
      <c r="F920" s="454"/>
      <c r="G920" s="477"/>
      <c r="H920" s="477"/>
      <c r="I920" s="477"/>
      <c r="J920" s="477"/>
      <c r="K920" s="477"/>
      <c r="L920" s="477"/>
      <c r="M920" s="459">
        <f>SUM(L921:L934)/C920/10.764</f>
        <v>1130.0591684831852</v>
      </c>
      <c r="N920" s="472"/>
      <c r="O920" s="455"/>
      <c r="P920" s="455"/>
      <c r="Q920" s="478"/>
    </row>
    <row r="921" spans="1:18">
      <c r="A921" s="454"/>
      <c r="B921" s="454" t="str" cm="1">
        <f t="array" ref="B921:B934">'Rate List - Flats'!B90:B103</f>
        <v>Flooring</v>
      </c>
      <c r="C921" s="456"/>
      <c r="D921" s="456"/>
      <c r="E921" s="456">
        <f>C920</f>
        <v>7.83</v>
      </c>
      <c r="F921" s="456"/>
      <c r="G921" s="456">
        <f t="shared" si="163"/>
        <v>7.83</v>
      </c>
      <c r="H921" s="456" t="str" cm="1">
        <f t="array" ref="H921:H934">'Rate List - Flats'!H90:H103</f>
        <v>Sq M</v>
      </c>
      <c r="I921" s="456" t="str" cm="1">
        <f t="array" ref="I921:I934">'Rate List - Flats'!C90:C103</f>
        <v>ceramic tiles/vitrified anti-skid tiles</v>
      </c>
      <c r="J921" s="456" cm="1">
        <f t="array" ref="J921:J934">'Rate List - Flats'!E90:E103</f>
        <v>45</v>
      </c>
      <c r="K921" s="456" cm="1">
        <f t="array" ref="K921:K934">'Rate List - Flats'!G90:G103</f>
        <v>1340.1179999999999</v>
      </c>
      <c r="L921" s="456">
        <f t="shared" si="164"/>
        <v>10493.123939999999</v>
      </c>
      <c r="O921" s="455">
        <f t="shared" ref="O921:O934" si="167">IF(I921="N.A",0,G921*$N$828)</f>
        <v>187.92000000000002</v>
      </c>
      <c r="P921" s="455">
        <f t="shared" ref="P921:P934" si="168">L921*$N$828</f>
        <v>251834.97456</v>
      </c>
      <c r="R921" s="458" t="s">
        <v>659</v>
      </c>
    </row>
    <row r="922" spans="1:18">
      <c r="A922" s="454"/>
      <c r="B922" s="454" t="str">
        <v>Skirting</v>
      </c>
      <c r="C922" s="456"/>
      <c r="D922" s="456"/>
      <c r="E922" s="456"/>
      <c r="F922" s="456"/>
      <c r="G922" s="456">
        <f t="shared" si="163"/>
        <v>0</v>
      </c>
      <c r="H922" s="456" t="str">
        <v xml:space="preserve">RM </v>
      </c>
      <c r="I922" s="456" t="str">
        <v>N.A.</v>
      </c>
      <c r="J922" s="456">
        <v>0</v>
      </c>
      <c r="K922" s="456">
        <v>0</v>
      </c>
      <c r="L922" s="456">
        <f t="shared" si="164"/>
        <v>0</v>
      </c>
      <c r="O922" s="455">
        <f t="shared" si="167"/>
        <v>0</v>
      </c>
      <c r="P922" s="455">
        <f t="shared" si="168"/>
        <v>0</v>
      </c>
      <c r="R922" s="458" t="s">
        <v>660</v>
      </c>
    </row>
    <row r="923" spans="1:18">
      <c r="A923" s="454"/>
      <c r="B923" s="454" t="str">
        <v>Dado</v>
      </c>
      <c r="C923" s="456"/>
      <c r="D923" s="456">
        <f>D1-0.7-0.9</f>
        <v>1.5000000000000004</v>
      </c>
      <c r="E923" s="456">
        <f>(E933+E934)*D923</f>
        <v>9.2100000000000044</v>
      </c>
      <c r="F923" s="456"/>
      <c r="G923" s="456">
        <f t="shared" si="163"/>
        <v>9.2100000000000044</v>
      </c>
      <c r="H923" s="456" t="str">
        <v>Sq M</v>
      </c>
      <c r="I923" s="456" t="str">
        <v>Vitrified tiles</v>
      </c>
      <c r="J923" s="456">
        <v>45</v>
      </c>
      <c r="K923" s="456">
        <v>1393.9379999999999</v>
      </c>
      <c r="L923" s="456">
        <f t="shared" si="164"/>
        <v>12838.168980000006</v>
      </c>
      <c r="O923" s="455">
        <f t="shared" si="167"/>
        <v>221.04000000000011</v>
      </c>
      <c r="P923" s="455">
        <f t="shared" si="168"/>
        <v>308116.05552000017</v>
      </c>
      <c r="R923" s="458" t="s">
        <v>665</v>
      </c>
    </row>
    <row r="924" spans="1:18">
      <c r="A924" s="454"/>
      <c r="B924" s="454" t="str">
        <v>Dado Below Kitchen Platform</v>
      </c>
      <c r="C924" s="456"/>
      <c r="D924" s="456">
        <v>0.9</v>
      </c>
      <c r="E924" s="456">
        <f>(E933+E934)*D924</f>
        <v>5.5260000000000007</v>
      </c>
      <c r="F924" s="456"/>
      <c r="G924" s="456">
        <f t="shared" si="163"/>
        <v>5.5260000000000007</v>
      </c>
      <c r="H924" s="456" t="str">
        <v>Sq M</v>
      </c>
      <c r="I924" s="456" t="str">
        <v>dado under platform</v>
      </c>
      <c r="J924" s="456">
        <v>23</v>
      </c>
      <c r="K924" s="456">
        <v>1133.4491999999998</v>
      </c>
      <c r="L924" s="456">
        <f t="shared" si="164"/>
        <v>6263.4402792000001</v>
      </c>
      <c r="O924" s="455">
        <f t="shared" si="167"/>
        <v>132.62400000000002</v>
      </c>
      <c r="P924" s="455">
        <f t="shared" si="168"/>
        <v>150322.5667008</v>
      </c>
      <c r="R924" s="458" t="s">
        <v>746</v>
      </c>
    </row>
    <row r="925" spans="1:18">
      <c r="A925" s="454"/>
      <c r="B925" s="454" t="str">
        <v>Wall finishes plaster</v>
      </c>
      <c r="C925" s="456"/>
      <c r="D925" s="456">
        <f>D1-0.15</f>
        <v>2.95</v>
      </c>
      <c r="E925" s="456">
        <f>(D920*D925)-(E923+E924)</f>
        <v>20.457499999999996</v>
      </c>
      <c r="F925" s="456">
        <f>-(Doors!H68+Windows!H81)</f>
        <v>-4.04</v>
      </c>
      <c r="G925" s="456">
        <f t="shared" si="163"/>
        <v>16.417499999999997</v>
      </c>
      <c r="H925" s="456" t="str">
        <v>Sq M</v>
      </c>
      <c r="I925" s="456" t="str">
        <v>Gypsum Plaster</v>
      </c>
      <c r="J925" s="456">
        <v>32</v>
      </c>
      <c r="K925" s="456">
        <v>376.73999999999995</v>
      </c>
      <c r="L925" s="456">
        <f t="shared" si="164"/>
        <v>6185.1289499999984</v>
      </c>
      <c r="O925" s="455">
        <f t="shared" si="167"/>
        <v>394.01999999999992</v>
      </c>
      <c r="P925" s="455">
        <f t="shared" si="168"/>
        <v>148443.09479999996</v>
      </c>
      <c r="R925" s="458" t="s">
        <v>661</v>
      </c>
    </row>
    <row r="926" spans="1:18">
      <c r="A926" s="454"/>
      <c r="B926" s="454" t="str">
        <v>Ceiling plaster</v>
      </c>
      <c r="C926" s="456"/>
      <c r="D926" s="456"/>
      <c r="E926" s="456">
        <f>E921</f>
        <v>7.83</v>
      </c>
      <c r="F926" s="456"/>
      <c r="G926" s="456">
        <f t="shared" si="163"/>
        <v>7.83</v>
      </c>
      <c r="H926" s="456" t="str">
        <v>Sq M</v>
      </c>
      <c r="I926" s="456" t="str">
        <v>Gypsum Plaster</v>
      </c>
      <c r="J926" s="456">
        <v>32</v>
      </c>
      <c r="K926" s="456">
        <v>344.44799999999998</v>
      </c>
      <c r="L926" s="456">
        <f t="shared" si="164"/>
        <v>2697.0278399999997</v>
      </c>
      <c r="O926" s="455">
        <f t="shared" si="167"/>
        <v>187.92000000000002</v>
      </c>
      <c r="P926" s="455">
        <f t="shared" si="168"/>
        <v>64728.668159999994</v>
      </c>
      <c r="R926" s="458" t="s">
        <v>662</v>
      </c>
    </row>
    <row r="927" spans="1:18">
      <c r="A927" s="454"/>
      <c r="B927" s="454" t="str">
        <v>False ceiling</v>
      </c>
      <c r="C927" s="456"/>
      <c r="D927" s="456"/>
      <c r="E927" s="456"/>
      <c r="F927" s="456"/>
      <c r="G927" s="456">
        <f t="shared" si="163"/>
        <v>0</v>
      </c>
      <c r="H927" s="456" t="str">
        <v>Sq M</v>
      </c>
      <c r="I927" s="456" t="str">
        <v>N.A.</v>
      </c>
      <c r="J927" s="456">
        <v>0</v>
      </c>
      <c r="K927" s="456">
        <v>0</v>
      </c>
      <c r="L927" s="456">
        <f t="shared" si="164"/>
        <v>0</v>
      </c>
      <c r="O927" s="455">
        <f t="shared" si="167"/>
        <v>0</v>
      </c>
      <c r="P927" s="455">
        <f t="shared" si="168"/>
        <v>0</v>
      </c>
      <c r="R927" s="458"/>
    </row>
    <row r="928" spans="1:18">
      <c r="A928" s="454"/>
      <c r="B928" s="454" t="str">
        <v>Wall finishes Paint</v>
      </c>
      <c r="C928" s="456"/>
      <c r="D928" s="456"/>
      <c r="E928" s="456">
        <f>E925</f>
        <v>20.457499999999996</v>
      </c>
      <c r="F928" s="456">
        <f>F925</f>
        <v>-4.04</v>
      </c>
      <c r="G928" s="456">
        <f t="shared" si="163"/>
        <v>16.417499999999997</v>
      </c>
      <c r="H928" s="456" t="str">
        <v>Sq M</v>
      </c>
      <c r="I928" s="456" t="str">
        <v>Plastic paint</v>
      </c>
      <c r="J928" s="456">
        <v>20</v>
      </c>
      <c r="K928" s="456">
        <v>215.27999999999997</v>
      </c>
      <c r="L928" s="456">
        <f t="shared" si="164"/>
        <v>3534.3593999999989</v>
      </c>
      <c r="O928" s="455">
        <f t="shared" si="167"/>
        <v>394.01999999999992</v>
      </c>
      <c r="P928" s="455">
        <f t="shared" si="168"/>
        <v>84824.62559999997</v>
      </c>
      <c r="R928" s="458" t="s">
        <v>663</v>
      </c>
    </row>
    <row r="929" spans="1:18">
      <c r="A929" s="454"/>
      <c r="B929" s="454" t="str">
        <v>Ceiling Paint</v>
      </c>
      <c r="C929" s="456"/>
      <c r="D929" s="456"/>
      <c r="E929" s="456">
        <f>E926</f>
        <v>7.83</v>
      </c>
      <c r="F929" s="456"/>
      <c r="G929" s="456">
        <f t="shared" si="163"/>
        <v>7.83</v>
      </c>
      <c r="H929" s="456" t="str">
        <v>Sq M</v>
      </c>
      <c r="I929" s="456" t="str">
        <v>Plastic paint</v>
      </c>
      <c r="J929" s="456">
        <v>20</v>
      </c>
      <c r="K929" s="456">
        <v>215.27999999999997</v>
      </c>
      <c r="L929" s="456">
        <f t="shared" si="164"/>
        <v>1685.6423999999997</v>
      </c>
      <c r="O929" s="455">
        <f t="shared" si="167"/>
        <v>187.92000000000002</v>
      </c>
      <c r="P929" s="455">
        <f t="shared" si="168"/>
        <v>40455.417599999993</v>
      </c>
      <c r="R929" s="458" t="s">
        <v>664</v>
      </c>
    </row>
    <row r="930" spans="1:18">
      <c r="A930" s="454"/>
      <c r="B930" s="454" t="str">
        <v>Door Frames</v>
      </c>
      <c r="C930" s="456"/>
      <c r="D930" s="456"/>
      <c r="E930" s="456"/>
      <c r="F930" s="456"/>
      <c r="G930" s="456">
        <f t="shared" si="163"/>
        <v>0</v>
      </c>
      <c r="H930" s="456" t="str">
        <v>Sq M</v>
      </c>
      <c r="I930" s="456" t="str">
        <v>N.A.</v>
      </c>
      <c r="J930" s="456">
        <v>0</v>
      </c>
      <c r="K930" s="456">
        <v>0</v>
      </c>
      <c r="L930" s="456">
        <f t="shared" si="164"/>
        <v>0</v>
      </c>
      <c r="O930" s="455">
        <f t="shared" si="167"/>
        <v>0</v>
      </c>
      <c r="P930" s="455">
        <f t="shared" si="168"/>
        <v>0</v>
      </c>
      <c r="R930" s="458" t="s">
        <v>407</v>
      </c>
    </row>
    <row r="931" spans="1:18">
      <c r="A931" s="454"/>
      <c r="B931" s="454" t="str">
        <v>Window Frames - Internal</v>
      </c>
      <c r="C931" s="456"/>
      <c r="D931" s="456"/>
      <c r="E931" s="456">
        <f>Windows!F81*2+Windows!G81*2</f>
        <v>6.3</v>
      </c>
      <c r="F931" s="456"/>
      <c r="G931" s="456">
        <f t="shared" si="163"/>
        <v>6.3</v>
      </c>
      <c r="H931" s="456" t="str">
        <v>RM</v>
      </c>
      <c r="I931" s="456" t="str">
        <v>Granite Window Frame</v>
      </c>
      <c r="J931" s="456">
        <v>180</v>
      </c>
      <c r="K931" s="456">
        <v>655.92719999999997</v>
      </c>
      <c r="L931" s="456">
        <f t="shared" si="164"/>
        <v>4132.3413599999994</v>
      </c>
      <c r="O931" s="455">
        <f t="shared" si="167"/>
        <v>151.19999999999999</v>
      </c>
      <c r="P931" s="455">
        <f t="shared" si="168"/>
        <v>99176.192639999994</v>
      </c>
      <c r="R931" s="458" t="s">
        <v>408</v>
      </c>
    </row>
    <row r="932" spans="1:18">
      <c r="A932" s="454"/>
      <c r="B932" s="454" t="str">
        <v>Window Frames - External</v>
      </c>
      <c r="C932" s="456"/>
      <c r="D932" s="456"/>
      <c r="E932" s="456">
        <f>E931</f>
        <v>6.3</v>
      </c>
      <c r="F932" s="456"/>
      <c r="G932" s="456">
        <f t="shared" si="163"/>
        <v>6.3</v>
      </c>
      <c r="H932" s="456" t="str">
        <v>RM</v>
      </c>
      <c r="I932" s="456" t="str">
        <v>Marble Window Frames with Sill</v>
      </c>
      <c r="J932" s="456">
        <v>60</v>
      </c>
      <c r="K932" s="456">
        <v>399.04239999999999</v>
      </c>
      <c r="L932" s="456">
        <f t="shared" si="164"/>
        <v>2513.9671199999998</v>
      </c>
      <c r="O932" s="455">
        <f t="shared" si="167"/>
        <v>151.19999999999999</v>
      </c>
      <c r="P932" s="455">
        <f t="shared" si="168"/>
        <v>60335.210879999999</v>
      </c>
      <c r="R932" s="458" t="s">
        <v>409</v>
      </c>
    </row>
    <row r="933" spans="1:18">
      <c r="A933" s="454"/>
      <c r="B933" s="454" t="str">
        <v>Kitchen Platform</v>
      </c>
      <c r="C933" s="456"/>
      <c r="D933" s="456"/>
      <c r="E933" s="456">
        <v>3.52</v>
      </c>
      <c r="F933" s="456"/>
      <c r="G933" s="456">
        <f t="shared" si="163"/>
        <v>3.52</v>
      </c>
      <c r="H933" s="456" t="str">
        <v>RM</v>
      </c>
      <c r="I933" s="456" t="str">
        <v>Kitchen 2' Granite Main Counter</v>
      </c>
      <c r="J933" s="456">
        <v>180</v>
      </c>
      <c r="K933" s="456">
        <v>7312.7984000000006</v>
      </c>
      <c r="L933" s="456">
        <f t="shared" si="164"/>
        <v>25741.050368000004</v>
      </c>
      <c r="O933" s="455">
        <f t="shared" si="167"/>
        <v>84.48</v>
      </c>
      <c r="P933" s="455">
        <f t="shared" si="168"/>
        <v>617785.20883200015</v>
      </c>
      <c r="R933" s="458" t="s">
        <v>747</v>
      </c>
    </row>
    <row r="934" spans="1:18">
      <c r="A934" s="454"/>
      <c r="B934" s="454" t="str">
        <v>Service Platform</v>
      </c>
      <c r="C934" s="456"/>
      <c r="D934" s="456"/>
      <c r="E934" s="456">
        <f>E933-0.9</f>
        <v>2.62</v>
      </c>
      <c r="F934" s="456"/>
      <c r="G934" s="456">
        <f t="shared" si="163"/>
        <v>2.62</v>
      </c>
      <c r="H934" s="456" t="str">
        <v>RM</v>
      </c>
      <c r="I934" s="456" t="str">
        <v>Kitchen 1'6" Granite Main Counter</v>
      </c>
      <c r="J934" s="456">
        <v>180</v>
      </c>
      <c r="K934" s="456">
        <v>7312.7984000000006</v>
      </c>
      <c r="L934" s="456">
        <f t="shared" si="164"/>
        <v>19159.531808000003</v>
      </c>
      <c r="O934" s="455">
        <f t="shared" si="167"/>
        <v>62.88</v>
      </c>
      <c r="P934" s="455">
        <f t="shared" si="168"/>
        <v>459828.76339200011</v>
      </c>
      <c r="R934" s="458" t="s">
        <v>666</v>
      </c>
    </row>
    <row r="935" spans="1:18" s="479" customFormat="1" ht="13.5" customHeight="1">
      <c r="A935" s="475" t="s">
        <v>628</v>
      </c>
      <c r="B935" s="476" t="str">
        <f>'Flat Sizes'!B79</f>
        <v>Utility</v>
      </c>
      <c r="C935" s="477">
        <f>'Flat Sizes'!D79</f>
        <v>2.82</v>
      </c>
      <c r="D935" s="477">
        <f>'Flat Sizes'!G79</f>
        <v>7.05</v>
      </c>
      <c r="E935" s="477"/>
      <c r="F935" s="454"/>
      <c r="G935" s="477"/>
      <c r="H935" s="477"/>
      <c r="I935" s="477"/>
      <c r="J935" s="477"/>
      <c r="K935" s="477"/>
      <c r="L935" s="477"/>
      <c r="M935" s="459">
        <f>SUM(L936:L944)/C935/10.764</f>
        <v>1152.1714560750177</v>
      </c>
      <c r="N935" s="472"/>
      <c r="O935" s="455"/>
      <c r="P935" s="455"/>
      <c r="Q935" s="478"/>
    </row>
    <row r="936" spans="1:18">
      <c r="A936" s="454"/>
      <c r="B936" s="454" t="str" cm="1">
        <f t="array" ref="B936:B944">'Rate List - Flats'!B120:B128</f>
        <v>Flooring</v>
      </c>
      <c r="C936" s="456"/>
      <c r="D936" s="456"/>
      <c r="E936" s="456">
        <f>C935</f>
        <v>2.82</v>
      </c>
      <c r="F936" s="456"/>
      <c r="G936" s="456">
        <f t="shared" si="163"/>
        <v>2.82</v>
      </c>
      <c r="H936" s="456" t="str" cm="1">
        <f t="array" ref="H936:H944">'Rate List - Flats'!H120:H128</f>
        <v>Sq M</v>
      </c>
      <c r="I936" s="456" t="str" cm="1">
        <f t="array" ref="I936:I944">'Rate List - Flats'!C120:C128</f>
        <v>2'x2' Vitrified tiles</v>
      </c>
      <c r="J936" s="456" cm="1">
        <f t="array" ref="J936:J944">'Rate List - Flats'!E120:E128</f>
        <v>45</v>
      </c>
      <c r="K936" s="456" cm="1">
        <f t="array" ref="K936:K944">'Rate List - Flats'!G120:G128</f>
        <v>1340.1179999999999</v>
      </c>
      <c r="L936" s="456">
        <f t="shared" si="164"/>
        <v>3779.1327599999995</v>
      </c>
      <c r="O936" s="455">
        <f t="shared" ref="O936:O944" si="169">IF(I936="N.A",0,G936*$N$828)</f>
        <v>67.679999999999993</v>
      </c>
      <c r="P936" s="455">
        <f t="shared" ref="P936:P944" si="170">L936*$N$828</f>
        <v>90699.186239999981</v>
      </c>
      <c r="R936" s="458" t="s">
        <v>748</v>
      </c>
    </row>
    <row r="937" spans="1:18">
      <c r="A937" s="454"/>
      <c r="B937" s="454" t="str">
        <v>Skirting</v>
      </c>
      <c r="C937" s="456"/>
      <c r="D937" s="456"/>
      <c r="E937" s="456">
        <f>D935</f>
        <v>7.05</v>
      </c>
      <c r="F937" s="456"/>
      <c r="G937" s="456">
        <f t="shared" si="163"/>
        <v>7.05</v>
      </c>
      <c r="H937" s="456" t="str">
        <v xml:space="preserve">RM </v>
      </c>
      <c r="I937" s="456" t="str">
        <v xml:space="preserve">2'x2' Vitrified tiles </v>
      </c>
      <c r="J937" s="456">
        <v>45</v>
      </c>
      <c r="K937" s="456">
        <v>391.96</v>
      </c>
      <c r="L937" s="456">
        <f t="shared" si="164"/>
        <v>2763.3179999999998</v>
      </c>
      <c r="O937" s="455">
        <f t="shared" si="169"/>
        <v>169.2</v>
      </c>
      <c r="P937" s="455">
        <f t="shared" si="170"/>
        <v>66319.631999999998</v>
      </c>
      <c r="R937" s="458" t="s">
        <v>749</v>
      </c>
    </row>
    <row r="938" spans="1:18">
      <c r="A938" s="454"/>
      <c r="B938" s="454" t="str">
        <v>Dado</v>
      </c>
      <c r="C938" s="456"/>
      <c r="D938" s="456"/>
      <c r="E938" s="456"/>
      <c r="F938" s="456"/>
      <c r="G938" s="456">
        <f t="shared" si="163"/>
        <v>0</v>
      </c>
      <c r="H938" s="456" t="str">
        <v>Sq M</v>
      </c>
      <c r="I938" s="456" t="str">
        <v>N.A</v>
      </c>
      <c r="J938" s="456">
        <v>0</v>
      </c>
      <c r="K938" s="456">
        <v>0</v>
      </c>
      <c r="L938" s="456">
        <f t="shared" si="164"/>
        <v>0</v>
      </c>
      <c r="O938" s="455">
        <f t="shared" si="169"/>
        <v>0</v>
      </c>
      <c r="P938" s="455">
        <f t="shared" si="170"/>
        <v>0</v>
      </c>
      <c r="R938" s="458" t="s">
        <v>750</v>
      </c>
    </row>
    <row r="939" spans="1:18">
      <c r="A939" s="454"/>
      <c r="B939" s="454" t="str">
        <v>Wall finishes plaster</v>
      </c>
      <c r="C939" s="456"/>
      <c r="D939" s="456"/>
      <c r="E939" s="456">
        <f>D935*(D1-0.15)</f>
        <v>20.797499999999999</v>
      </c>
      <c r="F939" s="456">
        <f>-(Windows!K82*2.15)</f>
        <v>-2.15</v>
      </c>
      <c r="G939" s="456">
        <f t="shared" si="163"/>
        <v>18.647500000000001</v>
      </c>
      <c r="H939" s="456" t="str">
        <v>Sq M</v>
      </c>
      <c r="I939" s="456" t="str">
        <v>External Plaster  - 15 mm</v>
      </c>
      <c r="J939" s="456">
        <v>85</v>
      </c>
      <c r="K939" s="456">
        <v>914.93999999999994</v>
      </c>
      <c r="L939" s="456">
        <f t="shared" si="164"/>
        <v>17061.343649999999</v>
      </c>
      <c r="O939" s="455">
        <f t="shared" si="169"/>
        <v>447.54</v>
      </c>
      <c r="P939" s="455">
        <f t="shared" si="170"/>
        <v>409472.2476</v>
      </c>
      <c r="R939" s="458" t="s">
        <v>751</v>
      </c>
    </row>
    <row r="940" spans="1:18">
      <c r="A940" s="454"/>
      <c r="B940" s="454" t="str">
        <v>Ceiling plaster</v>
      </c>
      <c r="C940" s="456"/>
      <c r="D940" s="456"/>
      <c r="E940" s="456">
        <f>E936</f>
        <v>2.82</v>
      </c>
      <c r="F940" s="456"/>
      <c r="G940" s="456">
        <f t="shared" si="163"/>
        <v>2.82</v>
      </c>
      <c r="H940" s="456" t="str">
        <v>Sq M</v>
      </c>
      <c r="I940" s="456" t="str">
        <v>Gypsum Plaster</v>
      </c>
      <c r="J940" s="456">
        <v>32</v>
      </c>
      <c r="K940" s="456">
        <v>344.44799999999998</v>
      </c>
      <c r="L940" s="456">
        <f t="shared" si="164"/>
        <v>971.34335999999985</v>
      </c>
      <c r="O940" s="455">
        <f t="shared" si="169"/>
        <v>67.679999999999993</v>
      </c>
      <c r="P940" s="455">
        <f t="shared" si="170"/>
        <v>23312.240639999996</v>
      </c>
      <c r="R940" s="458" t="s">
        <v>662</v>
      </c>
    </row>
    <row r="941" spans="1:18">
      <c r="A941" s="454"/>
      <c r="B941" s="454" t="str">
        <v>False ceiling</v>
      </c>
      <c r="C941" s="456"/>
      <c r="D941" s="456"/>
      <c r="E941" s="456"/>
      <c r="F941" s="456"/>
      <c r="G941" s="456">
        <f t="shared" si="163"/>
        <v>0</v>
      </c>
      <c r="H941" s="456" t="str">
        <v>Sq M</v>
      </c>
      <c r="I941" s="456" t="str">
        <v>N.A.</v>
      </c>
      <c r="J941" s="456">
        <v>0</v>
      </c>
      <c r="K941" s="456">
        <v>0</v>
      </c>
      <c r="L941" s="456">
        <f t="shared" si="164"/>
        <v>0</v>
      </c>
      <c r="O941" s="455">
        <f t="shared" si="169"/>
        <v>0</v>
      </c>
      <c r="P941" s="455">
        <f t="shared" si="170"/>
        <v>0</v>
      </c>
      <c r="R941" s="458" t="s">
        <v>414</v>
      </c>
    </row>
    <row r="942" spans="1:18">
      <c r="A942" s="454"/>
      <c r="B942" s="454" t="str">
        <v>Wall finishes Paint</v>
      </c>
      <c r="C942" s="456"/>
      <c r="D942" s="456"/>
      <c r="E942" s="456">
        <f>E939</f>
        <v>20.797499999999999</v>
      </c>
      <c r="F942" s="456">
        <f>F939</f>
        <v>-2.15</v>
      </c>
      <c r="G942" s="456">
        <f t="shared" si="163"/>
        <v>18.647500000000001</v>
      </c>
      <c r="H942" s="456" t="str">
        <v>Sq M</v>
      </c>
      <c r="I942" s="456" t="str">
        <v>External Grade Paint</v>
      </c>
      <c r="J942" s="456">
        <v>45</v>
      </c>
      <c r="K942" s="456">
        <v>484.38</v>
      </c>
      <c r="L942" s="456">
        <f t="shared" si="164"/>
        <v>9032.4760500000011</v>
      </c>
      <c r="O942" s="455">
        <f t="shared" si="169"/>
        <v>447.54</v>
      </c>
      <c r="P942" s="455">
        <f t="shared" si="170"/>
        <v>216779.42520000003</v>
      </c>
      <c r="R942" s="458" t="s">
        <v>663</v>
      </c>
    </row>
    <row r="943" spans="1:18">
      <c r="A943" s="454"/>
      <c r="B943" s="454" t="str">
        <v>Ceiling Paint</v>
      </c>
      <c r="C943" s="456"/>
      <c r="D943" s="456"/>
      <c r="E943" s="456">
        <f>E940</f>
        <v>2.82</v>
      </c>
      <c r="F943" s="456"/>
      <c r="G943" s="456">
        <f t="shared" si="163"/>
        <v>2.82</v>
      </c>
      <c r="H943" s="456" t="str">
        <v>Sq M</v>
      </c>
      <c r="I943" s="456" t="str">
        <v>External Grade Paint</v>
      </c>
      <c r="J943" s="456">
        <v>45</v>
      </c>
      <c r="K943" s="456">
        <v>484.38</v>
      </c>
      <c r="L943" s="456">
        <f t="shared" si="164"/>
        <v>1365.9515999999999</v>
      </c>
      <c r="O943" s="455">
        <f t="shared" si="169"/>
        <v>67.679999999999993</v>
      </c>
      <c r="P943" s="455">
        <f t="shared" si="170"/>
        <v>32782.838399999993</v>
      </c>
      <c r="R943" s="458" t="s">
        <v>664</v>
      </c>
    </row>
    <row r="944" spans="1:18">
      <c r="A944" s="454"/>
      <c r="B944" s="454" t="str">
        <v>Others</v>
      </c>
      <c r="C944" s="456"/>
      <c r="D944" s="456"/>
      <c r="E944" s="456"/>
      <c r="F944" s="456"/>
      <c r="G944" s="456">
        <f t="shared" si="163"/>
        <v>0</v>
      </c>
      <c r="H944" s="456" t="str">
        <v>-</v>
      </c>
      <c r="I944" s="456" t="str">
        <v>N.A.</v>
      </c>
      <c r="J944" s="456">
        <v>0</v>
      </c>
      <c r="K944" s="456">
        <v>0</v>
      </c>
      <c r="L944" s="456">
        <f t="shared" si="164"/>
        <v>0</v>
      </c>
      <c r="O944" s="455">
        <f t="shared" si="169"/>
        <v>0</v>
      </c>
      <c r="P944" s="455">
        <f t="shared" si="170"/>
        <v>0</v>
      </c>
    </row>
    <row r="945" spans="1:18" s="479" customFormat="1" ht="13.5" customHeight="1">
      <c r="A945" s="475" t="s">
        <v>628</v>
      </c>
      <c r="B945" s="476" t="str">
        <f>'Flat Sizes'!B80</f>
        <v>Balcony</v>
      </c>
      <c r="C945" s="477">
        <f>'Flat Sizes'!D80</f>
        <v>2.8</v>
      </c>
      <c r="D945" s="477">
        <f>'Flat Sizes'!G80</f>
        <v>7.01</v>
      </c>
      <c r="E945" s="477"/>
      <c r="F945" s="454"/>
      <c r="G945" s="477"/>
      <c r="H945" s="477"/>
      <c r="I945" s="477"/>
      <c r="J945" s="477"/>
      <c r="K945" s="477"/>
      <c r="L945" s="477"/>
      <c r="M945" s="459">
        <f>SUM(L946:L954)/C945/10.764</f>
        <v>888.43640972554022</v>
      </c>
      <c r="N945" s="472"/>
      <c r="O945" s="455"/>
      <c r="P945" s="455"/>
      <c r="Q945" s="478"/>
    </row>
    <row r="946" spans="1:18">
      <c r="A946" s="454"/>
      <c r="B946" s="454" t="str" cm="1">
        <f t="array" ref="B946:B954">'Rate List - Flats'!B120:B128</f>
        <v>Flooring</v>
      </c>
      <c r="C946" s="456"/>
      <c r="D946" s="456"/>
      <c r="E946" s="456">
        <f>C945</f>
        <v>2.8</v>
      </c>
      <c r="F946" s="456"/>
      <c r="G946" s="456">
        <f t="shared" si="163"/>
        <v>2.8</v>
      </c>
      <c r="H946" s="456" t="str" cm="1">
        <f t="array" ref="H946:H954">'Rate List - Flats'!H120:H128</f>
        <v>Sq M</v>
      </c>
      <c r="I946" s="456" t="str" cm="1">
        <f t="array" ref="I946:I954">'Rate List - Flats'!C120:C128</f>
        <v>2'x2' Vitrified tiles</v>
      </c>
      <c r="J946" s="456" cm="1">
        <f t="array" ref="J946:J954">'Rate List - Flats'!E120:E128</f>
        <v>45</v>
      </c>
      <c r="K946" s="456" cm="1">
        <f t="array" ref="K946:K954">'Rate List - Flats'!G120:G128</f>
        <v>1340.1179999999999</v>
      </c>
      <c r="L946" s="456">
        <f t="shared" si="164"/>
        <v>3752.3303999999994</v>
      </c>
      <c r="O946" s="455">
        <f t="shared" ref="O946:O954" si="171">IF(I946="N.A",0,G946*$N$828)</f>
        <v>67.199999999999989</v>
      </c>
      <c r="P946" s="455">
        <f t="shared" ref="P946:P954" si="172">L946*$N$828</f>
        <v>90055.929599999989</v>
      </c>
      <c r="R946" s="458" t="s">
        <v>752</v>
      </c>
    </row>
    <row r="947" spans="1:18">
      <c r="A947" s="454"/>
      <c r="B947" s="454" t="str">
        <v>Skirting</v>
      </c>
      <c r="C947" s="456"/>
      <c r="D947" s="456"/>
      <c r="E947" s="456">
        <f>D945</f>
        <v>7.01</v>
      </c>
      <c r="F947" s="456"/>
      <c r="G947" s="456">
        <f t="shared" si="163"/>
        <v>7.01</v>
      </c>
      <c r="H947" s="456" t="str">
        <v xml:space="preserve">RM </v>
      </c>
      <c r="I947" s="456" t="str">
        <v xml:space="preserve">2'x2' Vitrified tiles </v>
      </c>
      <c r="J947" s="456">
        <v>45</v>
      </c>
      <c r="K947" s="456">
        <v>391.96</v>
      </c>
      <c r="L947" s="456">
        <f t="shared" si="164"/>
        <v>2747.6396</v>
      </c>
      <c r="O947" s="455">
        <f t="shared" si="171"/>
        <v>168.24</v>
      </c>
      <c r="P947" s="455">
        <f t="shared" si="172"/>
        <v>65943.350399999996</v>
      </c>
      <c r="R947" s="458" t="s">
        <v>753</v>
      </c>
    </row>
    <row r="948" spans="1:18">
      <c r="A948" s="454"/>
      <c r="B948" s="454" t="str">
        <v>Dado</v>
      </c>
      <c r="C948" s="456"/>
      <c r="D948" s="456"/>
      <c r="E948" s="456"/>
      <c r="F948" s="456"/>
      <c r="G948" s="456">
        <f t="shared" si="163"/>
        <v>0</v>
      </c>
      <c r="H948" s="456" t="str">
        <v>Sq M</v>
      </c>
      <c r="I948" s="456" t="str">
        <v>N.A</v>
      </c>
      <c r="J948" s="456">
        <v>0</v>
      </c>
      <c r="K948" s="456">
        <v>0</v>
      </c>
      <c r="L948" s="456">
        <f t="shared" si="164"/>
        <v>0</v>
      </c>
      <c r="O948" s="455">
        <f t="shared" si="171"/>
        <v>0</v>
      </c>
      <c r="P948" s="455">
        <f t="shared" si="172"/>
        <v>0</v>
      </c>
      <c r="R948" s="458" t="s">
        <v>754</v>
      </c>
    </row>
    <row r="949" spans="1:18">
      <c r="A949" s="454"/>
      <c r="B949" s="454" t="str">
        <v>Wall finishes plaster</v>
      </c>
      <c r="C949" s="456"/>
      <c r="D949" s="456"/>
      <c r="E949" s="456">
        <f>D945*(D1-0.15)</f>
        <v>20.679500000000001</v>
      </c>
      <c r="F949" s="456">
        <f>-(Windows!K83*2.15)</f>
        <v>-7.8474999999999993</v>
      </c>
      <c r="G949" s="456">
        <f t="shared" si="163"/>
        <v>12.832000000000001</v>
      </c>
      <c r="H949" s="456" t="str">
        <v>Sq M</v>
      </c>
      <c r="I949" s="456" t="str">
        <v>External Plaster  - 15 mm</v>
      </c>
      <c r="J949" s="456">
        <v>85</v>
      </c>
      <c r="K949" s="456">
        <v>914.93999999999994</v>
      </c>
      <c r="L949" s="456">
        <f t="shared" si="164"/>
        <v>11740.51008</v>
      </c>
      <c r="O949" s="455">
        <f t="shared" si="171"/>
        <v>307.96800000000002</v>
      </c>
      <c r="P949" s="455">
        <f t="shared" si="172"/>
        <v>281772.24192</v>
      </c>
      <c r="R949" s="458" t="s">
        <v>751</v>
      </c>
    </row>
    <row r="950" spans="1:18">
      <c r="A950" s="454"/>
      <c r="B950" s="454" t="str">
        <v>Ceiling plaster</v>
      </c>
      <c r="C950" s="456"/>
      <c r="D950" s="456"/>
      <c r="E950" s="456">
        <f>E946</f>
        <v>2.8</v>
      </c>
      <c r="F950" s="456"/>
      <c r="G950" s="456">
        <f t="shared" si="163"/>
        <v>2.8</v>
      </c>
      <c r="H950" s="456" t="str">
        <v>Sq M</v>
      </c>
      <c r="I950" s="456" t="str">
        <v>Gypsum Plaster</v>
      </c>
      <c r="J950" s="456">
        <v>32</v>
      </c>
      <c r="K950" s="456">
        <v>344.44799999999998</v>
      </c>
      <c r="L950" s="456">
        <f t="shared" si="164"/>
        <v>964.45439999999985</v>
      </c>
      <c r="O950" s="455">
        <f t="shared" si="171"/>
        <v>67.199999999999989</v>
      </c>
      <c r="P950" s="455">
        <f t="shared" si="172"/>
        <v>23146.905599999998</v>
      </c>
      <c r="R950" s="458" t="s">
        <v>662</v>
      </c>
    </row>
    <row r="951" spans="1:18">
      <c r="A951" s="454"/>
      <c r="B951" s="454" t="str">
        <v>False ceiling</v>
      </c>
      <c r="C951" s="456"/>
      <c r="D951" s="456"/>
      <c r="E951" s="456"/>
      <c r="F951" s="456"/>
      <c r="G951" s="456">
        <f t="shared" si="163"/>
        <v>0</v>
      </c>
      <c r="H951" s="456" t="str">
        <v>Sq M</v>
      </c>
      <c r="I951" s="456" t="str">
        <v>N.A.</v>
      </c>
      <c r="J951" s="456">
        <v>0</v>
      </c>
      <c r="K951" s="456">
        <v>0</v>
      </c>
      <c r="L951" s="456">
        <f t="shared" si="164"/>
        <v>0</v>
      </c>
      <c r="O951" s="455">
        <f t="shared" si="171"/>
        <v>0</v>
      </c>
      <c r="P951" s="455">
        <f t="shared" si="172"/>
        <v>0</v>
      </c>
      <c r="R951" s="458" t="s">
        <v>414</v>
      </c>
    </row>
    <row r="952" spans="1:18">
      <c r="A952" s="454"/>
      <c r="B952" s="454" t="str">
        <v>Wall finishes Paint</v>
      </c>
      <c r="C952" s="456"/>
      <c r="D952" s="456"/>
      <c r="E952" s="456">
        <f>E949</f>
        <v>20.679500000000001</v>
      </c>
      <c r="F952" s="456">
        <f>F949</f>
        <v>-7.8474999999999993</v>
      </c>
      <c r="G952" s="456">
        <f t="shared" si="163"/>
        <v>12.832000000000001</v>
      </c>
      <c r="H952" s="456" t="str">
        <v>Sq M</v>
      </c>
      <c r="I952" s="456" t="str">
        <v>External Grade Paint</v>
      </c>
      <c r="J952" s="456">
        <v>45</v>
      </c>
      <c r="K952" s="456">
        <v>484.38</v>
      </c>
      <c r="L952" s="456">
        <f t="shared" si="164"/>
        <v>6215.5641599999999</v>
      </c>
      <c r="O952" s="455">
        <f t="shared" si="171"/>
        <v>307.96800000000002</v>
      </c>
      <c r="P952" s="455">
        <f t="shared" si="172"/>
        <v>149173.53983999998</v>
      </c>
      <c r="R952" s="458" t="s">
        <v>663</v>
      </c>
    </row>
    <row r="953" spans="1:18">
      <c r="A953" s="454"/>
      <c r="B953" s="454" t="str">
        <v>Ceiling Paint</v>
      </c>
      <c r="C953" s="456"/>
      <c r="D953" s="456"/>
      <c r="E953" s="456">
        <f>E950</f>
        <v>2.8</v>
      </c>
      <c r="F953" s="456"/>
      <c r="G953" s="456">
        <f t="shared" si="163"/>
        <v>2.8</v>
      </c>
      <c r="H953" s="456" t="str">
        <v>Sq M</v>
      </c>
      <c r="I953" s="456" t="str">
        <v>External Grade Paint</v>
      </c>
      <c r="J953" s="456">
        <v>45</v>
      </c>
      <c r="K953" s="456">
        <v>484.38</v>
      </c>
      <c r="L953" s="456">
        <f t="shared" si="164"/>
        <v>1356.2639999999999</v>
      </c>
      <c r="O953" s="455">
        <f t="shared" si="171"/>
        <v>67.199999999999989</v>
      </c>
      <c r="P953" s="455">
        <f t="shared" si="172"/>
        <v>32550.335999999996</v>
      </c>
      <c r="R953" s="458" t="s">
        <v>664</v>
      </c>
    </row>
    <row r="954" spans="1:18">
      <c r="A954" s="454"/>
      <c r="B954" s="454" t="str">
        <v>Others</v>
      </c>
      <c r="C954" s="456"/>
      <c r="D954" s="456"/>
      <c r="E954" s="456"/>
      <c r="F954" s="456"/>
      <c r="G954" s="524">
        <f t="shared" si="163"/>
        <v>0</v>
      </c>
      <c r="H954" s="456" t="str">
        <v>-</v>
      </c>
      <c r="I954" s="456" t="str">
        <v>N.A.</v>
      </c>
      <c r="J954" s="456">
        <v>0</v>
      </c>
      <c r="K954" s="456">
        <v>0</v>
      </c>
      <c r="L954" s="456">
        <f t="shared" si="164"/>
        <v>0</v>
      </c>
      <c r="O954" s="455">
        <f t="shared" si="171"/>
        <v>0</v>
      </c>
      <c r="P954" s="455">
        <f t="shared" si="172"/>
        <v>0</v>
      </c>
    </row>
    <row r="955" spans="1:18" ht="13.8" thickBot="1">
      <c r="A955" s="454"/>
      <c r="B955" s="454"/>
      <c r="C955" s="456"/>
      <c r="D955" s="456"/>
      <c r="E955" s="456"/>
      <c r="F955" s="456"/>
      <c r="G955" s="533">
        <f>SUM(G829:G954)</f>
        <v>1118.9409999999996</v>
      </c>
      <c r="H955" s="456"/>
      <c r="I955" s="456"/>
      <c r="J955" s="456"/>
      <c r="K955" s="456"/>
      <c r="L955" s="533">
        <f>SUM(L829:L954)</f>
        <v>625540.82730320015</v>
      </c>
      <c r="O955" s="533">
        <f>SUM(O829:O954)</f>
        <v>26854.583999999988</v>
      </c>
      <c r="P955" s="533">
        <f>SUM(P829:P954)</f>
        <v>15012979.855276799</v>
      </c>
    </row>
    <row r="956" spans="1:18">
      <c r="A956" s="528"/>
      <c r="B956" s="529" t="s">
        <v>744</v>
      </c>
      <c r="C956" s="522"/>
      <c r="D956" s="522"/>
      <c r="E956" s="522"/>
      <c r="F956" s="522"/>
      <c r="G956" s="530"/>
      <c r="H956" s="522"/>
      <c r="I956" s="522"/>
      <c r="J956" s="522"/>
      <c r="K956" s="522"/>
      <c r="L956" s="522"/>
    </row>
    <row r="957" spans="1:18">
      <c r="A957" s="528"/>
      <c r="B957" s="528" t="s">
        <v>355</v>
      </c>
      <c r="C957" s="522"/>
      <c r="D957" s="522"/>
      <c r="E957" s="522"/>
      <c r="F957" s="522"/>
      <c r="G957" s="522">
        <f>SUMIF($B$829:$B$954,B957,$G$829:$G$954)</f>
        <v>95.719999999999985</v>
      </c>
      <c r="H957" s="522"/>
      <c r="I957" s="522"/>
      <c r="J957" s="522"/>
      <c r="K957" s="522"/>
      <c r="L957" s="522">
        <f>SUMIF($B$829:$B$954,B957,$L$829:$L$954)</f>
        <v>128960.47008</v>
      </c>
      <c r="O957" s="455">
        <f t="shared" ref="O957:O972" si="173">IF(I957="N.A",0,G957*$N$828)</f>
        <v>2297.2799999999997</v>
      </c>
      <c r="P957" s="455">
        <f t="shared" ref="P957:P972" si="174">L957*$N$828</f>
        <v>3095051.28192</v>
      </c>
    </row>
    <row r="958" spans="1:18">
      <c r="A958" s="528"/>
      <c r="B958" s="528" t="s">
        <v>695</v>
      </c>
      <c r="C958" s="522"/>
      <c r="D958" s="522"/>
      <c r="E958" s="522"/>
      <c r="F958" s="522"/>
      <c r="G958" s="522">
        <f t="shared" ref="G958:G972" si="175">SUMIF($B$829:$B$954,B958,$G$829:$G$954)</f>
        <v>86.53</v>
      </c>
      <c r="H958" s="522"/>
      <c r="I958" s="522"/>
      <c r="J958" s="522"/>
      <c r="K958" s="522"/>
      <c r="L958" s="522">
        <f t="shared" ref="L958:L972" si="176">SUMIF($B$829:$B$954,B958,$L$829:$L$954)</f>
        <v>33916.298799999997</v>
      </c>
      <c r="O958" s="455">
        <f t="shared" si="173"/>
        <v>2076.7200000000003</v>
      </c>
      <c r="P958" s="455">
        <f t="shared" si="174"/>
        <v>813991.17119999998</v>
      </c>
    </row>
    <row r="959" spans="1:18">
      <c r="A959" s="528"/>
      <c r="B959" s="528" t="s">
        <v>698</v>
      </c>
      <c r="C959" s="522"/>
      <c r="D959" s="522"/>
      <c r="E959" s="522"/>
      <c r="F959" s="522"/>
      <c r="G959" s="522">
        <f t="shared" si="175"/>
        <v>62.439000000000007</v>
      </c>
      <c r="H959" s="522"/>
      <c r="I959" s="522"/>
      <c r="J959" s="522"/>
      <c r="K959" s="522"/>
      <c r="L959" s="522">
        <f t="shared" si="176"/>
        <v>91619.750430000015</v>
      </c>
      <c r="O959" s="455">
        <f t="shared" si="173"/>
        <v>1498.5360000000001</v>
      </c>
      <c r="P959" s="455">
        <f t="shared" si="174"/>
        <v>2198874.0103200004</v>
      </c>
    </row>
    <row r="960" spans="1:18">
      <c r="A960" s="528"/>
      <c r="B960" s="528" t="s">
        <v>700</v>
      </c>
      <c r="C960" s="522"/>
      <c r="D960" s="522"/>
      <c r="E960" s="522"/>
      <c r="F960" s="522"/>
      <c r="G960" s="522">
        <f t="shared" si="175"/>
        <v>256.13299999999998</v>
      </c>
      <c r="H960" s="522"/>
      <c r="I960" s="522"/>
      <c r="J960" s="522"/>
      <c r="K960" s="522"/>
      <c r="L960" s="522">
        <f t="shared" si="176"/>
        <v>106713.456408</v>
      </c>
      <c r="O960" s="455">
        <f t="shared" si="173"/>
        <v>6147.1919999999991</v>
      </c>
      <c r="P960" s="455">
        <f t="shared" si="174"/>
        <v>2561122.9537920002</v>
      </c>
    </row>
    <row r="961" spans="1:16">
      <c r="A961" s="528"/>
      <c r="B961" s="528" t="s">
        <v>702</v>
      </c>
      <c r="C961" s="522"/>
      <c r="D961" s="522"/>
      <c r="E961" s="522"/>
      <c r="F961" s="522"/>
      <c r="G961" s="522">
        <f t="shared" si="175"/>
        <v>95.719999999999985</v>
      </c>
      <c r="H961" s="522"/>
      <c r="I961" s="522"/>
      <c r="J961" s="522"/>
      <c r="K961" s="522"/>
      <c r="L961" s="522">
        <f t="shared" si="176"/>
        <v>32970.562559999998</v>
      </c>
      <c r="O961" s="455">
        <f t="shared" si="173"/>
        <v>2297.2799999999997</v>
      </c>
      <c r="P961" s="455">
        <f t="shared" si="174"/>
        <v>791293.50144000002</v>
      </c>
    </row>
    <row r="962" spans="1:16">
      <c r="A962" s="528"/>
      <c r="B962" s="528" t="s">
        <v>703</v>
      </c>
      <c r="C962" s="522"/>
      <c r="D962" s="522"/>
      <c r="E962" s="522"/>
      <c r="F962" s="522"/>
      <c r="G962" s="522">
        <f t="shared" si="175"/>
        <v>0</v>
      </c>
      <c r="H962" s="522"/>
      <c r="I962" s="522"/>
      <c r="J962" s="522"/>
      <c r="K962" s="522"/>
      <c r="L962" s="522">
        <f t="shared" si="176"/>
        <v>0</v>
      </c>
      <c r="O962" s="455">
        <f t="shared" si="173"/>
        <v>0</v>
      </c>
      <c r="P962" s="455">
        <f t="shared" si="174"/>
        <v>0</v>
      </c>
    </row>
    <row r="963" spans="1:16">
      <c r="A963" s="528"/>
      <c r="B963" s="528" t="s">
        <v>704</v>
      </c>
      <c r="C963" s="522"/>
      <c r="D963" s="522"/>
      <c r="E963" s="522"/>
      <c r="F963" s="522"/>
      <c r="G963" s="522">
        <f t="shared" si="175"/>
        <v>256.13299999999998</v>
      </c>
      <c r="H963" s="522"/>
      <c r="I963" s="522"/>
      <c r="J963" s="522"/>
      <c r="K963" s="522"/>
      <c r="L963" s="522">
        <f t="shared" si="176"/>
        <v>63611.44569</v>
      </c>
      <c r="O963" s="455">
        <f t="shared" si="173"/>
        <v>6147.1919999999991</v>
      </c>
      <c r="P963" s="455">
        <f t="shared" si="174"/>
        <v>1526674.6965600001</v>
      </c>
    </row>
    <row r="964" spans="1:16">
      <c r="A964" s="528"/>
      <c r="B964" s="528" t="s">
        <v>706</v>
      </c>
      <c r="C964" s="522"/>
      <c r="D964" s="522"/>
      <c r="E964" s="522"/>
      <c r="F964" s="522"/>
      <c r="G964" s="522">
        <f t="shared" si="175"/>
        <v>95.719999999999985</v>
      </c>
      <c r="H964" s="522"/>
      <c r="I964" s="522"/>
      <c r="J964" s="522"/>
      <c r="K964" s="522"/>
      <c r="L964" s="522">
        <f t="shared" si="176"/>
        <v>22118.943600000002</v>
      </c>
      <c r="O964" s="455">
        <f t="shared" si="173"/>
        <v>2297.2799999999997</v>
      </c>
      <c r="P964" s="455">
        <f t="shared" si="174"/>
        <v>530854.64640000009</v>
      </c>
    </row>
    <row r="965" spans="1:16">
      <c r="A965" s="528"/>
      <c r="B965" s="528" t="s">
        <v>713</v>
      </c>
      <c r="C965" s="522"/>
      <c r="D965" s="522"/>
      <c r="E965" s="522"/>
      <c r="F965" s="522"/>
      <c r="G965" s="522">
        <f t="shared" si="175"/>
        <v>34.200000000000003</v>
      </c>
      <c r="H965" s="522"/>
      <c r="I965" s="522"/>
      <c r="J965" s="522"/>
      <c r="K965" s="522"/>
      <c r="L965" s="522">
        <f t="shared" si="176"/>
        <v>22432.71024</v>
      </c>
      <c r="O965" s="455">
        <f t="shared" si="173"/>
        <v>820.80000000000007</v>
      </c>
      <c r="P965" s="455">
        <f t="shared" si="174"/>
        <v>538385.04576000001</v>
      </c>
    </row>
    <row r="966" spans="1:16">
      <c r="A966" s="528"/>
      <c r="B966" s="528" t="s">
        <v>715</v>
      </c>
      <c r="C966" s="522"/>
      <c r="D966" s="522"/>
      <c r="E966" s="522"/>
      <c r="F966" s="522"/>
      <c r="G966" s="522">
        <f t="shared" si="175"/>
        <v>61.8</v>
      </c>
      <c r="H966" s="522"/>
      <c r="I966" s="522"/>
      <c r="J966" s="522"/>
      <c r="K966" s="522"/>
      <c r="L966" s="522">
        <f t="shared" si="176"/>
        <v>40536.300959999993</v>
      </c>
      <c r="O966" s="455">
        <f t="shared" si="173"/>
        <v>1483.1999999999998</v>
      </c>
      <c r="P966" s="455">
        <f t="shared" si="174"/>
        <v>972871.22303999984</v>
      </c>
    </row>
    <row r="967" spans="1:16">
      <c r="A967" s="528"/>
      <c r="B967" s="528" t="s">
        <v>716</v>
      </c>
      <c r="C967" s="522"/>
      <c r="D967" s="522"/>
      <c r="E967" s="522"/>
      <c r="F967" s="522"/>
      <c r="G967" s="522">
        <f t="shared" si="175"/>
        <v>61.8</v>
      </c>
      <c r="H967" s="522"/>
      <c r="I967" s="522"/>
      <c r="J967" s="522"/>
      <c r="K967" s="522"/>
      <c r="L967" s="522">
        <f t="shared" si="176"/>
        <v>24660.820319999999</v>
      </c>
      <c r="O967" s="455">
        <f t="shared" si="173"/>
        <v>1483.1999999999998</v>
      </c>
      <c r="P967" s="455">
        <f t="shared" si="174"/>
        <v>591859.68767999997</v>
      </c>
    </row>
    <row r="968" spans="1:16">
      <c r="A968" s="528"/>
      <c r="B968" s="528" t="s">
        <v>707</v>
      </c>
      <c r="C968" s="522"/>
      <c r="D968" s="522"/>
      <c r="E968" s="522"/>
      <c r="F968" s="522"/>
      <c r="G968" s="522">
        <f t="shared" si="175"/>
        <v>0</v>
      </c>
      <c r="H968" s="522"/>
      <c r="I968" s="522"/>
      <c r="J968" s="522"/>
      <c r="K968" s="522"/>
      <c r="L968" s="522">
        <f t="shared" si="176"/>
        <v>0</v>
      </c>
      <c r="O968" s="455">
        <f t="shared" si="173"/>
        <v>0</v>
      </c>
      <c r="P968" s="455">
        <f t="shared" si="174"/>
        <v>0</v>
      </c>
    </row>
    <row r="969" spans="1:16">
      <c r="A969" s="528"/>
      <c r="B969" s="528" t="s">
        <v>718</v>
      </c>
      <c r="C969" s="522"/>
      <c r="D969" s="522"/>
      <c r="E969" s="522"/>
      <c r="F969" s="522"/>
      <c r="G969" s="522">
        <f t="shared" si="175"/>
        <v>1.08</v>
      </c>
      <c r="H969" s="522"/>
      <c r="I969" s="522"/>
      <c r="J969" s="522"/>
      <c r="K969" s="522"/>
      <c r="L969" s="522">
        <f t="shared" si="176"/>
        <v>6836.04576</v>
      </c>
      <c r="O969" s="455">
        <f t="shared" si="173"/>
        <v>25.92</v>
      </c>
      <c r="P969" s="455">
        <f t="shared" si="174"/>
        <v>164065.09823999999</v>
      </c>
    </row>
    <row r="970" spans="1:16">
      <c r="A970" s="528"/>
      <c r="B970" s="528" t="s">
        <v>755</v>
      </c>
      <c r="C970" s="522"/>
      <c r="D970" s="522"/>
      <c r="E970" s="522"/>
      <c r="F970" s="522"/>
      <c r="G970" s="522">
        <f t="shared" si="175"/>
        <v>5.5260000000000007</v>
      </c>
      <c r="H970" s="522"/>
      <c r="I970" s="522"/>
      <c r="J970" s="522"/>
      <c r="K970" s="522"/>
      <c r="L970" s="522">
        <f t="shared" si="176"/>
        <v>6263.4402792000001</v>
      </c>
      <c r="O970" s="455">
        <f t="shared" si="173"/>
        <v>132.62400000000002</v>
      </c>
      <c r="P970" s="455">
        <f t="shared" si="174"/>
        <v>150322.5667008</v>
      </c>
    </row>
    <row r="971" spans="1:16">
      <c r="A971" s="528"/>
      <c r="B971" s="528" t="s">
        <v>747</v>
      </c>
      <c r="C971" s="522"/>
      <c r="D971" s="522"/>
      <c r="E971" s="522"/>
      <c r="F971" s="522"/>
      <c r="G971" s="522">
        <f t="shared" si="175"/>
        <v>3.52</v>
      </c>
      <c r="H971" s="522"/>
      <c r="I971" s="522"/>
      <c r="J971" s="522"/>
      <c r="K971" s="522"/>
      <c r="L971" s="522">
        <f t="shared" si="176"/>
        <v>25741.050368000004</v>
      </c>
      <c r="O971" s="455">
        <f t="shared" si="173"/>
        <v>84.48</v>
      </c>
      <c r="P971" s="455">
        <f t="shared" si="174"/>
        <v>617785.20883200015</v>
      </c>
    </row>
    <row r="972" spans="1:16">
      <c r="A972" s="528"/>
      <c r="B972" s="528" t="s">
        <v>666</v>
      </c>
      <c r="C972" s="522"/>
      <c r="D972" s="522"/>
      <c r="E972" s="522"/>
      <c r="F972" s="522"/>
      <c r="G972" s="537">
        <f t="shared" si="175"/>
        <v>2.62</v>
      </c>
      <c r="H972" s="522"/>
      <c r="I972" s="522"/>
      <c r="J972" s="522"/>
      <c r="K972" s="522"/>
      <c r="L972" s="522">
        <f t="shared" si="176"/>
        <v>19159.531808000003</v>
      </c>
      <c r="O972" s="455">
        <f t="shared" si="173"/>
        <v>62.88</v>
      </c>
      <c r="P972" s="455">
        <f t="shared" si="174"/>
        <v>459828.76339200011</v>
      </c>
    </row>
    <row r="973" spans="1:16" ht="13.8" thickBot="1">
      <c r="A973" s="528"/>
      <c r="B973" s="528"/>
      <c r="C973" s="522"/>
      <c r="D973" s="522"/>
      <c r="E973" s="522"/>
      <c r="F973" s="522"/>
      <c r="G973" s="525">
        <f>SUM(G957:G972)</f>
        <v>1118.9409999999998</v>
      </c>
      <c r="H973" s="522"/>
      <c r="I973" s="522"/>
      <c r="J973" s="522"/>
      <c r="K973" s="525" t="s">
        <v>232</v>
      </c>
      <c r="L973" s="525">
        <f>SUM(L957:L972)</f>
        <v>625540.82730320015</v>
      </c>
      <c r="O973" s="540">
        <f>SUM(O957:O972)</f>
        <v>26854.583999999995</v>
      </c>
      <c r="P973" s="540">
        <f>SUM(P957:P972)</f>
        <v>15012979.855276797</v>
      </c>
    </row>
    <row r="974" spans="1:16">
      <c r="A974" s="528"/>
      <c r="B974" s="528" t="s">
        <v>386</v>
      </c>
      <c r="C974" s="522"/>
      <c r="D974" s="522"/>
      <c r="E974" s="522"/>
      <c r="F974" s="522"/>
      <c r="G974" s="530">
        <f>Doors!E69</f>
        <v>8</v>
      </c>
      <c r="H974" s="522"/>
      <c r="I974" s="522"/>
      <c r="J974" s="522"/>
      <c r="K974" s="522"/>
      <c r="L974" s="522">
        <f>Doors!J69</f>
        <v>140500</v>
      </c>
    </row>
    <row r="975" spans="1:16">
      <c r="A975" s="528"/>
      <c r="B975" s="528" t="s">
        <v>391</v>
      </c>
      <c r="C975" s="522"/>
      <c r="D975" s="522"/>
      <c r="E975" s="522"/>
      <c r="F975" s="522"/>
      <c r="G975" s="522">
        <f>Windows!H84</f>
        <v>31.342499999999998</v>
      </c>
      <c r="H975" s="522"/>
      <c r="I975" s="522"/>
      <c r="J975" s="522"/>
      <c r="K975" s="522"/>
      <c r="L975" s="522">
        <f>Windows!N84</f>
        <v>229728.86850000001</v>
      </c>
    </row>
    <row r="976" spans="1:16" ht="13.8" thickBot="1">
      <c r="A976" s="528"/>
      <c r="B976" s="528"/>
      <c r="C976" s="522"/>
      <c r="D976" s="522"/>
      <c r="E976" s="522"/>
      <c r="F976" s="522"/>
      <c r="G976" s="522"/>
      <c r="H976" s="522"/>
      <c r="I976" s="522"/>
      <c r="J976" s="522"/>
      <c r="K976" s="525" t="s">
        <v>232</v>
      </c>
      <c r="L976" s="525">
        <f>SUM(L974:L975)</f>
        <v>370228.86849999998</v>
      </c>
    </row>
    <row r="977" spans="1:22" ht="13.8" thickBot="1">
      <c r="A977" s="528"/>
      <c r="B977" s="528"/>
      <c r="C977" s="522"/>
      <c r="D977" s="522"/>
      <c r="E977" s="522"/>
      <c r="F977" s="522"/>
      <c r="G977" s="522"/>
      <c r="H977" s="522"/>
      <c r="I977" s="522"/>
      <c r="J977" s="522"/>
      <c r="K977" s="525" t="s">
        <v>758</v>
      </c>
      <c r="L977" s="525">
        <f>L973+L976</f>
        <v>995769.69580320013</v>
      </c>
    </row>
    <row r="978" spans="1:22" s="474" customFormat="1" ht="13.5" customHeight="1">
      <c r="A978" s="465" t="s">
        <v>628</v>
      </c>
      <c r="B978" s="466" t="str">
        <f>'Flat Sizes'!B82</f>
        <v>Flat 5A</v>
      </c>
      <c r="C978" s="456"/>
      <c r="D978" s="456"/>
      <c r="E978" s="456"/>
      <c r="F978" s="456"/>
      <c r="G978" s="456"/>
      <c r="H978" s="456"/>
      <c r="I978" s="456"/>
      <c r="J978" s="456"/>
      <c r="K978" s="456"/>
      <c r="L978" s="456"/>
      <c r="M978" s="471"/>
      <c r="N978" s="472">
        <f>'Flat Sizes'!H82</f>
        <v>8</v>
      </c>
      <c r="O978" s="459"/>
      <c r="P978" s="459"/>
      <c r="Q978" s="473"/>
      <c r="S978" s="473"/>
      <c r="T978" s="473"/>
      <c r="U978" s="473"/>
      <c r="V978" s="473"/>
    </row>
    <row r="979" spans="1:22" s="479" customFormat="1" ht="13.5" customHeight="1">
      <c r="A979" s="475" t="s">
        <v>628</v>
      </c>
      <c r="B979" s="476" t="str">
        <f>'Flat Sizes'!B83</f>
        <v>Multi Purpose Room</v>
      </c>
      <c r="C979" s="477">
        <f>'Flat Sizes'!D83</f>
        <v>25.44</v>
      </c>
      <c r="D979" s="477">
        <f>'Flat Sizes'!G83</f>
        <v>23.86</v>
      </c>
      <c r="E979" s="477"/>
      <c r="F979" s="454"/>
      <c r="G979" s="477"/>
      <c r="H979" s="477"/>
      <c r="I979" s="477"/>
      <c r="J979" s="477"/>
      <c r="K979" s="477"/>
      <c r="L979" s="477"/>
      <c r="M979" s="459">
        <f>SUM(L980:L991)/C979/10.764</f>
        <v>367.172330549771</v>
      </c>
      <c r="N979" s="472"/>
      <c r="O979" s="455"/>
      <c r="P979" s="455"/>
      <c r="Q979" s="478"/>
    </row>
    <row r="980" spans="1:22">
      <c r="A980" s="454"/>
      <c r="B980" s="454" t="str" cm="1">
        <f t="array" ref="B980:B991">'Rate List - Flats'!B6:B17</f>
        <v>Flooring</v>
      </c>
      <c r="C980" s="456"/>
      <c r="D980" s="456"/>
      <c r="E980" s="456">
        <f>C979</f>
        <v>25.44</v>
      </c>
      <c r="F980" s="456"/>
      <c r="G980" s="456">
        <f t="shared" ref="G980:G1043" si="177">E980+F980</f>
        <v>25.44</v>
      </c>
      <c r="H980" s="456" t="str" cm="1">
        <f t="array" ref="H980:H991">'Rate List - Flats'!H6:H17</f>
        <v>Sq M</v>
      </c>
      <c r="I980" s="456" t="str" cm="1">
        <f t="array" ref="I980:I991">'Rate List - Flats'!C6:C17</f>
        <v>2'x2' Vitrified tiles</v>
      </c>
      <c r="J980" s="456" cm="1">
        <f t="array" ref="J980:J991">'Rate List - Flats'!E6:E17</f>
        <v>45</v>
      </c>
      <c r="K980" s="456" cm="1">
        <f t="array" ref="K980:K991">'Rate List - Flats'!G6:G17</f>
        <v>1340.1179999999999</v>
      </c>
      <c r="L980" s="456">
        <f t="shared" ref="L980:L1043" si="178">G980*K980</f>
        <v>34092.601920000001</v>
      </c>
      <c r="O980" s="455">
        <f>IF(I980="N.A",0,G980*$N$978)</f>
        <v>203.52</v>
      </c>
      <c r="P980" s="455">
        <f>L980*$N$978</f>
        <v>272740.81536000001</v>
      </c>
      <c r="R980" s="480" t="s">
        <v>659</v>
      </c>
    </row>
    <row r="981" spans="1:22">
      <c r="A981" s="454"/>
      <c r="B981" s="454" t="str">
        <v>Skirting</v>
      </c>
      <c r="C981" s="456"/>
      <c r="D981" s="456"/>
      <c r="E981" s="456">
        <f>D979</f>
        <v>23.86</v>
      </c>
      <c r="F981" s="456">
        <f>-(Doors!F71+Doors!F72+Doors!F73+Doors!F75)</f>
        <v>-3.75</v>
      </c>
      <c r="G981" s="456">
        <f t="shared" si="177"/>
        <v>20.11</v>
      </c>
      <c r="H981" s="456" t="str">
        <v>RM</v>
      </c>
      <c r="I981" s="456" t="str">
        <v xml:space="preserve">2'x2' Vitrified tiles </v>
      </c>
      <c r="J981" s="456">
        <v>45</v>
      </c>
      <c r="K981" s="456">
        <v>391.96</v>
      </c>
      <c r="L981" s="456">
        <f t="shared" si="178"/>
        <v>7882.315599999999</v>
      </c>
      <c r="O981" s="455">
        <f t="shared" ref="O981:O991" si="179">IF(I981="N.A",0,G981*$N$978)</f>
        <v>160.88</v>
      </c>
      <c r="P981" s="455">
        <f t="shared" ref="P981:P991" si="180">L981*$N$978</f>
        <v>63058.524799999992</v>
      </c>
      <c r="R981" s="480" t="s">
        <v>660</v>
      </c>
    </row>
    <row r="982" spans="1:22">
      <c r="A982" s="454"/>
      <c r="B982" s="454" t="str">
        <v>Dado</v>
      </c>
      <c r="C982" s="456"/>
      <c r="D982" s="456"/>
      <c r="E982" s="456"/>
      <c r="F982" s="456"/>
      <c r="G982" s="456">
        <f t="shared" si="177"/>
        <v>0</v>
      </c>
      <c r="H982" s="456" t="str">
        <v>Sq M</v>
      </c>
      <c r="I982" s="456" t="str">
        <v>N.A.</v>
      </c>
      <c r="J982" s="456">
        <v>0</v>
      </c>
      <c r="K982" s="456">
        <v>0</v>
      </c>
      <c r="L982" s="456">
        <f t="shared" si="178"/>
        <v>0</v>
      </c>
      <c r="O982" s="455">
        <f t="shared" si="179"/>
        <v>0</v>
      </c>
      <c r="P982" s="455">
        <f t="shared" si="180"/>
        <v>0</v>
      </c>
      <c r="R982" s="480"/>
    </row>
    <row r="983" spans="1:22">
      <c r="A983" s="454"/>
      <c r="B983" s="454" t="str">
        <v>Wall finishes plaster</v>
      </c>
      <c r="C983" s="456"/>
      <c r="D983" s="456"/>
      <c r="E983" s="456">
        <f>D979*(D1-0.15)</f>
        <v>70.387</v>
      </c>
      <c r="F983" s="456">
        <f>-(Doors!H71+Doors!H72+Doors!H73+Doors!H75+Windows!H86)</f>
        <v>-19.27</v>
      </c>
      <c r="G983" s="456">
        <f t="shared" si="177"/>
        <v>51.117000000000004</v>
      </c>
      <c r="H983" s="456" t="str">
        <v>Sq M</v>
      </c>
      <c r="I983" s="456" t="str">
        <v>Gypsum Plaster</v>
      </c>
      <c r="J983" s="456">
        <v>32</v>
      </c>
      <c r="K983" s="456">
        <v>344.44799999999998</v>
      </c>
      <c r="L983" s="456">
        <f t="shared" si="178"/>
        <v>17607.148416</v>
      </c>
      <c r="O983" s="455">
        <f t="shared" si="179"/>
        <v>408.93600000000004</v>
      </c>
      <c r="P983" s="455">
        <f t="shared" si="180"/>
        <v>140857.187328</v>
      </c>
      <c r="R983" s="480" t="s">
        <v>661</v>
      </c>
    </row>
    <row r="984" spans="1:22">
      <c r="A984" s="454"/>
      <c r="B984" s="454" t="str">
        <v>Ceiling plaster</v>
      </c>
      <c r="C984" s="456"/>
      <c r="D984" s="456"/>
      <c r="E984" s="456">
        <f>E980</f>
        <v>25.44</v>
      </c>
      <c r="F984" s="456"/>
      <c r="G984" s="456">
        <f t="shared" si="177"/>
        <v>25.44</v>
      </c>
      <c r="H984" s="456" t="str">
        <v>Sq M</v>
      </c>
      <c r="I984" s="456" t="str">
        <v>Gypsum Plaster</v>
      </c>
      <c r="J984" s="456">
        <v>32</v>
      </c>
      <c r="K984" s="456">
        <v>344.44799999999998</v>
      </c>
      <c r="L984" s="456">
        <f t="shared" si="178"/>
        <v>8762.7571200000002</v>
      </c>
      <c r="O984" s="455">
        <f t="shared" si="179"/>
        <v>203.52</v>
      </c>
      <c r="P984" s="455">
        <f t="shared" si="180"/>
        <v>70102.056960000002</v>
      </c>
      <c r="R984" s="480" t="s">
        <v>662</v>
      </c>
    </row>
    <row r="985" spans="1:22">
      <c r="A985" s="454"/>
      <c r="B985" s="454" t="str">
        <v>False ceiling</v>
      </c>
      <c r="C985" s="456"/>
      <c r="D985" s="456"/>
      <c r="E985" s="456"/>
      <c r="F985" s="456"/>
      <c r="G985" s="456">
        <f t="shared" si="177"/>
        <v>0</v>
      </c>
      <c r="H985" s="456" t="str">
        <v>Sq M</v>
      </c>
      <c r="I985" s="456" t="str">
        <v>N.A.</v>
      </c>
      <c r="J985" s="456">
        <v>0</v>
      </c>
      <c r="K985" s="456">
        <v>0</v>
      </c>
      <c r="L985" s="456">
        <f t="shared" si="178"/>
        <v>0</v>
      </c>
      <c r="O985" s="455">
        <f t="shared" si="179"/>
        <v>0</v>
      </c>
      <c r="P985" s="455">
        <f t="shared" si="180"/>
        <v>0</v>
      </c>
      <c r="R985" s="480"/>
    </row>
    <row r="986" spans="1:22">
      <c r="A986" s="454"/>
      <c r="B986" s="454" t="str">
        <v>Wall finishes Paint</v>
      </c>
      <c r="C986" s="456"/>
      <c r="D986" s="456"/>
      <c r="E986" s="456">
        <f>E983</f>
        <v>70.387</v>
      </c>
      <c r="F986" s="456">
        <f>F983</f>
        <v>-19.27</v>
      </c>
      <c r="G986" s="456">
        <f t="shared" si="177"/>
        <v>51.117000000000004</v>
      </c>
      <c r="H986" s="456" t="str">
        <v>Sq M</v>
      </c>
      <c r="I986" s="456" t="str">
        <v>Plastic paint</v>
      </c>
      <c r="J986" s="456">
        <v>20</v>
      </c>
      <c r="K986" s="456">
        <v>215.27999999999997</v>
      </c>
      <c r="L986" s="456">
        <f t="shared" si="178"/>
        <v>11004.46776</v>
      </c>
      <c r="O986" s="455">
        <f t="shared" si="179"/>
        <v>408.93600000000004</v>
      </c>
      <c r="P986" s="455">
        <f t="shared" si="180"/>
        <v>88035.742079999996</v>
      </c>
      <c r="R986" s="480" t="s">
        <v>663</v>
      </c>
    </row>
    <row r="987" spans="1:22">
      <c r="A987" s="454"/>
      <c r="B987" s="454" t="str">
        <v>Ceiling Paint</v>
      </c>
      <c r="C987" s="456"/>
      <c r="D987" s="456"/>
      <c r="E987" s="456">
        <f>E984</f>
        <v>25.44</v>
      </c>
      <c r="F987" s="456"/>
      <c r="G987" s="456">
        <f t="shared" si="177"/>
        <v>25.44</v>
      </c>
      <c r="H987" s="456" t="str">
        <v>Sq M</v>
      </c>
      <c r="I987" s="456" t="str">
        <v>Plastic paint</v>
      </c>
      <c r="J987" s="456">
        <v>20</v>
      </c>
      <c r="K987" s="456">
        <v>215.27999999999997</v>
      </c>
      <c r="L987" s="456">
        <f t="shared" si="178"/>
        <v>5476.7231999999995</v>
      </c>
      <c r="O987" s="455">
        <f t="shared" si="179"/>
        <v>203.52</v>
      </c>
      <c r="P987" s="455">
        <f t="shared" si="180"/>
        <v>43813.785599999996</v>
      </c>
      <c r="R987" s="480" t="s">
        <v>664</v>
      </c>
    </row>
    <row r="988" spans="1:22">
      <c r="A988" s="454"/>
      <c r="B988" s="454" t="str">
        <v>Door Frames</v>
      </c>
      <c r="C988" s="456"/>
      <c r="D988" s="456"/>
      <c r="E988" s="456"/>
      <c r="F988" s="456"/>
      <c r="G988" s="456">
        <f t="shared" si="177"/>
        <v>0</v>
      </c>
      <c r="H988" s="456" t="str">
        <v>RM</v>
      </c>
      <c r="I988" s="456" t="str">
        <v>N.A.</v>
      </c>
      <c r="J988" s="456">
        <v>0</v>
      </c>
      <c r="K988" s="456">
        <v>0</v>
      </c>
      <c r="L988" s="456">
        <f t="shared" si="178"/>
        <v>0</v>
      </c>
      <c r="O988" s="455">
        <f t="shared" si="179"/>
        <v>0</v>
      </c>
      <c r="P988" s="455">
        <f t="shared" si="180"/>
        <v>0</v>
      </c>
      <c r="R988" s="480" t="s">
        <v>742</v>
      </c>
    </row>
    <row r="989" spans="1:22">
      <c r="A989" s="454"/>
      <c r="B989" s="454" t="str">
        <v>Window Frames - Internal</v>
      </c>
      <c r="C989" s="456"/>
      <c r="D989" s="456"/>
      <c r="E989" s="456">
        <f>Windows!F86*2+Windows!G86*2</f>
        <v>14.899999999999999</v>
      </c>
      <c r="F989" s="456"/>
      <c r="G989" s="456">
        <f t="shared" si="177"/>
        <v>14.899999999999999</v>
      </c>
      <c r="H989" s="456" t="str">
        <v>RM</v>
      </c>
      <c r="I989" s="456" t="str">
        <v>Granite Window Frame</v>
      </c>
      <c r="J989" s="456">
        <v>180</v>
      </c>
      <c r="K989" s="456">
        <v>655.92719999999997</v>
      </c>
      <c r="L989" s="456">
        <f t="shared" si="178"/>
        <v>9773.3152799999989</v>
      </c>
      <c r="O989" s="455">
        <f t="shared" si="179"/>
        <v>119.19999999999999</v>
      </c>
      <c r="P989" s="455">
        <f t="shared" si="180"/>
        <v>78186.522239999991</v>
      </c>
      <c r="R989" s="480" t="s">
        <v>743</v>
      </c>
    </row>
    <row r="990" spans="1:22">
      <c r="A990" s="454"/>
      <c r="B990" s="454" t="str">
        <v>Window Frames - External</v>
      </c>
      <c r="C990" s="456"/>
      <c r="D990" s="456"/>
      <c r="E990" s="456">
        <f>E989</f>
        <v>14.899999999999999</v>
      </c>
      <c r="F990" s="456"/>
      <c r="G990" s="456">
        <f t="shared" si="177"/>
        <v>14.899999999999999</v>
      </c>
      <c r="H990" s="456" t="str">
        <v>RM</v>
      </c>
      <c r="I990" s="456" t="str">
        <v>Marble Window Frames with Sill</v>
      </c>
      <c r="J990" s="456">
        <v>60</v>
      </c>
      <c r="K990" s="456">
        <v>399.04239999999999</v>
      </c>
      <c r="L990" s="456">
        <f t="shared" si="178"/>
        <v>5945.7317599999997</v>
      </c>
      <c r="O990" s="455">
        <f t="shared" si="179"/>
        <v>119.19999999999999</v>
      </c>
      <c r="P990" s="455">
        <f t="shared" si="180"/>
        <v>47565.854079999997</v>
      </c>
      <c r="R990" s="480" t="s">
        <v>409</v>
      </c>
    </row>
    <row r="991" spans="1:22">
      <c r="A991" s="454"/>
      <c r="B991" s="454" t="str">
        <v>Others</v>
      </c>
      <c r="C991" s="456"/>
      <c r="D991" s="456"/>
      <c r="E991" s="456"/>
      <c r="F991" s="456"/>
      <c r="G991" s="456">
        <f t="shared" si="177"/>
        <v>0</v>
      </c>
      <c r="H991" s="456" t="str">
        <v>-</v>
      </c>
      <c r="I991" s="456" t="str">
        <v>N.A.</v>
      </c>
      <c r="J991" s="456" t="str">
        <v>-</v>
      </c>
      <c r="K991" s="456" t="str">
        <v>-</v>
      </c>
      <c r="L991" s="456"/>
      <c r="O991" s="455">
        <f t="shared" si="179"/>
        <v>0</v>
      </c>
      <c r="P991" s="455">
        <f t="shared" si="180"/>
        <v>0</v>
      </c>
    </row>
    <row r="992" spans="1:22" s="479" customFormat="1" ht="13.5" customHeight="1">
      <c r="A992" s="475" t="s">
        <v>628</v>
      </c>
      <c r="B992" s="476" t="str">
        <f>'Flat Sizes'!B84</f>
        <v>Study Room</v>
      </c>
      <c r="C992" s="477">
        <f>'Flat Sizes'!D84</f>
        <v>6.91</v>
      </c>
      <c r="D992" s="477">
        <f>'Flat Sizes'!G84</f>
        <v>11.06</v>
      </c>
      <c r="E992" s="477"/>
      <c r="F992" s="454"/>
      <c r="G992" s="477"/>
      <c r="H992" s="477"/>
      <c r="I992" s="477"/>
      <c r="J992" s="477"/>
      <c r="K992" s="477"/>
      <c r="L992" s="477"/>
      <c r="M992" s="459">
        <f>SUM(L993:L1004)/C992/10.764</f>
        <v>534.15854418517847</v>
      </c>
      <c r="N992" s="472"/>
      <c r="O992" s="455"/>
      <c r="P992" s="455"/>
      <c r="Q992" s="478"/>
    </row>
    <row r="993" spans="1:18">
      <c r="A993" s="454"/>
      <c r="B993" s="454" t="str" cm="1">
        <f t="array" ref="B993:B1004">'Rate List - Flats'!B20:B31</f>
        <v>Flooring</v>
      </c>
      <c r="C993" s="456"/>
      <c r="D993" s="456"/>
      <c r="E993" s="456">
        <f>C992</f>
        <v>6.91</v>
      </c>
      <c r="F993" s="456"/>
      <c r="G993" s="456">
        <f t="shared" si="177"/>
        <v>6.91</v>
      </c>
      <c r="H993" s="456" t="str" cm="1">
        <f t="array" ref="H993:H1004">'Rate List - Flats'!H20:H31</f>
        <v>Sq M</v>
      </c>
      <c r="I993" s="456" t="str" cm="1">
        <f t="array" ref="I993:I1004">'Rate List - Flats'!C20:C31</f>
        <v>2'x2' Vitrified tiles</v>
      </c>
      <c r="J993" s="456" cm="1">
        <f t="array" ref="J993:J1004">'Rate List - Flats'!E20:E31</f>
        <v>45</v>
      </c>
      <c r="K993" s="456" cm="1">
        <f t="array" ref="K993:K1004">'Rate List - Flats'!G20:G31</f>
        <v>1340.1179999999999</v>
      </c>
      <c r="L993" s="456">
        <f t="shared" si="178"/>
        <v>9260.2153799999996</v>
      </c>
      <c r="O993" s="455">
        <f t="shared" ref="O993:O1004" si="181">IF(I993="N.A",0,G993*$N$978)</f>
        <v>55.28</v>
      </c>
      <c r="P993" s="455">
        <f t="shared" ref="P993:P1004" si="182">L993*$N$978</f>
        <v>74081.723039999997</v>
      </c>
      <c r="R993" s="480" t="s">
        <v>659</v>
      </c>
    </row>
    <row r="994" spans="1:18">
      <c r="A994" s="454"/>
      <c r="B994" s="454" t="str">
        <v>Skirting</v>
      </c>
      <c r="C994" s="456"/>
      <c r="D994" s="456"/>
      <c r="E994" s="456">
        <f>D992</f>
        <v>11.06</v>
      </c>
      <c r="F994" s="456">
        <f>-(Doors!F72)</f>
        <v>-0.9</v>
      </c>
      <c r="G994" s="456">
        <f t="shared" si="177"/>
        <v>10.16</v>
      </c>
      <c r="H994" s="456" t="str">
        <v>RM</v>
      </c>
      <c r="I994" s="456" t="str">
        <v xml:space="preserve">2'x2' Vitrified tiles </v>
      </c>
      <c r="J994" s="456">
        <v>45</v>
      </c>
      <c r="K994" s="456">
        <v>391.96</v>
      </c>
      <c r="L994" s="456">
        <f t="shared" si="178"/>
        <v>3982.3136</v>
      </c>
      <c r="O994" s="455">
        <f t="shared" si="181"/>
        <v>81.28</v>
      </c>
      <c r="P994" s="455">
        <f t="shared" si="182"/>
        <v>31858.5088</v>
      </c>
      <c r="R994" s="480" t="s">
        <v>660</v>
      </c>
    </row>
    <row r="995" spans="1:18">
      <c r="A995" s="454"/>
      <c r="B995" s="454" t="str">
        <v>Dado</v>
      </c>
      <c r="C995" s="456"/>
      <c r="D995" s="456"/>
      <c r="E995" s="456"/>
      <c r="F995" s="456"/>
      <c r="G995" s="456">
        <f t="shared" si="177"/>
        <v>0</v>
      </c>
      <c r="H995" s="456" t="str">
        <v>Sq M</v>
      </c>
      <c r="I995" s="456" t="str">
        <v>N.A.</v>
      </c>
      <c r="J995" s="456">
        <v>0</v>
      </c>
      <c r="K995" s="456">
        <v>0</v>
      </c>
      <c r="L995" s="456">
        <f t="shared" si="178"/>
        <v>0</v>
      </c>
      <c r="O995" s="455">
        <f t="shared" si="181"/>
        <v>0</v>
      </c>
      <c r="P995" s="455">
        <f t="shared" si="182"/>
        <v>0</v>
      </c>
      <c r="R995" s="480"/>
    </row>
    <row r="996" spans="1:18">
      <c r="A996" s="454"/>
      <c r="B996" s="454" t="str">
        <v>Wall finishes plaster</v>
      </c>
      <c r="C996" s="456"/>
      <c r="D996" s="456"/>
      <c r="E996" s="456">
        <f>D992*(D1-0.15)</f>
        <v>32.627000000000002</v>
      </c>
      <c r="F996" s="456">
        <f>-(Doors!H72+Windows!H87)</f>
        <v>-3.9754999999999998</v>
      </c>
      <c r="G996" s="456">
        <f t="shared" si="177"/>
        <v>28.651500000000002</v>
      </c>
      <c r="H996" s="456" t="str">
        <v>Sq M</v>
      </c>
      <c r="I996" s="456" t="str">
        <v>Gypsum Plaster</v>
      </c>
      <c r="J996" s="456">
        <v>32</v>
      </c>
      <c r="K996" s="456">
        <v>344.44799999999998</v>
      </c>
      <c r="L996" s="456">
        <f t="shared" si="178"/>
        <v>9868.9518719999996</v>
      </c>
      <c r="O996" s="455">
        <f t="shared" si="181"/>
        <v>229.21200000000002</v>
      </c>
      <c r="P996" s="455">
        <f t="shared" si="182"/>
        <v>78951.614975999997</v>
      </c>
      <c r="R996" s="480" t="s">
        <v>661</v>
      </c>
    </row>
    <row r="997" spans="1:18">
      <c r="A997" s="454"/>
      <c r="B997" s="454" t="str">
        <v>Ceiling plaster</v>
      </c>
      <c r="C997" s="456"/>
      <c r="D997" s="456"/>
      <c r="E997" s="456">
        <f>E993</f>
        <v>6.91</v>
      </c>
      <c r="F997" s="456"/>
      <c r="G997" s="456">
        <f t="shared" si="177"/>
        <v>6.91</v>
      </c>
      <c r="H997" s="456" t="str">
        <v>Sq M</v>
      </c>
      <c r="I997" s="456" t="str">
        <v>Gypsum Plaster</v>
      </c>
      <c r="J997" s="456">
        <v>32</v>
      </c>
      <c r="K997" s="456">
        <v>344.44799999999998</v>
      </c>
      <c r="L997" s="456">
        <f t="shared" si="178"/>
        <v>2380.1356799999999</v>
      </c>
      <c r="O997" s="455">
        <f t="shared" si="181"/>
        <v>55.28</v>
      </c>
      <c r="P997" s="455">
        <f t="shared" si="182"/>
        <v>19041.085439999999</v>
      </c>
      <c r="R997" s="480" t="s">
        <v>662</v>
      </c>
    </row>
    <row r="998" spans="1:18">
      <c r="A998" s="454"/>
      <c r="B998" s="454" t="str">
        <v>False ceiling</v>
      </c>
      <c r="C998" s="456"/>
      <c r="D998" s="456"/>
      <c r="E998" s="456"/>
      <c r="F998" s="456"/>
      <c r="G998" s="456">
        <f t="shared" si="177"/>
        <v>0</v>
      </c>
      <c r="H998" s="456" t="str">
        <v>Sq M</v>
      </c>
      <c r="I998" s="456" t="str">
        <v>N.A.</v>
      </c>
      <c r="J998" s="456">
        <v>0</v>
      </c>
      <c r="K998" s="456">
        <v>0</v>
      </c>
      <c r="L998" s="456">
        <f t="shared" si="178"/>
        <v>0</v>
      </c>
      <c r="O998" s="455">
        <f t="shared" si="181"/>
        <v>0</v>
      </c>
      <c r="P998" s="455">
        <f t="shared" si="182"/>
        <v>0</v>
      </c>
      <c r="R998" s="480"/>
    </row>
    <row r="999" spans="1:18">
      <c r="A999" s="454"/>
      <c r="B999" s="454" t="str">
        <v>Wall finishes Paint</v>
      </c>
      <c r="C999" s="456"/>
      <c r="D999" s="456"/>
      <c r="E999" s="456">
        <f>E996</f>
        <v>32.627000000000002</v>
      </c>
      <c r="F999" s="456">
        <f>F996</f>
        <v>-3.9754999999999998</v>
      </c>
      <c r="G999" s="456">
        <f t="shared" si="177"/>
        <v>28.651500000000002</v>
      </c>
      <c r="H999" s="456" t="str">
        <v>Sq M</v>
      </c>
      <c r="I999" s="456" t="str">
        <v>Plastic paint</v>
      </c>
      <c r="J999" s="456">
        <v>20</v>
      </c>
      <c r="K999" s="456">
        <v>215.27999999999997</v>
      </c>
      <c r="L999" s="456">
        <f t="shared" si="178"/>
        <v>6168.0949199999995</v>
      </c>
      <c r="O999" s="455">
        <f t="shared" si="181"/>
        <v>229.21200000000002</v>
      </c>
      <c r="P999" s="455">
        <f t="shared" si="182"/>
        <v>49344.759359999996</v>
      </c>
      <c r="R999" s="480" t="s">
        <v>663</v>
      </c>
    </row>
    <row r="1000" spans="1:18">
      <c r="A1000" s="454"/>
      <c r="B1000" s="454" t="str">
        <v>Ceiling Paint</v>
      </c>
      <c r="C1000" s="456"/>
      <c r="D1000" s="456"/>
      <c r="E1000" s="456">
        <f>E997</f>
        <v>6.91</v>
      </c>
      <c r="F1000" s="456"/>
      <c r="G1000" s="456">
        <f t="shared" si="177"/>
        <v>6.91</v>
      </c>
      <c r="H1000" s="456" t="str">
        <v>Sq M</v>
      </c>
      <c r="I1000" s="456" t="str">
        <v>Plastic paint</v>
      </c>
      <c r="J1000" s="456">
        <v>20</v>
      </c>
      <c r="K1000" s="456">
        <v>215.27999999999997</v>
      </c>
      <c r="L1000" s="456">
        <f t="shared" si="178"/>
        <v>1487.5847999999999</v>
      </c>
      <c r="O1000" s="455">
        <f t="shared" si="181"/>
        <v>55.28</v>
      </c>
      <c r="P1000" s="455">
        <f t="shared" si="182"/>
        <v>11900.678399999999</v>
      </c>
      <c r="R1000" s="480" t="s">
        <v>664</v>
      </c>
    </row>
    <row r="1001" spans="1:18">
      <c r="A1001" s="454"/>
      <c r="B1001" s="454" t="str">
        <v>Door Frames</v>
      </c>
      <c r="C1001" s="456"/>
      <c r="D1001" s="456"/>
      <c r="E1001" s="456"/>
      <c r="F1001" s="456"/>
      <c r="G1001" s="456">
        <f t="shared" si="177"/>
        <v>0</v>
      </c>
      <c r="H1001" s="456" t="str">
        <v>RM</v>
      </c>
      <c r="I1001" s="456" t="str">
        <v>N.A.</v>
      </c>
      <c r="J1001" s="456">
        <v>0</v>
      </c>
      <c r="K1001" s="456">
        <v>0</v>
      </c>
      <c r="L1001" s="456">
        <f t="shared" si="178"/>
        <v>0</v>
      </c>
      <c r="O1001" s="455">
        <f t="shared" si="181"/>
        <v>0</v>
      </c>
      <c r="P1001" s="455">
        <f t="shared" si="182"/>
        <v>0</v>
      </c>
      <c r="R1001" s="480"/>
    </row>
    <row r="1002" spans="1:18">
      <c r="A1002" s="454"/>
      <c r="B1002" s="454" t="str">
        <v>Window Frames - Internal</v>
      </c>
      <c r="C1002" s="456"/>
      <c r="D1002" s="456"/>
      <c r="E1002" s="456">
        <f>Windows!F87*2+Windows!G87*2</f>
        <v>6.24</v>
      </c>
      <c r="F1002" s="456"/>
      <c r="G1002" s="456">
        <f t="shared" si="177"/>
        <v>6.24</v>
      </c>
      <c r="H1002" s="456" t="str">
        <v>RM</v>
      </c>
      <c r="I1002" s="456" t="str">
        <v>Granite Window Frame</v>
      </c>
      <c r="J1002" s="456">
        <v>180</v>
      </c>
      <c r="K1002" s="456">
        <v>655.92719999999997</v>
      </c>
      <c r="L1002" s="456">
        <f t="shared" si="178"/>
        <v>4092.9857280000001</v>
      </c>
      <c r="O1002" s="455">
        <f t="shared" si="181"/>
        <v>49.92</v>
      </c>
      <c r="P1002" s="455">
        <f t="shared" si="182"/>
        <v>32743.885824000001</v>
      </c>
      <c r="R1002" s="480" t="s">
        <v>743</v>
      </c>
    </row>
    <row r="1003" spans="1:18">
      <c r="A1003" s="454"/>
      <c r="B1003" s="454" t="str">
        <v>Window Frames - External</v>
      </c>
      <c r="C1003" s="456"/>
      <c r="D1003" s="456"/>
      <c r="E1003" s="456">
        <f>E1002</f>
        <v>6.24</v>
      </c>
      <c r="F1003" s="456"/>
      <c r="G1003" s="456">
        <f t="shared" si="177"/>
        <v>6.24</v>
      </c>
      <c r="H1003" s="456" t="str">
        <v>RM</v>
      </c>
      <c r="I1003" s="456" t="str">
        <v>Marble Window Frames with Sill</v>
      </c>
      <c r="J1003" s="456">
        <v>60</v>
      </c>
      <c r="K1003" s="456">
        <v>399.04239999999999</v>
      </c>
      <c r="L1003" s="456">
        <f t="shared" si="178"/>
        <v>2490.0245759999998</v>
      </c>
      <c r="O1003" s="455">
        <f t="shared" si="181"/>
        <v>49.92</v>
      </c>
      <c r="P1003" s="455">
        <f t="shared" si="182"/>
        <v>19920.196607999998</v>
      </c>
      <c r="R1003" s="480" t="s">
        <v>409</v>
      </c>
    </row>
    <row r="1004" spans="1:18">
      <c r="A1004" s="454"/>
      <c r="B1004" s="454" t="str">
        <v>Others</v>
      </c>
      <c r="C1004" s="456"/>
      <c r="D1004" s="456"/>
      <c r="E1004" s="456"/>
      <c r="F1004" s="456"/>
      <c r="G1004" s="456">
        <f t="shared" si="177"/>
        <v>0</v>
      </c>
      <c r="H1004" s="456" t="str">
        <v>-</v>
      </c>
      <c r="I1004" s="456" t="str">
        <v>N.A.</v>
      </c>
      <c r="J1004" s="456">
        <v>0</v>
      </c>
      <c r="K1004" s="456">
        <v>0</v>
      </c>
      <c r="L1004" s="456">
        <f t="shared" si="178"/>
        <v>0</v>
      </c>
      <c r="O1004" s="455">
        <f t="shared" si="181"/>
        <v>0</v>
      </c>
      <c r="P1004" s="455">
        <f t="shared" si="182"/>
        <v>0</v>
      </c>
    </row>
    <row r="1005" spans="1:18" s="479" customFormat="1" ht="13.5" customHeight="1">
      <c r="A1005" s="475" t="s">
        <v>628</v>
      </c>
      <c r="B1005" s="476" t="str">
        <f>'Flat Sizes'!B85</f>
        <v>M. Bedroom</v>
      </c>
      <c r="C1005" s="477">
        <f>'Flat Sizes'!D85</f>
        <v>8.6</v>
      </c>
      <c r="D1005" s="477">
        <f>'Flat Sizes'!G85</f>
        <v>12.5</v>
      </c>
      <c r="E1005" s="477"/>
      <c r="F1005" s="454"/>
      <c r="G1005" s="477"/>
      <c r="H1005" s="477"/>
      <c r="I1005" s="477"/>
      <c r="J1005" s="477"/>
      <c r="K1005" s="477"/>
      <c r="L1005" s="477"/>
      <c r="M1005" s="459">
        <f>SUM(L1006:L1017)/C1005/10.764</f>
        <v>503.32743036651027</v>
      </c>
      <c r="N1005" s="472"/>
      <c r="O1005" s="455"/>
      <c r="P1005" s="455"/>
      <c r="Q1005" s="478"/>
    </row>
    <row r="1006" spans="1:18">
      <c r="A1006" s="454"/>
      <c r="B1006" s="454" t="str" cm="1">
        <f t="array" ref="B1006:B1017">'Rate List - Flats'!B34:B45</f>
        <v>Flooring</v>
      </c>
      <c r="C1006" s="456"/>
      <c r="D1006" s="456"/>
      <c r="E1006" s="456">
        <f>C1005</f>
        <v>8.6</v>
      </c>
      <c r="F1006" s="456"/>
      <c r="G1006" s="456">
        <f t="shared" si="177"/>
        <v>8.6</v>
      </c>
      <c r="H1006" s="456" t="str" cm="1">
        <f t="array" ref="H1006:H1017">'Rate List - Flats'!H34:H45</f>
        <v>Sq M</v>
      </c>
      <c r="I1006" s="456" t="str" cm="1">
        <f t="array" ref="I1006:I1017">'Rate List - Flats'!C34:C45</f>
        <v>2'x2' Vitrified tiles</v>
      </c>
      <c r="J1006" s="456" cm="1">
        <f t="array" ref="J1006:J1017">'Rate List - Flats'!E34:E45</f>
        <v>45</v>
      </c>
      <c r="K1006" s="456" cm="1">
        <f t="array" ref="K1006:K1017">'Rate List - Flats'!G34:G45</f>
        <v>1340.1179999999999</v>
      </c>
      <c r="L1006" s="456">
        <f t="shared" si="178"/>
        <v>11525.014799999999</v>
      </c>
      <c r="O1006" s="455">
        <f t="shared" ref="O1006:O1017" si="183">IF(I1006="N.A",0,G1006*$N$978)</f>
        <v>68.8</v>
      </c>
      <c r="P1006" s="455">
        <f t="shared" ref="P1006:P1017" si="184">L1006*$N$978</f>
        <v>92200.118399999992</v>
      </c>
      <c r="R1006" s="480" t="s">
        <v>659</v>
      </c>
    </row>
    <row r="1007" spans="1:18">
      <c r="A1007" s="454"/>
      <c r="B1007" s="454" t="str">
        <v>Skirting</v>
      </c>
      <c r="C1007" s="456"/>
      <c r="D1007" s="456"/>
      <c r="E1007" s="456">
        <f>D1005</f>
        <v>12.5</v>
      </c>
      <c r="F1007" s="456">
        <f>-(Doors!F73+Doors!F74)</f>
        <v>-1.65</v>
      </c>
      <c r="G1007" s="456">
        <f t="shared" si="177"/>
        <v>10.85</v>
      </c>
      <c r="H1007" s="456" t="str">
        <v>RM</v>
      </c>
      <c r="I1007" s="456" t="str">
        <v xml:space="preserve">2'x2' Vitrified tiles </v>
      </c>
      <c r="J1007" s="456">
        <v>45</v>
      </c>
      <c r="K1007" s="456">
        <v>391.96</v>
      </c>
      <c r="L1007" s="456">
        <f t="shared" si="178"/>
        <v>4252.7659999999996</v>
      </c>
      <c r="O1007" s="455">
        <f t="shared" si="183"/>
        <v>86.8</v>
      </c>
      <c r="P1007" s="455">
        <f t="shared" si="184"/>
        <v>34022.127999999997</v>
      </c>
      <c r="R1007" s="480" t="s">
        <v>660</v>
      </c>
    </row>
    <row r="1008" spans="1:18">
      <c r="A1008" s="454"/>
      <c r="B1008" s="454" t="str">
        <v>Dado</v>
      </c>
      <c r="C1008" s="456"/>
      <c r="D1008" s="456"/>
      <c r="E1008" s="456"/>
      <c r="F1008" s="456"/>
      <c r="G1008" s="456">
        <f t="shared" si="177"/>
        <v>0</v>
      </c>
      <c r="H1008" s="456" t="str">
        <v>Sq M</v>
      </c>
      <c r="I1008" s="456" t="str">
        <v>N.A.</v>
      </c>
      <c r="J1008" s="456">
        <v>0</v>
      </c>
      <c r="K1008" s="456">
        <v>0</v>
      </c>
      <c r="L1008" s="456">
        <f t="shared" si="178"/>
        <v>0</v>
      </c>
      <c r="O1008" s="455">
        <f t="shared" si="183"/>
        <v>0</v>
      </c>
      <c r="P1008" s="455">
        <f t="shared" si="184"/>
        <v>0</v>
      </c>
      <c r="R1008" s="480"/>
    </row>
    <row r="1009" spans="1:18">
      <c r="A1009" s="454"/>
      <c r="B1009" s="454" t="str">
        <v>Wall finishes plaster</v>
      </c>
      <c r="C1009" s="456"/>
      <c r="D1009" s="456"/>
      <c r="E1009" s="456">
        <f>D1005*(D1-0.15)</f>
        <v>36.875</v>
      </c>
      <c r="F1009" s="456">
        <f>-(Doors!H73+Doors!H74+Windows!H88)</f>
        <v>-10.022499999999999</v>
      </c>
      <c r="G1009" s="456">
        <f t="shared" si="177"/>
        <v>26.852499999999999</v>
      </c>
      <c r="H1009" s="456" t="str">
        <v>Sq M</v>
      </c>
      <c r="I1009" s="456" t="str">
        <v>Gypsum Plaster</v>
      </c>
      <c r="J1009" s="456">
        <v>32</v>
      </c>
      <c r="K1009" s="456">
        <v>344.44799999999998</v>
      </c>
      <c r="L1009" s="456">
        <f t="shared" si="178"/>
        <v>9249.2899199999993</v>
      </c>
      <c r="O1009" s="455">
        <f t="shared" si="183"/>
        <v>214.82</v>
      </c>
      <c r="P1009" s="455">
        <f t="shared" si="184"/>
        <v>73994.319359999994</v>
      </c>
      <c r="R1009" s="480" t="s">
        <v>661</v>
      </c>
    </row>
    <row r="1010" spans="1:18">
      <c r="A1010" s="454"/>
      <c r="B1010" s="454" t="str">
        <v>Ceiling plaster</v>
      </c>
      <c r="C1010" s="456"/>
      <c r="D1010" s="456"/>
      <c r="E1010" s="456">
        <f>E1006</f>
        <v>8.6</v>
      </c>
      <c r="F1010" s="456"/>
      <c r="G1010" s="456">
        <f t="shared" si="177"/>
        <v>8.6</v>
      </c>
      <c r="H1010" s="456" t="str">
        <v>Sq M</v>
      </c>
      <c r="I1010" s="456" t="str">
        <v>Gypsum Plaster</v>
      </c>
      <c r="J1010" s="456">
        <v>32</v>
      </c>
      <c r="K1010" s="456">
        <v>344.44799999999998</v>
      </c>
      <c r="L1010" s="456">
        <f t="shared" si="178"/>
        <v>2962.2527999999998</v>
      </c>
      <c r="O1010" s="455">
        <f t="shared" si="183"/>
        <v>68.8</v>
      </c>
      <c r="P1010" s="455">
        <f t="shared" si="184"/>
        <v>23698.022399999998</v>
      </c>
      <c r="R1010" s="480" t="s">
        <v>662</v>
      </c>
    </row>
    <row r="1011" spans="1:18">
      <c r="A1011" s="454"/>
      <c r="B1011" s="454" t="str">
        <v>False ceiling</v>
      </c>
      <c r="C1011" s="456"/>
      <c r="D1011" s="456"/>
      <c r="E1011" s="456"/>
      <c r="F1011" s="456"/>
      <c r="G1011" s="456">
        <f t="shared" si="177"/>
        <v>0</v>
      </c>
      <c r="H1011" s="456" t="str">
        <v>Sq M</v>
      </c>
      <c r="I1011" s="456" t="str">
        <v>N.A.</v>
      </c>
      <c r="J1011" s="456">
        <v>0</v>
      </c>
      <c r="K1011" s="456">
        <v>0</v>
      </c>
      <c r="L1011" s="456">
        <f t="shared" si="178"/>
        <v>0</v>
      </c>
      <c r="O1011" s="455">
        <f t="shared" si="183"/>
        <v>0</v>
      </c>
      <c r="P1011" s="455">
        <f t="shared" si="184"/>
        <v>0</v>
      </c>
      <c r="R1011" s="480"/>
    </row>
    <row r="1012" spans="1:18">
      <c r="A1012" s="454"/>
      <c r="B1012" s="454" t="str">
        <v>Wall finishes Paint</v>
      </c>
      <c r="C1012" s="456"/>
      <c r="D1012" s="456"/>
      <c r="E1012" s="456">
        <f>E1009</f>
        <v>36.875</v>
      </c>
      <c r="F1012" s="456">
        <f>F1009</f>
        <v>-10.022499999999999</v>
      </c>
      <c r="G1012" s="456">
        <f t="shared" si="177"/>
        <v>26.852499999999999</v>
      </c>
      <c r="H1012" s="456" t="str">
        <v>Sq M</v>
      </c>
      <c r="I1012" s="456" t="str">
        <v>Plastic paint</v>
      </c>
      <c r="J1012" s="456">
        <v>20</v>
      </c>
      <c r="K1012" s="456">
        <v>215.27999999999997</v>
      </c>
      <c r="L1012" s="456">
        <f t="shared" si="178"/>
        <v>5780.8061999999991</v>
      </c>
      <c r="O1012" s="455">
        <f t="shared" si="183"/>
        <v>214.82</v>
      </c>
      <c r="P1012" s="455">
        <f t="shared" si="184"/>
        <v>46246.449599999993</v>
      </c>
      <c r="R1012" s="480" t="s">
        <v>663</v>
      </c>
    </row>
    <row r="1013" spans="1:18">
      <c r="A1013" s="454"/>
      <c r="B1013" s="454" t="str">
        <v>Ceiling Paint</v>
      </c>
      <c r="C1013" s="456"/>
      <c r="D1013" s="456"/>
      <c r="E1013" s="456">
        <f>E1010</f>
        <v>8.6</v>
      </c>
      <c r="F1013" s="456"/>
      <c r="G1013" s="456">
        <f t="shared" si="177"/>
        <v>8.6</v>
      </c>
      <c r="H1013" s="456" t="str">
        <v>Sq M</v>
      </c>
      <c r="I1013" s="456" t="str">
        <v>Plastic paint</v>
      </c>
      <c r="J1013" s="456">
        <v>20</v>
      </c>
      <c r="K1013" s="456">
        <v>215.27999999999997</v>
      </c>
      <c r="L1013" s="456">
        <f t="shared" si="178"/>
        <v>1851.4079999999997</v>
      </c>
      <c r="O1013" s="455">
        <f t="shared" si="183"/>
        <v>68.8</v>
      </c>
      <c r="P1013" s="455">
        <f t="shared" si="184"/>
        <v>14811.263999999997</v>
      </c>
      <c r="R1013" s="480" t="s">
        <v>664</v>
      </c>
    </row>
    <row r="1014" spans="1:18">
      <c r="A1014" s="454"/>
      <c r="B1014" s="454" t="str">
        <v>Door Frames</v>
      </c>
      <c r="C1014" s="456"/>
      <c r="D1014" s="456"/>
      <c r="E1014" s="456"/>
      <c r="F1014" s="456"/>
      <c r="G1014" s="456">
        <f t="shared" si="177"/>
        <v>0</v>
      </c>
      <c r="H1014" s="456" t="str">
        <v>RM</v>
      </c>
      <c r="I1014" s="456" t="str">
        <v>N.A.</v>
      </c>
      <c r="J1014" s="456">
        <v>0</v>
      </c>
      <c r="K1014" s="456">
        <v>0</v>
      </c>
      <c r="L1014" s="456">
        <f t="shared" si="178"/>
        <v>0</v>
      </c>
      <c r="O1014" s="455">
        <f t="shared" si="183"/>
        <v>0</v>
      </c>
      <c r="P1014" s="455">
        <f t="shared" si="184"/>
        <v>0</v>
      </c>
      <c r="R1014" s="480"/>
    </row>
    <row r="1015" spans="1:18">
      <c r="A1015" s="454"/>
      <c r="B1015" s="454" t="str">
        <v>Window Frames - Internal</v>
      </c>
      <c r="C1015" s="456"/>
      <c r="D1015" s="456"/>
      <c r="E1015" s="456">
        <f>Windows!F88*2+Windows!G88*2</f>
        <v>10.399999999999999</v>
      </c>
      <c r="F1015" s="456"/>
      <c r="G1015" s="456">
        <f t="shared" si="177"/>
        <v>10.399999999999999</v>
      </c>
      <c r="H1015" s="456" t="str">
        <v>RM</v>
      </c>
      <c r="I1015" s="456" t="str">
        <v>Granite Window Frame</v>
      </c>
      <c r="J1015" s="456">
        <v>180</v>
      </c>
      <c r="K1015" s="456">
        <v>655.92719999999997</v>
      </c>
      <c r="L1015" s="456">
        <f t="shared" si="178"/>
        <v>6821.6428799999985</v>
      </c>
      <c r="O1015" s="455">
        <f t="shared" si="183"/>
        <v>83.199999999999989</v>
      </c>
      <c r="P1015" s="455">
        <f t="shared" si="184"/>
        <v>54573.143039999988</v>
      </c>
      <c r="R1015" s="480" t="s">
        <v>743</v>
      </c>
    </row>
    <row r="1016" spans="1:18">
      <c r="A1016" s="454"/>
      <c r="B1016" s="454" t="str">
        <v>Window Frames - External</v>
      </c>
      <c r="C1016" s="456"/>
      <c r="D1016" s="456"/>
      <c r="E1016" s="456">
        <f>E1015</f>
        <v>10.399999999999999</v>
      </c>
      <c r="F1016" s="456"/>
      <c r="G1016" s="456">
        <f t="shared" si="177"/>
        <v>10.399999999999999</v>
      </c>
      <c r="H1016" s="456" t="str">
        <v>RM</v>
      </c>
      <c r="I1016" s="456" t="str">
        <v>Marble Window Frames with Sill</v>
      </c>
      <c r="J1016" s="456">
        <v>60</v>
      </c>
      <c r="K1016" s="456">
        <v>399.04239999999999</v>
      </c>
      <c r="L1016" s="456">
        <f t="shared" si="178"/>
        <v>4150.0409599999994</v>
      </c>
      <c r="O1016" s="455">
        <f t="shared" si="183"/>
        <v>83.199999999999989</v>
      </c>
      <c r="P1016" s="455">
        <f t="shared" si="184"/>
        <v>33200.327679999995</v>
      </c>
      <c r="R1016" s="480" t="s">
        <v>409</v>
      </c>
    </row>
    <row r="1017" spans="1:18">
      <c r="A1017" s="454"/>
      <c r="B1017" s="454" t="str">
        <v>Others</v>
      </c>
      <c r="C1017" s="456"/>
      <c r="D1017" s="456"/>
      <c r="E1017" s="456"/>
      <c r="F1017" s="456"/>
      <c r="G1017" s="456">
        <f t="shared" si="177"/>
        <v>0</v>
      </c>
      <c r="H1017" s="456" t="str">
        <v>-</v>
      </c>
      <c r="I1017" s="456" t="str">
        <v>N.A.</v>
      </c>
      <c r="J1017" s="456">
        <v>0</v>
      </c>
      <c r="K1017" s="456">
        <v>0</v>
      </c>
      <c r="L1017" s="456">
        <f t="shared" si="178"/>
        <v>0</v>
      </c>
      <c r="O1017" s="455">
        <f t="shared" si="183"/>
        <v>0</v>
      </c>
      <c r="P1017" s="455">
        <f t="shared" si="184"/>
        <v>0</v>
      </c>
    </row>
    <row r="1018" spans="1:18" s="479" customFormat="1" ht="13.5" customHeight="1">
      <c r="A1018" s="475" t="s">
        <v>628</v>
      </c>
      <c r="B1018" s="476" t="str">
        <f>'Flat Sizes'!B86</f>
        <v>M. Toilet</v>
      </c>
      <c r="C1018" s="477">
        <f>'Flat Sizes'!D86</f>
        <v>2.4300000000000002</v>
      </c>
      <c r="D1018" s="477">
        <f>'Flat Sizes'!G86</f>
        <v>6.54</v>
      </c>
      <c r="E1018" s="477"/>
      <c r="F1018" s="454"/>
      <c r="G1018" s="477"/>
      <c r="H1018" s="477"/>
      <c r="I1018" s="477"/>
      <c r="J1018" s="477"/>
      <c r="K1018" s="477"/>
      <c r="L1018" s="477"/>
      <c r="M1018" s="459">
        <f>SUM(L1019:L1030)/C1018/10.764</f>
        <v>1535.4242419863194</v>
      </c>
      <c r="N1018" s="472"/>
      <c r="O1018" s="455"/>
      <c r="P1018" s="455"/>
      <c r="Q1018" s="478"/>
    </row>
    <row r="1019" spans="1:18">
      <c r="A1019" s="454"/>
      <c r="B1019" s="454" t="str" cm="1">
        <f t="array" ref="B1019:B1030">'Rate List - Flats'!B62:B73</f>
        <v>Flooring</v>
      </c>
      <c r="C1019" s="456"/>
      <c r="D1019" s="456"/>
      <c r="E1019" s="456">
        <f>C1018</f>
        <v>2.4300000000000002</v>
      </c>
      <c r="F1019" s="456"/>
      <c r="G1019" s="456">
        <f t="shared" si="177"/>
        <v>2.4300000000000002</v>
      </c>
      <c r="H1019" s="456" t="str" cm="1">
        <f t="array" ref="H1019:H1030">'Rate List - Flats'!H62:H73</f>
        <v>Sq M</v>
      </c>
      <c r="I1019" s="456" t="str" cm="1">
        <f t="array" ref="I1019:I1030">'Rate List - Flats'!C62:C73</f>
        <v>Ceramic tiles/vitrified anti-skid tiles</v>
      </c>
      <c r="J1019" s="456" cm="1">
        <f t="array" ref="J1019:J1030">'Rate List - Flats'!E62:E73</f>
        <v>50</v>
      </c>
      <c r="K1019" s="456" cm="1">
        <f t="array" ref="K1019:K1030">'Rate List - Flats'!G62:G73</f>
        <v>1399.32</v>
      </c>
      <c r="L1019" s="456">
        <f t="shared" si="178"/>
        <v>3400.3476000000001</v>
      </c>
      <c r="O1019" s="455">
        <f t="shared" ref="O1019:O1030" si="185">IF(I1019="N.A",0,G1019*$N$978)</f>
        <v>19.440000000000001</v>
      </c>
      <c r="P1019" s="455">
        <f t="shared" ref="P1019:P1030" si="186">L1019*$N$978</f>
        <v>27202.7808</v>
      </c>
      <c r="R1019" s="480" t="s">
        <v>667</v>
      </c>
    </row>
    <row r="1020" spans="1:18">
      <c r="A1020" s="454"/>
      <c r="B1020" s="454" t="str">
        <v>Skirting</v>
      </c>
      <c r="C1020" s="456"/>
      <c r="D1020" s="456"/>
      <c r="E1020" s="456"/>
      <c r="F1020" s="456"/>
      <c r="G1020" s="456">
        <f t="shared" si="177"/>
        <v>0</v>
      </c>
      <c r="H1020" s="456" t="str">
        <v xml:space="preserve">RM </v>
      </c>
      <c r="I1020" s="456" t="str">
        <v>N.A.</v>
      </c>
      <c r="J1020" s="456">
        <v>0</v>
      </c>
      <c r="K1020" s="456">
        <v>0</v>
      </c>
      <c r="L1020" s="456">
        <f t="shared" si="178"/>
        <v>0</v>
      </c>
      <c r="O1020" s="455">
        <f t="shared" si="185"/>
        <v>0</v>
      </c>
      <c r="P1020" s="455">
        <f t="shared" si="186"/>
        <v>0</v>
      </c>
      <c r="R1020" s="480"/>
    </row>
    <row r="1021" spans="1:18">
      <c r="A1021" s="454"/>
      <c r="B1021" s="454" t="str">
        <v>Dado</v>
      </c>
      <c r="C1021" s="456"/>
      <c r="D1021" s="456">
        <f>D1-0.7</f>
        <v>2.4000000000000004</v>
      </c>
      <c r="E1021" s="456">
        <f>D1018*D1021</f>
        <v>15.696000000000003</v>
      </c>
      <c r="F1021" s="456">
        <f>-(Doors!H74+Windows!H89)</f>
        <v>-2.0250000000000004</v>
      </c>
      <c r="G1021" s="456">
        <f t="shared" si="177"/>
        <v>13.671000000000003</v>
      </c>
      <c r="H1021" s="456" t="str">
        <v>Sq M</v>
      </c>
      <c r="I1021" s="456" t="str">
        <v>Vitrified tiles</v>
      </c>
      <c r="J1021" s="456">
        <v>50</v>
      </c>
      <c r="K1021" s="456">
        <v>1480.05</v>
      </c>
      <c r="L1021" s="456">
        <f t="shared" si="178"/>
        <v>20233.763550000003</v>
      </c>
      <c r="O1021" s="455">
        <f t="shared" si="185"/>
        <v>109.36800000000002</v>
      </c>
      <c r="P1021" s="455">
        <f t="shared" si="186"/>
        <v>161870.10840000003</v>
      </c>
      <c r="R1021" s="480" t="s">
        <v>668</v>
      </c>
    </row>
    <row r="1022" spans="1:18">
      <c r="A1022" s="454"/>
      <c r="B1022" s="454" t="str">
        <v>Wall finishes plaster</v>
      </c>
      <c r="C1022" s="456"/>
      <c r="D1022" s="456">
        <f>D1-D1021</f>
        <v>0.69999999999999973</v>
      </c>
      <c r="E1022" s="456">
        <f>D1018*D1022</f>
        <v>4.5779999999999985</v>
      </c>
      <c r="F1022" s="456"/>
      <c r="G1022" s="456">
        <f t="shared" si="177"/>
        <v>4.5779999999999985</v>
      </c>
      <c r="H1022" s="456" t="str">
        <v>Sq M</v>
      </c>
      <c r="I1022" s="456" t="str">
        <v>Gypsum Plaster</v>
      </c>
      <c r="J1022" s="456">
        <v>32</v>
      </c>
      <c r="K1022" s="456">
        <v>344.44799999999998</v>
      </c>
      <c r="L1022" s="456">
        <f t="shared" si="178"/>
        <v>1576.8829439999995</v>
      </c>
      <c r="O1022" s="455">
        <f t="shared" si="185"/>
        <v>36.623999999999988</v>
      </c>
      <c r="P1022" s="455">
        <f t="shared" si="186"/>
        <v>12615.063551999996</v>
      </c>
      <c r="R1022" s="480" t="s">
        <v>661</v>
      </c>
    </row>
    <row r="1023" spans="1:18">
      <c r="A1023" s="454"/>
      <c r="B1023" s="454" t="str">
        <v>Ceiling plaster</v>
      </c>
      <c r="C1023" s="456"/>
      <c r="D1023" s="456"/>
      <c r="E1023" s="456">
        <f>E1019</f>
        <v>2.4300000000000002</v>
      </c>
      <c r="F1023" s="456"/>
      <c r="G1023" s="456">
        <f t="shared" si="177"/>
        <v>2.4300000000000002</v>
      </c>
      <c r="H1023" s="456" t="str">
        <v>Sq M</v>
      </c>
      <c r="I1023" s="456" t="str">
        <v>Gypsum Plaster</v>
      </c>
      <c r="J1023" s="456">
        <v>32</v>
      </c>
      <c r="K1023" s="456">
        <v>344.44799999999998</v>
      </c>
      <c r="L1023" s="456">
        <f t="shared" si="178"/>
        <v>837.00864000000001</v>
      </c>
      <c r="O1023" s="455">
        <f t="shared" si="185"/>
        <v>19.440000000000001</v>
      </c>
      <c r="P1023" s="455">
        <f t="shared" si="186"/>
        <v>6696.0691200000001</v>
      </c>
      <c r="R1023" s="480" t="s">
        <v>662</v>
      </c>
    </row>
    <row r="1024" spans="1:18">
      <c r="A1024" s="454"/>
      <c r="B1024" s="454" t="str">
        <v>False ceiling</v>
      </c>
      <c r="C1024" s="456"/>
      <c r="D1024" s="456"/>
      <c r="E1024" s="456"/>
      <c r="F1024" s="456"/>
      <c r="G1024" s="456">
        <f t="shared" si="177"/>
        <v>0</v>
      </c>
      <c r="H1024" s="456" t="str">
        <v>Sq M</v>
      </c>
      <c r="I1024" s="456" t="str">
        <v>N.A.</v>
      </c>
      <c r="J1024" s="456">
        <v>0</v>
      </c>
      <c r="K1024" s="456">
        <v>0</v>
      </c>
      <c r="L1024" s="456">
        <f t="shared" si="178"/>
        <v>0</v>
      </c>
      <c r="O1024" s="455">
        <f t="shared" si="185"/>
        <v>0</v>
      </c>
      <c r="P1024" s="455">
        <f t="shared" si="186"/>
        <v>0</v>
      </c>
      <c r="R1024" s="480"/>
    </row>
    <row r="1025" spans="1:18">
      <c r="A1025" s="454"/>
      <c r="B1025" s="454" t="str">
        <v>Wall finishes Paint</v>
      </c>
      <c r="C1025" s="456"/>
      <c r="D1025" s="456"/>
      <c r="E1025" s="456">
        <f>E1022</f>
        <v>4.5779999999999985</v>
      </c>
      <c r="F1025" s="456"/>
      <c r="G1025" s="456">
        <f t="shared" si="177"/>
        <v>4.5779999999999985</v>
      </c>
      <c r="H1025" s="456" t="str">
        <v>Sq M</v>
      </c>
      <c r="I1025" s="456" t="str">
        <v>Plastic paint</v>
      </c>
      <c r="J1025" s="456">
        <v>20</v>
      </c>
      <c r="K1025" s="456">
        <v>215.27999999999997</v>
      </c>
      <c r="L1025" s="456">
        <f t="shared" si="178"/>
        <v>985.55183999999952</v>
      </c>
      <c r="O1025" s="455">
        <f t="shared" si="185"/>
        <v>36.623999999999988</v>
      </c>
      <c r="P1025" s="455">
        <f t="shared" si="186"/>
        <v>7884.4147199999961</v>
      </c>
      <c r="R1025" s="480" t="s">
        <v>663</v>
      </c>
    </row>
    <row r="1026" spans="1:18">
      <c r="A1026" s="454"/>
      <c r="B1026" s="454" t="str">
        <v>Ceiling Paint</v>
      </c>
      <c r="C1026" s="456"/>
      <c r="D1026" s="456"/>
      <c r="E1026" s="456">
        <f>E1023</f>
        <v>2.4300000000000002</v>
      </c>
      <c r="F1026" s="456"/>
      <c r="G1026" s="456">
        <f t="shared" si="177"/>
        <v>2.4300000000000002</v>
      </c>
      <c r="H1026" s="456" t="str">
        <v>Sq M</v>
      </c>
      <c r="I1026" s="456" t="str">
        <v>Plastic paint</v>
      </c>
      <c r="J1026" s="456">
        <v>20</v>
      </c>
      <c r="K1026" s="456">
        <v>215.27999999999997</v>
      </c>
      <c r="L1026" s="456">
        <f t="shared" si="178"/>
        <v>523.13040000000001</v>
      </c>
      <c r="O1026" s="455">
        <f t="shared" si="185"/>
        <v>19.440000000000001</v>
      </c>
      <c r="P1026" s="455">
        <f t="shared" si="186"/>
        <v>4185.0432000000001</v>
      </c>
      <c r="R1026" s="480" t="s">
        <v>664</v>
      </c>
    </row>
    <row r="1027" spans="1:18">
      <c r="A1027" s="454"/>
      <c r="B1027" s="454" t="str">
        <v>Door Frames</v>
      </c>
      <c r="C1027" s="456"/>
      <c r="D1027" s="456"/>
      <c r="E1027" s="456">
        <f>Doors!F74*4+Doors!G74*4</f>
        <v>11.4</v>
      </c>
      <c r="F1027" s="456"/>
      <c r="G1027" s="456">
        <f t="shared" si="177"/>
        <v>11.4</v>
      </c>
      <c r="H1027" s="456" t="str">
        <v>RM</v>
      </c>
      <c r="I1027" s="456" t="str">
        <v>Granite Frames</v>
      </c>
      <c r="J1027" s="456">
        <v>180</v>
      </c>
      <c r="K1027" s="456">
        <v>655.92719999999997</v>
      </c>
      <c r="L1027" s="456">
        <f t="shared" si="178"/>
        <v>7477.5700799999995</v>
      </c>
      <c r="O1027" s="455">
        <f t="shared" si="185"/>
        <v>91.2</v>
      </c>
      <c r="P1027" s="455">
        <f t="shared" si="186"/>
        <v>59820.560639999996</v>
      </c>
      <c r="R1027" s="480" t="s">
        <v>669</v>
      </c>
    </row>
    <row r="1028" spans="1:18">
      <c r="A1028" s="454"/>
      <c r="B1028" s="454" t="str">
        <v>Window Frames - Internal</v>
      </c>
      <c r="C1028" s="456"/>
      <c r="D1028" s="456"/>
      <c r="E1028" s="456">
        <f>Windows!F89*2+Windows!G89*2</f>
        <v>2.7</v>
      </c>
      <c r="F1028" s="456"/>
      <c r="G1028" s="456">
        <f t="shared" si="177"/>
        <v>2.7</v>
      </c>
      <c r="H1028" s="456" t="str">
        <v>RM</v>
      </c>
      <c r="I1028" s="456" t="str">
        <v>Granite Window Frame</v>
      </c>
      <c r="J1028" s="456">
        <v>180</v>
      </c>
      <c r="K1028" s="456">
        <v>655.92719999999997</v>
      </c>
      <c r="L1028" s="456">
        <f t="shared" si="178"/>
        <v>1771.00344</v>
      </c>
      <c r="O1028" s="455">
        <f t="shared" si="185"/>
        <v>21.6</v>
      </c>
      <c r="P1028" s="455">
        <f t="shared" si="186"/>
        <v>14168.02752</v>
      </c>
      <c r="R1028" s="480" t="s">
        <v>743</v>
      </c>
    </row>
    <row r="1029" spans="1:18">
      <c r="A1029" s="454"/>
      <c r="B1029" s="454" t="str">
        <v>Window Frames - External</v>
      </c>
      <c r="C1029" s="456"/>
      <c r="D1029" s="456"/>
      <c r="E1029" s="456">
        <f>E1028</f>
        <v>2.7</v>
      </c>
      <c r="F1029" s="456"/>
      <c r="G1029" s="456">
        <f t="shared" si="177"/>
        <v>2.7</v>
      </c>
      <c r="H1029" s="456" t="str">
        <v>RM</v>
      </c>
      <c r="I1029" s="456" t="str">
        <v>Marble Window Frames with Sill</v>
      </c>
      <c r="J1029" s="456">
        <v>60</v>
      </c>
      <c r="K1029" s="456">
        <v>399.04239999999999</v>
      </c>
      <c r="L1029" s="456">
        <f t="shared" si="178"/>
        <v>1077.4144800000001</v>
      </c>
      <c r="O1029" s="455">
        <f t="shared" si="185"/>
        <v>21.6</v>
      </c>
      <c r="P1029" s="455">
        <f t="shared" si="186"/>
        <v>8619.3158400000011</v>
      </c>
      <c r="R1029" s="480" t="s">
        <v>409</v>
      </c>
    </row>
    <row r="1030" spans="1:18">
      <c r="A1030" s="454"/>
      <c r="B1030" s="454" t="str">
        <v>Others - Counter</v>
      </c>
      <c r="C1030" s="456"/>
      <c r="D1030" s="456"/>
      <c r="E1030" s="456">
        <f>0.6*0.6</f>
        <v>0.36</v>
      </c>
      <c r="F1030" s="456"/>
      <c r="G1030" s="456">
        <f t="shared" si="177"/>
        <v>0.36</v>
      </c>
      <c r="H1030" s="456" t="str">
        <v>Sq M</v>
      </c>
      <c r="I1030" s="456" t="str">
        <v>Basin Counter 1'6" - Granite Basin Counter</v>
      </c>
      <c r="J1030" s="456">
        <v>180</v>
      </c>
      <c r="K1030" s="456">
        <v>6329.6720000000005</v>
      </c>
      <c r="L1030" s="456">
        <f t="shared" si="178"/>
        <v>2278.68192</v>
      </c>
      <c r="O1030" s="455">
        <f t="shared" si="185"/>
        <v>2.88</v>
      </c>
      <c r="P1030" s="455">
        <f t="shared" si="186"/>
        <v>18229.45536</v>
      </c>
      <c r="R1030" s="480" t="s">
        <v>670</v>
      </c>
    </row>
    <row r="1031" spans="1:18" s="479" customFormat="1" ht="13.5" customHeight="1">
      <c r="A1031" s="475" t="s">
        <v>628</v>
      </c>
      <c r="B1031" s="476" t="str">
        <f>'Flat Sizes'!B87</f>
        <v>C. Toilet</v>
      </c>
      <c r="C1031" s="477">
        <f>'Flat Sizes'!D87</f>
        <v>3.07</v>
      </c>
      <c r="D1031" s="477">
        <f>'Flat Sizes'!G87</f>
        <v>7.35</v>
      </c>
      <c r="E1031" s="477"/>
      <c r="F1031" s="454"/>
      <c r="G1031" s="477"/>
      <c r="H1031" s="477"/>
      <c r="I1031" s="477"/>
      <c r="J1031" s="477"/>
      <c r="K1031" s="477"/>
      <c r="L1031" s="477"/>
      <c r="M1031" s="459">
        <f>SUM(L1032:L1043)/C1031/10.764</f>
        <v>1349.9494814419402</v>
      </c>
      <c r="N1031" s="472"/>
      <c r="O1031" s="455"/>
      <c r="P1031" s="455"/>
      <c r="Q1031" s="478"/>
    </row>
    <row r="1032" spans="1:18">
      <c r="A1032" s="454"/>
      <c r="B1032" s="454" t="str" cm="1">
        <f t="array" ref="B1032:B1043">'Rate List - Flats'!B76:B87</f>
        <v>Flooring</v>
      </c>
      <c r="C1032" s="456"/>
      <c r="D1032" s="456"/>
      <c r="E1032" s="456">
        <f>C1031</f>
        <v>3.07</v>
      </c>
      <c r="F1032" s="456"/>
      <c r="G1032" s="456">
        <f t="shared" si="177"/>
        <v>3.07</v>
      </c>
      <c r="H1032" s="456" t="str" cm="1">
        <f t="array" ref="H1032:H1043">'Rate List - Flats'!H76:H87</f>
        <v>Sq M</v>
      </c>
      <c r="I1032" s="456" t="str" cm="1">
        <f t="array" ref="I1032:I1043">'Rate List - Flats'!C76:C87</f>
        <v>ceramic tiles/vitrified anti-skid tiles</v>
      </c>
      <c r="J1032" s="456" cm="1">
        <f t="array" ref="J1032:J1043">'Rate List - Flats'!E76:E87</f>
        <v>50</v>
      </c>
      <c r="K1032" s="456" cm="1">
        <f t="array" ref="K1032:K1043">'Rate List - Flats'!G76:G87</f>
        <v>1399.32</v>
      </c>
      <c r="L1032" s="456">
        <f t="shared" si="178"/>
        <v>4295.9123999999993</v>
      </c>
      <c r="O1032" s="455">
        <f t="shared" ref="O1032:O1043" si="187">IF(I1032="N.A",0,G1032*$N$978)</f>
        <v>24.56</v>
      </c>
      <c r="P1032" s="455">
        <f t="shared" ref="P1032:P1043" si="188">L1032*$N$978</f>
        <v>34367.299199999994</v>
      </c>
      <c r="R1032" s="480" t="s">
        <v>667</v>
      </c>
    </row>
    <row r="1033" spans="1:18">
      <c r="A1033" s="454"/>
      <c r="B1033" s="454" t="str">
        <v>Skirting</v>
      </c>
      <c r="C1033" s="456"/>
      <c r="D1033" s="456"/>
      <c r="E1033" s="456"/>
      <c r="F1033" s="456"/>
      <c r="G1033" s="456">
        <f t="shared" si="177"/>
        <v>0</v>
      </c>
      <c r="H1033" s="456" t="str">
        <v xml:space="preserve">RM </v>
      </c>
      <c r="I1033" s="456" t="str">
        <v>N.A.</v>
      </c>
      <c r="J1033" s="456">
        <v>0</v>
      </c>
      <c r="K1033" s="456">
        <v>0</v>
      </c>
      <c r="L1033" s="456">
        <f t="shared" si="178"/>
        <v>0</v>
      </c>
      <c r="O1033" s="455">
        <f t="shared" si="187"/>
        <v>0</v>
      </c>
      <c r="P1033" s="455">
        <f t="shared" si="188"/>
        <v>0</v>
      </c>
      <c r="R1033" s="480"/>
    </row>
    <row r="1034" spans="1:18">
      <c r="A1034" s="454"/>
      <c r="B1034" s="454" t="str">
        <v>Dado</v>
      </c>
      <c r="C1034" s="456"/>
      <c r="D1034" s="456">
        <f>D1-0.7</f>
        <v>2.4000000000000004</v>
      </c>
      <c r="E1034" s="456">
        <f>D1031*D1034</f>
        <v>17.64</v>
      </c>
      <c r="F1034" s="456">
        <f>-(Doors!H75+Windows!H90)</f>
        <v>-2.0250000000000004</v>
      </c>
      <c r="G1034" s="456">
        <f t="shared" si="177"/>
        <v>15.615</v>
      </c>
      <c r="H1034" s="456" t="str">
        <v>Sq M</v>
      </c>
      <c r="I1034" s="456" t="str">
        <v>Vitrified tiles</v>
      </c>
      <c r="J1034" s="456">
        <v>50</v>
      </c>
      <c r="K1034" s="456">
        <v>1480.05</v>
      </c>
      <c r="L1034" s="456">
        <f t="shared" si="178"/>
        <v>23110.980749999999</v>
      </c>
      <c r="O1034" s="455">
        <f t="shared" si="187"/>
        <v>124.92</v>
      </c>
      <c r="P1034" s="455">
        <f t="shared" si="188"/>
        <v>184887.84599999999</v>
      </c>
      <c r="R1034" s="480" t="s">
        <v>668</v>
      </c>
    </row>
    <row r="1035" spans="1:18">
      <c r="A1035" s="454"/>
      <c r="B1035" s="454" t="str">
        <v>Wall finishes plaster</v>
      </c>
      <c r="C1035" s="456"/>
      <c r="D1035" s="456">
        <f>D1-D1034</f>
        <v>0.69999999999999973</v>
      </c>
      <c r="E1035" s="456">
        <f>D1031*D1035</f>
        <v>5.1449999999999978</v>
      </c>
      <c r="F1035" s="456"/>
      <c r="G1035" s="456">
        <f t="shared" si="177"/>
        <v>5.1449999999999978</v>
      </c>
      <c r="H1035" s="456" t="str">
        <v>Sq M</v>
      </c>
      <c r="I1035" s="456" t="str">
        <v>Gypsum Plaster</v>
      </c>
      <c r="J1035" s="456">
        <v>32</v>
      </c>
      <c r="K1035" s="456">
        <v>344.44799999999998</v>
      </c>
      <c r="L1035" s="456">
        <f t="shared" si="178"/>
        <v>1772.1849599999991</v>
      </c>
      <c r="O1035" s="455">
        <f t="shared" si="187"/>
        <v>41.159999999999982</v>
      </c>
      <c r="P1035" s="455">
        <f t="shared" si="188"/>
        <v>14177.479679999993</v>
      </c>
      <c r="R1035" s="480" t="s">
        <v>661</v>
      </c>
    </row>
    <row r="1036" spans="1:18">
      <c r="A1036" s="454"/>
      <c r="B1036" s="454" t="str">
        <v>Ceiling plaster</v>
      </c>
      <c r="C1036" s="456"/>
      <c r="D1036" s="456"/>
      <c r="E1036" s="456">
        <f>E1032</f>
        <v>3.07</v>
      </c>
      <c r="F1036" s="456"/>
      <c r="G1036" s="456">
        <f t="shared" si="177"/>
        <v>3.07</v>
      </c>
      <c r="H1036" s="456" t="str">
        <v>Sq M</v>
      </c>
      <c r="I1036" s="456" t="str">
        <v>Gypsum Plaster</v>
      </c>
      <c r="J1036" s="456">
        <v>32</v>
      </c>
      <c r="K1036" s="456">
        <v>344.44799999999998</v>
      </c>
      <c r="L1036" s="456">
        <f t="shared" si="178"/>
        <v>1057.4553599999999</v>
      </c>
      <c r="O1036" s="455">
        <f t="shared" si="187"/>
        <v>24.56</v>
      </c>
      <c r="P1036" s="455">
        <f t="shared" si="188"/>
        <v>8459.6428799999994</v>
      </c>
      <c r="R1036" s="480" t="s">
        <v>662</v>
      </c>
    </row>
    <row r="1037" spans="1:18">
      <c r="A1037" s="454"/>
      <c r="B1037" s="454" t="str">
        <v>False ceiling</v>
      </c>
      <c r="C1037" s="456"/>
      <c r="D1037" s="456"/>
      <c r="E1037" s="456"/>
      <c r="F1037" s="456"/>
      <c r="G1037" s="456">
        <f t="shared" si="177"/>
        <v>0</v>
      </c>
      <c r="H1037" s="456" t="str">
        <v>Sq M</v>
      </c>
      <c r="I1037" s="456" t="str">
        <v>N.A.</v>
      </c>
      <c r="J1037" s="456">
        <v>0</v>
      </c>
      <c r="K1037" s="456">
        <v>0</v>
      </c>
      <c r="L1037" s="456">
        <f t="shared" si="178"/>
        <v>0</v>
      </c>
      <c r="O1037" s="455">
        <f t="shared" si="187"/>
        <v>0</v>
      </c>
      <c r="P1037" s="455">
        <f t="shared" si="188"/>
        <v>0</v>
      </c>
      <c r="R1037" s="480"/>
    </row>
    <row r="1038" spans="1:18">
      <c r="A1038" s="454"/>
      <c r="B1038" s="454" t="str">
        <v>Wall finishes Paint</v>
      </c>
      <c r="C1038" s="456"/>
      <c r="D1038" s="456"/>
      <c r="E1038" s="456">
        <f>E1035</f>
        <v>5.1449999999999978</v>
      </c>
      <c r="F1038" s="456"/>
      <c r="G1038" s="456">
        <f t="shared" si="177"/>
        <v>5.1449999999999978</v>
      </c>
      <c r="H1038" s="456" t="str">
        <v>Sq M</v>
      </c>
      <c r="I1038" s="456" t="str">
        <v>Plastic paint</v>
      </c>
      <c r="J1038" s="456">
        <v>20</v>
      </c>
      <c r="K1038" s="456">
        <v>215.27999999999997</v>
      </c>
      <c r="L1038" s="456">
        <f t="shared" si="178"/>
        <v>1107.6155999999994</v>
      </c>
      <c r="O1038" s="455">
        <f t="shared" si="187"/>
        <v>41.159999999999982</v>
      </c>
      <c r="P1038" s="455">
        <f t="shared" si="188"/>
        <v>8860.9247999999952</v>
      </c>
      <c r="R1038" s="480" t="s">
        <v>663</v>
      </c>
    </row>
    <row r="1039" spans="1:18">
      <c r="A1039" s="454"/>
      <c r="B1039" s="454" t="str">
        <v>Ceiling Paint</v>
      </c>
      <c r="C1039" s="456"/>
      <c r="D1039" s="456"/>
      <c r="E1039" s="456">
        <f>E1032</f>
        <v>3.07</v>
      </c>
      <c r="F1039" s="456"/>
      <c r="G1039" s="456">
        <f t="shared" si="177"/>
        <v>3.07</v>
      </c>
      <c r="H1039" s="456" t="str">
        <v>Sq M</v>
      </c>
      <c r="I1039" s="456" t="str">
        <v>Plastic paint</v>
      </c>
      <c r="J1039" s="456">
        <v>20</v>
      </c>
      <c r="K1039" s="456">
        <v>215.27999999999997</v>
      </c>
      <c r="L1039" s="456">
        <f t="shared" si="178"/>
        <v>660.90959999999984</v>
      </c>
      <c r="O1039" s="455">
        <f t="shared" si="187"/>
        <v>24.56</v>
      </c>
      <c r="P1039" s="455">
        <f t="shared" si="188"/>
        <v>5287.2767999999987</v>
      </c>
      <c r="R1039" s="480" t="s">
        <v>664</v>
      </c>
    </row>
    <row r="1040" spans="1:18">
      <c r="A1040" s="454"/>
      <c r="B1040" s="454" t="str">
        <v>Door Frames</v>
      </c>
      <c r="C1040" s="456"/>
      <c r="D1040" s="456"/>
      <c r="E1040" s="456">
        <f>Doors!F75*4+Doors!G75*4</f>
        <v>11.4</v>
      </c>
      <c r="F1040" s="456"/>
      <c r="G1040" s="456">
        <f t="shared" si="177"/>
        <v>11.4</v>
      </c>
      <c r="H1040" s="456" t="str">
        <v>RM</v>
      </c>
      <c r="I1040" s="456" t="str">
        <v>Granite Frames</v>
      </c>
      <c r="J1040" s="456">
        <v>180</v>
      </c>
      <c r="K1040" s="456">
        <v>655.92719999999997</v>
      </c>
      <c r="L1040" s="456">
        <f t="shared" si="178"/>
        <v>7477.5700799999995</v>
      </c>
      <c r="O1040" s="455">
        <f t="shared" si="187"/>
        <v>91.2</v>
      </c>
      <c r="P1040" s="455">
        <f t="shared" si="188"/>
        <v>59820.560639999996</v>
      </c>
      <c r="R1040" s="480" t="s">
        <v>669</v>
      </c>
    </row>
    <row r="1041" spans="1:18">
      <c r="A1041" s="454"/>
      <c r="B1041" s="454" t="str">
        <v>Window Frames - Internal</v>
      </c>
      <c r="C1041" s="456"/>
      <c r="D1041" s="456"/>
      <c r="E1041" s="456">
        <f>Windows!F90*2+Windows!G90*2</f>
        <v>2.7</v>
      </c>
      <c r="F1041" s="456"/>
      <c r="G1041" s="456">
        <f t="shared" si="177"/>
        <v>2.7</v>
      </c>
      <c r="H1041" s="456" t="str">
        <v>RM</v>
      </c>
      <c r="I1041" s="456" t="str">
        <v>Granite Window Frame</v>
      </c>
      <c r="J1041" s="456">
        <v>180</v>
      </c>
      <c r="K1041" s="456">
        <v>655.92719999999997</v>
      </c>
      <c r="L1041" s="456">
        <f t="shared" si="178"/>
        <v>1771.00344</v>
      </c>
      <c r="O1041" s="455">
        <f t="shared" si="187"/>
        <v>21.6</v>
      </c>
      <c r="P1041" s="455">
        <f t="shared" si="188"/>
        <v>14168.02752</v>
      </c>
      <c r="R1041" s="480" t="s">
        <v>743</v>
      </c>
    </row>
    <row r="1042" spans="1:18">
      <c r="A1042" s="454"/>
      <c r="B1042" s="454" t="str">
        <v>Window Frames - External</v>
      </c>
      <c r="C1042" s="456"/>
      <c r="D1042" s="456"/>
      <c r="E1042" s="456">
        <f>E1041</f>
        <v>2.7</v>
      </c>
      <c r="F1042" s="456"/>
      <c r="G1042" s="456">
        <f t="shared" si="177"/>
        <v>2.7</v>
      </c>
      <c r="H1042" s="456" t="str">
        <v>RM</v>
      </c>
      <c r="I1042" s="456" t="str">
        <v>Marble Window Frames with Sill</v>
      </c>
      <c r="J1042" s="456">
        <v>60</v>
      </c>
      <c r="K1042" s="456">
        <v>399.04239999999999</v>
      </c>
      <c r="L1042" s="456">
        <f t="shared" si="178"/>
        <v>1077.4144800000001</v>
      </c>
      <c r="O1042" s="455">
        <f t="shared" si="187"/>
        <v>21.6</v>
      </c>
      <c r="P1042" s="455">
        <f t="shared" si="188"/>
        <v>8619.3158400000011</v>
      </c>
      <c r="R1042" s="480" t="s">
        <v>409</v>
      </c>
    </row>
    <row r="1043" spans="1:18">
      <c r="A1043" s="454"/>
      <c r="B1043" s="454" t="str">
        <v>Others - Counter</v>
      </c>
      <c r="C1043" s="456"/>
      <c r="D1043" s="456"/>
      <c r="E1043" s="456">
        <f>0.6*0.6</f>
        <v>0.36</v>
      </c>
      <c r="F1043" s="456"/>
      <c r="G1043" s="524">
        <f t="shared" si="177"/>
        <v>0.36</v>
      </c>
      <c r="H1043" s="456" t="str">
        <v>Sq M</v>
      </c>
      <c r="I1043" s="456" t="str">
        <v>Basin Counter 1'6" - Granite Basin Counter</v>
      </c>
      <c r="J1043" s="456">
        <v>180</v>
      </c>
      <c r="K1043" s="456">
        <v>6329.6720000000005</v>
      </c>
      <c r="L1043" s="456">
        <f t="shared" si="178"/>
        <v>2278.68192</v>
      </c>
      <c r="O1043" s="455">
        <f t="shared" si="187"/>
        <v>2.88</v>
      </c>
      <c r="P1043" s="455">
        <f t="shared" si="188"/>
        <v>18229.45536</v>
      </c>
      <c r="R1043" s="480" t="s">
        <v>670</v>
      </c>
    </row>
    <row r="1044" spans="1:18" ht="13.8" thickBot="1">
      <c r="A1044" s="454"/>
      <c r="B1044" s="454"/>
      <c r="C1044" s="456"/>
      <c r="D1044" s="456"/>
      <c r="E1044" s="456"/>
      <c r="F1044" s="456"/>
      <c r="G1044" s="525">
        <f>SUM(G979:G1043)</f>
        <v>539.84400000000016</v>
      </c>
      <c r="H1044" s="456"/>
      <c r="I1044" s="456"/>
      <c r="J1044" s="456"/>
      <c r="K1044" s="456"/>
      <c r="L1044" s="525">
        <f>SUM(L979:L1043)</f>
        <v>271639.67265599995</v>
      </c>
      <c r="O1044" s="525">
        <f>SUM(O979:O1043)</f>
        <v>4318.7520000000013</v>
      </c>
      <c r="P1044" s="525">
        <f>SUM(P979:P1043)</f>
        <v>2173117.3812479996</v>
      </c>
    </row>
    <row r="1045" spans="1:18">
      <c r="A1045" s="454"/>
      <c r="B1045" s="529" t="s">
        <v>744</v>
      </c>
      <c r="C1045" s="522"/>
      <c r="D1045" s="522"/>
      <c r="E1045" s="522"/>
      <c r="F1045" s="522"/>
      <c r="G1045" s="530"/>
      <c r="H1045" s="522"/>
      <c r="I1045" s="522"/>
      <c r="J1045" s="522"/>
      <c r="K1045" s="522"/>
      <c r="L1045" s="522"/>
    </row>
    <row r="1046" spans="1:18">
      <c r="A1046" s="454"/>
      <c r="B1046" s="528" t="s">
        <v>355</v>
      </c>
      <c r="C1046" s="522"/>
      <c r="D1046" s="522"/>
      <c r="E1046" s="522"/>
      <c r="F1046" s="522"/>
      <c r="G1046" s="522">
        <f>SUMIF($B$979:$B$1043,B1046,$G$979:$G$1043)</f>
        <v>46.45</v>
      </c>
      <c r="H1046" s="522"/>
      <c r="I1046" s="522"/>
      <c r="J1046" s="522"/>
      <c r="K1046" s="522"/>
      <c r="L1046" s="522">
        <f>SUMIF($B$979:$B$1043,B1046,$L$979:$L$1043)</f>
        <v>62574.092100000002</v>
      </c>
      <c r="O1046" s="455">
        <f t="shared" ref="O1046:O1058" si="189">IF(I1046="N.A",0,G1046*$N$978)</f>
        <v>371.6</v>
      </c>
      <c r="P1046" s="455">
        <f t="shared" ref="P1046:P1058" si="190">L1046*$N$978</f>
        <v>500592.73680000001</v>
      </c>
    </row>
    <row r="1047" spans="1:18">
      <c r="A1047" s="454"/>
      <c r="B1047" s="528" t="s">
        <v>695</v>
      </c>
      <c r="C1047" s="522"/>
      <c r="D1047" s="522"/>
      <c r="E1047" s="522"/>
      <c r="F1047" s="522"/>
      <c r="G1047" s="522">
        <f t="shared" ref="G1047:G1058" si="191">SUMIF($B$979:$B$1043,B1047,$G$979:$G$1043)</f>
        <v>41.12</v>
      </c>
      <c r="H1047" s="522"/>
      <c r="I1047" s="522"/>
      <c r="J1047" s="522"/>
      <c r="K1047" s="522"/>
      <c r="L1047" s="522">
        <f t="shared" ref="L1047:L1058" si="192">SUMIF($B$979:$B$1043,B1047,$L$979:$L$1043)</f>
        <v>16117.395199999999</v>
      </c>
      <c r="O1047" s="455">
        <f t="shared" si="189"/>
        <v>328.96</v>
      </c>
      <c r="P1047" s="455">
        <f t="shared" si="190"/>
        <v>128939.16159999999</v>
      </c>
    </row>
    <row r="1048" spans="1:18">
      <c r="A1048" s="454"/>
      <c r="B1048" s="528" t="s">
        <v>698</v>
      </c>
      <c r="C1048" s="522"/>
      <c r="D1048" s="522"/>
      <c r="E1048" s="522"/>
      <c r="F1048" s="522"/>
      <c r="G1048" s="522">
        <f t="shared" si="191"/>
        <v>29.286000000000001</v>
      </c>
      <c r="H1048" s="522"/>
      <c r="I1048" s="522"/>
      <c r="J1048" s="522"/>
      <c r="K1048" s="522"/>
      <c r="L1048" s="522">
        <f t="shared" si="192"/>
        <v>43344.744300000006</v>
      </c>
      <c r="O1048" s="455">
        <f t="shared" si="189"/>
        <v>234.28800000000001</v>
      </c>
      <c r="P1048" s="455">
        <f t="shared" si="190"/>
        <v>346757.95440000005</v>
      </c>
    </row>
    <row r="1049" spans="1:18">
      <c r="A1049" s="454"/>
      <c r="B1049" s="528" t="s">
        <v>700</v>
      </c>
      <c r="C1049" s="522"/>
      <c r="D1049" s="522"/>
      <c r="E1049" s="522"/>
      <c r="F1049" s="522"/>
      <c r="G1049" s="522">
        <f t="shared" si="191"/>
        <v>116.34400000000001</v>
      </c>
      <c r="H1049" s="522"/>
      <c r="I1049" s="522"/>
      <c r="J1049" s="522"/>
      <c r="K1049" s="522"/>
      <c r="L1049" s="522">
        <f t="shared" si="192"/>
        <v>40074.458111999993</v>
      </c>
      <c r="O1049" s="455">
        <f t="shared" si="189"/>
        <v>930.75200000000007</v>
      </c>
      <c r="P1049" s="455">
        <f t="shared" si="190"/>
        <v>320595.66489599994</v>
      </c>
    </row>
    <row r="1050" spans="1:18">
      <c r="A1050" s="454"/>
      <c r="B1050" s="528" t="s">
        <v>702</v>
      </c>
      <c r="C1050" s="522"/>
      <c r="D1050" s="522"/>
      <c r="E1050" s="522"/>
      <c r="F1050" s="522"/>
      <c r="G1050" s="522">
        <f t="shared" si="191"/>
        <v>46.45</v>
      </c>
      <c r="H1050" s="522"/>
      <c r="I1050" s="522"/>
      <c r="J1050" s="522"/>
      <c r="K1050" s="522"/>
      <c r="L1050" s="522">
        <f t="shared" si="192"/>
        <v>15999.6096</v>
      </c>
      <c r="O1050" s="455">
        <f t="shared" si="189"/>
        <v>371.6</v>
      </c>
      <c r="P1050" s="455">
        <f t="shared" si="190"/>
        <v>127996.8768</v>
      </c>
    </row>
    <row r="1051" spans="1:18">
      <c r="A1051" s="454"/>
      <c r="B1051" s="528" t="s">
        <v>703</v>
      </c>
      <c r="C1051" s="522"/>
      <c r="D1051" s="522"/>
      <c r="E1051" s="522"/>
      <c r="F1051" s="522"/>
      <c r="G1051" s="522">
        <f t="shared" si="191"/>
        <v>0</v>
      </c>
      <c r="H1051" s="522"/>
      <c r="I1051" s="522"/>
      <c r="J1051" s="522"/>
      <c r="K1051" s="522"/>
      <c r="L1051" s="522">
        <f t="shared" si="192"/>
        <v>0</v>
      </c>
      <c r="O1051" s="455">
        <f t="shared" si="189"/>
        <v>0</v>
      </c>
      <c r="P1051" s="455">
        <f t="shared" si="190"/>
        <v>0</v>
      </c>
    </row>
    <row r="1052" spans="1:18">
      <c r="A1052" s="454"/>
      <c r="B1052" s="528" t="s">
        <v>704</v>
      </c>
      <c r="C1052" s="522"/>
      <c r="D1052" s="522"/>
      <c r="E1052" s="522"/>
      <c r="F1052" s="522"/>
      <c r="G1052" s="522">
        <f t="shared" si="191"/>
        <v>116.34400000000001</v>
      </c>
      <c r="H1052" s="522"/>
      <c r="I1052" s="522"/>
      <c r="J1052" s="522"/>
      <c r="K1052" s="522"/>
      <c r="L1052" s="522">
        <f t="shared" si="192"/>
        <v>25046.536319999999</v>
      </c>
      <c r="O1052" s="455">
        <f t="shared" si="189"/>
        <v>930.75200000000007</v>
      </c>
      <c r="P1052" s="455">
        <f t="shared" si="190"/>
        <v>200372.29055999999</v>
      </c>
    </row>
    <row r="1053" spans="1:18">
      <c r="A1053" s="454"/>
      <c r="B1053" s="528" t="s">
        <v>706</v>
      </c>
      <c r="C1053" s="522"/>
      <c r="D1053" s="522"/>
      <c r="E1053" s="522"/>
      <c r="F1053" s="522"/>
      <c r="G1053" s="522">
        <f t="shared" si="191"/>
        <v>46.45</v>
      </c>
      <c r="H1053" s="522"/>
      <c r="I1053" s="522"/>
      <c r="J1053" s="522"/>
      <c r="K1053" s="522"/>
      <c r="L1053" s="522">
        <f t="shared" si="192"/>
        <v>9999.7559999999976</v>
      </c>
      <c r="O1053" s="455">
        <f t="shared" si="189"/>
        <v>371.6</v>
      </c>
      <c r="P1053" s="455">
        <f t="shared" si="190"/>
        <v>79998.047999999981</v>
      </c>
    </row>
    <row r="1054" spans="1:18">
      <c r="A1054" s="454"/>
      <c r="B1054" s="528" t="s">
        <v>713</v>
      </c>
      <c r="C1054" s="522"/>
      <c r="D1054" s="522"/>
      <c r="E1054" s="522"/>
      <c r="F1054" s="522"/>
      <c r="G1054" s="522">
        <f t="shared" si="191"/>
        <v>22.8</v>
      </c>
      <c r="H1054" s="522"/>
      <c r="I1054" s="522"/>
      <c r="J1054" s="522"/>
      <c r="K1054" s="522"/>
      <c r="L1054" s="522">
        <f t="shared" si="192"/>
        <v>14955.140159999999</v>
      </c>
      <c r="O1054" s="455">
        <f t="shared" si="189"/>
        <v>182.4</v>
      </c>
      <c r="P1054" s="455">
        <f t="shared" si="190"/>
        <v>119641.12127999999</v>
      </c>
    </row>
    <row r="1055" spans="1:18">
      <c r="A1055" s="454"/>
      <c r="B1055" s="528" t="s">
        <v>715</v>
      </c>
      <c r="C1055" s="522"/>
      <c r="D1055" s="522"/>
      <c r="E1055" s="522"/>
      <c r="F1055" s="522"/>
      <c r="G1055" s="522">
        <f t="shared" si="191"/>
        <v>36.940000000000005</v>
      </c>
      <c r="H1055" s="522"/>
      <c r="I1055" s="522"/>
      <c r="J1055" s="522"/>
      <c r="K1055" s="522"/>
      <c r="L1055" s="522">
        <f t="shared" si="192"/>
        <v>24229.950767999999</v>
      </c>
      <c r="O1055" s="455">
        <f t="shared" si="189"/>
        <v>295.52000000000004</v>
      </c>
      <c r="P1055" s="455">
        <f t="shared" si="190"/>
        <v>193839.60614399999</v>
      </c>
    </row>
    <row r="1056" spans="1:18">
      <c r="A1056" s="454"/>
      <c r="B1056" s="528" t="s">
        <v>716</v>
      </c>
      <c r="C1056" s="522"/>
      <c r="D1056" s="522"/>
      <c r="E1056" s="522"/>
      <c r="F1056" s="522"/>
      <c r="G1056" s="522">
        <f t="shared" si="191"/>
        <v>36.940000000000005</v>
      </c>
      <c r="H1056" s="522"/>
      <c r="I1056" s="522"/>
      <c r="J1056" s="522"/>
      <c r="K1056" s="522"/>
      <c r="L1056" s="522">
        <f t="shared" si="192"/>
        <v>14740.626255999996</v>
      </c>
      <c r="O1056" s="455">
        <f t="shared" si="189"/>
        <v>295.52000000000004</v>
      </c>
      <c r="P1056" s="455">
        <f t="shared" si="190"/>
        <v>117925.01004799997</v>
      </c>
    </row>
    <row r="1057" spans="1:22">
      <c r="A1057" s="454"/>
      <c r="B1057" s="528" t="s">
        <v>707</v>
      </c>
      <c r="C1057" s="522"/>
      <c r="D1057" s="522"/>
      <c r="E1057" s="522"/>
      <c r="F1057" s="522"/>
      <c r="G1057" s="522">
        <f t="shared" si="191"/>
        <v>0</v>
      </c>
      <c r="H1057" s="522"/>
      <c r="I1057" s="522"/>
      <c r="J1057" s="522"/>
      <c r="K1057" s="522"/>
      <c r="L1057" s="522">
        <f t="shared" si="192"/>
        <v>0</v>
      </c>
      <c r="O1057" s="455">
        <f t="shared" si="189"/>
        <v>0</v>
      </c>
      <c r="P1057" s="455">
        <f t="shared" si="190"/>
        <v>0</v>
      </c>
    </row>
    <row r="1058" spans="1:22">
      <c r="A1058" s="454"/>
      <c r="B1058" s="528" t="s">
        <v>718</v>
      </c>
      <c r="C1058" s="522"/>
      <c r="D1058" s="522"/>
      <c r="E1058" s="522"/>
      <c r="F1058" s="522"/>
      <c r="G1058" s="522">
        <f t="shared" si="191"/>
        <v>0.72</v>
      </c>
      <c r="H1058" s="522"/>
      <c r="I1058" s="522"/>
      <c r="J1058" s="522"/>
      <c r="K1058" s="537"/>
      <c r="L1058" s="537">
        <f t="shared" si="192"/>
        <v>4557.36384</v>
      </c>
      <c r="O1058" s="455">
        <f t="shared" si="189"/>
        <v>5.76</v>
      </c>
      <c r="P1058" s="455">
        <f t="shared" si="190"/>
        <v>36458.91072</v>
      </c>
    </row>
    <row r="1059" spans="1:22" ht="13.8" thickBot="1">
      <c r="A1059" s="454"/>
      <c r="B1059" s="528"/>
      <c r="C1059" s="522"/>
      <c r="D1059" s="522"/>
      <c r="E1059" s="522"/>
      <c r="F1059" s="522"/>
      <c r="G1059" s="525">
        <f>SUM(G1046:G1058)</f>
        <v>539.84400000000005</v>
      </c>
      <c r="H1059" s="522"/>
      <c r="I1059" s="522"/>
      <c r="J1059" s="522"/>
      <c r="K1059" s="533" t="s">
        <v>232</v>
      </c>
      <c r="L1059" s="525">
        <f>SUM(L1046:L1058)</f>
        <v>271639.67265600001</v>
      </c>
      <c r="O1059" s="525">
        <f>SUM(O1046:O1058)</f>
        <v>4318.7520000000004</v>
      </c>
      <c r="P1059" s="525">
        <f>SUM(P1046:P1058)</f>
        <v>2173117.3812480001</v>
      </c>
    </row>
    <row r="1060" spans="1:22">
      <c r="A1060" s="454"/>
      <c r="B1060" s="528" t="s">
        <v>386</v>
      </c>
      <c r="C1060" s="522"/>
      <c r="D1060" s="522"/>
      <c r="E1060" s="522"/>
      <c r="F1060" s="522"/>
      <c r="G1060" s="522">
        <f>Doors!E76</f>
        <v>5</v>
      </c>
      <c r="H1060" s="522"/>
      <c r="I1060" s="522"/>
      <c r="J1060" s="522"/>
      <c r="K1060" s="530"/>
      <c r="L1060" s="530">
        <f>Doors!J76</f>
        <v>94000</v>
      </c>
    </row>
    <row r="1061" spans="1:22">
      <c r="A1061" s="454"/>
      <c r="B1061" s="528" t="s">
        <v>391</v>
      </c>
      <c r="C1061" s="522"/>
      <c r="D1061" s="522"/>
      <c r="E1061" s="522"/>
      <c r="F1061" s="522"/>
      <c r="G1061" s="522">
        <f>Windows!H91</f>
        <v>20.937999999999995</v>
      </c>
      <c r="H1061" s="522"/>
      <c r="I1061" s="522"/>
      <c r="J1061" s="522"/>
      <c r="K1061" s="537"/>
      <c r="L1061" s="537">
        <f>Windows!N91</f>
        <v>123957.14759999997</v>
      </c>
    </row>
    <row r="1062" spans="1:22" ht="13.8" thickBot="1">
      <c r="A1062" s="454"/>
      <c r="B1062" s="528"/>
      <c r="C1062" s="522"/>
      <c r="D1062" s="522"/>
      <c r="E1062" s="522"/>
      <c r="F1062" s="522"/>
      <c r="G1062" s="522"/>
      <c r="H1062" s="522"/>
      <c r="I1062" s="522"/>
      <c r="J1062" s="522"/>
      <c r="K1062" s="525" t="s">
        <v>232</v>
      </c>
      <c r="L1062" s="525">
        <f>SUM(L1060:L1061)</f>
        <v>217957.14759999997</v>
      </c>
    </row>
    <row r="1063" spans="1:22" ht="13.8" thickBot="1">
      <c r="A1063" s="454"/>
      <c r="B1063" s="528"/>
      <c r="C1063" s="522"/>
      <c r="D1063" s="522"/>
      <c r="E1063" s="522"/>
      <c r="F1063" s="522"/>
      <c r="G1063" s="522"/>
      <c r="H1063" s="522"/>
      <c r="I1063" s="522"/>
      <c r="J1063" s="522"/>
      <c r="K1063" s="544" t="s">
        <v>758</v>
      </c>
      <c r="L1063" s="544">
        <f>L1059+L1062</f>
        <v>489596.82025599998</v>
      </c>
    </row>
    <row r="1064" spans="1:22" s="474" customFormat="1" ht="13.5" customHeight="1">
      <c r="A1064" s="465" t="s">
        <v>628</v>
      </c>
      <c r="B1064" s="466" t="str">
        <f>'Flat Sizes'!B89</f>
        <v>Flat 5B,
2BHK</v>
      </c>
      <c r="C1064" s="456"/>
      <c r="D1064" s="456"/>
      <c r="E1064" s="456"/>
      <c r="F1064" s="456"/>
      <c r="G1064" s="456"/>
      <c r="H1064" s="456"/>
      <c r="I1064" s="456"/>
      <c r="J1064" s="456"/>
      <c r="K1064" s="456"/>
      <c r="L1064" s="456"/>
      <c r="M1064" s="471"/>
      <c r="N1064" s="472">
        <f>'Flat Sizes'!H89</f>
        <v>18</v>
      </c>
      <c r="O1064" s="459"/>
      <c r="P1064" s="459"/>
      <c r="Q1064" s="473"/>
      <c r="S1064" s="473"/>
      <c r="T1064" s="473"/>
      <c r="U1064" s="473"/>
      <c r="V1064" s="473"/>
    </row>
    <row r="1065" spans="1:22" s="479" customFormat="1" ht="13.5" customHeight="1">
      <c r="A1065" s="475" t="s">
        <v>628</v>
      </c>
      <c r="B1065" s="476" t="str">
        <f>'Flat Sizes'!B90</f>
        <v>Living, Dining &amp; Passage</v>
      </c>
      <c r="C1065" s="477">
        <f>'Flat Sizes'!D90</f>
        <v>28.62</v>
      </c>
      <c r="D1065" s="477">
        <f>'Flat Sizes'!G90</f>
        <v>29.32</v>
      </c>
      <c r="E1065" s="477"/>
      <c r="F1065" s="454"/>
      <c r="G1065" s="477"/>
      <c r="H1065" s="477"/>
      <c r="I1065" s="477"/>
      <c r="J1065" s="477"/>
      <c r="K1065" s="477"/>
      <c r="L1065" s="477"/>
      <c r="M1065" s="459">
        <f>SUM(L1066:L1076)/C1065/10.764</f>
        <v>374.96143910610232</v>
      </c>
      <c r="N1065" s="472"/>
      <c r="O1065" s="455"/>
      <c r="P1065" s="455"/>
      <c r="Q1065" s="478"/>
    </row>
    <row r="1066" spans="1:22">
      <c r="A1066" s="454"/>
      <c r="B1066" s="454" t="str" cm="1">
        <f t="array" ref="B1066:B1077">'Rate List - Flats'!B6:B17</f>
        <v>Flooring</v>
      </c>
      <c r="C1066" s="456"/>
      <c r="D1066" s="456"/>
      <c r="E1066" s="456">
        <f>C1065</f>
        <v>28.62</v>
      </c>
      <c r="F1066" s="456"/>
      <c r="G1066" s="456">
        <f t="shared" ref="G1066:G1131" si="193">E1066+F1066</f>
        <v>28.62</v>
      </c>
      <c r="H1066" s="456" t="str" cm="1">
        <f t="array" ref="H1066:H1077">'Rate List - Flats'!H6:H17</f>
        <v>Sq M</v>
      </c>
      <c r="I1066" s="456" t="str" cm="1">
        <f t="array" ref="I1066:I1077">'Rate List - Flats'!C6:C17</f>
        <v>2'x2' Vitrified tiles</v>
      </c>
      <c r="J1066" s="456" cm="1">
        <f t="array" ref="J1066:J1077">'Rate List - Flats'!E6:E17</f>
        <v>45</v>
      </c>
      <c r="K1066" s="456" cm="1">
        <f t="array" ref="K1066:K1077">'Rate List - Flats'!G6:G17</f>
        <v>1340.1179999999999</v>
      </c>
      <c r="L1066" s="456">
        <f t="shared" ref="L1066:L1131" si="194">G1066*K1066</f>
        <v>38354.177159999999</v>
      </c>
      <c r="O1066" s="455">
        <f>IF(I1066="N.A",0,G1066*$N$1064)</f>
        <v>515.16</v>
      </c>
      <c r="P1066" s="455">
        <f>L1066*$N$1064</f>
        <v>690375.18888000003</v>
      </c>
      <c r="R1066" s="480" t="s">
        <v>659</v>
      </c>
    </row>
    <row r="1067" spans="1:22">
      <c r="A1067" s="454"/>
      <c r="B1067" s="454" t="str">
        <v>Skirting</v>
      </c>
      <c r="C1067" s="456"/>
      <c r="D1067" s="456"/>
      <c r="E1067" s="456">
        <f>D1065</f>
        <v>29.32</v>
      </c>
      <c r="F1067" s="456">
        <f>-(Doors!F78+Doors!F79+Doors!F81+Doors!F83)</f>
        <v>-3.9</v>
      </c>
      <c r="G1067" s="456">
        <f t="shared" si="193"/>
        <v>25.42</v>
      </c>
      <c r="H1067" s="456" t="str">
        <v>RM</v>
      </c>
      <c r="I1067" s="456" t="str">
        <v xml:space="preserve">2'x2' Vitrified tiles </v>
      </c>
      <c r="J1067" s="456">
        <v>45</v>
      </c>
      <c r="K1067" s="456">
        <v>391.96</v>
      </c>
      <c r="L1067" s="456">
        <f t="shared" si="194"/>
        <v>9963.6232</v>
      </c>
      <c r="O1067" s="455">
        <f t="shared" ref="O1067:O1077" si="195">IF(I1067="N.A",0,G1067*$N$1064)</f>
        <v>457.56000000000006</v>
      </c>
      <c r="P1067" s="455">
        <f t="shared" ref="P1067:P1077" si="196">L1067*$N$1064</f>
        <v>179345.2176</v>
      </c>
      <c r="R1067" s="480" t="s">
        <v>660</v>
      </c>
    </row>
    <row r="1068" spans="1:22">
      <c r="A1068" s="454"/>
      <c r="B1068" s="454" t="str">
        <v>Dado</v>
      </c>
      <c r="C1068" s="456"/>
      <c r="D1068" s="456"/>
      <c r="E1068" s="456"/>
      <c r="F1068" s="456"/>
      <c r="G1068" s="456">
        <f t="shared" si="193"/>
        <v>0</v>
      </c>
      <c r="H1068" s="456" t="str">
        <v>Sq M</v>
      </c>
      <c r="I1068" s="456" t="str">
        <v>N.A.</v>
      </c>
      <c r="J1068" s="456">
        <v>0</v>
      </c>
      <c r="K1068" s="456">
        <v>0</v>
      </c>
      <c r="L1068" s="456">
        <f t="shared" si="194"/>
        <v>0</v>
      </c>
      <c r="O1068" s="455">
        <f t="shared" si="195"/>
        <v>0</v>
      </c>
      <c r="P1068" s="455">
        <f t="shared" si="196"/>
        <v>0</v>
      </c>
      <c r="R1068" s="480"/>
    </row>
    <row r="1069" spans="1:22">
      <c r="A1069" s="454"/>
      <c r="B1069" s="454" t="str">
        <v>Wall finishes plaster</v>
      </c>
      <c r="C1069" s="456"/>
      <c r="D1069" s="456"/>
      <c r="E1069" s="456">
        <f>D1065*(D1-0.15)</f>
        <v>86.494</v>
      </c>
      <c r="F1069" s="456">
        <f>-(Doors!H78+Doors!H79+Doors!H81+Doors!H83+Windows!H93)</f>
        <v>-14.855</v>
      </c>
      <c r="G1069" s="456">
        <f t="shared" si="193"/>
        <v>71.638999999999996</v>
      </c>
      <c r="H1069" s="456" t="str">
        <v>Sq M</v>
      </c>
      <c r="I1069" s="456" t="str">
        <v>Gypsum Plaster</v>
      </c>
      <c r="J1069" s="456">
        <v>32</v>
      </c>
      <c r="K1069" s="456">
        <v>344.44799999999998</v>
      </c>
      <c r="L1069" s="456">
        <f t="shared" si="194"/>
        <v>24675.910271999997</v>
      </c>
      <c r="O1069" s="455">
        <f t="shared" si="195"/>
        <v>1289.502</v>
      </c>
      <c r="P1069" s="455">
        <f t="shared" si="196"/>
        <v>444166.38489599997</v>
      </c>
      <c r="R1069" s="480" t="s">
        <v>661</v>
      </c>
    </row>
    <row r="1070" spans="1:22">
      <c r="A1070" s="454"/>
      <c r="B1070" s="454" t="str">
        <v>Ceiling plaster</v>
      </c>
      <c r="C1070" s="456"/>
      <c r="D1070" s="456"/>
      <c r="E1070" s="456">
        <f>E1066</f>
        <v>28.62</v>
      </c>
      <c r="F1070" s="456"/>
      <c r="G1070" s="456">
        <f t="shared" si="193"/>
        <v>28.62</v>
      </c>
      <c r="H1070" s="456" t="str">
        <v>Sq M</v>
      </c>
      <c r="I1070" s="456" t="str">
        <v>Gypsum Plaster</v>
      </c>
      <c r="J1070" s="456">
        <v>32</v>
      </c>
      <c r="K1070" s="456">
        <v>344.44799999999998</v>
      </c>
      <c r="L1070" s="456">
        <f t="shared" si="194"/>
        <v>9858.1017599999996</v>
      </c>
      <c r="O1070" s="455">
        <f t="shared" si="195"/>
        <v>515.16</v>
      </c>
      <c r="P1070" s="455">
        <f t="shared" si="196"/>
        <v>177445.83168</v>
      </c>
      <c r="R1070" s="480" t="s">
        <v>662</v>
      </c>
    </row>
    <row r="1071" spans="1:22">
      <c r="A1071" s="454"/>
      <c r="B1071" s="454" t="str">
        <v>False ceiling</v>
      </c>
      <c r="C1071" s="456"/>
      <c r="D1071" s="456"/>
      <c r="E1071" s="456"/>
      <c r="F1071" s="456"/>
      <c r="G1071" s="456">
        <f t="shared" si="193"/>
        <v>0</v>
      </c>
      <c r="H1071" s="456" t="str">
        <v>Sq M</v>
      </c>
      <c r="I1071" s="456" t="str">
        <v>N.A.</v>
      </c>
      <c r="J1071" s="456">
        <v>0</v>
      </c>
      <c r="K1071" s="456">
        <v>0</v>
      </c>
      <c r="L1071" s="456">
        <f t="shared" si="194"/>
        <v>0</v>
      </c>
      <c r="O1071" s="455">
        <f t="shared" si="195"/>
        <v>0</v>
      </c>
      <c r="P1071" s="455">
        <f t="shared" si="196"/>
        <v>0</v>
      </c>
      <c r="R1071" s="480"/>
    </row>
    <row r="1072" spans="1:22">
      <c r="A1072" s="454"/>
      <c r="B1072" s="454" t="str">
        <v>Wall finishes Paint</v>
      </c>
      <c r="C1072" s="456"/>
      <c r="D1072" s="456"/>
      <c r="E1072" s="456">
        <f>E1069</f>
        <v>86.494</v>
      </c>
      <c r="F1072" s="456">
        <f>F1069</f>
        <v>-14.855</v>
      </c>
      <c r="G1072" s="456">
        <f t="shared" si="193"/>
        <v>71.638999999999996</v>
      </c>
      <c r="H1072" s="456" t="str">
        <v>Sq M</v>
      </c>
      <c r="I1072" s="456" t="str">
        <v>Plastic paint</v>
      </c>
      <c r="J1072" s="456">
        <v>20</v>
      </c>
      <c r="K1072" s="456">
        <v>215.27999999999997</v>
      </c>
      <c r="L1072" s="456">
        <f t="shared" si="194"/>
        <v>15422.443919999998</v>
      </c>
      <c r="O1072" s="455">
        <f t="shared" si="195"/>
        <v>1289.502</v>
      </c>
      <c r="P1072" s="455">
        <f t="shared" si="196"/>
        <v>277603.99055999995</v>
      </c>
      <c r="R1072" s="480" t="s">
        <v>663</v>
      </c>
    </row>
    <row r="1073" spans="1:18">
      <c r="A1073" s="454"/>
      <c r="B1073" s="454" t="str">
        <v>Ceiling Paint</v>
      </c>
      <c r="C1073" s="456"/>
      <c r="D1073" s="456"/>
      <c r="E1073" s="456">
        <f>E1066</f>
        <v>28.62</v>
      </c>
      <c r="F1073" s="456"/>
      <c r="G1073" s="456">
        <f t="shared" si="193"/>
        <v>28.62</v>
      </c>
      <c r="H1073" s="456" t="str">
        <v>Sq M</v>
      </c>
      <c r="I1073" s="456" t="str">
        <v>Plastic paint</v>
      </c>
      <c r="J1073" s="456">
        <v>20</v>
      </c>
      <c r="K1073" s="456">
        <v>215.27999999999997</v>
      </c>
      <c r="L1073" s="456">
        <f t="shared" si="194"/>
        <v>6161.3135999999995</v>
      </c>
      <c r="O1073" s="455">
        <f t="shared" si="195"/>
        <v>515.16</v>
      </c>
      <c r="P1073" s="455">
        <f t="shared" si="196"/>
        <v>110903.64479999999</v>
      </c>
      <c r="R1073" s="480" t="s">
        <v>664</v>
      </c>
    </row>
    <row r="1074" spans="1:18">
      <c r="A1074" s="454"/>
      <c r="B1074" s="454" t="str">
        <v>Door Frames</v>
      </c>
      <c r="C1074" s="456"/>
      <c r="D1074" s="456"/>
      <c r="E1074" s="456"/>
      <c r="F1074" s="456"/>
      <c r="G1074" s="456">
        <f t="shared" si="193"/>
        <v>0</v>
      </c>
      <c r="H1074" s="456" t="str">
        <v>RM</v>
      </c>
      <c r="I1074" s="456" t="str">
        <v>N.A.</v>
      </c>
      <c r="J1074" s="456">
        <v>0</v>
      </c>
      <c r="K1074" s="456">
        <v>0</v>
      </c>
      <c r="L1074" s="456">
        <f t="shared" si="194"/>
        <v>0</v>
      </c>
      <c r="O1074" s="455">
        <f t="shared" si="195"/>
        <v>0</v>
      </c>
      <c r="P1074" s="455">
        <f t="shared" si="196"/>
        <v>0</v>
      </c>
      <c r="R1074" s="480" t="s">
        <v>742</v>
      </c>
    </row>
    <row r="1075" spans="1:18">
      <c r="A1075" s="454"/>
      <c r="B1075" s="454" t="str">
        <v>Window Frames - Internal</v>
      </c>
      <c r="C1075" s="456"/>
      <c r="D1075" s="456"/>
      <c r="E1075" s="456">
        <f>Windows!F93*2+Windows!G93*2</f>
        <v>10.5</v>
      </c>
      <c r="F1075" s="456"/>
      <c r="G1075" s="456">
        <f t="shared" si="193"/>
        <v>10.5</v>
      </c>
      <c r="H1075" s="456" t="str">
        <v>RM</v>
      </c>
      <c r="I1075" s="456" t="str">
        <v>Granite Window Frame</v>
      </c>
      <c r="J1075" s="456">
        <v>180</v>
      </c>
      <c r="K1075" s="456">
        <v>655.92719999999997</v>
      </c>
      <c r="L1075" s="456">
        <f t="shared" si="194"/>
        <v>6887.2356</v>
      </c>
      <c r="O1075" s="455">
        <f t="shared" si="195"/>
        <v>189</v>
      </c>
      <c r="P1075" s="455">
        <f t="shared" si="196"/>
        <v>123970.2408</v>
      </c>
      <c r="R1075" s="480" t="s">
        <v>743</v>
      </c>
    </row>
    <row r="1076" spans="1:18">
      <c r="A1076" s="454"/>
      <c r="B1076" s="454" t="str">
        <v>Window Frames - External</v>
      </c>
      <c r="C1076" s="456"/>
      <c r="D1076" s="456"/>
      <c r="E1076" s="456">
        <f>E1075</f>
        <v>10.5</v>
      </c>
      <c r="F1076" s="456"/>
      <c r="G1076" s="456">
        <f t="shared" si="193"/>
        <v>10.5</v>
      </c>
      <c r="H1076" s="456" t="str">
        <v>RM</v>
      </c>
      <c r="I1076" s="456" t="str">
        <v>Marble Window Frames with Sill</v>
      </c>
      <c r="J1076" s="456">
        <v>60</v>
      </c>
      <c r="K1076" s="456">
        <v>399.04239999999999</v>
      </c>
      <c r="L1076" s="456">
        <f t="shared" si="194"/>
        <v>4189.9452000000001</v>
      </c>
      <c r="O1076" s="455">
        <f t="shared" si="195"/>
        <v>189</v>
      </c>
      <c r="P1076" s="455">
        <f t="shared" si="196"/>
        <v>75419.013600000006</v>
      </c>
      <c r="R1076" s="480" t="s">
        <v>409</v>
      </c>
    </row>
    <row r="1077" spans="1:18">
      <c r="A1077" s="454"/>
      <c r="B1077" s="454" t="str">
        <v>Others</v>
      </c>
      <c r="C1077" s="456"/>
      <c r="D1077" s="456"/>
      <c r="E1077" s="456"/>
      <c r="F1077" s="456"/>
      <c r="G1077" s="456">
        <f t="shared" si="193"/>
        <v>0</v>
      </c>
      <c r="H1077" s="456" t="str">
        <v>-</v>
      </c>
      <c r="I1077" s="456" t="str">
        <v>N.A.</v>
      </c>
      <c r="J1077" s="456" t="str">
        <v>-</v>
      </c>
      <c r="K1077" s="456" t="str">
        <v>-</v>
      </c>
      <c r="L1077" s="456"/>
      <c r="O1077" s="455">
        <f t="shared" si="195"/>
        <v>0</v>
      </c>
      <c r="P1077" s="455">
        <f t="shared" si="196"/>
        <v>0</v>
      </c>
    </row>
    <row r="1078" spans="1:18" s="479" customFormat="1" ht="13.5" customHeight="1">
      <c r="A1078" s="475" t="s">
        <v>628</v>
      </c>
      <c r="B1078" s="476" t="str">
        <f>'Flat Sizes'!B91</f>
        <v>M. Bedroom</v>
      </c>
      <c r="C1078" s="477">
        <f>'Flat Sizes'!D91</f>
        <v>13.68</v>
      </c>
      <c r="D1078" s="477">
        <f>'Flat Sizes'!G91</f>
        <v>14.11</v>
      </c>
      <c r="E1078" s="477"/>
      <c r="F1078" s="454"/>
      <c r="G1078" s="477"/>
      <c r="H1078" s="477"/>
      <c r="I1078" s="477"/>
      <c r="J1078" s="477"/>
      <c r="K1078" s="477"/>
      <c r="L1078" s="477"/>
      <c r="M1078" s="459">
        <f>SUM(L1079:L1090)/C1078/10.764</f>
        <v>411.20002901158512</v>
      </c>
      <c r="N1078" s="472"/>
      <c r="O1078" s="455"/>
      <c r="P1078" s="455"/>
      <c r="Q1078" s="478"/>
    </row>
    <row r="1079" spans="1:18">
      <c r="A1079" s="454"/>
      <c r="B1079" s="454" t="str" cm="1">
        <f t="array" ref="B1079:B1090">'Rate List - Flats'!B34:B45</f>
        <v>Flooring</v>
      </c>
      <c r="C1079" s="456"/>
      <c r="D1079" s="456"/>
      <c r="E1079" s="456">
        <f>C1078</f>
        <v>13.68</v>
      </c>
      <c r="F1079" s="456"/>
      <c r="G1079" s="456">
        <f t="shared" si="193"/>
        <v>13.68</v>
      </c>
      <c r="H1079" s="456" t="str" cm="1">
        <f t="array" ref="H1079:H1090">'Rate List - Flats'!H34:H45</f>
        <v>Sq M</v>
      </c>
      <c r="I1079" s="456" t="str" cm="1">
        <f t="array" ref="I1079:I1090">'Rate List - Flats'!C34:C45</f>
        <v>2'x2' Vitrified tiles</v>
      </c>
      <c r="J1079" s="456" cm="1">
        <f t="array" ref="J1079:J1090">'Rate List - Flats'!E34:E45</f>
        <v>45</v>
      </c>
      <c r="K1079" s="456" cm="1">
        <f t="array" ref="K1079:K1090">'Rate List - Flats'!G34:G45</f>
        <v>1340.1179999999999</v>
      </c>
      <c r="L1079" s="456">
        <f t="shared" si="194"/>
        <v>18332.81424</v>
      </c>
      <c r="O1079" s="455">
        <f t="shared" ref="O1079:O1089" si="197">IF(I1079="N.A",0,G1079*$N$1064)</f>
        <v>246.24</v>
      </c>
      <c r="P1079" s="455">
        <f t="shared" ref="P1079:P1089" si="198">L1079*$N$1064</f>
        <v>329990.65632000001</v>
      </c>
      <c r="R1079" s="480" t="s">
        <v>659</v>
      </c>
    </row>
    <row r="1080" spans="1:18">
      <c r="A1080" s="454"/>
      <c r="B1080" s="454" t="str">
        <v>Skirting</v>
      </c>
      <c r="C1080" s="456"/>
      <c r="D1080" s="456"/>
      <c r="E1080" s="456">
        <f>D1078</f>
        <v>14.11</v>
      </c>
      <c r="F1080" s="456">
        <f>-(Doors!F79+Doors!F80)</f>
        <v>-1.65</v>
      </c>
      <c r="G1080" s="456">
        <f t="shared" si="193"/>
        <v>12.459999999999999</v>
      </c>
      <c r="H1080" s="456" t="str">
        <v>RM</v>
      </c>
      <c r="I1080" s="456" t="str">
        <v xml:space="preserve">2'x2' Vitrified tiles </v>
      </c>
      <c r="J1080" s="456">
        <v>45</v>
      </c>
      <c r="K1080" s="456">
        <v>391.96</v>
      </c>
      <c r="L1080" s="456">
        <f t="shared" si="194"/>
        <v>4883.8215999999993</v>
      </c>
      <c r="O1080" s="455">
        <f t="shared" si="197"/>
        <v>224.27999999999997</v>
      </c>
      <c r="P1080" s="455">
        <f t="shared" si="198"/>
        <v>87908.78879999998</v>
      </c>
      <c r="R1080" s="480" t="s">
        <v>660</v>
      </c>
    </row>
    <row r="1081" spans="1:18">
      <c r="A1081" s="454"/>
      <c r="B1081" s="454" t="str">
        <v>Dado</v>
      </c>
      <c r="C1081" s="456"/>
      <c r="D1081" s="456"/>
      <c r="E1081" s="456"/>
      <c r="F1081" s="456"/>
      <c r="G1081" s="456">
        <f t="shared" si="193"/>
        <v>0</v>
      </c>
      <c r="H1081" s="456" t="str">
        <v>Sq M</v>
      </c>
      <c r="I1081" s="456" t="str">
        <v>N.A.</v>
      </c>
      <c r="J1081" s="456">
        <v>0</v>
      </c>
      <c r="K1081" s="456">
        <v>0</v>
      </c>
      <c r="L1081" s="456">
        <f t="shared" si="194"/>
        <v>0</v>
      </c>
      <c r="O1081" s="455">
        <f t="shared" si="197"/>
        <v>0</v>
      </c>
      <c r="P1081" s="455">
        <f t="shared" si="198"/>
        <v>0</v>
      </c>
      <c r="R1081" s="480"/>
    </row>
    <row r="1082" spans="1:18">
      <c r="A1082" s="454"/>
      <c r="B1082" s="454" t="str">
        <v>Wall finishes plaster</v>
      </c>
      <c r="C1082" s="456"/>
      <c r="D1082" s="456"/>
      <c r="E1082" s="456">
        <f>D1078*(D1-0.15)</f>
        <v>41.624499999999998</v>
      </c>
      <c r="F1082" s="456">
        <f>-(Doors!F79+Doors!F80+Windows!H94)</f>
        <v>-8.2074999999999996</v>
      </c>
      <c r="G1082" s="456">
        <f t="shared" si="193"/>
        <v>33.417000000000002</v>
      </c>
      <c r="H1082" s="456" t="str">
        <v>Sq M</v>
      </c>
      <c r="I1082" s="456" t="str">
        <v>Gypsum Plaster</v>
      </c>
      <c r="J1082" s="456">
        <v>32</v>
      </c>
      <c r="K1082" s="456">
        <v>344.44799999999998</v>
      </c>
      <c r="L1082" s="456">
        <f t="shared" si="194"/>
        <v>11510.418815999999</v>
      </c>
      <c r="O1082" s="455">
        <f t="shared" si="197"/>
        <v>601.50600000000009</v>
      </c>
      <c r="P1082" s="455">
        <f t="shared" si="198"/>
        <v>207187.538688</v>
      </c>
      <c r="R1082" s="480" t="s">
        <v>661</v>
      </c>
    </row>
    <row r="1083" spans="1:18">
      <c r="A1083" s="454"/>
      <c r="B1083" s="454" t="str">
        <v>Ceiling plaster</v>
      </c>
      <c r="C1083" s="456"/>
      <c r="D1083" s="456"/>
      <c r="E1083" s="456">
        <f>E1079</f>
        <v>13.68</v>
      </c>
      <c r="F1083" s="456"/>
      <c r="G1083" s="456">
        <f t="shared" si="193"/>
        <v>13.68</v>
      </c>
      <c r="H1083" s="456" t="str">
        <v>Sq M</v>
      </c>
      <c r="I1083" s="456" t="str">
        <v>Gypsum Plaster</v>
      </c>
      <c r="J1083" s="456">
        <v>32</v>
      </c>
      <c r="K1083" s="456">
        <v>344.44799999999998</v>
      </c>
      <c r="L1083" s="456">
        <f t="shared" si="194"/>
        <v>4712.04864</v>
      </c>
      <c r="O1083" s="455">
        <f t="shared" si="197"/>
        <v>246.24</v>
      </c>
      <c r="P1083" s="455">
        <f t="shared" si="198"/>
        <v>84816.875520000001</v>
      </c>
      <c r="R1083" s="480" t="s">
        <v>662</v>
      </c>
    </row>
    <row r="1084" spans="1:18">
      <c r="A1084" s="454"/>
      <c r="B1084" s="454" t="str">
        <v>False ceiling</v>
      </c>
      <c r="C1084" s="456"/>
      <c r="D1084" s="456"/>
      <c r="E1084" s="456"/>
      <c r="F1084" s="456"/>
      <c r="G1084" s="456">
        <f t="shared" si="193"/>
        <v>0</v>
      </c>
      <c r="H1084" s="456" t="str">
        <v>Sq M</v>
      </c>
      <c r="I1084" s="456" t="str">
        <v>N.A.</v>
      </c>
      <c r="J1084" s="456">
        <v>0</v>
      </c>
      <c r="K1084" s="456">
        <v>0</v>
      </c>
      <c r="L1084" s="456">
        <f t="shared" si="194"/>
        <v>0</v>
      </c>
      <c r="O1084" s="455">
        <f t="shared" si="197"/>
        <v>0</v>
      </c>
      <c r="P1084" s="455">
        <f t="shared" si="198"/>
        <v>0</v>
      </c>
      <c r="R1084" s="480"/>
    </row>
    <row r="1085" spans="1:18">
      <c r="A1085" s="454"/>
      <c r="B1085" s="454" t="str">
        <v>Wall finishes Paint</v>
      </c>
      <c r="C1085" s="456"/>
      <c r="D1085" s="456"/>
      <c r="E1085" s="456">
        <f>E1082</f>
        <v>41.624499999999998</v>
      </c>
      <c r="F1085" s="456">
        <f>F1082</f>
        <v>-8.2074999999999996</v>
      </c>
      <c r="G1085" s="456">
        <f t="shared" si="193"/>
        <v>33.417000000000002</v>
      </c>
      <c r="H1085" s="456" t="str">
        <v>Sq M</v>
      </c>
      <c r="I1085" s="456" t="str">
        <v>Plastic paint</v>
      </c>
      <c r="J1085" s="456">
        <v>20</v>
      </c>
      <c r="K1085" s="456">
        <v>215.27999999999997</v>
      </c>
      <c r="L1085" s="456">
        <f t="shared" si="194"/>
        <v>7194.0117599999994</v>
      </c>
      <c r="O1085" s="455">
        <f t="shared" si="197"/>
        <v>601.50600000000009</v>
      </c>
      <c r="P1085" s="455">
        <f t="shared" si="198"/>
        <v>129492.21167999999</v>
      </c>
      <c r="R1085" s="480" t="s">
        <v>663</v>
      </c>
    </row>
    <row r="1086" spans="1:18">
      <c r="A1086" s="454"/>
      <c r="B1086" s="454" t="str">
        <v>Ceiling Paint</v>
      </c>
      <c r="C1086" s="456"/>
      <c r="D1086" s="456"/>
      <c r="E1086" s="456">
        <f>E1083</f>
        <v>13.68</v>
      </c>
      <c r="F1086" s="456"/>
      <c r="G1086" s="456">
        <f t="shared" si="193"/>
        <v>13.68</v>
      </c>
      <c r="H1086" s="456" t="str">
        <v>Sq M</v>
      </c>
      <c r="I1086" s="456" t="str">
        <v>Plastic paint</v>
      </c>
      <c r="J1086" s="456">
        <v>20</v>
      </c>
      <c r="K1086" s="456">
        <v>215.27999999999997</v>
      </c>
      <c r="L1086" s="456">
        <f t="shared" si="194"/>
        <v>2945.0303999999996</v>
      </c>
      <c r="O1086" s="455">
        <f t="shared" si="197"/>
        <v>246.24</v>
      </c>
      <c r="P1086" s="455">
        <f t="shared" si="198"/>
        <v>53010.547199999994</v>
      </c>
      <c r="R1086" s="480" t="s">
        <v>664</v>
      </c>
    </row>
    <row r="1087" spans="1:18">
      <c r="A1087" s="454"/>
      <c r="B1087" s="454" t="str">
        <v>Door Frames</v>
      </c>
      <c r="C1087" s="456"/>
      <c r="D1087" s="456"/>
      <c r="E1087" s="456"/>
      <c r="F1087" s="456"/>
      <c r="G1087" s="456">
        <f t="shared" si="193"/>
        <v>0</v>
      </c>
      <c r="H1087" s="456" t="str">
        <v>RM</v>
      </c>
      <c r="I1087" s="456" t="str">
        <v>N.A.</v>
      </c>
      <c r="J1087" s="456">
        <v>0</v>
      </c>
      <c r="K1087" s="456">
        <v>0</v>
      </c>
      <c r="L1087" s="456">
        <f t="shared" si="194"/>
        <v>0</v>
      </c>
      <c r="O1087" s="455">
        <f t="shared" si="197"/>
        <v>0</v>
      </c>
      <c r="P1087" s="455">
        <f t="shared" si="198"/>
        <v>0</v>
      </c>
      <c r="R1087" s="480"/>
    </row>
    <row r="1088" spans="1:18">
      <c r="A1088" s="454"/>
      <c r="B1088" s="454" t="str">
        <v>Window Frames - Internal</v>
      </c>
      <c r="C1088" s="456"/>
      <c r="D1088" s="456"/>
      <c r="E1088" s="456">
        <f>Windows!F94*2+Windows!G94*2</f>
        <v>10.399999999999999</v>
      </c>
      <c r="F1088" s="456"/>
      <c r="G1088" s="456">
        <f t="shared" si="193"/>
        <v>10.399999999999999</v>
      </c>
      <c r="H1088" s="456" t="str">
        <v>RM</v>
      </c>
      <c r="I1088" s="456" t="str">
        <v>Granite Window Frame</v>
      </c>
      <c r="J1088" s="456">
        <v>180</v>
      </c>
      <c r="K1088" s="456">
        <v>655.92719999999997</v>
      </c>
      <c r="L1088" s="456">
        <f t="shared" si="194"/>
        <v>6821.6428799999985</v>
      </c>
      <c r="O1088" s="455">
        <f t="shared" si="197"/>
        <v>187.2</v>
      </c>
      <c r="P1088" s="455">
        <f t="shared" si="198"/>
        <v>122789.57183999998</v>
      </c>
      <c r="R1088" s="480" t="s">
        <v>743</v>
      </c>
    </row>
    <row r="1089" spans="1:18">
      <c r="A1089" s="454"/>
      <c r="B1089" s="454" t="str">
        <v>Window Frames - External</v>
      </c>
      <c r="C1089" s="456"/>
      <c r="D1089" s="456"/>
      <c r="E1089" s="456">
        <f>E1088</f>
        <v>10.399999999999999</v>
      </c>
      <c r="F1089" s="456"/>
      <c r="G1089" s="456">
        <f t="shared" si="193"/>
        <v>10.399999999999999</v>
      </c>
      <c r="H1089" s="456" t="str">
        <v>RM</v>
      </c>
      <c r="I1089" s="456" t="str">
        <v>Marble Window Frames with Sill</v>
      </c>
      <c r="J1089" s="456">
        <v>60</v>
      </c>
      <c r="K1089" s="456">
        <v>399.04239999999999</v>
      </c>
      <c r="L1089" s="456">
        <f t="shared" si="194"/>
        <v>4150.0409599999994</v>
      </c>
      <c r="O1089" s="455">
        <f t="shared" si="197"/>
        <v>187.2</v>
      </c>
      <c r="P1089" s="455">
        <f t="shared" si="198"/>
        <v>74700.737279999987</v>
      </c>
      <c r="R1089" s="480" t="s">
        <v>409</v>
      </c>
    </row>
    <row r="1090" spans="1:18">
      <c r="A1090" s="454"/>
      <c r="B1090" s="454" t="str">
        <v>Others</v>
      </c>
      <c r="C1090" s="456"/>
      <c r="D1090" s="456"/>
      <c r="E1090" s="456"/>
      <c r="F1090" s="456"/>
      <c r="G1090" s="456">
        <f t="shared" si="193"/>
        <v>0</v>
      </c>
      <c r="H1090" s="456" t="str">
        <v>-</v>
      </c>
      <c r="I1090" s="456" t="str">
        <v>N.A.</v>
      </c>
      <c r="J1090" s="456">
        <v>0</v>
      </c>
      <c r="K1090" s="456">
        <v>0</v>
      </c>
      <c r="L1090" s="456">
        <f t="shared" si="194"/>
        <v>0</v>
      </c>
      <c r="O1090" s="455"/>
      <c r="P1090" s="455"/>
    </row>
    <row r="1091" spans="1:18" s="479" customFormat="1" ht="13.5" customHeight="1">
      <c r="A1091" s="475" t="s">
        <v>628</v>
      </c>
      <c r="B1091" s="476" t="str">
        <f>'Flat Sizes'!B92</f>
        <v>M. Toilet</v>
      </c>
      <c r="C1091" s="477">
        <f>'Flat Sizes'!D92</f>
        <v>3.27</v>
      </c>
      <c r="D1091" s="477">
        <f>'Flat Sizes'!G92</f>
        <v>7.64</v>
      </c>
      <c r="E1091" s="477"/>
      <c r="F1091" s="454"/>
      <c r="G1091" s="477"/>
      <c r="H1091" s="477"/>
      <c r="I1091" s="477"/>
      <c r="J1091" s="477"/>
      <c r="K1091" s="477"/>
      <c r="L1091" s="477"/>
      <c r="M1091" s="459">
        <f>SUM(L1092:L1103)/C1091/10.764</f>
        <v>1311.00945199595</v>
      </c>
      <c r="N1091" s="472"/>
      <c r="O1091" s="455"/>
      <c r="P1091" s="455"/>
      <c r="Q1091" s="478"/>
    </row>
    <row r="1092" spans="1:18">
      <c r="A1092" s="454"/>
      <c r="B1092" s="454" t="str" cm="1">
        <f t="array" ref="B1092:B1103">'Rate List - Flats'!B62:B73</f>
        <v>Flooring</v>
      </c>
      <c r="C1092" s="456"/>
      <c r="D1092" s="456"/>
      <c r="E1092" s="456">
        <f>C1091</f>
        <v>3.27</v>
      </c>
      <c r="F1092" s="456"/>
      <c r="G1092" s="456">
        <f t="shared" si="193"/>
        <v>3.27</v>
      </c>
      <c r="H1092" s="456" t="str" cm="1">
        <f t="array" ref="H1092:H1103">'Rate List - Flats'!H62:H73</f>
        <v>Sq M</v>
      </c>
      <c r="I1092" s="456" t="str" cm="1">
        <f t="array" ref="I1092:I1103">'Rate List - Flats'!C62:C73</f>
        <v>Ceramic tiles/vitrified anti-skid tiles</v>
      </c>
      <c r="J1092" s="456" cm="1">
        <f t="array" ref="J1092:J1103">'Rate List - Flats'!E62:E73</f>
        <v>50</v>
      </c>
      <c r="K1092" s="456" cm="1">
        <f t="array" ref="K1092:K1103">'Rate List - Flats'!G62:G73</f>
        <v>1399.32</v>
      </c>
      <c r="L1092" s="456">
        <f t="shared" si="194"/>
        <v>4575.7763999999997</v>
      </c>
      <c r="O1092" s="455">
        <f t="shared" ref="O1092:O1103" si="199">IF(I1092="N.A",0,G1092*$N$1064)</f>
        <v>58.86</v>
      </c>
      <c r="P1092" s="455">
        <f t="shared" ref="P1092:P1103" si="200">L1092*$N$1064</f>
        <v>82363.975200000001</v>
      </c>
      <c r="R1092" s="480" t="s">
        <v>667</v>
      </c>
    </row>
    <row r="1093" spans="1:18">
      <c r="A1093" s="454"/>
      <c r="B1093" s="454" t="str">
        <v>Skirting</v>
      </c>
      <c r="C1093" s="456"/>
      <c r="D1093" s="456"/>
      <c r="E1093" s="456"/>
      <c r="F1093" s="456"/>
      <c r="G1093" s="456">
        <f t="shared" si="193"/>
        <v>0</v>
      </c>
      <c r="H1093" s="456" t="str">
        <v xml:space="preserve">RM </v>
      </c>
      <c r="I1093" s="456" t="str">
        <v>N.A.</v>
      </c>
      <c r="J1093" s="456">
        <v>0</v>
      </c>
      <c r="K1093" s="456">
        <v>0</v>
      </c>
      <c r="L1093" s="456">
        <f t="shared" si="194"/>
        <v>0</v>
      </c>
      <c r="O1093" s="455">
        <f t="shared" si="199"/>
        <v>0</v>
      </c>
      <c r="P1093" s="455">
        <f t="shared" si="200"/>
        <v>0</v>
      </c>
      <c r="R1093" s="480"/>
    </row>
    <row r="1094" spans="1:18">
      <c r="A1094" s="454"/>
      <c r="B1094" s="454" t="str">
        <v>Dado</v>
      </c>
      <c r="C1094" s="456"/>
      <c r="D1094" s="456">
        <f>D1-0.7</f>
        <v>2.4000000000000004</v>
      </c>
      <c r="E1094" s="456">
        <f>D1091*D1094</f>
        <v>18.336000000000002</v>
      </c>
      <c r="F1094" s="456">
        <f>-(Doors!H80+Windows!H95)</f>
        <v>-2.0250000000000004</v>
      </c>
      <c r="G1094" s="456">
        <f t="shared" si="193"/>
        <v>16.311</v>
      </c>
      <c r="H1094" s="456" t="str">
        <v>Sq M</v>
      </c>
      <c r="I1094" s="456" t="str">
        <v>Vitrified tiles</v>
      </c>
      <c r="J1094" s="456">
        <v>50</v>
      </c>
      <c r="K1094" s="456">
        <v>1480.05</v>
      </c>
      <c r="L1094" s="456">
        <f t="shared" si="194"/>
        <v>24141.095549999998</v>
      </c>
      <c r="O1094" s="455">
        <f t="shared" si="199"/>
        <v>293.59800000000001</v>
      </c>
      <c r="P1094" s="455">
        <f t="shared" si="200"/>
        <v>434539.71989999997</v>
      </c>
      <c r="R1094" s="480" t="s">
        <v>668</v>
      </c>
    </row>
    <row r="1095" spans="1:18">
      <c r="A1095" s="454"/>
      <c r="B1095" s="454" t="str">
        <v>Wall finishes plaster</v>
      </c>
      <c r="C1095" s="456"/>
      <c r="D1095" s="456">
        <f>D1-D1094</f>
        <v>0.69999999999999973</v>
      </c>
      <c r="E1095" s="456">
        <f>D1091*D1095</f>
        <v>5.3479999999999981</v>
      </c>
      <c r="F1095" s="456"/>
      <c r="G1095" s="456">
        <f t="shared" si="193"/>
        <v>5.3479999999999981</v>
      </c>
      <c r="H1095" s="456" t="str">
        <v>Sq M</v>
      </c>
      <c r="I1095" s="456" t="str">
        <v>Gypsum Plaster</v>
      </c>
      <c r="J1095" s="456">
        <v>32</v>
      </c>
      <c r="K1095" s="456">
        <v>344.44799999999998</v>
      </c>
      <c r="L1095" s="456">
        <f t="shared" si="194"/>
        <v>1842.1079039999993</v>
      </c>
      <c r="O1095" s="455">
        <f t="shared" si="199"/>
        <v>96.263999999999967</v>
      </c>
      <c r="P1095" s="455">
        <f t="shared" si="200"/>
        <v>33157.942271999986</v>
      </c>
      <c r="R1095" s="480" t="s">
        <v>661</v>
      </c>
    </row>
    <row r="1096" spans="1:18">
      <c r="A1096" s="454"/>
      <c r="B1096" s="454" t="str">
        <v>Ceiling plaster</v>
      </c>
      <c r="C1096" s="456"/>
      <c r="D1096" s="456"/>
      <c r="E1096" s="456">
        <f>E1092</f>
        <v>3.27</v>
      </c>
      <c r="F1096" s="456"/>
      <c r="G1096" s="456">
        <f t="shared" si="193"/>
        <v>3.27</v>
      </c>
      <c r="H1096" s="456" t="str">
        <v>Sq M</v>
      </c>
      <c r="I1096" s="456" t="str">
        <v>Gypsum Plaster</v>
      </c>
      <c r="J1096" s="456">
        <v>32</v>
      </c>
      <c r="K1096" s="456">
        <v>344.44799999999998</v>
      </c>
      <c r="L1096" s="456">
        <f t="shared" si="194"/>
        <v>1126.3449599999999</v>
      </c>
      <c r="O1096" s="455">
        <f t="shared" si="199"/>
        <v>58.86</v>
      </c>
      <c r="P1096" s="455">
        <f t="shared" si="200"/>
        <v>20274.209279999999</v>
      </c>
      <c r="R1096" s="480" t="s">
        <v>662</v>
      </c>
    </row>
    <row r="1097" spans="1:18">
      <c r="A1097" s="454"/>
      <c r="B1097" s="454" t="str">
        <v>False ceiling</v>
      </c>
      <c r="C1097" s="456"/>
      <c r="D1097" s="456"/>
      <c r="E1097" s="456"/>
      <c r="F1097" s="456"/>
      <c r="G1097" s="456">
        <f t="shared" si="193"/>
        <v>0</v>
      </c>
      <c r="H1097" s="456" t="str">
        <v>Sq M</v>
      </c>
      <c r="I1097" s="456" t="str">
        <v>N.A.</v>
      </c>
      <c r="J1097" s="456">
        <v>0</v>
      </c>
      <c r="K1097" s="456">
        <v>0</v>
      </c>
      <c r="L1097" s="456">
        <f t="shared" si="194"/>
        <v>0</v>
      </c>
      <c r="O1097" s="455">
        <f t="shared" si="199"/>
        <v>0</v>
      </c>
      <c r="P1097" s="455">
        <f t="shared" si="200"/>
        <v>0</v>
      </c>
      <c r="R1097" s="480"/>
    </row>
    <row r="1098" spans="1:18">
      <c r="A1098" s="454"/>
      <c r="B1098" s="454" t="str">
        <v>Wall finishes Paint</v>
      </c>
      <c r="C1098" s="456"/>
      <c r="D1098" s="456"/>
      <c r="E1098" s="456">
        <f>E1095</f>
        <v>5.3479999999999981</v>
      </c>
      <c r="F1098" s="456"/>
      <c r="G1098" s="456">
        <f t="shared" si="193"/>
        <v>5.3479999999999981</v>
      </c>
      <c r="H1098" s="456" t="str">
        <v>Sq M</v>
      </c>
      <c r="I1098" s="456" t="str">
        <v>Plastic paint</v>
      </c>
      <c r="J1098" s="456">
        <v>20</v>
      </c>
      <c r="K1098" s="456">
        <v>215.27999999999997</v>
      </c>
      <c r="L1098" s="456">
        <f t="shared" si="194"/>
        <v>1151.3174399999994</v>
      </c>
      <c r="O1098" s="455">
        <f t="shared" si="199"/>
        <v>96.263999999999967</v>
      </c>
      <c r="P1098" s="455">
        <f t="shared" si="200"/>
        <v>20723.713919999987</v>
      </c>
      <c r="R1098" s="480" t="s">
        <v>663</v>
      </c>
    </row>
    <row r="1099" spans="1:18">
      <c r="A1099" s="454"/>
      <c r="B1099" s="454" t="str">
        <v>Ceiling Paint</v>
      </c>
      <c r="C1099" s="456"/>
      <c r="D1099" s="456"/>
      <c r="E1099" s="456">
        <f>E1096</f>
        <v>3.27</v>
      </c>
      <c r="F1099" s="456"/>
      <c r="G1099" s="456">
        <f t="shared" si="193"/>
        <v>3.27</v>
      </c>
      <c r="H1099" s="456" t="str">
        <v>Sq M</v>
      </c>
      <c r="I1099" s="456" t="str">
        <v>Plastic paint</v>
      </c>
      <c r="J1099" s="456">
        <v>20</v>
      </c>
      <c r="K1099" s="456">
        <v>215.27999999999997</v>
      </c>
      <c r="L1099" s="456">
        <f t="shared" si="194"/>
        <v>703.96559999999988</v>
      </c>
      <c r="O1099" s="455">
        <f t="shared" si="199"/>
        <v>58.86</v>
      </c>
      <c r="P1099" s="455">
        <f t="shared" si="200"/>
        <v>12671.380799999997</v>
      </c>
      <c r="R1099" s="480" t="s">
        <v>664</v>
      </c>
    </row>
    <row r="1100" spans="1:18">
      <c r="A1100" s="454"/>
      <c r="B1100" s="454" t="str">
        <v>Door Frames</v>
      </c>
      <c r="C1100" s="456"/>
      <c r="D1100" s="456"/>
      <c r="E1100" s="456">
        <f>Doors!F80*4+Doors!G80*4</f>
        <v>11.4</v>
      </c>
      <c r="F1100" s="456"/>
      <c r="G1100" s="456">
        <f t="shared" si="193"/>
        <v>11.4</v>
      </c>
      <c r="H1100" s="456" t="str">
        <v>RM</v>
      </c>
      <c r="I1100" s="456" t="str">
        <v>Granite Frames</v>
      </c>
      <c r="J1100" s="456">
        <v>180</v>
      </c>
      <c r="K1100" s="456">
        <v>655.92719999999997</v>
      </c>
      <c r="L1100" s="456">
        <f t="shared" si="194"/>
        <v>7477.5700799999995</v>
      </c>
      <c r="O1100" s="455">
        <f t="shared" si="199"/>
        <v>205.20000000000002</v>
      </c>
      <c r="P1100" s="455">
        <f t="shared" si="200"/>
        <v>134596.26144</v>
      </c>
      <c r="R1100" s="480" t="s">
        <v>669</v>
      </c>
    </row>
    <row r="1101" spans="1:18">
      <c r="A1101" s="454"/>
      <c r="B1101" s="454" t="str">
        <v>Window Frames - Internal</v>
      </c>
      <c r="C1101" s="456"/>
      <c r="D1101" s="456"/>
      <c r="E1101" s="456">
        <f>Windows!F95*2+Windows!G95*2</f>
        <v>2.7</v>
      </c>
      <c r="F1101" s="456"/>
      <c r="G1101" s="456">
        <f t="shared" si="193"/>
        <v>2.7</v>
      </c>
      <c r="H1101" s="456" t="str">
        <v>RM</v>
      </c>
      <c r="I1101" s="456" t="str">
        <v>Granite Window Frame</v>
      </c>
      <c r="J1101" s="456">
        <v>180</v>
      </c>
      <c r="K1101" s="456">
        <v>655.92719999999997</v>
      </c>
      <c r="L1101" s="456">
        <f t="shared" si="194"/>
        <v>1771.00344</v>
      </c>
      <c r="O1101" s="455">
        <f t="shared" si="199"/>
        <v>48.6</v>
      </c>
      <c r="P1101" s="455">
        <f t="shared" si="200"/>
        <v>31878.06192</v>
      </c>
      <c r="R1101" s="480" t="s">
        <v>743</v>
      </c>
    </row>
    <row r="1102" spans="1:18">
      <c r="A1102" s="454"/>
      <c r="B1102" s="454" t="str">
        <v>Window Frames - External</v>
      </c>
      <c r="C1102" s="456"/>
      <c r="D1102" s="456"/>
      <c r="E1102" s="456">
        <f>E1101</f>
        <v>2.7</v>
      </c>
      <c r="F1102" s="456"/>
      <c r="G1102" s="456">
        <f t="shared" si="193"/>
        <v>2.7</v>
      </c>
      <c r="H1102" s="456" t="str">
        <v>RM</v>
      </c>
      <c r="I1102" s="456" t="str">
        <v>Marble Window Frames with Sill</v>
      </c>
      <c r="J1102" s="456">
        <v>60</v>
      </c>
      <c r="K1102" s="456">
        <v>399.04239999999999</v>
      </c>
      <c r="L1102" s="456">
        <f t="shared" si="194"/>
        <v>1077.4144800000001</v>
      </c>
      <c r="O1102" s="455">
        <f t="shared" si="199"/>
        <v>48.6</v>
      </c>
      <c r="P1102" s="455">
        <f t="shared" si="200"/>
        <v>19393.460640000001</v>
      </c>
      <c r="R1102" s="480" t="s">
        <v>409</v>
      </c>
    </row>
    <row r="1103" spans="1:18">
      <c r="A1103" s="454"/>
      <c r="B1103" s="454" t="str">
        <v>Others - Counter</v>
      </c>
      <c r="C1103" s="456"/>
      <c r="D1103" s="456"/>
      <c r="E1103" s="456">
        <f>0.6*0.6</f>
        <v>0.36</v>
      </c>
      <c r="F1103" s="456"/>
      <c r="G1103" s="456">
        <f t="shared" si="193"/>
        <v>0.36</v>
      </c>
      <c r="H1103" s="456" t="str">
        <v>Sq M</v>
      </c>
      <c r="I1103" s="456" t="str">
        <v>Basin Counter 1'6" - Granite Basin Counter</v>
      </c>
      <c r="J1103" s="456">
        <v>180</v>
      </c>
      <c r="K1103" s="456">
        <v>6329.6720000000005</v>
      </c>
      <c r="L1103" s="456">
        <f t="shared" si="194"/>
        <v>2278.68192</v>
      </c>
      <c r="O1103" s="455">
        <f t="shared" si="199"/>
        <v>6.4799999999999995</v>
      </c>
      <c r="P1103" s="455">
        <f t="shared" si="200"/>
        <v>41016.274559999998</v>
      </c>
      <c r="R1103" s="480" t="s">
        <v>670</v>
      </c>
    </row>
    <row r="1104" spans="1:18" s="479" customFormat="1" ht="13.5" customHeight="1">
      <c r="A1104" s="475" t="s">
        <v>628</v>
      </c>
      <c r="B1104" s="476" t="str">
        <f>'Flat Sizes'!B93</f>
        <v>C. Bedroom</v>
      </c>
      <c r="C1104" s="477">
        <f>'Flat Sizes'!D93</f>
        <v>10.62</v>
      </c>
      <c r="D1104" s="477">
        <f>'Flat Sizes'!G93</f>
        <v>13.56</v>
      </c>
      <c r="E1104" s="477"/>
      <c r="F1104" s="454"/>
      <c r="G1104" s="477"/>
      <c r="H1104" s="477"/>
      <c r="I1104" s="477"/>
      <c r="J1104" s="477"/>
      <c r="K1104" s="477"/>
      <c r="L1104" s="477"/>
      <c r="M1104" s="459">
        <f>SUM(L1105:L1116)/C1104/10.764</f>
        <v>461.65053785338728</v>
      </c>
      <c r="N1104" s="472"/>
      <c r="O1104" s="455"/>
      <c r="P1104" s="455"/>
      <c r="Q1104" s="478"/>
    </row>
    <row r="1105" spans="1:18">
      <c r="A1105" s="454"/>
      <c r="B1105" s="454" t="str" cm="1">
        <f t="array" ref="B1105:B1116">'Rate List - Flats'!B48:B59</f>
        <v>Flooring</v>
      </c>
      <c r="C1105" s="456"/>
      <c r="D1105" s="456"/>
      <c r="E1105" s="456">
        <f>C1104</f>
        <v>10.62</v>
      </c>
      <c r="F1105" s="456"/>
      <c r="G1105" s="456">
        <f t="shared" si="193"/>
        <v>10.62</v>
      </c>
      <c r="H1105" s="456" t="str" cm="1">
        <f t="array" ref="H1105:H1116">'Rate List - Flats'!H48:H59</f>
        <v>Sq M</v>
      </c>
      <c r="I1105" s="456" t="str" cm="1">
        <f t="array" ref="I1105:I1116">'Rate List - Flats'!C48:C59</f>
        <v>2'x2' Vitrified tiles</v>
      </c>
      <c r="J1105" s="456" cm="1">
        <f t="array" ref="J1105:J1116">'Rate List - Flats'!E48:E59</f>
        <v>45</v>
      </c>
      <c r="K1105" s="456" cm="1">
        <f t="array" ref="K1105:K1116">'Rate List - Flats'!G48:G59</f>
        <v>1340.1179999999999</v>
      </c>
      <c r="L1105" s="456">
        <f t="shared" si="194"/>
        <v>14232.053159999998</v>
      </c>
      <c r="O1105" s="455">
        <f t="shared" ref="O1105:O1116" si="201">IF(I1105="N.A",0,G1105*$N$1064)</f>
        <v>191.16</v>
      </c>
      <c r="P1105" s="455">
        <f t="shared" ref="P1105:P1116" si="202">L1105*$N$1064</f>
        <v>256176.95687999995</v>
      </c>
      <c r="R1105" s="480" t="s">
        <v>659</v>
      </c>
    </row>
    <row r="1106" spans="1:18">
      <c r="A1106" s="454"/>
      <c r="B1106" s="454" t="str">
        <v>Skirting</v>
      </c>
      <c r="C1106" s="456"/>
      <c r="D1106" s="456"/>
      <c r="E1106" s="456">
        <f>D1104</f>
        <v>13.56</v>
      </c>
      <c r="F1106" s="456">
        <f>-(Doors!F81+Doors!F82)</f>
        <v>-1.65</v>
      </c>
      <c r="G1106" s="456">
        <f t="shared" si="193"/>
        <v>11.91</v>
      </c>
      <c r="H1106" s="456" t="str">
        <v>RM</v>
      </c>
      <c r="I1106" s="456" t="str">
        <v xml:space="preserve">2'x2' Vitrified tiles </v>
      </c>
      <c r="J1106" s="456">
        <v>45</v>
      </c>
      <c r="K1106" s="456">
        <v>391.96</v>
      </c>
      <c r="L1106" s="456">
        <f t="shared" si="194"/>
        <v>4668.2435999999998</v>
      </c>
      <c r="O1106" s="455">
        <f t="shared" si="201"/>
        <v>214.38</v>
      </c>
      <c r="P1106" s="455">
        <f t="shared" si="202"/>
        <v>84028.3848</v>
      </c>
      <c r="R1106" s="480" t="s">
        <v>660</v>
      </c>
    </row>
    <row r="1107" spans="1:18">
      <c r="A1107" s="454"/>
      <c r="B1107" s="454" t="str">
        <v>Dado</v>
      </c>
      <c r="C1107" s="456"/>
      <c r="D1107" s="456"/>
      <c r="E1107" s="456"/>
      <c r="F1107" s="456"/>
      <c r="G1107" s="456">
        <f t="shared" si="193"/>
        <v>0</v>
      </c>
      <c r="H1107" s="456" t="str">
        <v>Sq M</v>
      </c>
      <c r="I1107" s="456" t="str">
        <v>N.A.</v>
      </c>
      <c r="J1107" s="456">
        <v>0</v>
      </c>
      <c r="K1107" s="456">
        <v>0</v>
      </c>
      <c r="L1107" s="456">
        <f t="shared" si="194"/>
        <v>0</v>
      </c>
      <c r="O1107" s="455">
        <f t="shared" si="201"/>
        <v>0</v>
      </c>
      <c r="P1107" s="455">
        <f t="shared" si="202"/>
        <v>0</v>
      </c>
      <c r="R1107" s="480"/>
    </row>
    <row r="1108" spans="1:18">
      <c r="A1108" s="454"/>
      <c r="B1108" s="454" t="str">
        <v>Wall finishes plaster</v>
      </c>
      <c r="C1108" s="456"/>
      <c r="D1108" s="456"/>
      <c r="E1108" s="456">
        <f>D1104*(D1-0.15)</f>
        <v>40.002000000000002</v>
      </c>
      <c r="F1108" s="456">
        <f>-(Doors!H82+Doors!H82+Windows!H96)</f>
        <v>-9.7074999999999996</v>
      </c>
      <c r="G1108" s="456">
        <f t="shared" si="193"/>
        <v>30.294500000000003</v>
      </c>
      <c r="H1108" s="456" t="str">
        <v>Sq M</v>
      </c>
      <c r="I1108" s="456" t="str">
        <v>Gypsum Plaster</v>
      </c>
      <c r="J1108" s="456">
        <v>32</v>
      </c>
      <c r="K1108" s="456">
        <v>344.44799999999998</v>
      </c>
      <c r="L1108" s="456">
        <f t="shared" si="194"/>
        <v>10434.879936000001</v>
      </c>
      <c r="O1108" s="455">
        <f t="shared" si="201"/>
        <v>545.30100000000004</v>
      </c>
      <c r="P1108" s="455">
        <f t="shared" si="202"/>
        <v>187827.83884800001</v>
      </c>
      <c r="R1108" s="480" t="s">
        <v>661</v>
      </c>
    </row>
    <row r="1109" spans="1:18">
      <c r="A1109" s="454"/>
      <c r="B1109" s="454" t="str">
        <v>Ceiling plaster</v>
      </c>
      <c r="C1109" s="456"/>
      <c r="D1109" s="456"/>
      <c r="E1109" s="456">
        <f>E1105</f>
        <v>10.62</v>
      </c>
      <c r="F1109" s="456"/>
      <c r="G1109" s="456">
        <f t="shared" si="193"/>
        <v>10.62</v>
      </c>
      <c r="H1109" s="456" t="str">
        <v>Sq M</v>
      </c>
      <c r="I1109" s="456" t="str">
        <v>Gypsum Plaster</v>
      </c>
      <c r="J1109" s="456">
        <v>32</v>
      </c>
      <c r="K1109" s="456">
        <v>344.44799999999998</v>
      </c>
      <c r="L1109" s="456">
        <f t="shared" si="194"/>
        <v>3658.0377599999997</v>
      </c>
      <c r="O1109" s="455">
        <f t="shared" si="201"/>
        <v>191.16</v>
      </c>
      <c r="P1109" s="455">
        <f t="shared" si="202"/>
        <v>65844.679680000001</v>
      </c>
      <c r="R1109" s="480" t="s">
        <v>662</v>
      </c>
    </row>
    <row r="1110" spans="1:18">
      <c r="A1110" s="454"/>
      <c r="B1110" s="454" t="str">
        <v>False ceiling</v>
      </c>
      <c r="C1110" s="456"/>
      <c r="D1110" s="456"/>
      <c r="E1110" s="456"/>
      <c r="F1110" s="456"/>
      <c r="G1110" s="456">
        <f t="shared" si="193"/>
        <v>0</v>
      </c>
      <c r="H1110" s="456" t="str">
        <v>Sq M</v>
      </c>
      <c r="I1110" s="456" t="str">
        <v>N.A.</v>
      </c>
      <c r="J1110" s="456">
        <v>0</v>
      </c>
      <c r="K1110" s="456">
        <v>0</v>
      </c>
      <c r="L1110" s="456">
        <f t="shared" si="194"/>
        <v>0</v>
      </c>
      <c r="O1110" s="455">
        <f t="shared" si="201"/>
        <v>0</v>
      </c>
      <c r="P1110" s="455">
        <f t="shared" si="202"/>
        <v>0</v>
      </c>
      <c r="R1110" s="480"/>
    </row>
    <row r="1111" spans="1:18">
      <c r="A1111" s="454"/>
      <c r="B1111" s="454" t="str">
        <v>Wall finishes Paint</v>
      </c>
      <c r="C1111" s="456"/>
      <c r="D1111" s="456"/>
      <c r="E1111" s="456">
        <f>E1108</f>
        <v>40.002000000000002</v>
      </c>
      <c r="F1111" s="456">
        <f>F1108</f>
        <v>-9.7074999999999996</v>
      </c>
      <c r="G1111" s="456">
        <f t="shared" si="193"/>
        <v>30.294500000000003</v>
      </c>
      <c r="H1111" s="456" t="str">
        <v>Sq M</v>
      </c>
      <c r="I1111" s="456" t="str">
        <v>Plastic paint</v>
      </c>
      <c r="J1111" s="456">
        <v>20</v>
      </c>
      <c r="K1111" s="456">
        <v>215.27999999999997</v>
      </c>
      <c r="L1111" s="456">
        <f t="shared" si="194"/>
        <v>6521.7999599999994</v>
      </c>
      <c r="O1111" s="455">
        <f t="shared" si="201"/>
        <v>545.30100000000004</v>
      </c>
      <c r="P1111" s="455">
        <f t="shared" si="202"/>
        <v>117392.39927999998</v>
      </c>
      <c r="R1111" s="480" t="s">
        <v>663</v>
      </c>
    </row>
    <row r="1112" spans="1:18">
      <c r="A1112" s="454"/>
      <c r="B1112" s="454" t="str">
        <v>Ceiling Paint</v>
      </c>
      <c r="C1112" s="456"/>
      <c r="D1112" s="456"/>
      <c r="E1112" s="456">
        <f>E1109</f>
        <v>10.62</v>
      </c>
      <c r="F1112" s="456"/>
      <c r="G1112" s="456">
        <f t="shared" si="193"/>
        <v>10.62</v>
      </c>
      <c r="H1112" s="456" t="str">
        <v>Sq M</v>
      </c>
      <c r="I1112" s="456" t="str">
        <v>Plastic paint</v>
      </c>
      <c r="J1112" s="456">
        <v>20</v>
      </c>
      <c r="K1112" s="456">
        <v>215.27999999999997</v>
      </c>
      <c r="L1112" s="456">
        <f t="shared" si="194"/>
        <v>2286.2735999999995</v>
      </c>
      <c r="O1112" s="455">
        <f t="shared" si="201"/>
        <v>191.16</v>
      </c>
      <c r="P1112" s="455">
        <f t="shared" si="202"/>
        <v>41152.924799999993</v>
      </c>
      <c r="R1112" s="480" t="s">
        <v>664</v>
      </c>
    </row>
    <row r="1113" spans="1:18">
      <c r="A1113" s="454"/>
      <c r="B1113" s="454" t="str">
        <v>Door Frames</v>
      </c>
      <c r="C1113" s="456"/>
      <c r="D1113" s="456"/>
      <c r="E1113" s="456"/>
      <c r="F1113" s="456"/>
      <c r="G1113" s="456">
        <f t="shared" si="193"/>
        <v>0</v>
      </c>
      <c r="H1113" s="456" t="str">
        <v>RM</v>
      </c>
      <c r="I1113" s="456" t="str">
        <v>N.A.</v>
      </c>
      <c r="J1113" s="456">
        <v>0</v>
      </c>
      <c r="K1113" s="456">
        <v>0</v>
      </c>
      <c r="L1113" s="456">
        <f t="shared" si="194"/>
        <v>0</v>
      </c>
      <c r="O1113" s="455">
        <f t="shared" si="201"/>
        <v>0</v>
      </c>
      <c r="P1113" s="455">
        <f t="shared" si="202"/>
        <v>0</v>
      </c>
      <c r="R1113" s="480"/>
    </row>
    <row r="1114" spans="1:18">
      <c r="A1114" s="454"/>
      <c r="B1114" s="454" t="str">
        <v>Window Frames - Internal</v>
      </c>
      <c r="C1114" s="456"/>
      <c r="D1114" s="456"/>
      <c r="E1114" s="456">
        <f>Windows!F96*2+Windows!G96*2</f>
        <v>10.399999999999999</v>
      </c>
      <c r="F1114" s="456"/>
      <c r="G1114" s="456">
        <f t="shared" si="193"/>
        <v>10.399999999999999</v>
      </c>
      <c r="H1114" s="456" t="str">
        <v>RM</v>
      </c>
      <c r="I1114" s="456" t="str">
        <v>Granite Window Frame</v>
      </c>
      <c r="J1114" s="456">
        <v>180</v>
      </c>
      <c r="K1114" s="456">
        <v>655.92719999999997</v>
      </c>
      <c r="L1114" s="456">
        <f t="shared" si="194"/>
        <v>6821.6428799999985</v>
      </c>
      <c r="O1114" s="455">
        <f t="shared" si="201"/>
        <v>187.2</v>
      </c>
      <c r="P1114" s="455">
        <f t="shared" si="202"/>
        <v>122789.57183999998</v>
      </c>
      <c r="R1114" s="480" t="s">
        <v>743</v>
      </c>
    </row>
    <row r="1115" spans="1:18">
      <c r="A1115" s="454"/>
      <c r="B1115" s="454" t="str">
        <v>Window Frames - External</v>
      </c>
      <c r="C1115" s="456"/>
      <c r="D1115" s="456"/>
      <c r="E1115" s="456">
        <f>E1114</f>
        <v>10.399999999999999</v>
      </c>
      <c r="F1115" s="456"/>
      <c r="G1115" s="456">
        <f t="shared" si="193"/>
        <v>10.399999999999999</v>
      </c>
      <c r="H1115" s="456" t="str">
        <v>RM</v>
      </c>
      <c r="I1115" s="456" t="str">
        <v>Marble Window Frames with Sill</v>
      </c>
      <c r="J1115" s="456">
        <v>60</v>
      </c>
      <c r="K1115" s="456">
        <v>399.04239999999999</v>
      </c>
      <c r="L1115" s="456">
        <f t="shared" si="194"/>
        <v>4150.0409599999994</v>
      </c>
      <c r="O1115" s="455">
        <f t="shared" si="201"/>
        <v>187.2</v>
      </c>
      <c r="P1115" s="455">
        <f t="shared" si="202"/>
        <v>74700.737279999987</v>
      </c>
      <c r="R1115" s="480" t="s">
        <v>409</v>
      </c>
    </row>
    <row r="1116" spans="1:18">
      <c r="A1116" s="454"/>
      <c r="B1116" s="454" t="str">
        <v>Others</v>
      </c>
      <c r="C1116" s="456"/>
      <c r="D1116" s="456"/>
      <c r="E1116" s="456"/>
      <c r="F1116" s="456"/>
      <c r="G1116" s="456">
        <f t="shared" si="193"/>
        <v>0</v>
      </c>
      <c r="H1116" s="456" t="str">
        <v>-</v>
      </c>
      <c r="I1116" s="456" t="str">
        <v>N.A.</v>
      </c>
      <c r="J1116" s="456">
        <v>0</v>
      </c>
      <c r="K1116" s="456">
        <v>0</v>
      </c>
      <c r="L1116" s="456">
        <f t="shared" si="194"/>
        <v>0</v>
      </c>
      <c r="O1116" s="455">
        <f t="shared" si="201"/>
        <v>0</v>
      </c>
      <c r="P1116" s="455">
        <f t="shared" si="202"/>
        <v>0</v>
      </c>
    </row>
    <row r="1117" spans="1:18" s="479" customFormat="1" ht="13.5" customHeight="1">
      <c r="A1117" s="475" t="s">
        <v>628</v>
      </c>
      <c r="B1117" s="476" t="str">
        <f>'Flat Sizes'!B94</f>
        <v>C. Toilet</v>
      </c>
      <c r="C1117" s="477">
        <f>'Flat Sizes'!D94</f>
        <v>3.25</v>
      </c>
      <c r="D1117" s="477">
        <f>'Flat Sizes'!G94</f>
        <v>7.61</v>
      </c>
      <c r="E1117" s="477"/>
      <c r="F1117" s="454"/>
      <c r="G1117" s="477"/>
      <c r="H1117" s="477"/>
      <c r="I1117" s="477"/>
      <c r="J1117" s="477"/>
      <c r="K1117" s="477"/>
      <c r="L1117" s="477"/>
      <c r="M1117" s="459">
        <f>SUM(L1118:L1129)/C1117/10.764</f>
        <v>1314.5750486236172</v>
      </c>
      <c r="N1117" s="472"/>
      <c r="O1117" s="455"/>
      <c r="P1117" s="455"/>
      <c r="Q1117" s="478"/>
    </row>
    <row r="1118" spans="1:18">
      <c r="A1118" s="454"/>
      <c r="B1118" s="454" t="str" cm="1">
        <f t="array" ref="B1118:B1129">'Rate List - Flats'!B76:B87</f>
        <v>Flooring</v>
      </c>
      <c r="C1118" s="456"/>
      <c r="D1118" s="456"/>
      <c r="E1118" s="456">
        <f>C1117</f>
        <v>3.25</v>
      </c>
      <c r="F1118" s="456"/>
      <c r="G1118" s="456">
        <f t="shared" si="193"/>
        <v>3.25</v>
      </c>
      <c r="H1118" s="456" t="str" cm="1">
        <f t="array" ref="H1118:H1129">'Rate List - Flats'!H76:H87</f>
        <v>Sq M</v>
      </c>
      <c r="I1118" s="456" t="str" cm="1">
        <f t="array" ref="I1118:I1129">'Rate List - Flats'!C76:C87</f>
        <v>ceramic tiles/vitrified anti-skid tiles</v>
      </c>
      <c r="J1118" s="456" cm="1">
        <f t="array" ref="J1118:J1129">'Rate List - Flats'!E76:E87</f>
        <v>50</v>
      </c>
      <c r="K1118" s="456" cm="1">
        <f t="array" ref="K1118:K1129">'Rate List - Flats'!G76:G87</f>
        <v>1399.32</v>
      </c>
      <c r="L1118" s="456">
        <f t="shared" si="194"/>
        <v>4547.79</v>
      </c>
      <c r="O1118" s="455">
        <f t="shared" ref="O1118:O1129" si="203">IF(I1118="N.A",0,G1118*$N$1064)</f>
        <v>58.5</v>
      </c>
      <c r="P1118" s="455">
        <f t="shared" ref="P1118:P1129" si="204">L1118*$N$1064</f>
        <v>81860.22</v>
      </c>
      <c r="R1118" s="480" t="s">
        <v>667</v>
      </c>
    </row>
    <row r="1119" spans="1:18">
      <c r="A1119" s="454"/>
      <c r="B1119" s="454" t="str">
        <v>Skirting</v>
      </c>
      <c r="C1119" s="456"/>
      <c r="D1119" s="456"/>
      <c r="E1119" s="456"/>
      <c r="F1119" s="456"/>
      <c r="G1119" s="456">
        <f t="shared" si="193"/>
        <v>0</v>
      </c>
      <c r="H1119" s="456" t="str">
        <v xml:space="preserve">RM </v>
      </c>
      <c r="I1119" s="456" t="str">
        <v>N.A.</v>
      </c>
      <c r="J1119" s="456">
        <v>0</v>
      </c>
      <c r="K1119" s="456">
        <v>0</v>
      </c>
      <c r="L1119" s="456">
        <f t="shared" si="194"/>
        <v>0</v>
      </c>
      <c r="O1119" s="455">
        <f t="shared" si="203"/>
        <v>0</v>
      </c>
      <c r="P1119" s="455">
        <f t="shared" si="204"/>
        <v>0</v>
      </c>
      <c r="R1119" s="480"/>
    </row>
    <row r="1120" spans="1:18">
      <c r="A1120" s="454"/>
      <c r="B1120" s="454" t="str">
        <v>Dado</v>
      </c>
      <c r="C1120" s="456"/>
      <c r="D1120" s="456">
        <f>D1-0.7</f>
        <v>2.4000000000000004</v>
      </c>
      <c r="E1120" s="456">
        <f>D1117*D1120</f>
        <v>18.264000000000003</v>
      </c>
      <c r="F1120" s="456">
        <f>-(Doors!H82+Windows!H97)</f>
        <v>-2.0250000000000004</v>
      </c>
      <c r="G1120" s="456">
        <f t="shared" si="193"/>
        <v>16.239000000000004</v>
      </c>
      <c r="H1120" s="456" t="str">
        <v>Sq M</v>
      </c>
      <c r="I1120" s="456" t="str">
        <v>Vitrified tiles</v>
      </c>
      <c r="J1120" s="456">
        <v>50</v>
      </c>
      <c r="K1120" s="456">
        <v>1480.05</v>
      </c>
      <c r="L1120" s="456">
        <f t="shared" si="194"/>
        <v>24034.531950000004</v>
      </c>
      <c r="O1120" s="455">
        <f t="shared" si="203"/>
        <v>292.30200000000008</v>
      </c>
      <c r="P1120" s="455">
        <f t="shared" si="204"/>
        <v>432621.57510000007</v>
      </c>
      <c r="R1120" s="480" t="s">
        <v>668</v>
      </c>
    </row>
    <row r="1121" spans="1:18">
      <c r="A1121" s="454"/>
      <c r="B1121" s="454" t="str">
        <v>Wall finishes plaster</v>
      </c>
      <c r="C1121" s="456"/>
      <c r="D1121" s="456">
        <f>D1-D1120</f>
        <v>0.69999999999999973</v>
      </c>
      <c r="E1121" s="456">
        <f>D1117*D1121</f>
        <v>5.3269999999999982</v>
      </c>
      <c r="F1121" s="456"/>
      <c r="G1121" s="456">
        <f t="shared" si="193"/>
        <v>5.3269999999999982</v>
      </c>
      <c r="H1121" s="456" t="str">
        <v>Sq M</v>
      </c>
      <c r="I1121" s="456" t="str">
        <v>Gypsum Plaster</v>
      </c>
      <c r="J1121" s="456">
        <v>32</v>
      </c>
      <c r="K1121" s="456">
        <v>344.44799999999998</v>
      </c>
      <c r="L1121" s="456">
        <f t="shared" si="194"/>
        <v>1834.8744959999992</v>
      </c>
      <c r="O1121" s="455">
        <f t="shared" si="203"/>
        <v>95.885999999999967</v>
      </c>
      <c r="P1121" s="455">
        <f t="shared" si="204"/>
        <v>33027.740927999985</v>
      </c>
      <c r="R1121" s="480" t="s">
        <v>661</v>
      </c>
    </row>
    <row r="1122" spans="1:18">
      <c r="A1122" s="454"/>
      <c r="B1122" s="454" t="str">
        <v>Ceiling plaster</v>
      </c>
      <c r="C1122" s="456"/>
      <c r="D1122" s="456"/>
      <c r="E1122" s="456">
        <f>E1118</f>
        <v>3.25</v>
      </c>
      <c r="F1122" s="456"/>
      <c r="G1122" s="456">
        <f t="shared" si="193"/>
        <v>3.25</v>
      </c>
      <c r="H1122" s="456" t="str">
        <v>Sq M</v>
      </c>
      <c r="I1122" s="456" t="str">
        <v>Gypsum Plaster</v>
      </c>
      <c r="J1122" s="456">
        <v>32</v>
      </c>
      <c r="K1122" s="456">
        <v>344.44799999999998</v>
      </c>
      <c r="L1122" s="456">
        <f t="shared" si="194"/>
        <v>1119.4559999999999</v>
      </c>
      <c r="O1122" s="455">
        <f t="shared" si="203"/>
        <v>58.5</v>
      </c>
      <c r="P1122" s="455">
        <f t="shared" si="204"/>
        <v>20150.207999999999</v>
      </c>
      <c r="R1122" s="480" t="s">
        <v>662</v>
      </c>
    </row>
    <row r="1123" spans="1:18">
      <c r="A1123" s="454"/>
      <c r="B1123" s="454" t="str">
        <v>False ceiling</v>
      </c>
      <c r="C1123" s="456"/>
      <c r="D1123" s="456"/>
      <c r="E1123" s="456"/>
      <c r="F1123" s="456"/>
      <c r="G1123" s="456">
        <f t="shared" si="193"/>
        <v>0</v>
      </c>
      <c r="H1123" s="456" t="str">
        <v>Sq M</v>
      </c>
      <c r="I1123" s="456" t="str">
        <v>N.A.</v>
      </c>
      <c r="J1123" s="456">
        <v>0</v>
      </c>
      <c r="K1123" s="456">
        <v>0</v>
      </c>
      <c r="L1123" s="456">
        <f t="shared" si="194"/>
        <v>0</v>
      </c>
      <c r="O1123" s="455">
        <f t="shared" si="203"/>
        <v>0</v>
      </c>
      <c r="P1123" s="455">
        <f t="shared" si="204"/>
        <v>0</v>
      </c>
      <c r="R1123" s="480"/>
    </row>
    <row r="1124" spans="1:18">
      <c r="A1124" s="454"/>
      <c r="B1124" s="454" t="str">
        <v>Wall finishes Paint</v>
      </c>
      <c r="C1124" s="456"/>
      <c r="D1124" s="456"/>
      <c r="E1124" s="456">
        <f>E1121</f>
        <v>5.3269999999999982</v>
      </c>
      <c r="F1124" s="456"/>
      <c r="G1124" s="456">
        <f t="shared" si="193"/>
        <v>5.3269999999999982</v>
      </c>
      <c r="H1124" s="456" t="str">
        <v>Sq M</v>
      </c>
      <c r="I1124" s="456" t="str">
        <v>Plastic paint</v>
      </c>
      <c r="J1124" s="456">
        <v>20</v>
      </c>
      <c r="K1124" s="456">
        <v>215.27999999999997</v>
      </c>
      <c r="L1124" s="456">
        <f t="shared" si="194"/>
        <v>1146.7965599999995</v>
      </c>
      <c r="O1124" s="455">
        <f t="shared" si="203"/>
        <v>95.885999999999967</v>
      </c>
      <c r="P1124" s="455">
        <f t="shared" si="204"/>
        <v>20642.33807999999</v>
      </c>
      <c r="R1124" s="480" t="s">
        <v>663</v>
      </c>
    </row>
    <row r="1125" spans="1:18">
      <c r="A1125" s="454"/>
      <c r="B1125" s="454" t="str">
        <v>Ceiling Paint</v>
      </c>
      <c r="C1125" s="456"/>
      <c r="D1125" s="456"/>
      <c r="E1125" s="456">
        <f>E1122</f>
        <v>3.25</v>
      </c>
      <c r="F1125" s="456"/>
      <c r="G1125" s="456">
        <f t="shared" si="193"/>
        <v>3.25</v>
      </c>
      <c r="H1125" s="456" t="str">
        <v>Sq M</v>
      </c>
      <c r="I1125" s="456" t="str">
        <v>Plastic paint</v>
      </c>
      <c r="J1125" s="456">
        <v>20</v>
      </c>
      <c r="K1125" s="456">
        <v>215.27999999999997</v>
      </c>
      <c r="L1125" s="456">
        <f t="shared" si="194"/>
        <v>699.65999999999985</v>
      </c>
      <c r="O1125" s="455">
        <f t="shared" si="203"/>
        <v>58.5</v>
      </c>
      <c r="P1125" s="455">
        <f t="shared" si="204"/>
        <v>12593.879999999997</v>
      </c>
      <c r="R1125" s="480" t="s">
        <v>664</v>
      </c>
    </row>
    <row r="1126" spans="1:18">
      <c r="A1126" s="454"/>
      <c r="B1126" s="454" t="str">
        <v>Door Frames</v>
      </c>
      <c r="C1126" s="456"/>
      <c r="D1126" s="456"/>
      <c r="E1126" s="456">
        <f>Doors!F82*4+Doors!G82*4</f>
        <v>11.4</v>
      </c>
      <c r="F1126" s="456"/>
      <c r="G1126" s="456">
        <f t="shared" si="193"/>
        <v>11.4</v>
      </c>
      <c r="H1126" s="456" t="str">
        <v>RM</v>
      </c>
      <c r="I1126" s="456" t="str">
        <v>Granite Frames</v>
      </c>
      <c r="J1126" s="456">
        <v>180</v>
      </c>
      <c r="K1126" s="456">
        <v>655.92719999999997</v>
      </c>
      <c r="L1126" s="456">
        <f t="shared" si="194"/>
        <v>7477.5700799999995</v>
      </c>
      <c r="O1126" s="455">
        <f t="shared" si="203"/>
        <v>205.20000000000002</v>
      </c>
      <c r="P1126" s="455">
        <f t="shared" si="204"/>
        <v>134596.26144</v>
      </c>
      <c r="R1126" s="480" t="s">
        <v>669</v>
      </c>
    </row>
    <row r="1127" spans="1:18">
      <c r="A1127" s="454"/>
      <c r="B1127" s="454" t="str">
        <v>Window Frames - Internal</v>
      </c>
      <c r="C1127" s="456"/>
      <c r="D1127" s="456"/>
      <c r="E1127" s="456">
        <f>Windows!F97*2+Windows!G97*2</f>
        <v>2.7</v>
      </c>
      <c r="F1127" s="456"/>
      <c r="G1127" s="456">
        <f t="shared" si="193"/>
        <v>2.7</v>
      </c>
      <c r="H1127" s="456" t="str">
        <v>RM</v>
      </c>
      <c r="I1127" s="456" t="str">
        <v>Granite Window Frame</v>
      </c>
      <c r="J1127" s="456">
        <v>180</v>
      </c>
      <c r="K1127" s="456">
        <v>655.92719999999997</v>
      </c>
      <c r="L1127" s="456">
        <f t="shared" si="194"/>
        <v>1771.00344</v>
      </c>
      <c r="O1127" s="455">
        <f t="shared" si="203"/>
        <v>48.6</v>
      </c>
      <c r="P1127" s="455">
        <f t="shared" si="204"/>
        <v>31878.06192</v>
      </c>
      <c r="R1127" s="480" t="s">
        <v>743</v>
      </c>
    </row>
    <row r="1128" spans="1:18">
      <c r="A1128" s="454"/>
      <c r="B1128" s="454" t="str">
        <v>Window Frames - External</v>
      </c>
      <c r="C1128" s="456"/>
      <c r="D1128" s="456"/>
      <c r="E1128" s="456">
        <f>E1127</f>
        <v>2.7</v>
      </c>
      <c r="F1128" s="456"/>
      <c r="G1128" s="456">
        <f t="shared" si="193"/>
        <v>2.7</v>
      </c>
      <c r="H1128" s="456" t="str">
        <v>RM</v>
      </c>
      <c r="I1128" s="456" t="str">
        <v>Marble Window Frames with Sill</v>
      </c>
      <c r="J1128" s="456">
        <v>60</v>
      </c>
      <c r="K1128" s="456">
        <v>399.04239999999999</v>
      </c>
      <c r="L1128" s="456">
        <f t="shared" si="194"/>
        <v>1077.4144800000001</v>
      </c>
      <c r="O1128" s="455">
        <f t="shared" si="203"/>
        <v>48.6</v>
      </c>
      <c r="P1128" s="455">
        <f t="shared" si="204"/>
        <v>19393.460640000001</v>
      </c>
      <c r="R1128" s="480" t="s">
        <v>409</v>
      </c>
    </row>
    <row r="1129" spans="1:18">
      <c r="A1129" s="454"/>
      <c r="B1129" s="454" t="str">
        <v>Others - Counter</v>
      </c>
      <c r="C1129" s="456"/>
      <c r="D1129" s="456"/>
      <c r="E1129" s="456">
        <f>0.6*0.6</f>
        <v>0.36</v>
      </c>
      <c r="F1129" s="456"/>
      <c r="G1129" s="456">
        <f t="shared" si="193"/>
        <v>0.36</v>
      </c>
      <c r="H1129" s="456" t="str">
        <v>Sq M</v>
      </c>
      <c r="I1129" s="456" t="str">
        <v>Basin Counter 1'6" - Granite Basin Counter</v>
      </c>
      <c r="J1129" s="456">
        <v>180</v>
      </c>
      <c r="K1129" s="456">
        <v>6329.6720000000005</v>
      </c>
      <c r="L1129" s="456">
        <f t="shared" si="194"/>
        <v>2278.68192</v>
      </c>
      <c r="O1129" s="455">
        <f t="shared" si="203"/>
        <v>6.4799999999999995</v>
      </c>
      <c r="P1129" s="455">
        <f t="shared" si="204"/>
        <v>41016.274559999998</v>
      </c>
      <c r="R1129" s="480" t="s">
        <v>670</v>
      </c>
    </row>
    <row r="1130" spans="1:18" s="479" customFormat="1" ht="13.5" customHeight="1">
      <c r="A1130" s="475" t="s">
        <v>628</v>
      </c>
      <c r="B1130" s="476" t="str">
        <f>'Flat Sizes'!B95</f>
        <v>Kitchen</v>
      </c>
      <c r="C1130" s="477">
        <f>'Flat Sizes'!D95</f>
        <v>6.92</v>
      </c>
      <c r="D1130" s="477">
        <f>'Flat Sizes'!G95</f>
        <v>11.06</v>
      </c>
      <c r="E1130" s="477"/>
      <c r="F1130" s="454"/>
      <c r="G1130" s="477"/>
      <c r="H1130" s="477"/>
      <c r="I1130" s="477"/>
      <c r="J1130" s="477"/>
      <c r="K1130" s="477"/>
      <c r="L1130" s="477"/>
      <c r="M1130" s="459">
        <f>SUM(L1131:L1144)/C1130/10.764</f>
        <v>1235.0564724311182</v>
      </c>
      <c r="N1130" s="472"/>
      <c r="O1130" s="455"/>
      <c r="P1130" s="455"/>
      <c r="Q1130" s="478"/>
    </row>
    <row r="1131" spans="1:18">
      <c r="A1131" s="454"/>
      <c r="B1131" s="454" t="str" cm="1">
        <f t="array" ref="B1131:B1144">'Rate List - Flats'!B90:B103</f>
        <v>Flooring</v>
      </c>
      <c r="C1131" s="456"/>
      <c r="D1131" s="456"/>
      <c r="E1131" s="456">
        <f>C1130</f>
        <v>6.92</v>
      </c>
      <c r="F1131" s="456"/>
      <c r="G1131" s="456">
        <f t="shared" si="193"/>
        <v>6.92</v>
      </c>
      <c r="H1131" s="456" t="str" cm="1">
        <f t="array" ref="H1131:H1144">'Rate List - Flats'!H90:H103</f>
        <v>Sq M</v>
      </c>
      <c r="I1131" s="456" t="str" cm="1">
        <f t="array" ref="I1131:I1144">'Rate List - Flats'!C90:C103</f>
        <v>ceramic tiles/vitrified anti-skid tiles</v>
      </c>
      <c r="J1131" s="456" cm="1">
        <f t="array" ref="J1131:J1144">'Rate List - Flats'!E90:E103</f>
        <v>45</v>
      </c>
      <c r="K1131" s="456" cm="1">
        <f t="array" ref="K1131:K1144">'Rate List - Flats'!G90:G103</f>
        <v>1340.1179999999999</v>
      </c>
      <c r="L1131" s="456">
        <f t="shared" si="194"/>
        <v>9273.6165599999986</v>
      </c>
      <c r="O1131" s="455">
        <f t="shared" ref="O1131:O1144" si="205">IF(I1131="N.A",0,G1131*$N$1064)</f>
        <v>124.56</v>
      </c>
      <c r="P1131" s="455">
        <f t="shared" ref="P1131:P1144" si="206">L1131*$N$1064</f>
        <v>166925.09807999997</v>
      </c>
      <c r="R1131" s="458" t="s">
        <v>659</v>
      </c>
    </row>
    <row r="1132" spans="1:18">
      <c r="A1132" s="454"/>
      <c r="B1132" s="454" t="str">
        <v>Skirting</v>
      </c>
      <c r="C1132" s="456"/>
      <c r="D1132" s="456"/>
      <c r="E1132" s="456"/>
      <c r="F1132" s="456"/>
      <c r="G1132" s="456">
        <f t="shared" ref="G1132:G1164" si="207">E1132+F1132</f>
        <v>0</v>
      </c>
      <c r="H1132" s="456" t="str">
        <v xml:space="preserve">RM </v>
      </c>
      <c r="I1132" s="456" t="str">
        <v>N.A.</v>
      </c>
      <c r="J1132" s="456">
        <v>0</v>
      </c>
      <c r="K1132" s="456">
        <v>0</v>
      </c>
      <c r="L1132" s="456">
        <f t="shared" ref="L1132:L1164" si="208">G1132*K1132</f>
        <v>0</v>
      </c>
      <c r="O1132" s="455">
        <f t="shared" si="205"/>
        <v>0</v>
      </c>
      <c r="P1132" s="455">
        <f t="shared" si="206"/>
        <v>0</v>
      </c>
      <c r="R1132" s="458" t="s">
        <v>660</v>
      </c>
    </row>
    <row r="1133" spans="1:18">
      <c r="A1133" s="454"/>
      <c r="B1133" s="454" t="str">
        <v>Dado</v>
      </c>
      <c r="C1133" s="456"/>
      <c r="D1133" s="456">
        <f>D1-0.9-0.7</f>
        <v>1.5000000000000002</v>
      </c>
      <c r="E1133" s="456">
        <f>(E1143+E1144)*D1133</f>
        <v>9.2100000000000026</v>
      </c>
      <c r="F1133" s="456"/>
      <c r="G1133" s="456">
        <f t="shared" si="207"/>
        <v>9.2100000000000026</v>
      </c>
      <c r="H1133" s="456" t="str">
        <v>Sq M</v>
      </c>
      <c r="I1133" s="456" t="str">
        <v>Vitrified tiles</v>
      </c>
      <c r="J1133" s="456">
        <v>45</v>
      </c>
      <c r="K1133" s="456">
        <v>1393.9379999999999</v>
      </c>
      <c r="L1133" s="456">
        <f t="shared" si="208"/>
        <v>12838.168980000002</v>
      </c>
      <c r="O1133" s="455">
        <f t="shared" si="205"/>
        <v>165.78000000000006</v>
      </c>
      <c r="P1133" s="455">
        <f t="shared" si="206"/>
        <v>231087.04164000004</v>
      </c>
      <c r="R1133" s="458" t="s">
        <v>665</v>
      </c>
    </row>
    <row r="1134" spans="1:18">
      <c r="A1134" s="454"/>
      <c r="B1134" s="454" t="str">
        <v>Dado Below Kitchen Platform</v>
      </c>
      <c r="C1134" s="456"/>
      <c r="D1134" s="456">
        <v>0.9</v>
      </c>
      <c r="E1134" s="456">
        <f>(E1143+E1144)*D1134</f>
        <v>5.5260000000000007</v>
      </c>
      <c r="F1134" s="456"/>
      <c r="G1134" s="456">
        <f t="shared" si="207"/>
        <v>5.5260000000000007</v>
      </c>
      <c r="H1134" s="456" t="str">
        <v>Sq M</v>
      </c>
      <c r="I1134" s="456" t="str">
        <v>dado under platform</v>
      </c>
      <c r="J1134" s="456">
        <v>23</v>
      </c>
      <c r="K1134" s="456">
        <v>1133.4491999999998</v>
      </c>
      <c r="L1134" s="456">
        <f t="shared" si="208"/>
        <v>6263.4402792000001</v>
      </c>
      <c r="O1134" s="455">
        <f t="shared" si="205"/>
        <v>99.468000000000018</v>
      </c>
      <c r="P1134" s="455">
        <f t="shared" si="206"/>
        <v>112741.92502560001</v>
      </c>
      <c r="R1134" s="458" t="s">
        <v>746</v>
      </c>
    </row>
    <row r="1135" spans="1:18">
      <c r="A1135" s="454"/>
      <c r="B1135" s="454" t="str">
        <v>Wall finishes plaster</v>
      </c>
      <c r="C1135" s="456"/>
      <c r="D1135" s="456">
        <f>D1-0.15</f>
        <v>2.95</v>
      </c>
      <c r="E1135" s="456">
        <f>(D1130*D1135)-(E1133+E1134)</f>
        <v>17.890999999999998</v>
      </c>
      <c r="F1135" s="456">
        <f>-(Doors!H83+Windows!H98)</f>
        <v>-4.04</v>
      </c>
      <c r="G1135" s="456">
        <f t="shared" si="207"/>
        <v>13.850999999999999</v>
      </c>
      <c r="H1135" s="456" t="str">
        <v>Sq M</v>
      </c>
      <c r="I1135" s="456" t="str">
        <v>Gypsum Plaster</v>
      </c>
      <c r="J1135" s="456">
        <v>32</v>
      </c>
      <c r="K1135" s="456">
        <v>376.73999999999995</v>
      </c>
      <c r="L1135" s="456">
        <f t="shared" si="208"/>
        <v>5218.225739999999</v>
      </c>
      <c r="O1135" s="455">
        <f t="shared" si="205"/>
        <v>249.31799999999998</v>
      </c>
      <c r="P1135" s="455">
        <f t="shared" si="206"/>
        <v>93928.063319999987</v>
      </c>
      <c r="R1135" s="458" t="s">
        <v>661</v>
      </c>
    </row>
    <row r="1136" spans="1:18">
      <c r="A1136" s="454"/>
      <c r="B1136" s="454" t="str">
        <v>Ceiling plaster</v>
      </c>
      <c r="C1136" s="456"/>
      <c r="D1136" s="456"/>
      <c r="E1136" s="456">
        <f>E1131</f>
        <v>6.92</v>
      </c>
      <c r="F1136" s="456"/>
      <c r="G1136" s="456">
        <f t="shared" si="207"/>
        <v>6.92</v>
      </c>
      <c r="H1136" s="456" t="str">
        <v>Sq M</v>
      </c>
      <c r="I1136" s="456" t="str">
        <v>Gypsum Plaster</v>
      </c>
      <c r="J1136" s="456">
        <v>32</v>
      </c>
      <c r="K1136" s="456">
        <v>344.44799999999998</v>
      </c>
      <c r="L1136" s="456">
        <f t="shared" si="208"/>
        <v>2383.58016</v>
      </c>
      <c r="O1136" s="455">
        <f t="shared" si="205"/>
        <v>124.56</v>
      </c>
      <c r="P1136" s="455">
        <f t="shared" si="206"/>
        <v>42904.442880000002</v>
      </c>
      <c r="R1136" s="458" t="s">
        <v>662</v>
      </c>
    </row>
    <row r="1137" spans="1:18">
      <c r="A1137" s="454"/>
      <c r="B1137" s="454" t="str">
        <v>False ceiling</v>
      </c>
      <c r="C1137" s="456"/>
      <c r="D1137" s="456"/>
      <c r="E1137" s="456"/>
      <c r="F1137" s="456"/>
      <c r="G1137" s="456">
        <f t="shared" si="207"/>
        <v>0</v>
      </c>
      <c r="H1137" s="456" t="str">
        <v>Sq M</v>
      </c>
      <c r="I1137" s="456" t="str">
        <v>N.A.</v>
      </c>
      <c r="J1137" s="456">
        <v>0</v>
      </c>
      <c r="K1137" s="456">
        <v>0</v>
      </c>
      <c r="L1137" s="456">
        <f t="shared" si="208"/>
        <v>0</v>
      </c>
      <c r="O1137" s="455">
        <f t="shared" si="205"/>
        <v>0</v>
      </c>
      <c r="P1137" s="455">
        <f t="shared" si="206"/>
        <v>0</v>
      </c>
      <c r="R1137" s="458"/>
    </row>
    <row r="1138" spans="1:18">
      <c r="A1138" s="454"/>
      <c r="B1138" s="454" t="str">
        <v>Wall finishes Paint</v>
      </c>
      <c r="C1138" s="456"/>
      <c r="D1138" s="456"/>
      <c r="E1138" s="456">
        <f>E1135</f>
        <v>17.890999999999998</v>
      </c>
      <c r="F1138" s="456">
        <f>F1135</f>
        <v>-4.04</v>
      </c>
      <c r="G1138" s="456">
        <f t="shared" si="207"/>
        <v>13.850999999999999</v>
      </c>
      <c r="H1138" s="456" t="str">
        <v>Sq M</v>
      </c>
      <c r="I1138" s="456" t="str">
        <v>Plastic paint</v>
      </c>
      <c r="J1138" s="456">
        <v>20</v>
      </c>
      <c r="K1138" s="456">
        <v>215.27999999999997</v>
      </c>
      <c r="L1138" s="456">
        <f t="shared" si="208"/>
        <v>2981.8432799999996</v>
      </c>
      <c r="O1138" s="455">
        <f t="shared" si="205"/>
        <v>249.31799999999998</v>
      </c>
      <c r="P1138" s="455">
        <f t="shared" si="206"/>
        <v>53673.179039999995</v>
      </c>
      <c r="R1138" s="458" t="s">
        <v>663</v>
      </c>
    </row>
    <row r="1139" spans="1:18">
      <c r="A1139" s="454"/>
      <c r="B1139" s="454" t="str">
        <v>Ceiling Paint</v>
      </c>
      <c r="C1139" s="456"/>
      <c r="D1139" s="456"/>
      <c r="E1139" s="456">
        <f>E1131</f>
        <v>6.92</v>
      </c>
      <c r="F1139" s="456"/>
      <c r="G1139" s="456">
        <f t="shared" si="207"/>
        <v>6.92</v>
      </c>
      <c r="H1139" s="456" t="str">
        <v>Sq M</v>
      </c>
      <c r="I1139" s="456" t="str">
        <v>Plastic paint</v>
      </c>
      <c r="J1139" s="456">
        <v>20</v>
      </c>
      <c r="K1139" s="456">
        <v>215.27999999999997</v>
      </c>
      <c r="L1139" s="456">
        <f t="shared" si="208"/>
        <v>1489.7375999999997</v>
      </c>
      <c r="O1139" s="455">
        <f t="shared" si="205"/>
        <v>124.56</v>
      </c>
      <c r="P1139" s="455">
        <f t="shared" si="206"/>
        <v>26815.276799999996</v>
      </c>
      <c r="R1139" s="458" t="s">
        <v>664</v>
      </c>
    </row>
    <row r="1140" spans="1:18">
      <c r="A1140" s="454"/>
      <c r="B1140" s="454" t="str">
        <v>Door Frames</v>
      </c>
      <c r="C1140" s="456"/>
      <c r="D1140" s="456"/>
      <c r="E1140" s="456"/>
      <c r="F1140" s="456"/>
      <c r="G1140" s="456">
        <f t="shared" si="207"/>
        <v>0</v>
      </c>
      <c r="H1140" s="456" t="str">
        <v>Sq M</v>
      </c>
      <c r="I1140" s="456" t="str">
        <v>N.A.</v>
      </c>
      <c r="J1140" s="456">
        <v>0</v>
      </c>
      <c r="K1140" s="456">
        <v>0</v>
      </c>
      <c r="L1140" s="456">
        <f t="shared" si="208"/>
        <v>0</v>
      </c>
      <c r="O1140" s="455">
        <f t="shared" si="205"/>
        <v>0</v>
      </c>
      <c r="P1140" s="455">
        <f t="shared" si="206"/>
        <v>0</v>
      </c>
      <c r="R1140" s="458" t="s">
        <v>407</v>
      </c>
    </row>
    <row r="1141" spans="1:18">
      <c r="A1141" s="454"/>
      <c r="B1141" s="454" t="str">
        <v>Window Frames - Internal</v>
      </c>
      <c r="C1141" s="456"/>
      <c r="D1141" s="456"/>
      <c r="E1141" s="456">
        <f>Windows!F98*2+Windows!G98*2</f>
        <v>6.3</v>
      </c>
      <c r="F1141" s="456"/>
      <c r="G1141" s="456">
        <f t="shared" si="207"/>
        <v>6.3</v>
      </c>
      <c r="H1141" s="456" t="str">
        <v>RM</v>
      </c>
      <c r="I1141" s="456" t="str">
        <v>Granite Window Frame</v>
      </c>
      <c r="J1141" s="456">
        <v>180</v>
      </c>
      <c r="K1141" s="456">
        <v>655.92719999999997</v>
      </c>
      <c r="L1141" s="456">
        <f t="shared" si="208"/>
        <v>4132.3413599999994</v>
      </c>
      <c r="O1141" s="455">
        <f t="shared" si="205"/>
        <v>113.39999999999999</v>
      </c>
      <c r="P1141" s="455">
        <f t="shared" si="206"/>
        <v>74382.144479999988</v>
      </c>
      <c r="R1141" s="458" t="s">
        <v>408</v>
      </c>
    </row>
    <row r="1142" spans="1:18">
      <c r="A1142" s="454"/>
      <c r="B1142" s="454" t="str">
        <v>Window Frames - External</v>
      </c>
      <c r="C1142" s="456"/>
      <c r="D1142" s="456"/>
      <c r="E1142" s="456">
        <f>E1141</f>
        <v>6.3</v>
      </c>
      <c r="F1142" s="456"/>
      <c r="G1142" s="456">
        <f t="shared" si="207"/>
        <v>6.3</v>
      </c>
      <c r="H1142" s="456" t="str">
        <v>RM</v>
      </c>
      <c r="I1142" s="456" t="str">
        <v>Marble Window Frames with Sill</v>
      </c>
      <c r="J1142" s="456">
        <v>60</v>
      </c>
      <c r="K1142" s="456">
        <v>399.04239999999999</v>
      </c>
      <c r="L1142" s="456">
        <f t="shared" si="208"/>
        <v>2513.9671199999998</v>
      </c>
      <c r="O1142" s="455">
        <f t="shared" si="205"/>
        <v>113.39999999999999</v>
      </c>
      <c r="P1142" s="455">
        <f t="shared" si="206"/>
        <v>45251.408159999999</v>
      </c>
      <c r="R1142" s="458" t="s">
        <v>409</v>
      </c>
    </row>
    <row r="1143" spans="1:18">
      <c r="A1143" s="454"/>
      <c r="B1143" s="454" t="str">
        <v>Kitchen Platform</v>
      </c>
      <c r="C1143" s="456"/>
      <c r="D1143" s="456"/>
      <c r="E1143" s="456">
        <v>3.52</v>
      </c>
      <c r="F1143" s="456"/>
      <c r="G1143" s="456">
        <f t="shared" si="207"/>
        <v>3.52</v>
      </c>
      <c r="H1143" s="456" t="str">
        <v>RM</v>
      </c>
      <c r="I1143" s="456" t="str">
        <v>Kitchen 2' Granite Main Counter</v>
      </c>
      <c r="J1143" s="456">
        <v>180</v>
      </c>
      <c r="K1143" s="456">
        <v>7312.7984000000006</v>
      </c>
      <c r="L1143" s="456">
        <f t="shared" si="208"/>
        <v>25741.050368000004</v>
      </c>
      <c r="O1143" s="455">
        <f t="shared" si="205"/>
        <v>63.36</v>
      </c>
      <c r="P1143" s="455">
        <f t="shared" si="206"/>
        <v>463338.90662400005</v>
      </c>
      <c r="R1143" s="458" t="s">
        <v>747</v>
      </c>
    </row>
    <row r="1144" spans="1:18">
      <c r="A1144" s="454"/>
      <c r="B1144" s="454" t="str">
        <v>Service Platform</v>
      </c>
      <c r="C1144" s="456"/>
      <c r="D1144" s="456"/>
      <c r="E1144" s="456">
        <f>E1143-0.9</f>
        <v>2.62</v>
      </c>
      <c r="F1144" s="456"/>
      <c r="G1144" s="456">
        <f t="shared" si="207"/>
        <v>2.62</v>
      </c>
      <c r="H1144" s="456" t="str">
        <v>RM</v>
      </c>
      <c r="I1144" s="456" t="str">
        <v>Kitchen 1'6" Granite Main Counter</v>
      </c>
      <c r="J1144" s="456">
        <v>180</v>
      </c>
      <c r="K1144" s="456">
        <v>7312.7984000000006</v>
      </c>
      <c r="L1144" s="456">
        <f t="shared" si="208"/>
        <v>19159.531808000003</v>
      </c>
      <c r="O1144" s="455">
        <f t="shared" si="205"/>
        <v>47.160000000000004</v>
      </c>
      <c r="P1144" s="455">
        <f t="shared" si="206"/>
        <v>344871.57254400005</v>
      </c>
      <c r="R1144" s="458" t="s">
        <v>666</v>
      </c>
    </row>
    <row r="1145" spans="1:18" s="479" customFormat="1" ht="13.5" customHeight="1">
      <c r="A1145" s="475" t="s">
        <v>628</v>
      </c>
      <c r="B1145" s="476" t="str">
        <f>'Flat Sizes'!B96</f>
        <v>Utility</v>
      </c>
      <c r="C1145" s="477">
        <f>'Flat Sizes'!D96</f>
        <v>1.84</v>
      </c>
      <c r="D1145" s="477">
        <f>'Flat Sizes'!G96</f>
        <v>5.61</v>
      </c>
      <c r="E1145" s="477"/>
      <c r="F1145" s="454"/>
      <c r="G1145" s="477"/>
      <c r="H1145" s="477"/>
      <c r="I1145" s="477"/>
      <c r="J1145" s="477"/>
      <c r="K1145" s="477"/>
      <c r="L1145" s="477"/>
      <c r="M1145" s="459">
        <f>SUM(L1146:L1154)/C1145/10.764</f>
        <v>1329.8790139838111</v>
      </c>
      <c r="N1145" s="472"/>
      <c r="O1145" s="455"/>
      <c r="P1145" s="455"/>
      <c r="Q1145" s="478"/>
    </row>
    <row r="1146" spans="1:18">
      <c r="A1146" s="454"/>
      <c r="B1146" s="454" t="str" cm="1">
        <f t="array" ref="B1146:B1154">'Rate List - Flats'!B120:B128</f>
        <v>Flooring</v>
      </c>
      <c r="C1146" s="456"/>
      <c r="D1146" s="456"/>
      <c r="E1146" s="456">
        <f>C1145</f>
        <v>1.84</v>
      </c>
      <c r="F1146" s="456"/>
      <c r="G1146" s="456">
        <f t="shared" si="207"/>
        <v>1.84</v>
      </c>
      <c r="H1146" s="456" t="str" cm="1">
        <f t="array" ref="H1146:H1154">'Rate List - Flats'!H120:H128</f>
        <v>Sq M</v>
      </c>
      <c r="I1146" s="456" t="str" cm="1">
        <f t="array" ref="I1146:I1154">'Rate List - Flats'!C120:C128</f>
        <v>2'x2' Vitrified tiles</v>
      </c>
      <c r="J1146" s="456" cm="1">
        <f t="array" ref="J1146:J1154">'Rate List - Flats'!E120:E128</f>
        <v>45</v>
      </c>
      <c r="K1146" s="456" cm="1">
        <f t="array" ref="K1146:K1154">'Rate List - Flats'!G120:G128</f>
        <v>1340.1179999999999</v>
      </c>
      <c r="L1146" s="456">
        <f t="shared" si="208"/>
        <v>2465.8171200000002</v>
      </c>
      <c r="O1146" s="455">
        <f t="shared" ref="O1146:O1154" si="209">IF(I1146="N.A",0,G1146*$N$1064)</f>
        <v>33.120000000000005</v>
      </c>
      <c r="P1146" s="455">
        <f t="shared" ref="P1146:P1154" si="210">L1146*$N$1064</f>
        <v>44384.708160000002</v>
      </c>
      <c r="R1146" s="458" t="s">
        <v>748</v>
      </c>
    </row>
    <row r="1147" spans="1:18">
      <c r="A1147" s="454"/>
      <c r="B1147" s="454" t="str">
        <v>Skirting</v>
      </c>
      <c r="C1147" s="456"/>
      <c r="D1147" s="456"/>
      <c r="E1147" s="456">
        <f>D1145</f>
        <v>5.61</v>
      </c>
      <c r="F1147" s="456"/>
      <c r="G1147" s="456">
        <f t="shared" si="207"/>
        <v>5.61</v>
      </c>
      <c r="H1147" s="456" t="str">
        <v xml:space="preserve">RM </v>
      </c>
      <c r="I1147" s="456" t="str">
        <v xml:space="preserve">2'x2' Vitrified tiles </v>
      </c>
      <c r="J1147" s="456">
        <v>45</v>
      </c>
      <c r="K1147" s="456">
        <v>391.96</v>
      </c>
      <c r="L1147" s="456">
        <f t="shared" si="208"/>
        <v>2198.8955999999998</v>
      </c>
      <c r="O1147" s="455">
        <f t="shared" si="209"/>
        <v>100.98</v>
      </c>
      <c r="P1147" s="455">
        <f t="shared" si="210"/>
        <v>39580.120799999997</v>
      </c>
      <c r="R1147" s="458" t="s">
        <v>749</v>
      </c>
    </row>
    <row r="1148" spans="1:18">
      <c r="A1148" s="454"/>
      <c r="B1148" s="454" t="str">
        <v>Dado</v>
      </c>
      <c r="C1148" s="456"/>
      <c r="D1148" s="456"/>
      <c r="E1148" s="456"/>
      <c r="F1148" s="456"/>
      <c r="G1148" s="456">
        <f t="shared" si="207"/>
        <v>0</v>
      </c>
      <c r="H1148" s="456" t="str">
        <v>Sq M</v>
      </c>
      <c r="I1148" s="456" t="str">
        <v>N.A</v>
      </c>
      <c r="J1148" s="456">
        <v>0</v>
      </c>
      <c r="K1148" s="456">
        <v>0</v>
      </c>
      <c r="L1148" s="456">
        <f t="shared" si="208"/>
        <v>0</v>
      </c>
      <c r="O1148" s="455">
        <f t="shared" si="209"/>
        <v>0</v>
      </c>
      <c r="P1148" s="455">
        <f t="shared" si="210"/>
        <v>0</v>
      </c>
      <c r="R1148" s="458" t="s">
        <v>750</v>
      </c>
    </row>
    <row r="1149" spans="1:18">
      <c r="A1149" s="454"/>
      <c r="B1149" s="454" t="str">
        <v>Wall finishes plaster</v>
      </c>
      <c r="C1149" s="456"/>
      <c r="D1149" s="456"/>
      <c r="E1149" s="456">
        <f>D1145*(D1-0.15)</f>
        <v>16.549500000000002</v>
      </c>
      <c r="F1149" s="456">
        <f>-(Windows!K99*2.15)</f>
        <v>-2.15</v>
      </c>
      <c r="G1149" s="456">
        <f t="shared" si="207"/>
        <v>14.399500000000002</v>
      </c>
      <c r="H1149" s="456" t="str">
        <v>Sq M</v>
      </c>
      <c r="I1149" s="456" t="str">
        <v>External Plaster  - 15 mm</v>
      </c>
      <c r="J1149" s="456">
        <v>85</v>
      </c>
      <c r="K1149" s="456">
        <v>914.93999999999994</v>
      </c>
      <c r="L1149" s="456">
        <f t="shared" si="208"/>
        <v>13174.678530000001</v>
      </c>
      <c r="O1149" s="455">
        <f t="shared" si="209"/>
        <v>259.19100000000003</v>
      </c>
      <c r="P1149" s="455">
        <f t="shared" si="210"/>
        <v>237144.21354000003</v>
      </c>
      <c r="R1149" s="458" t="s">
        <v>751</v>
      </c>
    </row>
    <row r="1150" spans="1:18">
      <c r="A1150" s="454"/>
      <c r="B1150" s="454" t="str">
        <v>Ceiling plaster</v>
      </c>
      <c r="C1150" s="456"/>
      <c r="D1150" s="456"/>
      <c r="E1150" s="456">
        <f>E1146</f>
        <v>1.84</v>
      </c>
      <c r="F1150" s="456"/>
      <c r="G1150" s="456">
        <f t="shared" si="207"/>
        <v>1.84</v>
      </c>
      <c r="H1150" s="456" t="str">
        <v>Sq M</v>
      </c>
      <c r="I1150" s="456" t="str">
        <v>Gypsum Plaster</v>
      </c>
      <c r="J1150" s="456">
        <v>32</v>
      </c>
      <c r="K1150" s="456">
        <v>344.44799999999998</v>
      </c>
      <c r="L1150" s="456">
        <f t="shared" si="208"/>
        <v>633.78431999999998</v>
      </c>
      <c r="O1150" s="455">
        <f t="shared" si="209"/>
        <v>33.120000000000005</v>
      </c>
      <c r="P1150" s="455">
        <f t="shared" si="210"/>
        <v>11408.117759999999</v>
      </c>
      <c r="R1150" s="458" t="s">
        <v>662</v>
      </c>
    </row>
    <row r="1151" spans="1:18">
      <c r="A1151" s="454"/>
      <c r="B1151" s="454" t="str">
        <v>False ceiling</v>
      </c>
      <c r="C1151" s="456"/>
      <c r="D1151" s="456"/>
      <c r="E1151" s="456"/>
      <c r="F1151" s="456"/>
      <c r="G1151" s="456">
        <f t="shared" si="207"/>
        <v>0</v>
      </c>
      <c r="H1151" s="456" t="str">
        <v>Sq M</v>
      </c>
      <c r="I1151" s="456" t="str">
        <v>N.A.</v>
      </c>
      <c r="J1151" s="456">
        <v>0</v>
      </c>
      <c r="K1151" s="456">
        <v>0</v>
      </c>
      <c r="L1151" s="456">
        <f t="shared" si="208"/>
        <v>0</v>
      </c>
      <c r="O1151" s="455">
        <f t="shared" si="209"/>
        <v>0</v>
      </c>
      <c r="P1151" s="455">
        <f t="shared" si="210"/>
        <v>0</v>
      </c>
      <c r="R1151" s="458" t="s">
        <v>414</v>
      </c>
    </row>
    <row r="1152" spans="1:18">
      <c r="A1152" s="454"/>
      <c r="B1152" s="454" t="str">
        <v>Wall finishes Paint</v>
      </c>
      <c r="C1152" s="456"/>
      <c r="D1152" s="456"/>
      <c r="E1152" s="456">
        <f>E1149</f>
        <v>16.549500000000002</v>
      </c>
      <c r="F1152" s="456">
        <f>F1149</f>
        <v>-2.15</v>
      </c>
      <c r="G1152" s="456">
        <f t="shared" si="207"/>
        <v>14.399500000000002</v>
      </c>
      <c r="H1152" s="456" t="str">
        <v>Sq M</v>
      </c>
      <c r="I1152" s="456" t="str">
        <v>External Grade Paint</v>
      </c>
      <c r="J1152" s="456">
        <v>45</v>
      </c>
      <c r="K1152" s="456">
        <v>484.38</v>
      </c>
      <c r="L1152" s="456">
        <f t="shared" si="208"/>
        <v>6974.8298100000011</v>
      </c>
      <c r="O1152" s="455">
        <f t="shared" si="209"/>
        <v>259.19100000000003</v>
      </c>
      <c r="P1152" s="455">
        <f t="shared" si="210"/>
        <v>125546.93658000002</v>
      </c>
      <c r="R1152" s="458" t="s">
        <v>663</v>
      </c>
    </row>
    <row r="1153" spans="1:18">
      <c r="A1153" s="454"/>
      <c r="B1153" s="454" t="str">
        <v>Ceiling Paint</v>
      </c>
      <c r="C1153" s="456"/>
      <c r="D1153" s="456"/>
      <c r="E1153" s="456">
        <f>E1150</f>
        <v>1.84</v>
      </c>
      <c r="F1153" s="456"/>
      <c r="G1153" s="456">
        <f t="shared" si="207"/>
        <v>1.84</v>
      </c>
      <c r="H1153" s="456" t="str">
        <v>Sq M</v>
      </c>
      <c r="I1153" s="456" t="str">
        <v>External Grade Paint</v>
      </c>
      <c r="J1153" s="456">
        <v>45</v>
      </c>
      <c r="K1153" s="456">
        <v>484.38</v>
      </c>
      <c r="L1153" s="456">
        <f t="shared" si="208"/>
        <v>891.25920000000008</v>
      </c>
      <c r="O1153" s="455">
        <f t="shared" si="209"/>
        <v>33.120000000000005</v>
      </c>
      <c r="P1153" s="455">
        <f t="shared" si="210"/>
        <v>16042.665600000002</v>
      </c>
      <c r="R1153" s="458" t="s">
        <v>664</v>
      </c>
    </row>
    <row r="1154" spans="1:18">
      <c r="A1154" s="454"/>
      <c r="B1154" s="454" t="str">
        <v>Others</v>
      </c>
      <c r="C1154" s="456"/>
      <c r="D1154" s="456"/>
      <c r="E1154" s="456"/>
      <c r="F1154" s="456"/>
      <c r="G1154" s="456">
        <f t="shared" si="207"/>
        <v>0</v>
      </c>
      <c r="H1154" s="456" t="str">
        <v>-</v>
      </c>
      <c r="I1154" s="456" t="str">
        <v>N.A.</v>
      </c>
      <c r="J1154" s="456">
        <v>0</v>
      </c>
      <c r="K1154" s="456">
        <v>0</v>
      </c>
      <c r="L1154" s="456">
        <f t="shared" si="208"/>
        <v>0</v>
      </c>
      <c r="O1154" s="455">
        <f t="shared" si="209"/>
        <v>0</v>
      </c>
      <c r="P1154" s="455">
        <f t="shared" si="210"/>
        <v>0</v>
      </c>
    </row>
    <row r="1155" spans="1:18" s="479" customFormat="1" ht="13.5" customHeight="1">
      <c r="A1155" s="475" t="s">
        <v>628</v>
      </c>
      <c r="B1155" s="476" t="str">
        <f>'Flat Sizes'!B97</f>
        <v>Balcony</v>
      </c>
      <c r="C1155" s="477">
        <f>'Flat Sizes'!D97</f>
        <v>2.23</v>
      </c>
      <c r="D1155" s="477">
        <f>'Flat Sizes'!G97</f>
        <v>6.1</v>
      </c>
      <c r="E1155" s="477"/>
      <c r="F1155" s="454"/>
      <c r="G1155" s="477"/>
      <c r="H1155" s="477"/>
      <c r="I1155" s="477"/>
      <c r="J1155" s="477"/>
      <c r="K1155" s="477"/>
      <c r="L1155" s="477"/>
      <c r="M1155" s="459">
        <f>SUM(L1156:L1164)/C1155/10.764</f>
        <v>949.06736872451449</v>
      </c>
      <c r="N1155" s="472"/>
      <c r="O1155" s="455"/>
      <c r="P1155" s="455"/>
      <c r="Q1155" s="478"/>
    </row>
    <row r="1156" spans="1:18">
      <c r="A1156" s="454"/>
      <c r="B1156" s="454" t="str" cm="1">
        <f t="array" ref="B1156:B1164">'Rate List - Flats'!B120:B128</f>
        <v>Flooring</v>
      </c>
      <c r="C1156" s="456"/>
      <c r="D1156" s="456"/>
      <c r="E1156" s="456">
        <f>C1155</f>
        <v>2.23</v>
      </c>
      <c r="F1156" s="456"/>
      <c r="G1156" s="456">
        <f t="shared" si="207"/>
        <v>2.23</v>
      </c>
      <c r="H1156" s="456" t="str" cm="1">
        <f t="array" ref="H1156:H1164">'Rate List - Flats'!H120:H128</f>
        <v>Sq M</v>
      </c>
      <c r="I1156" s="456" t="str" cm="1">
        <f t="array" ref="I1156:I1164">'Rate List - Flats'!C120:C128</f>
        <v>2'x2' Vitrified tiles</v>
      </c>
      <c r="J1156" s="456" cm="1">
        <f t="array" ref="J1156:J1164">'Rate List - Flats'!E120:E128</f>
        <v>45</v>
      </c>
      <c r="K1156" s="456" cm="1">
        <f t="array" ref="K1156:K1164">'Rate List - Flats'!G120:G128</f>
        <v>1340.1179999999999</v>
      </c>
      <c r="L1156" s="456">
        <f t="shared" si="208"/>
        <v>2988.4631399999998</v>
      </c>
      <c r="O1156" s="455">
        <f t="shared" ref="O1156:O1164" si="211">IF(I1156="N.A",0,G1156*$N$1064)</f>
        <v>40.14</v>
      </c>
      <c r="P1156" s="455">
        <f t="shared" ref="P1156:P1164" si="212">L1156*$N$1064</f>
        <v>53792.336519999997</v>
      </c>
      <c r="R1156" s="458" t="s">
        <v>752</v>
      </c>
    </row>
    <row r="1157" spans="1:18">
      <c r="A1157" s="454"/>
      <c r="B1157" s="454" t="str">
        <v>Skirting</v>
      </c>
      <c r="C1157" s="456"/>
      <c r="D1157" s="456"/>
      <c r="E1157" s="456">
        <f>D1155</f>
        <v>6.1</v>
      </c>
      <c r="F1157" s="456"/>
      <c r="G1157" s="456">
        <f t="shared" si="207"/>
        <v>6.1</v>
      </c>
      <c r="H1157" s="456" t="str">
        <v xml:space="preserve">RM </v>
      </c>
      <c r="I1157" s="456" t="str">
        <v xml:space="preserve">2'x2' Vitrified tiles </v>
      </c>
      <c r="J1157" s="456">
        <v>45</v>
      </c>
      <c r="K1157" s="456">
        <v>391.96</v>
      </c>
      <c r="L1157" s="456">
        <f t="shared" si="208"/>
        <v>2390.9559999999997</v>
      </c>
      <c r="O1157" s="455">
        <f t="shared" si="211"/>
        <v>109.8</v>
      </c>
      <c r="P1157" s="455">
        <f t="shared" si="212"/>
        <v>43037.207999999991</v>
      </c>
      <c r="R1157" s="458" t="s">
        <v>753</v>
      </c>
    </row>
    <row r="1158" spans="1:18">
      <c r="A1158" s="454"/>
      <c r="B1158" s="454" t="str">
        <v>Dado</v>
      </c>
      <c r="C1158" s="456"/>
      <c r="D1158" s="456"/>
      <c r="E1158" s="456"/>
      <c r="F1158" s="456"/>
      <c r="G1158" s="456">
        <f t="shared" si="207"/>
        <v>0</v>
      </c>
      <c r="H1158" s="456" t="str">
        <v>Sq M</v>
      </c>
      <c r="I1158" s="456" t="str">
        <v>N.A</v>
      </c>
      <c r="J1158" s="456">
        <v>0</v>
      </c>
      <c r="K1158" s="456">
        <v>0</v>
      </c>
      <c r="L1158" s="456">
        <f t="shared" si="208"/>
        <v>0</v>
      </c>
      <c r="O1158" s="455">
        <f t="shared" si="211"/>
        <v>0</v>
      </c>
      <c r="P1158" s="455">
        <f t="shared" si="212"/>
        <v>0</v>
      </c>
      <c r="R1158" s="458" t="s">
        <v>754</v>
      </c>
    </row>
    <row r="1159" spans="1:18">
      <c r="A1159" s="454"/>
      <c r="B1159" s="454" t="str">
        <v>Wall finishes plaster</v>
      </c>
      <c r="C1159" s="456"/>
      <c r="D1159" s="456"/>
      <c r="E1159" s="456">
        <f>D1155*(D1-0.15)</f>
        <v>17.995000000000001</v>
      </c>
      <c r="F1159" s="456">
        <f>-(Windows!K100*2.15)</f>
        <v>-6.88</v>
      </c>
      <c r="G1159" s="456">
        <f t="shared" si="207"/>
        <v>11.115000000000002</v>
      </c>
      <c r="H1159" s="456" t="str">
        <v>Sq M</v>
      </c>
      <c r="I1159" s="456" t="str">
        <v>External Plaster  - 15 mm</v>
      </c>
      <c r="J1159" s="456">
        <v>85</v>
      </c>
      <c r="K1159" s="456">
        <v>914.93999999999994</v>
      </c>
      <c r="L1159" s="456">
        <f t="shared" si="208"/>
        <v>10169.558100000002</v>
      </c>
      <c r="O1159" s="455">
        <f t="shared" si="211"/>
        <v>200.07000000000005</v>
      </c>
      <c r="P1159" s="455">
        <f t="shared" si="212"/>
        <v>183052.04580000002</v>
      </c>
      <c r="R1159" s="458" t="s">
        <v>751</v>
      </c>
    </row>
    <row r="1160" spans="1:18">
      <c r="A1160" s="454"/>
      <c r="B1160" s="454" t="str">
        <v>Ceiling plaster</v>
      </c>
      <c r="C1160" s="456"/>
      <c r="D1160" s="456"/>
      <c r="E1160" s="456">
        <f>E1156</f>
        <v>2.23</v>
      </c>
      <c r="F1160" s="456"/>
      <c r="G1160" s="456">
        <f t="shared" si="207"/>
        <v>2.23</v>
      </c>
      <c r="H1160" s="456" t="str">
        <v>Sq M</v>
      </c>
      <c r="I1160" s="456" t="str">
        <v>Gypsum Plaster</v>
      </c>
      <c r="J1160" s="456">
        <v>32</v>
      </c>
      <c r="K1160" s="456">
        <v>344.44799999999998</v>
      </c>
      <c r="L1160" s="456">
        <f t="shared" si="208"/>
        <v>768.11903999999993</v>
      </c>
      <c r="O1160" s="455">
        <f t="shared" si="211"/>
        <v>40.14</v>
      </c>
      <c r="P1160" s="455">
        <f t="shared" si="212"/>
        <v>13826.142719999998</v>
      </c>
      <c r="R1160" s="458" t="s">
        <v>662</v>
      </c>
    </row>
    <row r="1161" spans="1:18">
      <c r="A1161" s="454"/>
      <c r="B1161" s="454" t="str">
        <v>False ceiling</v>
      </c>
      <c r="C1161" s="456"/>
      <c r="D1161" s="456"/>
      <c r="E1161" s="456"/>
      <c r="F1161" s="456"/>
      <c r="G1161" s="456">
        <f t="shared" si="207"/>
        <v>0</v>
      </c>
      <c r="H1161" s="456" t="str">
        <v>Sq M</v>
      </c>
      <c r="I1161" s="456" t="str">
        <v>N.A.</v>
      </c>
      <c r="J1161" s="456">
        <v>0</v>
      </c>
      <c r="K1161" s="456">
        <v>0</v>
      </c>
      <c r="L1161" s="456">
        <f t="shared" si="208"/>
        <v>0</v>
      </c>
      <c r="O1161" s="455">
        <f t="shared" si="211"/>
        <v>0</v>
      </c>
      <c r="P1161" s="455">
        <f t="shared" si="212"/>
        <v>0</v>
      </c>
      <c r="R1161" s="458" t="s">
        <v>414</v>
      </c>
    </row>
    <row r="1162" spans="1:18">
      <c r="A1162" s="454"/>
      <c r="B1162" s="454" t="str">
        <v>Wall finishes Paint</v>
      </c>
      <c r="C1162" s="456"/>
      <c r="D1162" s="456"/>
      <c r="E1162" s="456">
        <f>E1159</f>
        <v>17.995000000000001</v>
      </c>
      <c r="F1162" s="456">
        <f>F1159</f>
        <v>-6.88</v>
      </c>
      <c r="G1162" s="456">
        <f t="shared" si="207"/>
        <v>11.115000000000002</v>
      </c>
      <c r="H1162" s="456" t="str">
        <v>Sq M</v>
      </c>
      <c r="I1162" s="456" t="str">
        <v>External Grade Paint</v>
      </c>
      <c r="J1162" s="456">
        <v>45</v>
      </c>
      <c r="K1162" s="456">
        <v>484.38</v>
      </c>
      <c r="L1162" s="456">
        <f t="shared" si="208"/>
        <v>5383.8837000000012</v>
      </c>
      <c r="O1162" s="455">
        <f t="shared" si="211"/>
        <v>200.07000000000005</v>
      </c>
      <c r="P1162" s="455">
        <f t="shared" si="212"/>
        <v>96909.906600000017</v>
      </c>
      <c r="R1162" s="458" t="s">
        <v>663</v>
      </c>
    </row>
    <row r="1163" spans="1:18">
      <c r="A1163" s="454"/>
      <c r="B1163" s="454" t="str">
        <v>Ceiling Paint</v>
      </c>
      <c r="C1163" s="456"/>
      <c r="D1163" s="456"/>
      <c r="E1163" s="456">
        <f>E1156</f>
        <v>2.23</v>
      </c>
      <c r="F1163" s="456"/>
      <c r="G1163" s="456">
        <f t="shared" si="207"/>
        <v>2.23</v>
      </c>
      <c r="H1163" s="456" t="str">
        <v>Sq M</v>
      </c>
      <c r="I1163" s="456" t="str">
        <v>External Grade Paint</v>
      </c>
      <c r="J1163" s="456">
        <v>45</v>
      </c>
      <c r="K1163" s="456">
        <v>484.38</v>
      </c>
      <c r="L1163" s="456">
        <f t="shared" si="208"/>
        <v>1080.1674</v>
      </c>
      <c r="O1163" s="455">
        <f t="shared" si="211"/>
        <v>40.14</v>
      </c>
      <c r="P1163" s="455">
        <f t="shared" si="212"/>
        <v>19443.013200000001</v>
      </c>
      <c r="R1163" s="458" t="s">
        <v>664</v>
      </c>
    </row>
    <row r="1164" spans="1:18">
      <c r="A1164" s="454"/>
      <c r="B1164" s="454" t="str">
        <v>Others</v>
      </c>
      <c r="C1164" s="456"/>
      <c r="D1164" s="456"/>
      <c r="E1164" s="456"/>
      <c r="F1164" s="456"/>
      <c r="G1164" s="524">
        <f t="shared" si="207"/>
        <v>0</v>
      </c>
      <c r="H1164" s="456" t="str">
        <v>-</v>
      </c>
      <c r="I1164" s="456" t="str">
        <v>N.A.</v>
      </c>
      <c r="J1164" s="456">
        <v>0</v>
      </c>
      <c r="K1164" s="456">
        <v>0</v>
      </c>
      <c r="L1164" s="456">
        <f t="shared" si="208"/>
        <v>0</v>
      </c>
      <c r="O1164" s="455">
        <f t="shared" si="211"/>
        <v>0</v>
      </c>
      <c r="P1164" s="455">
        <f t="shared" si="212"/>
        <v>0</v>
      </c>
    </row>
    <row r="1165" spans="1:18" ht="13.8" thickBot="1">
      <c r="A1165" s="454"/>
      <c r="B1165" s="454"/>
      <c r="C1165" s="456"/>
      <c r="D1165" s="456"/>
      <c r="E1165" s="456"/>
      <c r="F1165" s="456"/>
      <c r="G1165" s="525">
        <f>SUM(G1065:G1164)</f>
        <v>806.51799999999992</v>
      </c>
      <c r="H1165" s="456"/>
      <c r="I1165" s="456"/>
      <c r="J1165" s="456"/>
      <c r="K1165" s="456"/>
      <c r="L1165" s="525">
        <f>SUM(L1065:L1164)</f>
        <v>462084.52377919992</v>
      </c>
      <c r="O1165" s="525">
        <f>SUM(O1065:O1164)</f>
        <v>14517.323999999999</v>
      </c>
      <c r="P1165" s="525">
        <f>SUM(P1065:P1164)</f>
        <v>8317521.4280255996</v>
      </c>
    </row>
    <row r="1166" spans="1:18">
      <c r="A1166" s="528"/>
      <c r="B1166" s="529" t="s">
        <v>744</v>
      </c>
      <c r="C1166" s="522"/>
      <c r="D1166" s="522"/>
      <c r="E1166" s="522"/>
      <c r="F1166" s="522"/>
      <c r="G1166" s="530"/>
      <c r="H1166" s="522"/>
      <c r="I1166" s="522"/>
      <c r="J1166" s="522"/>
      <c r="K1166" s="522"/>
      <c r="L1166" s="522"/>
    </row>
    <row r="1167" spans="1:18">
      <c r="A1167" s="528"/>
      <c r="B1167" s="528" t="s">
        <v>355</v>
      </c>
      <c r="C1167" s="522"/>
      <c r="D1167" s="522"/>
      <c r="E1167" s="522"/>
      <c r="F1167" s="522"/>
      <c r="G1167" s="522">
        <f>SUMIF($B$1065:$B$1164,B1167,$G$1065:$G$1164)</f>
        <v>70.430000000000007</v>
      </c>
      <c r="H1167" s="522"/>
      <c r="I1167" s="522"/>
      <c r="J1167" s="522"/>
      <c r="K1167" s="522"/>
      <c r="L1167" s="522">
        <f>SUMIF($B$1065:$B$1164,B1167,$L$1065:$L$1164)</f>
        <v>94770.507779999985</v>
      </c>
      <c r="O1167" s="455">
        <f t="shared" ref="O1167:O1182" si="213">IF(I1167="N.A",0,G1167*$N$1064)</f>
        <v>1267.7400000000002</v>
      </c>
      <c r="P1167" s="455">
        <f t="shared" ref="P1167:P1182" si="214">L1167*$N$1064</f>
        <v>1705869.1400399997</v>
      </c>
    </row>
    <row r="1168" spans="1:18">
      <c r="A1168" s="528"/>
      <c r="B1168" s="528" t="s">
        <v>695</v>
      </c>
      <c r="C1168" s="522"/>
      <c r="D1168" s="522"/>
      <c r="E1168" s="522"/>
      <c r="F1168" s="522"/>
      <c r="G1168" s="522">
        <f t="shared" ref="G1168:G1182" si="215">SUMIF($B$1065:$B$1164,B1168,$G$1065:$G$1164)</f>
        <v>61.500000000000007</v>
      </c>
      <c r="H1168" s="522"/>
      <c r="I1168" s="522"/>
      <c r="J1168" s="522"/>
      <c r="K1168" s="522"/>
      <c r="L1168" s="522">
        <f t="shared" ref="L1168:L1182" si="216">SUMIF($B$1065:$B$1164,B1168,$L$1065:$L$1164)</f>
        <v>24105.539999999997</v>
      </c>
      <c r="O1168" s="455">
        <f t="shared" si="213"/>
        <v>1107.0000000000002</v>
      </c>
      <c r="P1168" s="455">
        <f t="shared" si="214"/>
        <v>433899.72</v>
      </c>
    </row>
    <row r="1169" spans="1:16">
      <c r="A1169" s="528"/>
      <c r="B1169" s="528" t="s">
        <v>698</v>
      </c>
      <c r="C1169" s="522"/>
      <c r="D1169" s="522"/>
      <c r="E1169" s="522"/>
      <c r="F1169" s="522"/>
      <c r="G1169" s="522">
        <f t="shared" si="215"/>
        <v>41.760000000000005</v>
      </c>
      <c r="H1169" s="522"/>
      <c r="I1169" s="522"/>
      <c r="J1169" s="522"/>
      <c r="K1169" s="522"/>
      <c r="L1169" s="522">
        <f t="shared" si="216"/>
        <v>61013.796480000005</v>
      </c>
      <c r="O1169" s="455">
        <f t="shared" si="213"/>
        <v>751.68000000000006</v>
      </c>
      <c r="P1169" s="455">
        <f t="shared" si="214"/>
        <v>1098248.3366400001</v>
      </c>
    </row>
    <row r="1170" spans="1:16">
      <c r="A1170" s="528"/>
      <c r="B1170" s="528" t="s">
        <v>700</v>
      </c>
      <c r="C1170" s="522"/>
      <c r="D1170" s="522"/>
      <c r="E1170" s="522"/>
      <c r="F1170" s="522"/>
      <c r="G1170" s="522">
        <f t="shared" si="215"/>
        <v>185.39099999999999</v>
      </c>
      <c r="H1170" s="522"/>
      <c r="I1170" s="522"/>
      <c r="J1170" s="522"/>
      <c r="K1170" s="522"/>
      <c r="L1170" s="522">
        <f t="shared" si="216"/>
        <v>78860.653794000013</v>
      </c>
      <c r="O1170" s="455">
        <f t="shared" si="213"/>
        <v>3337.038</v>
      </c>
      <c r="P1170" s="455">
        <f t="shared" si="214"/>
        <v>1419491.7682920003</v>
      </c>
    </row>
    <row r="1171" spans="1:16">
      <c r="A1171" s="528"/>
      <c r="B1171" s="528" t="s">
        <v>702</v>
      </c>
      <c r="C1171" s="522"/>
      <c r="D1171" s="522"/>
      <c r="E1171" s="522"/>
      <c r="F1171" s="522"/>
      <c r="G1171" s="522">
        <f t="shared" si="215"/>
        <v>70.430000000000007</v>
      </c>
      <c r="H1171" s="522"/>
      <c r="I1171" s="522"/>
      <c r="J1171" s="522"/>
      <c r="K1171" s="522"/>
      <c r="L1171" s="522">
        <f t="shared" si="216"/>
        <v>24259.47264</v>
      </c>
      <c r="O1171" s="455">
        <f t="shared" si="213"/>
        <v>1267.7400000000002</v>
      </c>
      <c r="P1171" s="455">
        <f t="shared" si="214"/>
        <v>436670.50751999998</v>
      </c>
    </row>
    <row r="1172" spans="1:16">
      <c r="A1172" s="528"/>
      <c r="B1172" s="528" t="s">
        <v>703</v>
      </c>
      <c r="C1172" s="522"/>
      <c r="D1172" s="522"/>
      <c r="E1172" s="522"/>
      <c r="F1172" s="522"/>
      <c r="G1172" s="522">
        <f t="shared" si="215"/>
        <v>0</v>
      </c>
      <c r="H1172" s="522"/>
      <c r="I1172" s="522"/>
      <c r="J1172" s="522"/>
      <c r="K1172" s="522"/>
      <c r="L1172" s="522">
        <f t="shared" si="216"/>
        <v>0</v>
      </c>
      <c r="O1172" s="455">
        <f t="shared" si="213"/>
        <v>0</v>
      </c>
      <c r="P1172" s="455">
        <f t="shared" si="214"/>
        <v>0</v>
      </c>
    </row>
    <row r="1173" spans="1:16">
      <c r="A1173" s="528"/>
      <c r="B1173" s="528" t="s">
        <v>704</v>
      </c>
      <c r="C1173" s="522"/>
      <c r="D1173" s="522"/>
      <c r="E1173" s="522"/>
      <c r="F1173" s="522"/>
      <c r="G1173" s="522">
        <f t="shared" si="215"/>
        <v>185.39099999999999</v>
      </c>
      <c r="H1173" s="522"/>
      <c r="I1173" s="522"/>
      <c r="J1173" s="522"/>
      <c r="K1173" s="522"/>
      <c r="L1173" s="522">
        <f t="shared" si="216"/>
        <v>46776.92643</v>
      </c>
      <c r="O1173" s="455">
        <f t="shared" si="213"/>
        <v>3337.038</v>
      </c>
      <c r="P1173" s="455">
        <f t="shared" si="214"/>
        <v>841984.67573999998</v>
      </c>
    </row>
    <row r="1174" spans="1:16">
      <c r="A1174" s="528"/>
      <c r="B1174" s="528" t="s">
        <v>706</v>
      </c>
      <c r="C1174" s="522"/>
      <c r="D1174" s="522"/>
      <c r="E1174" s="522"/>
      <c r="F1174" s="522"/>
      <c r="G1174" s="522">
        <f t="shared" si="215"/>
        <v>70.430000000000007</v>
      </c>
      <c r="H1174" s="522"/>
      <c r="I1174" s="522"/>
      <c r="J1174" s="522"/>
      <c r="K1174" s="522"/>
      <c r="L1174" s="522">
        <f t="shared" si="216"/>
        <v>16257.407399999998</v>
      </c>
      <c r="O1174" s="455">
        <f t="shared" si="213"/>
        <v>1267.7400000000002</v>
      </c>
      <c r="P1174" s="455">
        <f t="shared" si="214"/>
        <v>292633.33319999999</v>
      </c>
    </row>
    <row r="1175" spans="1:16">
      <c r="A1175" s="528"/>
      <c r="B1175" s="528" t="s">
        <v>713</v>
      </c>
      <c r="C1175" s="522"/>
      <c r="D1175" s="522"/>
      <c r="E1175" s="522"/>
      <c r="F1175" s="522"/>
      <c r="G1175" s="522">
        <f t="shared" si="215"/>
        <v>22.8</v>
      </c>
      <c r="H1175" s="522"/>
      <c r="I1175" s="522"/>
      <c r="J1175" s="522"/>
      <c r="K1175" s="522"/>
      <c r="L1175" s="522">
        <f t="shared" si="216"/>
        <v>14955.140159999999</v>
      </c>
      <c r="O1175" s="455">
        <f t="shared" si="213"/>
        <v>410.40000000000003</v>
      </c>
      <c r="P1175" s="455">
        <f t="shared" si="214"/>
        <v>269192.52288</v>
      </c>
    </row>
    <row r="1176" spans="1:16">
      <c r="A1176" s="528"/>
      <c r="B1176" s="528" t="s">
        <v>715</v>
      </c>
      <c r="C1176" s="522"/>
      <c r="D1176" s="522"/>
      <c r="E1176" s="522"/>
      <c r="F1176" s="522"/>
      <c r="G1176" s="522">
        <f t="shared" si="215"/>
        <v>43</v>
      </c>
      <c r="H1176" s="522"/>
      <c r="I1176" s="522"/>
      <c r="J1176" s="522"/>
      <c r="K1176" s="522"/>
      <c r="L1176" s="522">
        <f t="shared" si="216"/>
        <v>28204.869599999998</v>
      </c>
      <c r="O1176" s="455">
        <f t="shared" si="213"/>
        <v>774</v>
      </c>
      <c r="P1176" s="455">
        <f t="shared" si="214"/>
        <v>507687.65279999998</v>
      </c>
    </row>
    <row r="1177" spans="1:16">
      <c r="A1177" s="528"/>
      <c r="B1177" s="528" t="s">
        <v>716</v>
      </c>
      <c r="C1177" s="522"/>
      <c r="D1177" s="522"/>
      <c r="E1177" s="522"/>
      <c r="F1177" s="522"/>
      <c r="G1177" s="522">
        <f t="shared" si="215"/>
        <v>43</v>
      </c>
      <c r="H1177" s="522"/>
      <c r="I1177" s="522"/>
      <c r="J1177" s="522"/>
      <c r="K1177" s="522"/>
      <c r="L1177" s="522">
        <f t="shared" si="216"/>
        <v>17158.823199999999</v>
      </c>
      <c r="O1177" s="455">
        <f t="shared" si="213"/>
        <v>774</v>
      </c>
      <c r="P1177" s="455">
        <f t="shared" si="214"/>
        <v>308858.81759999995</v>
      </c>
    </row>
    <row r="1178" spans="1:16">
      <c r="A1178" s="528"/>
      <c r="B1178" s="528" t="s">
        <v>707</v>
      </c>
      <c r="C1178" s="522"/>
      <c r="D1178" s="522"/>
      <c r="E1178" s="522"/>
      <c r="F1178" s="522"/>
      <c r="G1178" s="522">
        <f t="shared" si="215"/>
        <v>0</v>
      </c>
      <c r="H1178" s="522"/>
      <c r="I1178" s="522"/>
      <c r="J1178" s="522"/>
      <c r="K1178" s="522"/>
      <c r="L1178" s="522">
        <f t="shared" si="216"/>
        <v>0</v>
      </c>
      <c r="O1178" s="455">
        <f t="shared" si="213"/>
        <v>0</v>
      </c>
      <c r="P1178" s="455">
        <f t="shared" si="214"/>
        <v>0</v>
      </c>
    </row>
    <row r="1179" spans="1:16">
      <c r="A1179" s="528"/>
      <c r="B1179" s="528" t="s">
        <v>718</v>
      </c>
      <c r="C1179" s="522"/>
      <c r="D1179" s="522"/>
      <c r="E1179" s="522"/>
      <c r="F1179" s="522"/>
      <c r="G1179" s="522">
        <f t="shared" si="215"/>
        <v>0.72</v>
      </c>
      <c r="H1179" s="522"/>
      <c r="I1179" s="522"/>
      <c r="J1179" s="522"/>
      <c r="K1179" s="522"/>
      <c r="L1179" s="522">
        <f t="shared" si="216"/>
        <v>4557.36384</v>
      </c>
      <c r="O1179" s="455">
        <f t="shared" si="213"/>
        <v>12.959999999999999</v>
      </c>
      <c r="P1179" s="455">
        <f t="shared" si="214"/>
        <v>82032.549119999996</v>
      </c>
    </row>
    <row r="1180" spans="1:16">
      <c r="A1180" s="528"/>
      <c r="B1180" s="528" t="s">
        <v>755</v>
      </c>
      <c r="C1180" s="522"/>
      <c r="D1180" s="522"/>
      <c r="E1180" s="522"/>
      <c r="F1180" s="522"/>
      <c r="G1180" s="522">
        <f t="shared" si="215"/>
        <v>5.5260000000000007</v>
      </c>
      <c r="H1180" s="522"/>
      <c r="I1180" s="522"/>
      <c r="J1180" s="522"/>
      <c r="K1180" s="522"/>
      <c r="L1180" s="522">
        <f t="shared" si="216"/>
        <v>6263.4402792000001</v>
      </c>
      <c r="O1180" s="455">
        <f t="shared" si="213"/>
        <v>99.468000000000018</v>
      </c>
      <c r="P1180" s="455">
        <f t="shared" si="214"/>
        <v>112741.92502560001</v>
      </c>
    </row>
    <row r="1181" spans="1:16">
      <c r="A1181" s="528"/>
      <c r="B1181" s="528" t="s">
        <v>747</v>
      </c>
      <c r="C1181" s="522"/>
      <c r="D1181" s="522"/>
      <c r="E1181" s="522"/>
      <c r="F1181" s="522"/>
      <c r="G1181" s="522">
        <f t="shared" si="215"/>
        <v>3.52</v>
      </c>
      <c r="H1181" s="522"/>
      <c r="I1181" s="522"/>
      <c r="J1181" s="522"/>
      <c r="K1181" s="522"/>
      <c r="L1181" s="522">
        <f t="shared" si="216"/>
        <v>25741.050368000004</v>
      </c>
      <c r="O1181" s="455">
        <f t="shared" si="213"/>
        <v>63.36</v>
      </c>
      <c r="P1181" s="455">
        <f t="shared" si="214"/>
        <v>463338.90662400005</v>
      </c>
    </row>
    <row r="1182" spans="1:16">
      <c r="A1182" s="528"/>
      <c r="B1182" s="528" t="s">
        <v>666</v>
      </c>
      <c r="C1182" s="522"/>
      <c r="D1182" s="522"/>
      <c r="E1182" s="522"/>
      <c r="F1182" s="522"/>
      <c r="G1182" s="537">
        <f t="shared" si="215"/>
        <v>2.62</v>
      </c>
      <c r="H1182" s="522"/>
      <c r="I1182" s="522"/>
      <c r="J1182" s="522"/>
      <c r="K1182" s="537"/>
      <c r="L1182" s="522">
        <f t="shared" si="216"/>
        <v>19159.531808000003</v>
      </c>
      <c r="O1182" s="455">
        <f t="shared" si="213"/>
        <v>47.160000000000004</v>
      </c>
      <c r="P1182" s="455">
        <f t="shared" si="214"/>
        <v>344871.57254400005</v>
      </c>
    </row>
    <row r="1183" spans="1:16" ht="13.8" thickBot="1">
      <c r="A1183" s="528"/>
      <c r="B1183" s="528"/>
      <c r="C1183" s="522"/>
      <c r="D1183" s="522"/>
      <c r="E1183" s="522"/>
      <c r="F1183" s="522"/>
      <c r="G1183" s="525">
        <f>SUM(G1167:G1182)</f>
        <v>806.51800000000003</v>
      </c>
      <c r="H1183" s="522"/>
      <c r="I1183" s="522"/>
      <c r="J1183" s="522"/>
      <c r="K1183" s="525" t="s">
        <v>232</v>
      </c>
      <c r="L1183" s="525">
        <f>SUM(L1167:L1182)</f>
        <v>462084.52377919998</v>
      </c>
      <c r="O1183" s="536">
        <f>SUM(O1167:O1182)</f>
        <v>14517.324000000001</v>
      </c>
      <c r="P1183" s="536">
        <f>SUM(P1167:P1182)</f>
        <v>8317521.4280256005</v>
      </c>
    </row>
    <row r="1184" spans="1:16">
      <c r="A1184" s="528"/>
      <c r="B1184" s="528" t="s">
        <v>386</v>
      </c>
      <c r="C1184" s="522"/>
      <c r="D1184" s="522"/>
      <c r="E1184" s="522"/>
      <c r="F1184" s="522"/>
      <c r="G1184" s="530">
        <f>Doors!E84</f>
        <v>6</v>
      </c>
      <c r="H1184" s="522"/>
      <c r="I1184" s="522"/>
      <c r="J1184" s="522"/>
      <c r="K1184" s="530"/>
      <c r="L1184" s="522">
        <f>Doors!J84</f>
        <v>112000</v>
      </c>
    </row>
    <row r="1185" spans="1:22">
      <c r="A1185" s="528"/>
      <c r="B1185" s="528" t="s">
        <v>391</v>
      </c>
      <c r="C1185" s="522"/>
      <c r="D1185" s="522"/>
      <c r="E1185" s="522"/>
      <c r="F1185" s="522"/>
      <c r="G1185" s="522">
        <f>Windows!H101</f>
        <v>22.829999999999995</v>
      </c>
      <c r="H1185" s="522"/>
      <c r="I1185" s="522"/>
      <c r="J1185" s="522"/>
      <c r="K1185" s="522"/>
      <c r="L1185" s="522">
        <f>Windows!N101</f>
        <v>175058.166</v>
      </c>
    </row>
    <row r="1186" spans="1:22">
      <c r="A1186" s="528"/>
      <c r="B1186" s="528"/>
      <c r="C1186" s="522"/>
      <c r="D1186" s="522"/>
      <c r="E1186" s="522"/>
      <c r="F1186" s="522"/>
      <c r="G1186" s="522"/>
      <c r="H1186" s="522"/>
      <c r="I1186" s="522"/>
      <c r="J1186" s="522"/>
      <c r="K1186" s="539" t="s">
        <v>232</v>
      </c>
      <c r="L1186" s="539">
        <f>SUM(L1184:L1185)</f>
        <v>287058.16599999997</v>
      </c>
    </row>
    <row r="1187" spans="1:22" ht="13.8" thickBot="1">
      <c r="A1187" s="528"/>
      <c r="B1187" s="528"/>
      <c r="C1187" s="522"/>
      <c r="D1187" s="522"/>
      <c r="E1187" s="522"/>
      <c r="F1187" s="522"/>
      <c r="G1187" s="522"/>
      <c r="H1187" s="522"/>
      <c r="I1187" s="522"/>
      <c r="J1187" s="522"/>
      <c r="K1187" s="525" t="s">
        <v>758</v>
      </c>
      <c r="L1187" s="525">
        <f>L1183+L1186</f>
        <v>749142.68977919989</v>
      </c>
    </row>
    <row r="1188" spans="1:22" s="474" customFormat="1" ht="13.5" customHeight="1">
      <c r="A1188" s="465" t="s">
        <v>628</v>
      </c>
      <c r="B1188" s="466" t="str">
        <f>'Flat Sizes'!B99</f>
        <v>Flat 6,
2BHK</v>
      </c>
      <c r="C1188" s="456"/>
      <c r="D1188" s="456"/>
      <c r="E1188" s="456"/>
      <c r="F1188" s="456"/>
      <c r="G1188" s="456"/>
      <c r="H1188" s="456"/>
      <c r="I1188" s="456"/>
      <c r="J1188" s="456"/>
      <c r="K1188" s="456"/>
      <c r="L1188" s="456"/>
      <c r="M1188" s="471"/>
      <c r="N1188" s="472">
        <f>'Flat Sizes'!H99</f>
        <v>28</v>
      </c>
      <c r="O1188" s="459"/>
      <c r="P1188" s="459"/>
      <c r="Q1188" s="473"/>
      <c r="S1188" s="473"/>
      <c r="T1188" s="473"/>
      <c r="U1188" s="473"/>
      <c r="V1188" s="473"/>
    </row>
    <row r="1189" spans="1:22" s="479" customFormat="1" ht="13.5" customHeight="1">
      <c r="A1189" s="475" t="s">
        <v>628</v>
      </c>
      <c r="B1189" s="476" t="str">
        <f>'Flat Sizes'!B100</f>
        <v>Living, Dining &amp; Passage</v>
      </c>
      <c r="C1189" s="477">
        <f>'Flat Sizes'!D100</f>
        <v>28.62</v>
      </c>
      <c r="D1189" s="477">
        <f>'Flat Sizes'!G100</f>
        <v>29.32</v>
      </c>
      <c r="E1189" s="477"/>
      <c r="F1189" s="454"/>
      <c r="G1189" s="477"/>
      <c r="H1189" s="477"/>
      <c r="I1189" s="477"/>
      <c r="J1189" s="477"/>
      <c r="K1189" s="477"/>
      <c r="L1189" s="477"/>
      <c r="M1189" s="459">
        <f>SUM(L1190:L1201)/C1189/10.764</f>
        <v>371.1455593235832</v>
      </c>
      <c r="N1189" s="472"/>
      <c r="O1189" s="455"/>
      <c r="P1189" s="455"/>
      <c r="Q1189" s="478"/>
    </row>
    <row r="1190" spans="1:22">
      <c r="A1190" s="454"/>
      <c r="B1190" s="454" t="str" cm="1">
        <f t="array" ref="B1190:B1201">'Rate List - Flats'!B6:B17</f>
        <v>Flooring</v>
      </c>
      <c r="C1190" s="456"/>
      <c r="D1190" s="456"/>
      <c r="E1190" s="456">
        <f>C1189</f>
        <v>28.62</v>
      </c>
      <c r="F1190" s="456"/>
      <c r="G1190" s="456">
        <f t="shared" ref="G1190:G1255" si="217">E1190+F1190</f>
        <v>28.62</v>
      </c>
      <c r="H1190" s="456" t="str" cm="1">
        <f t="array" ref="H1190:H1201">'Rate List - Flats'!H6:H17</f>
        <v>Sq M</v>
      </c>
      <c r="I1190" s="456" t="str" cm="1">
        <f t="array" ref="I1190:I1201">'Rate List - Flats'!C6:C17</f>
        <v>2'x2' Vitrified tiles</v>
      </c>
      <c r="J1190" s="456" cm="1">
        <f t="array" ref="J1190:J1201">'Rate List - Flats'!E6:E17</f>
        <v>45</v>
      </c>
      <c r="K1190" s="456" cm="1">
        <f t="array" ref="K1190:K1201">'Rate List - Flats'!G6:G17</f>
        <v>1340.1179999999999</v>
      </c>
      <c r="L1190" s="456">
        <f t="shared" ref="L1190:L1255" si="218">G1190*K1190</f>
        <v>38354.177159999999</v>
      </c>
      <c r="O1190" s="455">
        <f>IF(I1190="N.A",0,G1190*$N$1188)</f>
        <v>801.36</v>
      </c>
      <c r="P1190" s="455">
        <f>L1190*$N$1188</f>
        <v>1073916.9604799999</v>
      </c>
      <c r="R1190" s="480" t="s">
        <v>659</v>
      </c>
    </row>
    <row r="1191" spans="1:22">
      <c r="A1191" s="454"/>
      <c r="B1191" s="454" t="str">
        <v>Skirting</v>
      </c>
      <c r="C1191" s="456"/>
      <c r="D1191" s="456"/>
      <c r="E1191" s="456">
        <f>D1189</f>
        <v>29.32</v>
      </c>
      <c r="F1191" s="456">
        <f>-(Doors!F86+Doors!F87+Doors!F89+Doors!F90+Doors!F91)</f>
        <v>-4.6500000000000004</v>
      </c>
      <c r="G1191" s="456">
        <f t="shared" si="217"/>
        <v>24.67</v>
      </c>
      <c r="H1191" s="456" t="str">
        <v>RM</v>
      </c>
      <c r="I1191" s="456" t="str">
        <v xml:space="preserve">2'x2' Vitrified tiles </v>
      </c>
      <c r="J1191" s="456">
        <v>45</v>
      </c>
      <c r="K1191" s="456">
        <v>391.96</v>
      </c>
      <c r="L1191" s="456">
        <f t="shared" si="218"/>
        <v>9669.6532000000007</v>
      </c>
      <c r="O1191" s="455">
        <f t="shared" ref="O1191:O1201" si="219">IF(I1191="N.A",0,G1191*$N$1188)</f>
        <v>690.76</v>
      </c>
      <c r="P1191" s="455">
        <f t="shared" ref="P1191:P1201" si="220">L1191*$N$1188</f>
        <v>270750.28960000002</v>
      </c>
      <c r="R1191" s="480" t="s">
        <v>660</v>
      </c>
    </row>
    <row r="1192" spans="1:22">
      <c r="A1192" s="454"/>
      <c r="B1192" s="454" t="str">
        <v>Dado</v>
      </c>
      <c r="C1192" s="456"/>
      <c r="D1192" s="456"/>
      <c r="E1192" s="456"/>
      <c r="F1192" s="456"/>
      <c r="G1192" s="456">
        <f t="shared" si="217"/>
        <v>0</v>
      </c>
      <c r="H1192" s="456" t="str">
        <v>Sq M</v>
      </c>
      <c r="I1192" s="456" t="str">
        <v>N.A.</v>
      </c>
      <c r="J1192" s="456">
        <v>0</v>
      </c>
      <c r="K1192" s="456">
        <v>0</v>
      </c>
      <c r="L1192" s="456">
        <f t="shared" si="218"/>
        <v>0</v>
      </c>
      <c r="O1192" s="455">
        <f t="shared" si="219"/>
        <v>0</v>
      </c>
      <c r="P1192" s="455">
        <f t="shared" si="220"/>
        <v>0</v>
      </c>
      <c r="R1192" s="480"/>
    </row>
    <row r="1193" spans="1:22">
      <c r="A1193" s="454"/>
      <c r="B1193" s="454" t="str">
        <v>Wall finishes plaster</v>
      </c>
      <c r="C1193" s="456"/>
      <c r="D1193" s="456"/>
      <c r="E1193" s="456">
        <f>D1189*(D1-0.15)</f>
        <v>86.494</v>
      </c>
      <c r="F1193" s="456">
        <f>-(Doors!H86+Doors!H87+Doors!H89+Doors!H90+Doors!H91+Windows!H103)</f>
        <v>-16.43</v>
      </c>
      <c r="G1193" s="456">
        <f t="shared" si="217"/>
        <v>70.063999999999993</v>
      </c>
      <c r="H1193" s="456" t="str">
        <v>Sq M</v>
      </c>
      <c r="I1193" s="456" t="str">
        <v>Gypsum Plaster</v>
      </c>
      <c r="J1193" s="456">
        <v>32</v>
      </c>
      <c r="K1193" s="456">
        <v>344.44799999999998</v>
      </c>
      <c r="L1193" s="456">
        <f t="shared" si="218"/>
        <v>24133.404671999997</v>
      </c>
      <c r="O1193" s="455">
        <f t="shared" si="219"/>
        <v>1961.7919999999999</v>
      </c>
      <c r="P1193" s="455">
        <f t="shared" si="220"/>
        <v>675735.33081599989</v>
      </c>
      <c r="R1193" s="480" t="s">
        <v>661</v>
      </c>
    </row>
    <row r="1194" spans="1:22">
      <c r="A1194" s="454"/>
      <c r="B1194" s="454" t="str">
        <v>Ceiling plaster</v>
      </c>
      <c r="C1194" s="456"/>
      <c r="D1194" s="456"/>
      <c r="E1194" s="456">
        <f>E1190</f>
        <v>28.62</v>
      </c>
      <c r="F1194" s="456"/>
      <c r="G1194" s="456">
        <f t="shared" si="217"/>
        <v>28.62</v>
      </c>
      <c r="H1194" s="456" t="str">
        <v>Sq M</v>
      </c>
      <c r="I1194" s="456" t="str">
        <v>Gypsum Plaster</v>
      </c>
      <c r="J1194" s="456">
        <v>32</v>
      </c>
      <c r="K1194" s="456">
        <v>344.44799999999998</v>
      </c>
      <c r="L1194" s="456">
        <f t="shared" si="218"/>
        <v>9858.1017599999996</v>
      </c>
      <c r="O1194" s="455">
        <f t="shared" si="219"/>
        <v>801.36</v>
      </c>
      <c r="P1194" s="455">
        <f t="shared" si="220"/>
        <v>276026.84927999997</v>
      </c>
      <c r="R1194" s="480" t="s">
        <v>662</v>
      </c>
    </row>
    <row r="1195" spans="1:22">
      <c r="A1195" s="454"/>
      <c r="B1195" s="454" t="str">
        <v>False ceiling</v>
      </c>
      <c r="C1195" s="456"/>
      <c r="D1195" s="456"/>
      <c r="E1195" s="456"/>
      <c r="F1195" s="456"/>
      <c r="G1195" s="456">
        <f t="shared" si="217"/>
        <v>0</v>
      </c>
      <c r="H1195" s="456" t="str">
        <v>Sq M</v>
      </c>
      <c r="I1195" s="456" t="str">
        <v>N.A.</v>
      </c>
      <c r="J1195" s="456">
        <v>0</v>
      </c>
      <c r="K1195" s="456">
        <v>0</v>
      </c>
      <c r="L1195" s="456">
        <f t="shared" si="218"/>
        <v>0</v>
      </c>
      <c r="O1195" s="455">
        <f t="shared" si="219"/>
        <v>0</v>
      </c>
      <c r="P1195" s="455">
        <f t="shared" si="220"/>
        <v>0</v>
      </c>
      <c r="R1195" s="480"/>
    </row>
    <row r="1196" spans="1:22">
      <c r="A1196" s="454"/>
      <c r="B1196" s="454" t="str">
        <v>Wall finishes Paint</v>
      </c>
      <c r="C1196" s="456"/>
      <c r="D1196" s="456"/>
      <c r="E1196" s="456">
        <f>E1193</f>
        <v>86.494</v>
      </c>
      <c r="F1196" s="456">
        <f>F1193</f>
        <v>-16.43</v>
      </c>
      <c r="G1196" s="456">
        <f t="shared" si="217"/>
        <v>70.063999999999993</v>
      </c>
      <c r="H1196" s="456" t="str">
        <v>Sq M</v>
      </c>
      <c r="I1196" s="456" t="str">
        <v>Plastic paint</v>
      </c>
      <c r="J1196" s="456">
        <v>20</v>
      </c>
      <c r="K1196" s="456">
        <v>215.27999999999997</v>
      </c>
      <c r="L1196" s="456">
        <f t="shared" si="218"/>
        <v>15083.377919999997</v>
      </c>
      <c r="O1196" s="455">
        <f t="shared" si="219"/>
        <v>1961.7919999999999</v>
      </c>
      <c r="P1196" s="455">
        <f t="shared" si="220"/>
        <v>422334.58175999991</v>
      </c>
      <c r="R1196" s="480" t="s">
        <v>663</v>
      </c>
    </row>
    <row r="1197" spans="1:22">
      <c r="A1197" s="454"/>
      <c r="B1197" s="454" t="str">
        <v>Ceiling Paint</v>
      </c>
      <c r="C1197" s="456"/>
      <c r="D1197" s="456"/>
      <c r="E1197" s="456">
        <f>E1194</f>
        <v>28.62</v>
      </c>
      <c r="F1197" s="456"/>
      <c r="G1197" s="456">
        <f t="shared" si="217"/>
        <v>28.62</v>
      </c>
      <c r="H1197" s="456" t="str">
        <v>Sq M</v>
      </c>
      <c r="I1197" s="456" t="str">
        <v>Plastic paint</v>
      </c>
      <c r="J1197" s="456">
        <v>20</v>
      </c>
      <c r="K1197" s="456">
        <v>215.27999999999997</v>
      </c>
      <c r="L1197" s="456">
        <f t="shared" si="218"/>
        <v>6161.3135999999995</v>
      </c>
      <c r="O1197" s="455">
        <f t="shared" si="219"/>
        <v>801.36</v>
      </c>
      <c r="P1197" s="455">
        <f t="shared" si="220"/>
        <v>172516.78079999998</v>
      </c>
      <c r="R1197" s="480" t="s">
        <v>664</v>
      </c>
    </row>
    <row r="1198" spans="1:22">
      <c r="A1198" s="454"/>
      <c r="B1198" s="454" t="str">
        <v>Door Frames</v>
      </c>
      <c r="C1198" s="456"/>
      <c r="D1198" s="456"/>
      <c r="E1198" s="456"/>
      <c r="F1198" s="456"/>
      <c r="G1198" s="456">
        <f t="shared" si="217"/>
        <v>0</v>
      </c>
      <c r="H1198" s="456" t="str">
        <v>RM</v>
      </c>
      <c r="I1198" s="456" t="str">
        <v>N.A.</v>
      </c>
      <c r="J1198" s="456">
        <v>0</v>
      </c>
      <c r="K1198" s="456">
        <v>0</v>
      </c>
      <c r="L1198" s="456">
        <f t="shared" si="218"/>
        <v>0</v>
      </c>
      <c r="O1198" s="455">
        <f t="shared" si="219"/>
        <v>0</v>
      </c>
      <c r="P1198" s="455">
        <f t="shared" si="220"/>
        <v>0</v>
      </c>
      <c r="R1198" s="480" t="s">
        <v>742</v>
      </c>
    </row>
    <row r="1199" spans="1:22">
      <c r="A1199" s="454"/>
      <c r="B1199" s="454" t="str">
        <v>Window Frames - Internal</v>
      </c>
      <c r="C1199" s="456"/>
      <c r="D1199" s="456"/>
      <c r="E1199" s="456">
        <f>Windows!F103*2+Windows!G103*2</f>
        <v>10.5</v>
      </c>
      <c r="F1199" s="456"/>
      <c r="G1199" s="456">
        <f t="shared" si="217"/>
        <v>10.5</v>
      </c>
      <c r="H1199" s="456" t="str">
        <v>RM</v>
      </c>
      <c r="I1199" s="456" t="str">
        <v>Granite Window Frame</v>
      </c>
      <c r="J1199" s="456">
        <v>180</v>
      </c>
      <c r="K1199" s="456">
        <v>655.92719999999997</v>
      </c>
      <c r="L1199" s="456">
        <f t="shared" si="218"/>
        <v>6887.2356</v>
      </c>
      <c r="O1199" s="455">
        <f t="shared" si="219"/>
        <v>294</v>
      </c>
      <c r="P1199" s="455">
        <f t="shared" si="220"/>
        <v>192842.5968</v>
      </c>
      <c r="R1199" s="480" t="s">
        <v>743</v>
      </c>
    </row>
    <row r="1200" spans="1:22">
      <c r="A1200" s="454"/>
      <c r="B1200" s="454" t="str">
        <v>Window Frames - External</v>
      </c>
      <c r="C1200" s="456"/>
      <c r="D1200" s="456"/>
      <c r="E1200" s="456">
        <f>E1199</f>
        <v>10.5</v>
      </c>
      <c r="F1200" s="456"/>
      <c r="G1200" s="456">
        <f t="shared" si="217"/>
        <v>10.5</v>
      </c>
      <c r="H1200" s="456" t="str">
        <v>RM</v>
      </c>
      <c r="I1200" s="456" t="str">
        <v>Marble Window Frames with Sill</v>
      </c>
      <c r="J1200" s="456">
        <v>60</v>
      </c>
      <c r="K1200" s="456">
        <v>399.04239999999999</v>
      </c>
      <c r="L1200" s="456">
        <f t="shared" si="218"/>
        <v>4189.9452000000001</v>
      </c>
      <c r="O1200" s="455">
        <f t="shared" si="219"/>
        <v>294</v>
      </c>
      <c r="P1200" s="455">
        <f t="shared" si="220"/>
        <v>117318.4656</v>
      </c>
      <c r="R1200" s="480" t="s">
        <v>409</v>
      </c>
    </row>
    <row r="1201" spans="1:18">
      <c r="A1201" s="454"/>
      <c r="B1201" s="454" t="str">
        <v>Others</v>
      </c>
      <c r="C1201" s="456"/>
      <c r="D1201" s="456"/>
      <c r="E1201" s="456"/>
      <c r="F1201" s="456"/>
      <c r="G1201" s="456">
        <f t="shared" si="217"/>
        <v>0</v>
      </c>
      <c r="H1201" s="456" t="str">
        <v>-</v>
      </c>
      <c r="I1201" s="456" t="str">
        <v>N.A.</v>
      </c>
      <c r="J1201" s="456" t="str">
        <v>-</v>
      </c>
      <c r="K1201" s="456" t="str">
        <v>-</v>
      </c>
      <c r="L1201" s="456"/>
      <c r="O1201" s="455">
        <f t="shared" si="219"/>
        <v>0</v>
      </c>
      <c r="P1201" s="455">
        <f t="shared" si="220"/>
        <v>0</v>
      </c>
    </row>
    <row r="1202" spans="1:18" s="479" customFormat="1" ht="13.5" customHeight="1">
      <c r="A1202" s="475" t="s">
        <v>628</v>
      </c>
      <c r="B1202" s="476" t="str">
        <f>'Flat Sizes'!B101</f>
        <v>M. Bedroom</v>
      </c>
      <c r="C1202" s="477">
        <f>'Flat Sizes'!D101</f>
        <v>13.69</v>
      </c>
      <c r="D1202" s="477">
        <f>'Flat Sizes'!G101</f>
        <v>15.11</v>
      </c>
      <c r="E1202" s="477"/>
      <c r="F1202" s="454"/>
      <c r="G1202" s="477"/>
      <c r="H1202" s="477"/>
      <c r="I1202" s="477"/>
      <c r="J1202" s="477"/>
      <c r="K1202" s="477"/>
      <c r="L1202" s="477"/>
      <c r="M1202" s="459">
        <f>SUM(L1203:L1214)/C1202/10.764</f>
        <v>417.99966175160063</v>
      </c>
      <c r="N1202" s="472"/>
      <c r="O1202" s="455"/>
      <c r="P1202" s="455"/>
      <c r="Q1202" s="478"/>
    </row>
    <row r="1203" spans="1:18">
      <c r="A1203" s="454"/>
      <c r="B1203" s="454" t="str" cm="1">
        <f t="array" ref="B1203:B1214">'Rate List - Flats'!B34:B45</f>
        <v>Flooring</v>
      </c>
      <c r="C1203" s="456"/>
      <c r="D1203" s="456"/>
      <c r="E1203" s="456">
        <f>C1202</f>
        <v>13.69</v>
      </c>
      <c r="F1203" s="456"/>
      <c r="G1203" s="456">
        <f t="shared" si="217"/>
        <v>13.69</v>
      </c>
      <c r="H1203" s="456" t="str" cm="1">
        <f t="array" ref="H1203:H1214">'Rate List - Flats'!H34:H45</f>
        <v>Sq M</v>
      </c>
      <c r="I1203" s="456" t="str" cm="1">
        <f t="array" ref="I1203:I1214">'Rate List - Flats'!C34:C45</f>
        <v>2'x2' Vitrified tiles</v>
      </c>
      <c r="J1203" s="456" cm="1">
        <f t="array" ref="J1203:J1214">'Rate List - Flats'!E34:E45</f>
        <v>45</v>
      </c>
      <c r="K1203" s="456" cm="1">
        <f t="array" ref="K1203:K1214">'Rate List - Flats'!G34:G45</f>
        <v>1340.1179999999999</v>
      </c>
      <c r="L1203" s="456">
        <f t="shared" si="218"/>
        <v>18346.215419999997</v>
      </c>
      <c r="O1203" s="455">
        <f t="shared" ref="O1203:O1214" si="221">IF(I1203="N.A",0,G1203*$N$1188)</f>
        <v>383.32</v>
      </c>
      <c r="P1203" s="455">
        <f t="shared" ref="P1203:P1214" si="222">L1203*$N$1188</f>
        <v>513694.03175999993</v>
      </c>
      <c r="R1203" s="480" t="s">
        <v>659</v>
      </c>
    </row>
    <row r="1204" spans="1:18">
      <c r="A1204" s="454"/>
      <c r="B1204" s="454" t="str">
        <v>Skirting</v>
      </c>
      <c r="C1204" s="456"/>
      <c r="D1204" s="456"/>
      <c r="E1204" s="456">
        <f>D1202</f>
        <v>15.11</v>
      </c>
      <c r="F1204" s="456">
        <f>-(Doors!F87+Doors!F88)</f>
        <v>-1.65</v>
      </c>
      <c r="G1204" s="456">
        <f t="shared" si="217"/>
        <v>13.459999999999999</v>
      </c>
      <c r="H1204" s="456" t="str">
        <v>RM</v>
      </c>
      <c r="I1204" s="456" t="str">
        <v xml:space="preserve">2'x2' Vitrified tiles </v>
      </c>
      <c r="J1204" s="456">
        <v>45</v>
      </c>
      <c r="K1204" s="456">
        <v>391.96</v>
      </c>
      <c r="L1204" s="456">
        <f t="shared" si="218"/>
        <v>5275.7815999999993</v>
      </c>
      <c r="O1204" s="455">
        <f t="shared" si="221"/>
        <v>376.88</v>
      </c>
      <c r="P1204" s="455">
        <f t="shared" si="222"/>
        <v>147721.88479999997</v>
      </c>
      <c r="R1204" s="480" t="s">
        <v>660</v>
      </c>
    </row>
    <row r="1205" spans="1:18">
      <c r="A1205" s="454"/>
      <c r="B1205" s="454" t="str">
        <v>Dado</v>
      </c>
      <c r="C1205" s="456"/>
      <c r="D1205" s="456"/>
      <c r="E1205" s="456"/>
      <c r="F1205" s="456"/>
      <c r="G1205" s="456">
        <f t="shared" si="217"/>
        <v>0</v>
      </c>
      <c r="H1205" s="456" t="str">
        <v>Sq M</v>
      </c>
      <c r="I1205" s="456" t="str">
        <v>N.A.</v>
      </c>
      <c r="J1205" s="456">
        <v>0</v>
      </c>
      <c r="K1205" s="456">
        <v>0</v>
      </c>
      <c r="L1205" s="456">
        <f t="shared" si="218"/>
        <v>0</v>
      </c>
      <c r="O1205" s="455">
        <f t="shared" si="221"/>
        <v>0</v>
      </c>
      <c r="P1205" s="455">
        <f t="shared" si="222"/>
        <v>0</v>
      </c>
      <c r="R1205" s="480"/>
    </row>
    <row r="1206" spans="1:18">
      <c r="A1206" s="454"/>
      <c r="B1206" s="454" t="str">
        <v>Wall finishes plaster</v>
      </c>
      <c r="C1206" s="456"/>
      <c r="D1206" s="456"/>
      <c r="E1206" s="456">
        <f>D1202*(D1-0.15)</f>
        <v>44.5745</v>
      </c>
      <c r="F1206" s="456">
        <f>-(Doors!H87+Doors!H88+Windows!H104)</f>
        <v>-10.022499999999999</v>
      </c>
      <c r="G1206" s="456">
        <f t="shared" si="217"/>
        <v>34.552</v>
      </c>
      <c r="H1206" s="456" t="str">
        <v>Sq M</v>
      </c>
      <c r="I1206" s="456" t="str">
        <v>Gypsum Plaster</v>
      </c>
      <c r="J1206" s="456">
        <v>32</v>
      </c>
      <c r="K1206" s="456">
        <v>344.44799999999998</v>
      </c>
      <c r="L1206" s="456">
        <f t="shared" si="218"/>
        <v>11901.367295999999</v>
      </c>
      <c r="O1206" s="455">
        <f t="shared" si="221"/>
        <v>967.45600000000002</v>
      </c>
      <c r="P1206" s="455">
        <f t="shared" si="222"/>
        <v>333238.28428799997</v>
      </c>
      <c r="R1206" s="480" t="s">
        <v>661</v>
      </c>
    </row>
    <row r="1207" spans="1:18">
      <c r="A1207" s="454"/>
      <c r="B1207" s="454" t="str">
        <v>Ceiling plaster</v>
      </c>
      <c r="C1207" s="456"/>
      <c r="D1207" s="456"/>
      <c r="E1207" s="456">
        <f>E1203</f>
        <v>13.69</v>
      </c>
      <c r="F1207" s="456"/>
      <c r="G1207" s="456">
        <f t="shared" si="217"/>
        <v>13.69</v>
      </c>
      <c r="H1207" s="456" t="str">
        <v>Sq M</v>
      </c>
      <c r="I1207" s="456" t="str">
        <v>Gypsum Plaster</v>
      </c>
      <c r="J1207" s="456">
        <v>32</v>
      </c>
      <c r="K1207" s="456">
        <v>344.44799999999998</v>
      </c>
      <c r="L1207" s="456">
        <f t="shared" si="218"/>
        <v>4715.4931199999992</v>
      </c>
      <c r="O1207" s="455">
        <f t="shared" si="221"/>
        <v>383.32</v>
      </c>
      <c r="P1207" s="455">
        <f t="shared" si="222"/>
        <v>132033.80735999998</v>
      </c>
      <c r="R1207" s="480" t="s">
        <v>662</v>
      </c>
    </row>
    <row r="1208" spans="1:18">
      <c r="A1208" s="454"/>
      <c r="B1208" s="454" t="str">
        <v>False ceiling</v>
      </c>
      <c r="C1208" s="456"/>
      <c r="D1208" s="456"/>
      <c r="E1208" s="456"/>
      <c r="F1208" s="456"/>
      <c r="G1208" s="456">
        <f t="shared" si="217"/>
        <v>0</v>
      </c>
      <c r="H1208" s="456" t="str">
        <v>Sq M</v>
      </c>
      <c r="I1208" s="456" t="str">
        <v>N.A.</v>
      </c>
      <c r="J1208" s="456">
        <v>0</v>
      </c>
      <c r="K1208" s="456">
        <v>0</v>
      </c>
      <c r="L1208" s="456">
        <f t="shared" si="218"/>
        <v>0</v>
      </c>
      <c r="O1208" s="455">
        <f t="shared" si="221"/>
        <v>0</v>
      </c>
      <c r="P1208" s="455">
        <f t="shared" si="222"/>
        <v>0</v>
      </c>
      <c r="R1208" s="480"/>
    </row>
    <row r="1209" spans="1:18">
      <c r="A1209" s="454"/>
      <c r="B1209" s="454" t="str">
        <v>Wall finishes Paint</v>
      </c>
      <c r="C1209" s="456"/>
      <c r="D1209" s="456"/>
      <c r="E1209" s="456">
        <f>E1206</f>
        <v>44.5745</v>
      </c>
      <c r="F1209" s="456">
        <f>F1206</f>
        <v>-10.022499999999999</v>
      </c>
      <c r="G1209" s="456">
        <f t="shared" si="217"/>
        <v>34.552</v>
      </c>
      <c r="H1209" s="456" t="str">
        <v>Sq M</v>
      </c>
      <c r="I1209" s="456" t="str">
        <v>Plastic paint</v>
      </c>
      <c r="J1209" s="456">
        <v>20</v>
      </c>
      <c r="K1209" s="456">
        <v>215.27999999999997</v>
      </c>
      <c r="L1209" s="456">
        <f t="shared" si="218"/>
        <v>7438.3545599999989</v>
      </c>
      <c r="O1209" s="455">
        <f t="shared" si="221"/>
        <v>967.45600000000002</v>
      </c>
      <c r="P1209" s="455">
        <f t="shared" si="222"/>
        <v>208273.92767999996</v>
      </c>
      <c r="R1209" s="480" t="s">
        <v>663</v>
      </c>
    </row>
    <row r="1210" spans="1:18">
      <c r="A1210" s="454"/>
      <c r="B1210" s="454" t="str">
        <v>Ceiling Paint</v>
      </c>
      <c r="C1210" s="456"/>
      <c r="D1210" s="456"/>
      <c r="E1210" s="456">
        <f>E1207</f>
        <v>13.69</v>
      </c>
      <c r="F1210" s="456"/>
      <c r="G1210" s="456">
        <f t="shared" si="217"/>
        <v>13.69</v>
      </c>
      <c r="H1210" s="456" t="str">
        <v>Sq M</v>
      </c>
      <c r="I1210" s="456" t="str">
        <v>Plastic paint</v>
      </c>
      <c r="J1210" s="456">
        <v>20</v>
      </c>
      <c r="K1210" s="456">
        <v>215.27999999999997</v>
      </c>
      <c r="L1210" s="456">
        <f t="shared" si="218"/>
        <v>2947.1831999999995</v>
      </c>
      <c r="O1210" s="455">
        <f t="shared" si="221"/>
        <v>383.32</v>
      </c>
      <c r="P1210" s="455">
        <f t="shared" si="222"/>
        <v>82521.129599999986</v>
      </c>
      <c r="R1210" s="480" t="s">
        <v>664</v>
      </c>
    </row>
    <row r="1211" spans="1:18">
      <c r="A1211" s="454"/>
      <c r="B1211" s="454" t="str">
        <v>Door Frames</v>
      </c>
      <c r="C1211" s="456"/>
      <c r="D1211" s="456"/>
      <c r="E1211" s="456"/>
      <c r="F1211" s="456"/>
      <c r="G1211" s="456">
        <f t="shared" si="217"/>
        <v>0</v>
      </c>
      <c r="H1211" s="456" t="str">
        <v>RM</v>
      </c>
      <c r="I1211" s="456" t="str">
        <v>N.A.</v>
      </c>
      <c r="J1211" s="456">
        <v>0</v>
      </c>
      <c r="K1211" s="456">
        <v>0</v>
      </c>
      <c r="L1211" s="456">
        <f t="shared" si="218"/>
        <v>0</v>
      </c>
      <c r="O1211" s="455">
        <f t="shared" si="221"/>
        <v>0</v>
      </c>
      <c r="P1211" s="455">
        <f t="shared" si="222"/>
        <v>0</v>
      </c>
      <c r="R1211" s="480"/>
    </row>
    <row r="1212" spans="1:18">
      <c r="A1212" s="454"/>
      <c r="B1212" s="454" t="str">
        <v>Window Frames - Internal</v>
      </c>
      <c r="C1212" s="456"/>
      <c r="D1212" s="456"/>
      <c r="E1212" s="456">
        <f>Windows!F104*2+Windows!G104*2</f>
        <v>10.399999999999999</v>
      </c>
      <c r="F1212" s="456"/>
      <c r="G1212" s="456">
        <f t="shared" si="217"/>
        <v>10.399999999999999</v>
      </c>
      <c r="H1212" s="456" t="str">
        <v>RM</v>
      </c>
      <c r="I1212" s="456" t="str">
        <v>Granite Window Frame</v>
      </c>
      <c r="J1212" s="456">
        <v>180</v>
      </c>
      <c r="K1212" s="456">
        <v>655.92719999999997</v>
      </c>
      <c r="L1212" s="456">
        <f t="shared" si="218"/>
        <v>6821.6428799999985</v>
      </c>
      <c r="O1212" s="455">
        <f t="shared" si="221"/>
        <v>291.19999999999993</v>
      </c>
      <c r="P1212" s="455">
        <f t="shared" si="222"/>
        <v>191006.00063999995</v>
      </c>
      <c r="R1212" s="480" t="s">
        <v>743</v>
      </c>
    </row>
    <row r="1213" spans="1:18">
      <c r="A1213" s="454"/>
      <c r="B1213" s="454" t="str">
        <v>Window Frames - External</v>
      </c>
      <c r="C1213" s="456"/>
      <c r="D1213" s="456"/>
      <c r="E1213" s="456">
        <f>E1212</f>
        <v>10.399999999999999</v>
      </c>
      <c r="F1213" s="456"/>
      <c r="G1213" s="456">
        <f t="shared" si="217"/>
        <v>10.399999999999999</v>
      </c>
      <c r="H1213" s="456" t="str">
        <v>RM</v>
      </c>
      <c r="I1213" s="456" t="str">
        <v>Marble Window Frames with Sill</v>
      </c>
      <c r="J1213" s="456">
        <v>60</v>
      </c>
      <c r="K1213" s="456">
        <v>399.04239999999999</v>
      </c>
      <c r="L1213" s="456">
        <f t="shared" si="218"/>
        <v>4150.0409599999994</v>
      </c>
      <c r="O1213" s="455">
        <f t="shared" si="221"/>
        <v>291.19999999999993</v>
      </c>
      <c r="P1213" s="455">
        <f t="shared" si="222"/>
        <v>116201.14687999999</v>
      </c>
      <c r="R1213" s="480" t="s">
        <v>409</v>
      </c>
    </row>
    <row r="1214" spans="1:18">
      <c r="A1214" s="454"/>
      <c r="B1214" s="454" t="str">
        <v>Others</v>
      </c>
      <c r="C1214" s="456"/>
      <c r="D1214" s="456"/>
      <c r="E1214" s="456"/>
      <c r="F1214" s="456"/>
      <c r="G1214" s="456">
        <f t="shared" si="217"/>
        <v>0</v>
      </c>
      <c r="H1214" s="456" t="str">
        <v>-</v>
      </c>
      <c r="I1214" s="456" t="str">
        <v>N.A.</v>
      </c>
      <c r="J1214" s="456">
        <v>0</v>
      </c>
      <c r="K1214" s="456">
        <v>0</v>
      </c>
      <c r="L1214" s="456">
        <f t="shared" si="218"/>
        <v>0</v>
      </c>
      <c r="O1214" s="455">
        <f t="shared" si="221"/>
        <v>0</v>
      </c>
      <c r="P1214" s="455">
        <f t="shared" si="222"/>
        <v>0</v>
      </c>
    </row>
    <row r="1215" spans="1:18" s="479" customFormat="1" ht="13.5" customHeight="1">
      <c r="A1215" s="475" t="s">
        <v>628</v>
      </c>
      <c r="B1215" s="476" t="str">
        <f>'Flat Sizes'!B102</f>
        <v>M. Toilet</v>
      </c>
      <c r="C1215" s="477">
        <f>'Flat Sizes'!D102</f>
        <v>3.27</v>
      </c>
      <c r="D1215" s="477">
        <f>'Flat Sizes'!G102</f>
        <v>7.64</v>
      </c>
      <c r="E1215" s="477"/>
      <c r="F1215" s="454"/>
      <c r="G1215" s="477"/>
      <c r="H1215" s="477"/>
      <c r="I1215" s="477"/>
      <c r="J1215" s="477"/>
      <c r="K1215" s="477"/>
      <c r="L1215" s="477"/>
      <c r="M1215" s="459">
        <f>SUM(L1216:L1227)/C1215/10.764</f>
        <v>1311.00945199595</v>
      </c>
      <c r="N1215" s="472"/>
      <c r="O1215" s="455"/>
      <c r="P1215" s="455"/>
      <c r="Q1215" s="478"/>
    </row>
    <row r="1216" spans="1:18">
      <c r="A1216" s="454"/>
      <c r="B1216" s="454" t="str" cm="1">
        <f t="array" ref="B1216:B1227">'Rate List - Flats'!B62:B73</f>
        <v>Flooring</v>
      </c>
      <c r="C1216" s="456"/>
      <c r="D1216" s="456"/>
      <c r="E1216" s="456">
        <f>C1215</f>
        <v>3.27</v>
      </c>
      <c r="F1216" s="456"/>
      <c r="G1216" s="456">
        <f t="shared" si="217"/>
        <v>3.27</v>
      </c>
      <c r="H1216" s="456" t="str" cm="1">
        <f t="array" ref="H1216:H1227">'Rate List - Flats'!H62:H73</f>
        <v>Sq M</v>
      </c>
      <c r="I1216" s="456" t="str" cm="1">
        <f t="array" ref="I1216:I1227">'Rate List - Flats'!C62:C73</f>
        <v>Ceramic tiles/vitrified anti-skid tiles</v>
      </c>
      <c r="J1216" s="456" cm="1">
        <f t="array" ref="J1216:J1227">'Rate List - Flats'!E62:E73</f>
        <v>50</v>
      </c>
      <c r="K1216" s="456" cm="1">
        <f t="array" ref="K1216:K1227">'Rate List - Flats'!G62:G73</f>
        <v>1399.32</v>
      </c>
      <c r="L1216" s="456">
        <f t="shared" si="218"/>
        <v>4575.7763999999997</v>
      </c>
      <c r="O1216" s="455">
        <f t="shared" ref="O1216:O1227" si="223">IF(I1216="N.A",0,G1216*$N$1188)</f>
        <v>91.56</v>
      </c>
      <c r="P1216" s="455">
        <f t="shared" ref="P1216:P1227" si="224">L1216*$N$1188</f>
        <v>128121.7392</v>
      </c>
      <c r="R1216" s="480" t="s">
        <v>667</v>
      </c>
    </row>
    <row r="1217" spans="1:18">
      <c r="A1217" s="454"/>
      <c r="B1217" s="454" t="str">
        <v>Skirting</v>
      </c>
      <c r="C1217" s="456"/>
      <c r="D1217" s="456"/>
      <c r="E1217" s="456"/>
      <c r="F1217" s="456"/>
      <c r="G1217" s="456">
        <f t="shared" si="217"/>
        <v>0</v>
      </c>
      <c r="H1217" s="456" t="str">
        <v xml:space="preserve">RM </v>
      </c>
      <c r="I1217" s="456" t="str">
        <v>N.A.</v>
      </c>
      <c r="J1217" s="456">
        <v>0</v>
      </c>
      <c r="K1217" s="456">
        <v>0</v>
      </c>
      <c r="L1217" s="456">
        <f t="shared" si="218"/>
        <v>0</v>
      </c>
      <c r="O1217" s="455">
        <f t="shared" si="223"/>
        <v>0</v>
      </c>
      <c r="P1217" s="455">
        <f t="shared" si="224"/>
        <v>0</v>
      </c>
      <c r="R1217" s="480"/>
    </row>
    <row r="1218" spans="1:18">
      <c r="A1218" s="454"/>
      <c r="B1218" s="454" t="str">
        <v>Dado</v>
      </c>
      <c r="C1218" s="456"/>
      <c r="D1218" s="456">
        <f>D1-0.7</f>
        <v>2.4000000000000004</v>
      </c>
      <c r="E1218" s="456">
        <f>D1215*D1218</f>
        <v>18.336000000000002</v>
      </c>
      <c r="F1218" s="456">
        <f>-(Doors!H88+Windows!H105)</f>
        <v>-2.0250000000000004</v>
      </c>
      <c r="G1218" s="456">
        <f t="shared" si="217"/>
        <v>16.311</v>
      </c>
      <c r="H1218" s="456" t="str">
        <v>Sq M</v>
      </c>
      <c r="I1218" s="456" t="str">
        <v>Vitrified tiles</v>
      </c>
      <c r="J1218" s="456">
        <v>50</v>
      </c>
      <c r="K1218" s="456">
        <v>1480.05</v>
      </c>
      <c r="L1218" s="456">
        <f t="shared" si="218"/>
        <v>24141.095549999998</v>
      </c>
      <c r="O1218" s="455">
        <f t="shared" si="223"/>
        <v>456.70799999999997</v>
      </c>
      <c r="P1218" s="455">
        <f t="shared" si="224"/>
        <v>675950.67539999995</v>
      </c>
      <c r="R1218" s="480" t="s">
        <v>668</v>
      </c>
    </row>
    <row r="1219" spans="1:18">
      <c r="A1219" s="454"/>
      <c r="B1219" s="454" t="str">
        <v>Wall finishes plaster</v>
      </c>
      <c r="C1219" s="456"/>
      <c r="D1219" s="456">
        <f>D1-D1218</f>
        <v>0.69999999999999973</v>
      </c>
      <c r="E1219" s="456">
        <f>D1215*D1219</f>
        <v>5.3479999999999981</v>
      </c>
      <c r="F1219" s="456"/>
      <c r="G1219" s="456">
        <f t="shared" si="217"/>
        <v>5.3479999999999981</v>
      </c>
      <c r="H1219" s="456" t="str">
        <v>Sq M</v>
      </c>
      <c r="I1219" s="456" t="str">
        <v>Gypsum Plaster</v>
      </c>
      <c r="J1219" s="456">
        <v>32</v>
      </c>
      <c r="K1219" s="456">
        <v>344.44799999999998</v>
      </c>
      <c r="L1219" s="456">
        <f t="shared" si="218"/>
        <v>1842.1079039999993</v>
      </c>
      <c r="O1219" s="455">
        <f t="shared" si="223"/>
        <v>149.74399999999994</v>
      </c>
      <c r="P1219" s="455">
        <f t="shared" si="224"/>
        <v>51579.021311999983</v>
      </c>
      <c r="R1219" s="480" t="s">
        <v>661</v>
      </c>
    </row>
    <row r="1220" spans="1:18">
      <c r="A1220" s="454"/>
      <c r="B1220" s="454" t="str">
        <v>Ceiling plaster</v>
      </c>
      <c r="C1220" s="456"/>
      <c r="D1220" s="456"/>
      <c r="E1220" s="456">
        <f>E1216</f>
        <v>3.27</v>
      </c>
      <c r="F1220" s="456"/>
      <c r="G1220" s="456">
        <f t="shared" si="217"/>
        <v>3.27</v>
      </c>
      <c r="H1220" s="456" t="str">
        <v>Sq M</v>
      </c>
      <c r="I1220" s="456" t="str">
        <v>Gypsum Plaster</v>
      </c>
      <c r="J1220" s="456">
        <v>32</v>
      </c>
      <c r="K1220" s="456">
        <v>344.44799999999998</v>
      </c>
      <c r="L1220" s="456">
        <f t="shared" si="218"/>
        <v>1126.3449599999999</v>
      </c>
      <c r="O1220" s="455">
        <f t="shared" si="223"/>
        <v>91.56</v>
      </c>
      <c r="P1220" s="455">
        <f t="shared" si="224"/>
        <v>31537.658879999995</v>
      </c>
      <c r="R1220" s="480" t="s">
        <v>662</v>
      </c>
    </row>
    <row r="1221" spans="1:18">
      <c r="A1221" s="454"/>
      <c r="B1221" s="454" t="str">
        <v>False ceiling</v>
      </c>
      <c r="C1221" s="456"/>
      <c r="D1221" s="456"/>
      <c r="E1221" s="456"/>
      <c r="F1221" s="456"/>
      <c r="G1221" s="456">
        <f t="shared" si="217"/>
        <v>0</v>
      </c>
      <c r="H1221" s="456" t="str">
        <v>Sq M</v>
      </c>
      <c r="I1221" s="456" t="str">
        <v>N.A.</v>
      </c>
      <c r="J1221" s="456">
        <v>0</v>
      </c>
      <c r="K1221" s="456">
        <v>0</v>
      </c>
      <c r="L1221" s="456">
        <f t="shared" si="218"/>
        <v>0</v>
      </c>
      <c r="O1221" s="455">
        <f t="shared" si="223"/>
        <v>0</v>
      </c>
      <c r="P1221" s="455">
        <f t="shared" si="224"/>
        <v>0</v>
      </c>
      <c r="R1221" s="480"/>
    </row>
    <row r="1222" spans="1:18">
      <c r="A1222" s="454"/>
      <c r="B1222" s="454" t="str">
        <v>Wall finishes Paint</v>
      </c>
      <c r="C1222" s="456"/>
      <c r="D1222" s="456"/>
      <c r="E1222" s="456">
        <f>E1219</f>
        <v>5.3479999999999981</v>
      </c>
      <c r="F1222" s="456"/>
      <c r="G1222" s="456">
        <f t="shared" si="217"/>
        <v>5.3479999999999981</v>
      </c>
      <c r="H1222" s="456" t="str">
        <v>Sq M</v>
      </c>
      <c r="I1222" s="456" t="str">
        <v>Plastic paint</v>
      </c>
      <c r="J1222" s="456">
        <v>20</v>
      </c>
      <c r="K1222" s="456">
        <v>215.27999999999997</v>
      </c>
      <c r="L1222" s="456">
        <f t="shared" si="218"/>
        <v>1151.3174399999994</v>
      </c>
      <c r="O1222" s="455">
        <f t="shared" si="223"/>
        <v>149.74399999999994</v>
      </c>
      <c r="P1222" s="455">
        <f t="shared" si="224"/>
        <v>32236.888319999984</v>
      </c>
      <c r="R1222" s="480" t="s">
        <v>663</v>
      </c>
    </row>
    <row r="1223" spans="1:18">
      <c r="A1223" s="454"/>
      <c r="B1223" s="454" t="str">
        <v>Ceiling Paint</v>
      </c>
      <c r="C1223" s="456"/>
      <c r="D1223" s="456"/>
      <c r="E1223" s="456">
        <f>E1220</f>
        <v>3.27</v>
      </c>
      <c r="F1223" s="456"/>
      <c r="G1223" s="456">
        <f t="shared" si="217"/>
        <v>3.27</v>
      </c>
      <c r="H1223" s="456" t="str">
        <v>Sq M</v>
      </c>
      <c r="I1223" s="456" t="str">
        <v>Plastic paint</v>
      </c>
      <c r="J1223" s="456">
        <v>20</v>
      </c>
      <c r="K1223" s="456">
        <v>215.27999999999997</v>
      </c>
      <c r="L1223" s="456">
        <f t="shared" si="218"/>
        <v>703.96559999999988</v>
      </c>
      <c r="O1223" s="455">
        <f t="shared" si="223"/>
        <v>91.56</v>
      </c>
      <c r="P1223" s="455">
        <f t="shared" si="224"/>
        <v>19711.036799999998</v>
      </c>
      <c r="R1223" s="480" t="s">
        <v>664</v>
      </c>
    </row>
    <row r="1224" spans="1:18">
      <c r="A1224" s="454"/>
      <c r="B1224" s="454" t="str">
        <v>Door Frames</v>
      </c>
      <c r="C1224" s="456"/>
      <c r="D1224" s="456"/>
      <c r="E1224" s="456">
        <f>Doors!F88*4+Doors!G88*4</f>
        <v>11.4</v>
      </c>
      <c r="F1224" s="456"/>
      <c r="G1224" s="456">
        <f t="shared" si="217"/>
        <v>11.4</v>
      </c>
      <c r="H1224" s="456" t="str">
        <v>RM</v>
      </c>
      <c r="I1224" s="456" t="str">
        <v>Granite Frames</v>
      </c>
      <c r="J1224" s="456">
        <v>180</v>
      </c>
      <c r="K1224" s="456">
        <v>655.92719999999997</v>
      </c>
      <c r="L1224" s="456">
        <f t="shared" si="218"/>
        <v>7477.5700799999995</v>
      </c>
      <c r="O1224" s="455">
        <f t="shared" si="223"/>
        <v>319.2</v>
      </c>
      <c r="P1224" s="455">
        <f t="shared" si="224"/>
        <v>209371.96223999999</v>
      </c>
      <c r="R1224" s="480" t="s">
        <v>669</v>
      </c>
    </row>
    <row r="1225" spans="1:18">
      <c r="A1225" s="454"/>
      <c r="B1225" s="454" t="str">
        <v>Window Frames - Internal</v>
      </c>
      <c r="C1225" s="456"/>
      <c r="D1225" s="456"/>
      <c r="E1225" s="456">
        <f>Windows!F105*2+Windows!G105*2</f>
        <v>2.7</v>
      </c>
      <c r="F1225" s="456"/>
      <c r="G1225" s="456">
        <f t="shared" si="217"/>
        <v>2.7</v>
      </c>
      <c r="H1225" s="456" t="str">
        <v>RM</v>
      </c>
      <c r="I1225" s="456" t="str">
        <v>Granite Window Frame</v>
      </c>
      <c r="J1225" s="456">
        <v>180</v>
      </c>
      <c r="K1225" s="456">
        <v>655.92719999999997</v>
      </c>
      <c r="L1225" s="456">
        <f t="shared" si="218"/>
        <v>1771.00344</v>
      </c>
      <c r="O1225" s="455">
        <f t="shared" si="223"/>
        <v>75.600000000000009</v>
      </c>
      <c r="P1225" s="455">
        <f t="shared" si="224"/>
        <v>49588.096319999997</v>
      </c>
      <c r="R1225" s="480" t="s">
        <v>743</v>
      </c>
    </row>
    <row r="1226" spans="1:18">
      <c r="A1226" s="454"/>
      <c r="B1226" s="454" t="str">
        <v>Window Frames - External</v>
      </c>
      <c r="C1226" s="456"/>
      <c r="D1226" s="456"/>
      <c r="E1226" s="456">
        <f>E1225</f>
        <v>2.7</v>
      </c>
      <c r="F1226" s="456"/>
      <c r="G1226" s="456">
        <f t="shared" si="217"/>
        <v>2.7</v>
      </c>
      <c r="H1226" s="456" t="str">
        <v>RM</v>
      </c>
      <c r="I1226" s="456" t="str">
        <v>Marble Window Frames with Sill</v>
      </c>
      <c r="J1226" s="456">
        <v>60</v>
      </c>
      <c r="K1226" s="456">
        <v>399.04239999999999</v>
      </c>
      <c r="L1226" s="456">
        <f t="shared" si="218"/>
        <v>1077.4144800000001</v>
      </c>
      <c r="O1226" s="455">
        <f t="shared" si="223"/>
        <v>75.600000000000009</v>
      </c>
      <c r="P1226" s="455">
        <f t="shared" si="224"/>
        <v>30167.605440000003</v>
      </c>
      <c r="R1226" s="480" t="s">
        <v>409</v>
      </c>
    </row>
    <row r="1227" spans="1:18">
      <c r="A1227" s="454"/>
      <c r="B1227" s="454" t="str">
        <v>Others - Counter</v>
      </c>
      <c r="C1227" s="456"/>
      <c r="D1227" s="456"/>
      <c r="E1227" s="456">
        <f>0.6*0.6</f>
        <v>0.36</v>
      </c>
      <c r="F1227" s="456"/>
      <c r="G1227" s="456">
        <f t="shared" si="217"/>
        <v>0.36</v>
      </c>
      <c r="H1227" s="456" t="str">
        <v>Sq M</v>
      </c>
      <c r="I1227" s="456" t="str">
        <v>Basin Counter 1'6" - Granite Basin Counter</v>
      </c>
      <c r="J1227" s="456">
        <v>180</v>
      </c>
      <c r="K1227" s="456">
        <v>6329.6720000000005</v>
      </c>
      <c r="L1227" s="456">
        <f t="shared" si="218"/>
        <v>2278.68192</v>
      </c>
      <c r="O1227" s="455">
        <f t="shared" si="223"/>
        <v>10.08</v>
      </c>
      <c r="P1227" s="455">
        <f t="shared" si="224"/>
        <v>63803.093760000003</v>
      </c>
      <c r="R1227" s="480" t="s">
        <v>670</v>
      </c>
    </row>
    <row r="1228" spans="1:18" s="479" customFormat="1" ht="13.5" customHeight="1">
      <c r="A1228" s="475" t="s">
        <v>628</v>
      </c>
      <c r="B1228" s="476" t="str">
        <f>'Flat Sizes'!B103</f>
        <v>C. Bedroom</v>
      </c>
      <c r="C1228" s="477">
        <f>'Flat Sizes'!D103</f>
        <v>10.62</v>
      </c>
      <c r="D1228" s="477">
        <f>'Flat Sizes'!G103</f>
        <v>13.56</v>
      </c>
      <c r="E1228" s="477"/>
      <c r="F1228" s="454"/>
      <c r="G1228" s="477"/>
      <c r="H1228" s="477"/>
      <c r="I1228" s="477"/>
      <c r="J1228" s="477"/>
      <c r="K1228" s="477"/>
      <c r="L1228" s="477"/>
      <c r="M1228" s="459">
        <f>SUM(L1229:L1240)/C1228/10.764</f>
        <v>467.82002937881106</v>
      </c>
      <c r="N1228" s="472"/>
      <c r="O1228" s="455"/>
      <c r="P1228" s="455"/>
      <c r="Q1228" s="478"/>
    </row>
    <row r="1229" spans="1:18">
      <c r="A1229" s="454"/>
      <c r="B1229" s="454" t="str" cm="1">
        <f t="array" ref="B1229:B1240">'Rate List - Flats'!B48:B59</f>
        <v>Flooring</v>
      </c>
      <c r="C1229" s="456"/>
      <c r="D1229" s="456"/>
      <c r="E1229" s="456">
        <f>C1228</f>
        <v>10.62</v>
      </c>
      <c r="F1229" s="456"/>
      <c r="G1229" s="456">
        <f t="shared" si="217"/>
        <v>10.62</v>
      </c>
      <c r="H1229" s="456" t="str" cm="1">
        <f t="array" ref="H1229:H1240">'Rate List - Flats'!H48:H59</f>
        <v>Sq M</v>
      </c>
      <c r="I1229" s="456" t="str" cm="1">
        <f t="array" ref="I1229:I1240">'Rate List - Flats'!C48:C59</f>
        <v>2'x2' Vitrified tiles</v>
      </c>
      <c r="J1229" s="456" cm="1">
        <f t="array" ref="J1229:J1240">'Rate List - Flats'!E48:E59</f>
        <v>45</v>
      </c>
      <c r="K1229" s="456" cm="1">
        <f t="array" ref="K1229:K1240">'Rate List - Flats'!G48:G59</f>
        <v>1340.1179999999999</v>
      </c>
      <c r="L1229" s="456">
        <f t="shared" si="218"/>
        <v>14232.053159999998</v>
      </c>
      <c r="O1229" s="455">
        <f t="shared" ref="O1229:O1240" si="225">IF(I1229="N.A",0,G1229*$N$1188)</f>
        <v>297.35999999999996</v>
      </c>
      <c r="P1229" s="455">
        <f t="shared" ref="P1229:P1240" si="226">L1229*$N$1188</f>
        <v>398497.48847999994</v>
      </c>
      <c r="R1229" s="480" t="s">
        <v>659</v>
      </c>
    </row>
    <row r="1230" spans="1:18">
      <c r="A1230" s="454"/>
      <c r="B1230" s="454" t="str">
        <v>Skirting</v>
      </c>
      <c r="C1230" s="456"/>
      <c r="D1230" s="456"/>
      <c r="E1230" s="456">
        <f>D1228</f>
        <v>13.56</v>
      </c>
      <c r="F1230" s="456">
        <f>-(Doors!F89+Doors!F90)</f>
        <v>-1.65</v>
      </c>
      <c r="G1230" s="456">
        <f t="shared" si="217"/>
        <v>11.91</v>
      </c>
      <c r="H1230" s="456" t="str">
        <v>RM</v>
      </c>
      <c r="I1230" s="456" t="str">
        <v xml:space="preserve">2'x2' Vitrified tiles </v>
      </c>
      <c r="J1230" s="456">
        <v>45</v>
      </c>
      <c r="K1230" s="456">
        <v>391.96</v>
      </c>
      <c r="L1230" s="456">
        <f t="shared" si="218"/>
        <v>4668.2435999999998</v>
      </c>
      <c r="O1230" s="455">
        <f t="shared" si="225"/>
        <v>333.48</v>
      </c>
      <c r="P1230" s="455">
        <f t="shared" si="226"/>
        <v>130710.82079999999</v>
      </c>
      <c r="R1230" s="480" t="s">
        <v>660</v>
      </c>
    </row>
    <row r="1231" spans="1:18">
      <c r="A1231" s="454"/>
      <c r="B1231" s="454" t="str">
        <v>Dado</v>
      </c>
      <c r="C1231" s="456"/>
      <c r="D1231" s="456"/>
      <c r="E1231" s="456"/>
      <c r="F1231" s="456"/>
      <c r="G1231" s="456">
        <f t="shared" si="217"/>
        <v>0</v>
      </c>
      <c r="H1231" s="456" t="str">
        <v>Sq M</v>
      </c>
      <c r="I1231" s="456" t="str">
        <v>N.A.</v>
      </c>
      <c r="J1231" s="456">
        <v>0</v>
      </c>
      <c r="K1231" s="456">
        <v>0</v>
      </c>
      <c r="L1231" s="456">
        <f t="shared" si="218"/>
        <v>0</v>
      </c>
      <c r="O1231" s="455">
        <f t="shared" si="225"/>
        <v>0</v>
      </c>
      <c r="P1231" s="455">
        <f t="shared" si="226"/>
        <v>0</v>
      </c>
      <c r="R1231" s="480"/>
    </row>
    <row r="1232" spans="1:18">
      <c r="A1232" s="454"/>
      <c r="B1232" s="454" t="str">
        <v>Wall finishes plaster</v>
      </c>
      <c r="C1232" s="456"/>
      <c r="D1232" s="456"/>
      <c r="E1232" s="456">
        <f>D1228*(D1-0.15)</f>
        <v>40.002000000000002</v>
      </c>
      <c r="F1232" s="456">
        <f>-(Doors!H89+Windows!H106)</f>
        <v>-8.4474999999999998</v>
      </c>
      <c r="G1232" s="456">
        <f t="shared" si="217"/>
        <v>31.554500000000004</v>
      </c>
      <c r="H1232" s="456" t="str">
        <v>Sq M</v>
      </c>
      <c r="I1232" s="456" t="str">
        <v>Gypsum Plaster</v>
      </c>
      <c r="J1232" s="456">
        <v>32</v>
      </c>
      <c r="K1232" s="456">
        <v>344.44799999999998</v>
      </c>
      <c r="L1232" s="456">
        <f t="shared" si="218"/>
        <v>10868.884416000001</v>
      </c>
      <c r="O1232" s="455">
        <f t="shared" si="225"/>
        <v>883.52600000000007</v>
      </c>
      <c r="P1232" s="455">
        <f t="shared" si="226"/>
        <v>304328.76364800002</v>
      </c>
      <c r="R1232" s="480" t="s">
        <v>661</v>
      </c>
    </row>
    <row r="1233" spans="1:18">
      <c r="A1233" s="454"/>
      <c r="B1233" s="454" t="str">
        <v>Ceiling plaster</v>
      </c>
      <c r="C1233" s="456"/>
      <c r="D1233" s="456"/>
      <c r="E1233" s="456">
        <f>E1229</f>
        <v>10.62</v>
      </c>
      <c r="F1233" s="456"/>
      <c r="G1233" s="456">
        <f t="shared" si="217"/>
        <v>10.62</v>
      </c>
      <c r="H1233" s="456" t="str">
        <v>Sq M</v>
      </c>
      <c r="I1233" s="456" t="str">
        <v>Gypsum Plaster</v>
      </c>
      <c r="J1233" s="456">
        <v>32</v>
      </c>
      <c r="K1233" s="456">
        <v>344.44799999999998</v>
      </c>
      <c r="L1233" s="456">
        <f t="shared" si="218"/>
        <v>3658.0377599999997</v>
      </c>
      <c r="O1233" s="455">
        <f t="shared" si="225"/>
        <v>297.35999999999996</v>
      </c>
      <c r="P1233" s="455">
        <f t="shared" si="226"/>
        <v>102425.05727999999</v>
      </c>
      <c r="R1233" s="480" t="s">
        <v>662</v>
      </c>
    </row>
    <row r="1234" spans="1:18">
      <c r="A1234" s="454"/>
      <c r="B1234" s="454" t="str">
        <v>False ceiling</v>
      </c>
      <c r="C1234" s="456"/>
      <c r="D1234" s="456"/>
      <c r="E1234" s="456"/>
      <c r="F1234" s="456"/>
      <c r="G1234" s="456">
        <f t="shared" si="217"/>
        <v>0</v>
      </c>
      <c r="H1234" s="456" t="str">
        <v>Sq M</v>
      </c>
      <c r="I1234" s="456" t="str">
        <v>N.A.</v>
      </c>
      <c r="J1234" s="456">
        <v>0</v>
      </c>
      <c r="K1234" s="456">
        <v>0</v>
      </c>
      <c r="L1234" s="456">
        <f t="shared" si="218"/>
        <v>0</v>
      </c>
      <c r="O1234" s="455">
        <f t="shared" si="225"/>
        <v>0</v>
      </c>
      <c r="P1234" s="455">
        <f t="shared" si="226"/>
        <v>0</v>
      </c>
      <c r="R1234" s="480"/>
    </row>
    <row r="1235" spans="1:18">
      <c r="A1235" s="454"/>
      <c r="B1235" s="454" t="str">
        <v>Wall finishes Paint</v>
      </c>
      <c r="C1235" s="456"/>
      <c r="D1235" s="456"/>
      <c r="E1235" s="456">
        <f>E1232</f>
        <v>40.002000000000002</v>
      </c>
      <c r="F1235" s="456">
        <f>F1232</f>
        <v>-8.4474999999999998</v>
      </c>
      <c r="G1235" s="456">
        <f t="shared" si="217"/>
        <v>31.554500000000004</v>
      </c>
      <c r="H1235" s="456" t="str">
        <v>Sq M</v>
      </c>
      <c r="I1235" s="456" t="str">
        <v>Plastic paint</v>
      </c>
      <c r="J1235" s="456">
        <v>20</v>
      </c>
      <c r="K1235" s="456">
        <v>215.27999999999997</v>
      </c>
      <c r="L1235" s="456">
        <f t="shared" si="218"/>
        <v>6793.0527600000005</v>
      </c>
      <c r="O1235" s="455">
        <f t="shared" si="225"/>
        <v>883.52600000000007</v>
      </c>
      <c r="P1235" s="455">
        <f t="shared" si="226"/>
        <v>190205.47728000002</v>
      </c>
      <c r="R1235" s="480" t="s">
        <v>663</v>
      </c>
    </row>
    <row r="1236" spans="1:18">
      <c r="A1236" s="454"/>
      <c r="B1236" s="454" t="str">
        <v>Ceiling Paint</v>
      </c>
      <c r="C1236" s="456"/>
      <c r="D1236" s="456"/>
      <c r="E1236" s="456">
        <f>E1233</f>
        <v>10.62</v>
      </c>
      <c r="F1236" s="456"/>
      <c r="G1236" s="456">
        <f t="shared" si="217"/>
        <v>10.62</v>
      </c>
      <c r="H1236" s="456" t="str">
        <v>Sq M</v>
      </c>
      <c r="I1236" s="456" t="str">
        <v>Plastic paint</v>
      </c>
      <c r="J1236" s="456">
        <v>20</v>
      </c>
      <c r="K1236" s="456">
        <v>215.27999999999997</v>
      </c>
      <c r="L1236" s="456">
        <f t="shared" si="218"/>
        <v>2286.2735999999995</v>
      </c>
      <c r="O1236" s="455">
        <f t="shared" si="225"/>
        <v>297.35999999999996</v>
      </c>
      <c r="P1236" s="455">
        <f t="shared" si="226"/>
        <v>64015.660799999983</v>
      </c>
      <c r="R1236" s="480" t="s">
        <v>664</v>
      </c>
    </row>
    <row r="1237" spans="1:18">
      <c r="A1237" s="454"/>
      <c r="B1237" s="454" t="str">
        <v>Door Frames</v>
      </c>
      <c r="C1237" s="456"/>
      <c r="D1237" s="456"/>
      <c r="E1237" s="456"/>
      <c r="F1237" s="456"/>
      <c r="G1237" s="456">
        <f t="shared" si="217"/>
        <v>0</v>
      </c>
      <c r="H1237" s="456" t="str">
        <v>RM</v>
      </c>
      <c r="I1237" s="456" t="str">
        <v>N.A.</v>
      </c>
      <c r="J1237" s="456">
        <v>0</v>
      </c>
      <c r="K1237" s="456">
        <v>0</v>
      </c>
      <c r="L1237" s="456">
        <f t="shared" si="218"/>
        <v>0</v>
      </c>
      <c r="O1237" s="455">
        <f t="shared" si="225"/>
        <v>0</v>
      </c>
      <c r="P1237" s="455">
        <f t="shared" si="226"/>
        <v>0</v>
      </c>
      <c r="R1237" s="480"/>
    </row>
    <row r="1238" spans="1:18">
      <c r="A1238" s="454"/>
      <c r="B1238" s="454" t="str">
        <v>Window Frames - Internal</v>
      </c>
      <c r="C1238" s="456"/>
      <c r="D1238" s="456"/>
      <c r="E1238" s="456">
        <f>Windows!F106*2+Windows!G106*2</f>
        <v>10.399999999999999</v>
      </c>
      <c r="F1238" s="456"/>
      <c r="G1238" s="456">
        <f t="shared" si="217"/>
        <v>10.399999999999999</v>
      </c>
      <c r="H1238" s="456" t="str">
        <v>RM</v>
      </c>
      <c r="I1238" s="456" t="str">
        <v>Granite Window Frame</v>
      </c>
      <c r="J1238" s="456">
        <v>180</v>
      </c>
      <c r="K1238" s="456">
        <v>655.92719999999997</v>
      </c>
      <c r="L1238" s="456">
        <f t="shared" si="218"/>
        <v>6821.6428799999985</v>
      </c>
      <c r="O1238" s="455">
        <f t="shared" si="225"/>
        <v>291.19999999999993</v>
      </c>
      <c r="P1238" s="455">
        <f t="shared" si="226"/>
        <v>191006.00063999995</v>
      </c>
      <c r="R1238" s="480" t="s">
        <v>743</v>
      </c>
    </row>
    <row r="1239" spans="1:18">
      <c r="A1239" s="454"/>
      <c r="B1239" s="454" t="str">
        <v>Window Frames - External</v>
      </c>
      <c r="C1239" s="456"/>
      <c r="D1239" s="456"/>
      <c r="E1239" s="456">
        <f>E1238</f>
        <v>10.399999999999999</v>
      </c>
      <c r="F1239" s="456"/>
      <c r="G1239" s="456">
        <f t="shared" si="217"/>
        <v>10.399999999999999</v>
      </c>
      <c r="H1239" s="456" t="str">
        <v>RM</v>
      </c>
      <c r="I1239" s="456" t="str">
        <v>Marble Window Frames with Sill</v>
      </c>
      <c r="J1239" s="456">
        <v>60</v>
      </c>
      <c r="K1239" s="456">
        <v>399.04239999999999</v>
      </c>
      <c r="L1239" s="456">
        <f t="shared" si="218"/>
        <v>4150.0409599999994</v>
      </c>
      <c r="O1239" s="455">
        <f t="shared" si="225"/>
        <v>291.19999999999993</v>
      </c>
      <c r="P1239" s="455">
        <f t="shared" si="226"/>
        <v>116201.14687999999</v>
      </c>
      <c r="R1239" s="480" t="s">
        <v>409</v>
      </c>
    </row>
    <row r="1240" spans="1:18">
      <c r="A1240" s="454"/>
      <c r="B1240" s="454" t="str">
        <v>Others</v>
      </c>
      <c r="C1240" s="456"/>
      <c r="D1240" s="456"/>
      <c r="E1240" s="456"/>
      <c r="F1240" s="456"/>
      <c r="G1240" s="456">
        <f t="shared" si="217"/>
        <v>0</v>
      </c>
      <c r="H1240" s="456" t="str">
        <v>-</v>
      </c>
      <c r="I1240" s="456" t="str">
        <v>N.A.</v>
      </c>
      <c r="J1240" s="456">
        <v>0</v>
      </c>
      <c r="K1240" s="456">
        <v>0</v>
      </c>
      <c r="L1240" s="456">
        <f t="shared" si="218"/>
        <v>0</v>
      </c>
      <c r="O1240" s="455">
        <f t="shared" si="225"/>
        <v>0</v>
      </c>
      <c r="P1240" s="455">
        <f t="shared" si="226"/>
        <v>0</v>
      </c>
    </row>
    <row r="1241" spans="1:18" s="479" customFormat="1" ht="13.5" customHeight="1">
      <c r="A1241" s="475" t="s">
        <v>628</v>
      </c>
      <c r="B1241" s="476" t="str">
        <f>'Flat Sizes'!B104</f>
        <v>C. Toilet</v>
      </c>
      <c r="C1241" s="477">
        <f>'Flat Sizes'!D104</f>
        <v>3.25</v>
      </c>
      <c r="D1241" s="477">
        <f>'Flat Sizes'!G104</f>
        <v>7.61</v>
      </c>
      <c r="E1241" s="477"/>
      <c r="F1241" s="454"/>
      <c r="G1241" s="477"/>
      <c r="H1241" s="477"/>
      <c r="I1241" s="477"/>
      <c r="J1241" s="477"/>
      <c r="K1241" s="477"/>
      <c r="L1241" s="477"/>
      <c r="M1241" s="459">
        <f>SUM(L1242:L1253)/C1241/10.764</f>
        <v>1314.5750486236172</v>
      </c>
      <c r="N1241" s="472"/>
      <c r="O1241" s="455"/>
      <c r="P1241" s="455"/>
      <c r="Q1241" s="478"/>
    </row>
    <row r="1242" spans="1:18">
      <c r="A1242" s="454"/>
      <c r="B1242" s="454" t="str" cm="1">
        <f t="array" ref="B1242:B1253">'Rate List - Flats'!B76:B87</f>
        <v>Flooring</v>
      </c>
      <c r="C1242" s="456"/>
      <c r="D1242" s="456"/>
      <c r="E1242" s="456">
        <f>C1241</f>
        <v>3.25</v>
      </c>
      <c r="F1242" s="456"/>
      <c r="G1242" s="456">
        <f t="shared" si="217"/>
        <v>3.25</v>
      </c>
      <c r="H1242" s="456" t="str" cm="1">
        <f t="array" ref="H1242:H1253">'Rate List - Flats'!H76:H87</f>
        <v>Sq M</v>
      </c>
      <c r="I1242" s="456" t="str" cm="1">
        <f t="array" ref="I1242:I1253">'Rate List - Flats'!C76:C87</f>
        <v>ceramic tiles/vitrified anti-skid tiles</v>
      </c>
      <c r="J1242" s="456" cm="1">
        <f t="array" ref="J1242:J1253">'Rate List - Flats'!E76:E87</f>
        <v>50</v>
      </c>
      <c r="K1242" s="456" cm="1">
        <f t="array" ref="K1242:K1253">'Rate List - Flats'!G76:G87</f>
        <v>1399.32</v>
      </c>
      <c r="L1242" s="456">
        <f t="shared" si="218"/>
        <v>4547.79</v>
      </c>
      <c r="O1242" s="455">
        <f t="shared" ref="O1242:O1253" si="227">IF(I1242="N.A",0,G1242*$N$1188)</f>
        <v>91</v>
      </c>
      <c r="P1242" s="455">
        <f t="shared" ref="P1242:P1253" si="228">L1242*$N$1188</f>
        <v>127338.12</v>
      </c>
      <c r="R1242" s="480" t="s">
        <v>667</v>
      </c>
    </row>
    <row r="1243" spans="1:18">
      <c r="A1243" s="454"/>
      <c r="B1243" s="454" t="str">
        <v>Skirting</v>
      </c>
      <c r="C1243" s="456"/>
      <c r="D1243" s="456"/>
      <c r="E1243" s="456"/>
      <c r="F1243" s="456"/>
      <c r="G1243" s="456">
        <f t="shared" si="217"/>
        <v>0</v>
      </c>
      <c r="H1243" s="456" t="str">
        <v xml:space="preserve">RM </v>
      </c>
      <c r="I1243" s="456" t="str">
        <v>N.A.</v>
      </c>
      <c r="J1243" s="456">
        <v>0</v>
      </c>
      <c r="K1243" s="456">
        <v>0</v>
      </c>
      <c r="L1243" s="456">
        <f t="shared" si="218"/>
        <v>0</v>
      </c>
      <c r="O1243" s="455">
        <f t="shared" si="227"/>
        <v>0</v>
      </c>
      <c r="P1243" s="455">
        <f t="shared" si="228"/>
        <v>0</v>
      </c>
      <c r="R1243" s="480"/>
    </row>
    <row r="1244" spans="1:18">
      <c r="A1244" s="454"/>
      <c r="B1244" s="454" t="str">
        <v>Dado</v>
      </c>
      <c r="C1244" s="456"/>
      <c r="D1244" s="456">
        <f>D1-0.7</f>
        <v>2.4000000000000004</v>
      </c>
      <c r="E1244" s="456">
        <f>D1241*D1244</f>
        <v>18.264000000000003</v>
      </c>
      <c r="F1244" s="456">
        <f>-(Doors!H90+Windows!H107)</f>
        <v>-2.0250000000000004</v>
      </c>
      <c r="G1244" s="456">
        <f t="shared" si="217"/>
        <v>16.239000000000004</v>
      </c>
      <c r="H1244" s="456" t="str">
        <v>Sq M</v>
      </c>
      <c r="I1244" s="456" t="str">
        <v>Vitrified tiles</v>
      </c>
      <c r="J1244" s="456">
        <v>50</v>
      </c>
      <c r="K1244" s="456">
        <v>1480.05</v>
      </c>
      <c r="L1244" s="456">
        <f t="shared" si="218"/>
        <v>24034.531950000004</v>
      </c>
      <c r="O1244" s="455">
        <f t="shared" si="227"/>
        <v>454.69200000000012</v>
      </c>
      <c r="P1244" s="455">
        <f t="shared" si="228"/>
        <v>672966.89460000012</v>
      </c>
      <c r="R1244" s="480" t="s">
        <v>668</v>
      </c>
    </row>
    <row r="1245" spans="1:18">
      <c r="A1245" s="454"/>
      <c r="B1245" s="454" t="str">
        <v>Wall finishes plaster</v>
      </c>
      <c r="C1245" s="456"/>
      <c r="D1245" s="456">
        <f>D1-D1244</f>
        <v>0.69999999999999973</v>
      </c>
      <c r="E1245" s="456">
        <f>D1241*D1245</f>
        <v>5.3269999999999982</v>
      </c>
      <c r="F1245" s="456"/>
      <c r="G1245" s="456">
        <f t="shared" si="217"/>
        <v>5.3269999999999982</v>
      </c>
      <c r="H1245" s="456" t="str">
        <v>Sq M</v>
      </c>
      <c r="I1245" s="456" t="str">
        <v>Gypsum Plaster</v>
      </c>
      <c r="J1245" s="456">
        <v>32</v>
      </c>
      <c r="K1245" s="456">
        <v>344.44799999999998</v>
      </c>
      <c r="L1245" s="456">
        <f t="shared" si="218"/>
        <v>1834.8744959999992</v>
      </c>
      <c r="O1245" s="455">
        <f t="shared" si="227"/>
        <v>149.15599999999995</v>
      </c>
      <c r="P1245" s="455">
        <f t="shared" si="228"/>
        <v>51376.485887999981</v>
      </c>
      <c r="R1245" s="480" t="s">
        <v>661</v>
      </c>
    </row>
    <row r="1246" spans="1:18">
      <c r="A1246" s="454"/>
      <c r="B1246" s="454" t="str">
        <v>Ceiling plaster</v>
      </c>
      <c r="C1246" s="456"/>
      <c r="D1246" s="456"/>
      <c r="E1246" s="456">
        <f>E1242</f>
        <v>3.25</v>
      </c>
      <c r="F1246" s="456"/>
      <c r="G1246" s="456">
        <f t="shared" si="217"/>
        <v>3.25</v>
      </c>
      <c r="H1246" s="456" t="str">
        <v>Sq M</v>
      </c>
      <c r="I1246" s="456" t="str">
        <v>Gypsum Plaster</v>
      </c>
      <c r="J1246" s="456">
        <v>32</v>
      </c>
      <c r="K1246" s="456">
        <v>344.44799999999998</v>
      </c>
      <c r="L1246" s="456">
        <f t="shared" si="218"/>
        <v>1119.4559999999999</v>
      </c>
      <c r="O1246" s="455">
        <f t="shared" si="227"/>
        <v>91</v>
      </c>
      <c r="P1246" s="455">
        <f t="shared" si="228"/>
        <v>31344.767999999996</v>
      </c>
      <c r="R1246" s="480" t="s">
        <v>662</v>
      </c>
    </row>
    <row r="1247" spans="1:18">
      <c r="A1247" s="454"/>
      <c r="B1247" s="454" t="str">
        <v>False ceiling</v>
      </c>
      <c r="C1247" s="456"/>
      <c r="D1247" s="456"/>
      <c r="E1247" s="456"/>
      <c r="F1247" s="456"/>
      <c r="G1247" s="456">
        <f t="shared" si="217"/>
        <v>0</v>
      </c>
      <c r="H1247" s="456" t="str">
        <v>Sq M</v>
      </c>
      <c r="I1247" s="456" t="str">
        <v>N.A.</v>
      </c>
      <c r="J1247" s="456">
        <v>0</v>
      </c>
      <c r="K1247" s="456">
        <v>0</v>
      </c>
      <c r="L1247" s="456">
        <f t="shared" si="218"/>
        <v>0</v>
      </c>
      <c r="O1247" s="455">
        <f t="shared" si="227"/>
        <v>0</v>
      </c>
      <c r="P1247" s="455">
        <f t="shared" si="228"/>
        <v>0</v>
      </c>
      <c r="R1247" s="480"/>
    </row>
    <row r="1248" spans="1:18">
      <c r="A1248" s="454"/>
      <c r="B1248" s="454" t="str">
        <v>Wall finishes Paint</v>
      </c>
      <c r="C1248" s="456"/>
      <c r="D1248" s="456"/>
      <c r="E1248" s="456">
        <f>E1245</f>
        <v>5.3269999999999982</v>
      </c>
      <c r="F1248" s="456"/>
      <c r="G1248" s="456">
        <f t="shared" si="217"/>
        <v>5.3269999999999982</v>
      </c>
      <c r="H1248" s="456" t="str">
        <v>Sq M</v>
      </c>
      <c r="I1248" s="456" t="str">
        <v>Plastic paint</v>
      </c>
      <c r="J1248" s="456">
        <v>20</v>
      </c>
      <c r="K1248" s="456">
        <v>215.27999999999997</v>
      </c>
      <c r="L1248" s="456">
        <f t="shared" si="218"/>
        <v>1146.7965599999995</v>
      </c>
      <c r="O1248" s="455">
        <f t="shared" si="227"/>
        <v>149.15599999999995</v>
      </c>
      <c r="P1248" s="455">
        <f t="shared" si="228"/>
        <v>32110.303679999986</v>
      </c>
      <c r="R1248" s="480" t="s">
        <v>663</v>
      </c>
    </row>
    <row r="1249" spans="1:18">
      <c r="A1249" s="454"/>
      <c r="B1249" s="454" t="str">
        <v>Ceiling Paint</v>
      </c>
      <c r="C1249" s="456"/>
      <c r="D1249" s="456"/>
      <c r="E1249" s="456">
        <f>E1246</f>
        <v>3.25</v>
      </c>
      <c r="F1249" s="456"/>
      <c r="G1249" s="456">
        <f t="shared" si="217"/>
        <v>3.25</v>
      </c>
      <c r="H1249" s="456" t="str">
        <v>Sq M</v>
      </c>
      <c r="I1249" s="456" t="str">
        <v>Plastic paint</v>
      </c>
      <c r="J1249" s="456">
        <v>20</v>
      </c>
      <c r="K1249" s="456">
        <v>215.27999999999997</v>
      </c>
      <c r="L1249" s="456">
        <f t="shared" si="218"/>
        <v>699.65999999999985</v>
      </c>
      <c r="O1249" s="455">
        <f t="shared" si="227"/>
        <v>91</v>
      </c>
      <c r="P1249" s="455">
        <f t="shared" si="228"/>
        <v>19590.479999999996</v>
      </c>
      <c r="R1249" s="480" t="s">
        <v>664</v>
      </c>
    </row>
    <row r="1250" spans="1:18">
      <c r="A1250" s="454"/>
      <c r="B1250" s="454" t="str">
        <v>Door Frames</v>
      </c>
      <c r="C1250" s="456"/>
      <c r="D1250" s="456"/>
      <c r="E1250" s="456">
        <f>Doors!F90*4+Doors!G90*4</f>
        <v>11.4</v>
      </c>
      <c r="F1250" s="456"/>
      <c r="G1250" s="456">
        <f t="shared" si="217"/>
        <v>11.4</v>
      </c>
      <c r="H1250" s="456" t="str">
        <v>RM</v>
      </c>
      <c r="I1250" s="456" t="str">
        <v>Granite Frames</v>
      </c>
      <c r="J1250" s="456">
        <v>180</v>
      </c>
      <c r="K1250" s="456">
        <v>655.92719999999997</v>
      </c>
      <c r="L1250" s="456">
        <f t="shared" si="218"/>
        <v>7477.5700799999995</v>
      </c>
      <c r="O1250" s="455">
        <f t="shared" si="227"/>
        <v>319.2</v>
      </c>
      <c r="P1250" s="455">
        <f t="shared" si="228"/>
        <v>209371.96223999999</v>
      </c>
      <c r="R1250" s="480" t="s">
        <v>669</v>
      </c>
    </row>
    <row r="1251" spans="1:18">
      <c r="A1251" s="454"/>
      <c r="B1251" s="454" t="str">
        <v>Window Frames - Internal</v>
      </c>
      <c r="C1251" s="456"/>
      <c r="D1251" s="456"/>
      <c r="E1251" s="456">
        <f>Windows!F107*2+Windows!G107*2</f>
        <v>2.7</v>
      </c>
      <c r="F1251" s="456"/>
      <c r="G1251" s="456">
        <f t="shared" si="217"/>
        <v>2.7</v>
      </c>
      <c r="H1251" s="456" t="str">
        <v>RM</v>
      </c>
      <c r="I1251" s="456" t="str">
        <v>Granite Window Frame</v>
      </c>
      <c r="J1251" s="456">
        <v>180</v>
      </c>
      <c r="K1251" s="456">
        <v>655.92719999999997</v>
      </c>
      <c r="L1251" s="456">
        <f t="shared" si="218"/>
        <v>1771.00344</v>
      </c>
      <c r="O1251" s="455">
        <f t="shared" si="227"/>
        <v>75.600000000000009</v>
      </c>
      <c r="P1251" s="455">
        <f t="shared" si="228"/>
        <v>49588.096319999997</v>
      </c>
      <c r="R1251" s="480" t="s">
        <v>743</v>
      </c>
    </row>
    <row r="1252" spans="1:18">
      <c r="A1252" s="454"/>
      <c r="B1252" s="454" t="str">
        <v>Window Frames - External</v>
      </c>
      <c r="C1252" s="456"/>
      <c r="D1252" s="456"/>
      <c r="E1252" s="456">
        <f>E1251</f>
        <v>2.7</v>
      </c>
      <c r="F1252" s="456"/>
      <c r="G1252" s="456">
        <f t="shared" si="217"/>
        <v>2.7</v>
      </c>
      <c r="H1252" s="456" t="str">
        <v>RM</v>
      </c>
      <c r="I1252" s="456" t="str">
        <v>Marble Window Frames with Sill</v>
      </c>
      <c r="J1252" s="456">
        <v>60</v>
      </c>
      <c r="K1252" s="456">
        <v>399.04239999999999</v>
      </c>
      <c r="L1252" s="456">
        <f t="shared" si="218"/>
        <v>1077.4144800000001</v>
      </c>
      <c r="O1252" s="455">
        <f t="shared" si="227"/>
        <v>75.600000000000009</v>
      </c>
      <c r="P1252" s="455">
        <f t="shared" si="228"/>
        <v>30167.605440000003</v>
      </c>
      <c r="R1252" s="480" t="s">
        <v>409</v>
      </c>
    </row>
    <row r="1253" spans="1:18">
      <c r="A1253" s="454"/>
      <c r="B1253" s="454" t="str">
        <v>Others - Counter</v>
      </c>
      <c r="C1253" s="456"/>
      <c r="D1253" s="456"/>
      <c r="E1253" s="456">
        <f>0.6*0.6</f>
        <v>0.36</v>
      </c>
      <c r="F1253" s="456"/>
      <c r="G1253" s="456">
        <f t="shared" si="217"/>
        <v>0.36</v>
      </c>
      <c r="H1253" s="456" t="str">
        <v>Sq M</v>
      </c>
      <c r="I1253" s="456" t="str">
        <v>Basin Counter 1'6" - Granite Basin Counter</v>
      </c>
      <c r="J1253" s="456">
        <v>180</v>
      </c>
      <c r="K1253" s="456">
        <v>6329.6720000000005</v>
      </c>
      <c r="L1253" s="456">
        <f t="shared" si="218"/>
        <v>2278.68192</v>
      </c>
      <c r="O1253" s="455">
        <f t="shared" si="227"/>
        <v>10.08</v>
      </c>
      <c r="P1253" s="455">
        <f t="shared" si="228"/>
        <v>63803.093760000003</v>
      </c>
      <c r="R1253" s="480" t="s">
        <v>670</v>
      </c>
    </row>
    <row r="1254" spans="1:18" s="479" customFormat="1" ht="13.5" customHeight="1">
      <c r="A1254" s="475" t="s">
        <v>628</v>
      </c>
      <c r="B1254" s="476" t="str">
        <f>'Flat Sizes'!B105</f>
        <v>Kitchen</v>
      </c>
      <c r="C1254" s="477">
        <f>'Flat Sizes'!D105</f>
        <v>6.92</v>
      </c>
      <c r="D1254" s="477">
        <f>'Flat Sizes'!G105</f>
        <v>11.06</v>
      </c>
      <c r="E1254" s="477"/>
      <c r="F1254" s="454"/>
      <c r="G1254" s="477"/>
      <c r="H1254" s="477"/>
      <c r="I1254" s="477"/>
      <c r="J1254" s="477"/>
      <c r="K1254" s="477"/>
      <c r="L1254" s="477"/>
      <c r="M1254" s="459">
        <f>SUM(L1255:L1268)/C1254/10.764</f>
        <v>1235.0564724311182</v>
      </c>
      <c r="N1254" s="472"/>
      <c r="O1254" s="455"/>
      <c r="P1254" s="455"/>
      <c r="Q1254" s="478"/>
    </row>
    <row r="1255" spans="1:18">
      <c r="A1255" s="454"/>
      <c r="B1255" s="454" t="str" cm="1">
        <f t="array" ref="B1255:B1268">'Rate List - Flats'!B90:B103</f>
        <v>Flooring</v>
      </c>
      <c r="C1255" s="456"/>
      <c r="D1255" s="456"/>
      <c r="E1255" s="456">
        <f>C1254</f>
        <v>6.92</v>
      </c>
      <c r="F1255" s="456"/>
      <c r="G1255" s="456">
        <f t="shared" si="217"/>
        <v>6.92</v>
      </c>
      <c r="H1255" s="456" t="str" cm="1">
        <f t="array" ref="H1255:H1268">'Rate List - Flats'!H90:H103</f>
        <v>Sq M</v>
      </c>
      <c r="I1255" s="456" t="str" cm="1">
        <f t="array" ref="I1255:I1268">'Rate List - Flats'!C90:C103</f>
        <v>ceramic tiles/vitrified anti-skid tiles</v>
      </c>
      <c r="J1255" s="456" cm="1">
        <f t="array" ref="J1255:J1268">'Rate List - Flats'!E90:E103</f>
        <v>45</v>
      </c>
      <c r="K1255" s="456" cm="1">
        <f t="array" ref="K1255:K1268">'Rate List - Flats'!G90:G103</f>
        <v>1340.1179999999999</v>
      </c>
      <c r="L1255" s="456">
        <f t="shared" si="218"/>
        <v>9273.6165599999986</v>
      </c>
      <c r="O1255" s="455">
        <f t="shared" ref="O1255:O1268" si="229">IF(I1255="N.A",0,G1255*$N$1188)</f>
        <v>193.76</v>
      </c>
      <c r="P1255" s="455">
        <f t="shared" ref="P1255:P1268" si="230">L1255*$N$1188</f>
        <v>259661.26367999997</v>
      </c>
      <c r="R1255" s="458" t="s">
        <v>659</v>
      </c>
    </row>
    <row r="1256" spans="1:18">
      <c r="A1256" s="454"/>
      <c r="B1256" s="454" t="str">
        <v>Skirting</v>
      </c>
      <c r="C1256" s="456"/>
      <c r="D1256" s="456"/>
      <c r="E1256" s="456"/>
      <c r="F1256" s="456"/>
      <c r="G1256" s="456">
        <f t="shared" ref="G1256:G1288" si="231">E1256+F1256</f>
        <v>0</v>
      </c>
      <c r="H1256" s="456" t="str">
        <v xml:space="preserve">RM </v>
      </c>
      <c r="I1256" s="456" t="str">
        <v>N.A.</v>
      </c>
      <c r="J1256" s="456">
        <v>0</v>
      </c>
      <c r="K1256" s="456">
        <v>0</v>
      </c>
      <c r="L1256" s="456">
        <f t="shared" ref="L1256:L1288" si="232">G1256*K1256</f>
        <v>0</v>
      </c>
      <c r="O1256" s="455">
        <f t="shared" si="229"/>
        <v>0</v>
      </c>
      <c r="P1256" s="455">
        <f t="shared" si="230"/>
        <v>0</v>
      </c>
      <c r="R1256" s="458" t="s">
        <v>660</v>
      </c>
    </row>
    <row r="1257" spans="1:18">
      <c r="A1257" s="454"/>
      <c r="B1257" s="454" t="str">
        <v>Dado</v>
      </c>
      <c r="C1257" s="456"/>
      <c r="D1257" s="456">
        <f>D1-0.9-0.7</f>
        <v>1.5000000000000002</v>
      </c>
      <c r="E1257" s="456">
        <f>(E1267+E1268)*D1257</f>
        <v>9.2100000000000026</v>
      </c>
      <c r="F1257" s="456"/>
      <c r="G1257" s="456">
        <f t="shared" si="231"/>
        <v>9.2100000000000026</v>
      </c>
      <c r="H1257" s="456" t="str">
        <v>Sq M</v>
      </c>
      <c r="I1257" s="456" t="str">
        <v>Vitrified tiles</v>
      </c>
      <c r="J1257" s="456">
        <v>45</v>
      </c>
      <c r="K1257" s="456">
        <v>1393.9379999999999</v>
      </c>
      <c r="L1257" s="456">
        <f t="shared" si="232"/>
        <v>12838.168980000002</v>
      </c>
      <c r="O1257" s="455">
        <f t="shared" si="229"/>
        <v>257.88000000000005</v>
      </c>
      <c r="P1257" s="455">
        <f t="shared" si="230"/>
        <v>359468.73144000006</v>
      </c>
      <c r="R1257" s="458" t="s">
        <v>665</v>
      </c>
    </row>
    <row r="1258" spans="1:18">
      <c r="A1258" s="454"/>
      <c r="B1258" s="454" t="str">
        <v>Dado Below Kitchen Platform</v>
      </c>
      <c r="C1258" s="456"/>
      <c r="D1258" s="456">
        <f>0.9</f>
        <v>0.9</v>
      </c>
      <c r="E1258" s="456">
        <f>(E1267+E1268)*D1258</f>
        <v>5.5260000000000007</v>
      </c>
      <c r="F1258" s="456"/>
      <c r="G1258" s="456">
        <f t="shared" si="231"/>
        <v>5.5260000000000007</v>
      </c>
      <c r="H1258" s="456" t="str">
        <v>Sq M</v>
      </c>
      <c r="I1258" s="456" t="str">
        <v>dado under platform</v>
      </c>
      <c r="J1258" s="456">
        <v>23</v>
      </c>
      <c r="K1258" s="456">
        <v>1133.4491999999998</v>
      </c>
      <c r="L1258" s="456">
        <f t="shared" si="232"/>
        <v>6263.4402792000001</v>
      </c>
      <c r="O1258" s="455">
        <f t="shared" si="229"/>
        <v>154.72800000000001</v>
      </c>
      <c r="P1258" s="455">
        <f t="shared" si="230"/>
        <v>175376.32781759999</v>
      </c>
      <c r="R1258" s="458" t="s">
        <v>746</v>
      </c>
    </row>
    <row r="1259" spans="1:18">
      <c r="A1259" s="454"/>
      <c r="B1259" s="454" t="str">
        <v>Wall finishes plaster</v>
      </c>
      <c r="C1259" s="456"/>
      <c r="D1259" s="456">
        <f>D1-0.15</f>
        <v>2.95</v>
      </c>
      <c r="E1259" s="456">
        <f>(D1254*D1259)-(E1257+E1258)</f>
        <v>17.890999999999998</v>
      </c>
      <c r="F1259" s="456">
        <f>-(Doors!H91+Windows!H108)</f>
        <v>-4.04</v>
      </c>
      <c r="G1259" s="456">
        <f t="shared" si="231"/>
        <v>13.850999999999999</v>
      </c>
      <c r="H1259" s="456" t="str">
        <v>Sq M</v>
      </c>
      <c r="I1259" s="456" t="str">
        <v>Gypsum Plaster</v>
      </c>
      <c r="J1259" s="456">
        <v>32</v>
      </c>
      <c r="K1259" s="456">
        <v>376.73999999999995</v>
      </c>
      <c r="L1259" s="456">
        <f t="shared" si="232"/>
        <v>5218.225739999999</v>
      </c>
      <c r="O1259" s="455">
        <f t="shared" si="229"/>
        <v>387.82799999999997</v>
      </c>
      <c r="P1259" s="455">
        <f t="shared" si="230"/>
        <v>146110.32071999996</v>
      </c>
      <c r="R1259" s="458" t="s">
        <v>661</v>
      </c>
    </row>
    <row r="1260" spans="1:18">
      <c r="A1260" s="454"/>
      <c r="B1260" s="454" t="str">
        <v>Ceiling plaster</v>
      </c>
      <c r="C1260" s="456"/>
      <c r="D1260" s="456"/>
      <c r="E1260" s="456">
        <f>E1255</f>
        <v>6.92</v>
      </c>
      <c r="F1260" s="456"/>
      <c r="G1260" s="456">
        <f t="shared" si="231"/>
        <v>6.92</v>
      </c>
      <c r="H1260" s="456" t="str">
        <v>Sq M</v>
      </c>
      <c r="I1260" s="456" t="str">
        <v>Gypsum Plaster</v>
      </c>
      <c r="J1260" s="456">
        <v>32</v>
      </c>
      <c r="K1260" s="456">
        <v>344.44799999999998</v>
      </c>
      <c r="L1260" s="456">
        <f t="shared" si="232"/>
        <v>2383.58016</v>
      </c>
      <c r="O1260" s="455">
        <f t="shared" si="229"/>
        <v>193.76</v>
      </c>
      <c r="P1260" s="455">
        <f t="shared" si="230"/>
        <v>66740.244479999994</v>
      </c>
      <c r="R1260" s="458" t="s">
        <v>662</v>
      </c>
    </row>
    <row r="1261" spans="1:18">
      <c r="A1261" s="454"/>
      <c r="B1261" s="454" t="str">
        <v>False ceiling</v>
      </c>
      <c r="C1261" s="456"/>
      <c r="D1261" s="456"/>
      <c r="E1261" s="456"/>
      <c r="F1261" s="456"/>
      <c r="G1261" s="456">
        <f t="shared" si="231"/>
        <v>0</v>
      </c>
      <c r="H1261" s="456" t="str">
        <v>Sq M</v>
      </c>
      <c r="I1261" s="456" t="str">
        <v>N.A.</v>
      </c>
      <c r="J1261" s="456">
        <v>0</v>
      </c>
      <c r="K1261" s="456">
        <v>0</v>
      </c>
      <c r="L1261" s="456">
        <f t="shared" si="232"/>
        <v>0</v>
      </c>
      <c r="O1261" s="455">
        <f t="shared" si="229"/>
        <v>0</v>
      </c>
      <c r="P1261" s="455">
        <f t="shared" si="230"/>
        <v>0</v>
      </c>
      <c r="R1261" s="458"/>
    </row>
    <row r="1262" spans="1:18">
      <c r="A1262" s="454"/>
      <c r="B1262" s="454" t="str">
        <v>Wall finishes Paint</v>
      </c>
      <c r="C1262" s="456"/>
      <c r="D1262" s="456"/>
      <c r="E1262" s="456">
        <f>E1259</f>
        <v>17.890999999999998</v>
      </c>
      <c r="F1262" s="456">
        <f>F1259</f>
        <v>-4.04</v>
      </c>
      <c r="G1262" s="456">
        <f t="shared" si="231"/>
        <v>13.850999999999999</v>
      </c>
      <c r="H1262" s="456" t="str">
        <v>Sq M</v>
      </c>
      <c r="I1262" s="456" t="str">
        <v>Plastic paint</v>
      </c>
      <c r="J1262" s="456">
        <v>20</v>
      </c>
      <c r="K1262" s="456">
        <v>215.27999999999997</v>
      </c>
      <c r="L1262" s="456">
        <f t="shared" si="232"/>
        <v>2981.8432799999996</v>
      </c>
      <c r="O1262" s="455">
        <f t="shared" si="229"/>
        <v>387.82799999999997</v>
      </c>
      <c r="P1262" s="455">
        <f t="shared" si="230"/>
        <v>83491.611839999983</v>
      </c>
      <c r="R1262" s="458" t="s">
        <v>663</v>
      </c>
    </row>
    <row r="1263" spans="1:18">
      <c r="A1263" s="454"/>
      <c r="B1263" s="454" t="str">
        <v>Ceiling Paint</v>
      </c>
      <c r="C1263" s="456"/>
      <c r="D1263" s="456"/>
      <c r="E1263" s="456">
        <f>E1260</f>
        <v>6.92</v>
      </c>
      <c r="F1263" s="456"/>
      <c r="G1263" s="456">
        <f t="shared" si="231"/>
        <v>6.92</v>
      </c>
      <c r="H1263" s="456" t="str">
        <v>Sq M</v>
      </c>
      <c r="I1263" s="456" t="str">
        <v>Plastic paint</v>
      </c>
      <c r="J1263" s="456">
        <v>20</v>
      </c>
      <c r="K1263" s="456">
        <v>215.27999999999997</v>
      </c>
      <c r="L1263" s="456">
        <f t="shared" si="232"/>
        <v>1489.7375999999997</v>
      </c>
      <c r="O1263" s="455">
        <f t="shared" si="229"/>
        <v>193.76</v>
      </c>
      <c r="P1263" s="455">
        <f t="shared" si="230"/>
        <v>41712.652799999989</v>
      </c>
      <c r="R1263" s="458" t="s">
        <v>664</v>
      </c>
    </row>
    <row r="1264" spans="1:18">
      <c r="A1264" s="454"/>
      <c r="B1264" s="454" t="str">
        <v>Door Frames</v>
      </c>
      <c r="C1264" s="456"/>
      <c r="D1264" s="456"/>
      <c r="E1264" s="456"/>
      <c r="F1264" s="456"/>
      <c r="G1264" s="456">
        <f t="shared" si="231"/>
        <v>0</v>
      </c>
      <c r="H1264" s="456" t="str">
        <v>Sq M</v>
      </c>
      <c r="I1264" s="456" t="str">
        <v>N.A.</v>
      </c>
      <c r="J1264" s="456">
        <v>0</v>
      </c>
      <c r="K1264" s="456">
        <v>0</v>
      </c>
      <c r="L1264" s="456">
        <f t="shared" si="232"/>
        <v>0</v>
      </c>
      <c r="O1264" s="455">
        <f t="shared" si="229"/>
        <v>0</v>
      </c>
      <c r="P1264" s="455">
        <f t="shared" si="230"/>
        <v>0</v>
      </c>
      <c r="R1264" s="458" t="s">
        <v>407</v>
      </c>
    </row>
    <row r="1265" spans="1:18">
      <c r="A1265" s="454"/>
      <c r="B1265" s="454" t="str">
        <v>Window Frames - Internal</v>
      </c>
      <c r="C1265" s="456"/>
      <c r="D1265" s="456"/>
      <c r="E1265" s="456">
        <f>Windows!F108*2+Windows!G108*2</f>
        <v>6.3</v>
      </c>
      <c r="F1265" s="456"/>
      <c r="G1265" s="456">
        <f t="shared" si="231"/>
        <v>6.3</v>
      </c>
      <c r="H1265" s="456" t="str">
        <v>RM</v>
      </c>
      <c r="I1265" s="456" t="str">
        <v>Granite Window Frame</v>
      </c>
      <c r="J1265" s="456">
        <v>180</v>
      </c>
      <c r="K1265" s="456">
        <v>655.92719999999997</v>
      </c>
      <c r="L1265" s="456">
        <f t="shared" si="232"/>
        <v>4132.3413599999994</v>
      </c>
      <c r="O1265" s="455">
        <f t="shared" si="229"/>
        <v>176.4</v>
      </c>
      <c r="P1265" s="455">
        <f t="shared" si="230"/>
        <v>115705.55807999999</v>
      </c>
      <c r="R1265" s="458" t="s">
        <v>408</v>
      </c>
    </row>
    <row r="1266" spans="1:18">
      <c r="A1266" s="454"/>
      <c r="B1266" s="454" t="str">
        <v>Window Frames - External</v>
      </c>
      <c r="C1266" s="456"/>
      <c r="D1266" s="456"/>
      <c r="E1266" s="456">
        <f>E1265</f>
        <v>6.3</v>
      </c>
      <c r="F1266" s="456"/>
      <c r="G1266" s="456">
        <f t="shared" si="231"/>
        <v>6.3</v>
      </c>
      <c r="H1266" s="456" t="str">
        <v>RM</v>
      </c>
      <c r="I1266" s="456" t="str">
        <v>Marble Window Frames with Sill</v>
      </c>
      <c r="J1266" s="456">
        <v>60</v>
      </c>
      <c r="K1266" s="456">
        <v>399.04239999999999</v>
      </c>
      <c r="L1266" s="456">
        <f t="shared" si="232"/>
        <v>2513.9671199999998</v>
      </c>
      <c r="O1266" s="455">
        <f t="shared" si="229"/>
        <v>176.4</v>
      </c>
      <c r="P1266" s="455">
        <f t="shared" si="230"/>
        <v>70391.079359999989</v>
      </c>
      <c r="R1266" s="458" t="s">
        <v>409</v>
      </c>
    </row>
    <row r="1267" spans="1:18">
      <c r="A1267" s="454"/>
      <c r="B1267" s="454" t="str">
        <v>Kitchen Platform</v>
      </c>
      <c r="C1267" s="456"/>
      <c r="D1267" s="456"/>
      <c r="E1267" s="456">
        <v>3.52</v>
      </c>
      <c r="F1267" s="456"/>
      <c r="G1267" s="456">
        <f t="shared" si="231"/>
        <v>3.52</v>
      </c>
      <c r="H1267" s="456" t="str">
        <v>RM</v>
      </c>
      <c r="I1267" s="456" t="str">
        <v>Kitchen 2' Granite Main Counter</v>
      </c>
      <c r="J1267" s="456">
        <v>180</v>
      </c>
      <c r="K1267" s="456">
        <v>7312.7984000000006</v>
      </c>
      <c r="L1267" s="456">
        <f t="shared" si="232"/>
        <v>25741.050368000004</v>
      </c>
      <c r="O1267" s="455">
        <f t="shared" si="229"/>
        <v>98.56</v>
      </c>
      <c r="P1267" s="455">
        <f t="shared" si="230"/>
        <v>720749.41030400014</v>
      </c>
      <c r="R1267" s="458" t="s">
        <v>747</v>
      </c>
    </row>
    <row r="1268" spans="1:18">
      <c r="A1268" s="454"/>
      <c r="B1268" s="454" t="str">
        <v>Service Platform</v>
      </c>
      <c r="C1268" s="456"/>
      <c r="D1268" s="456"/>
      <c r="E1268" s="456">
        <f>E1267-0.9</f>
        <v>2.62</v>
      </c>
      <c r="F1268" s="456"/>
      <c r="G1268" s="456">
        <f t="shared" si="231"/>
        <v>2.62</v>
      </c>
      <c r="H1268" s="456" t="str">
        <v>RM</v>
      </c>
      <c r="I1268" s="456" t="str">
        <v>Kitchen 1'6" Granite Main Counter</v>
      </c>
      <c r="J1268" s="456">
        <v>180</v>
      </c>
      <c r="K1268" s="456">
        <v>7312.7984000000006</v>
      </c>
      <c r="L1268" s="456">
        <f t="shared" si="232"/>
        <v>19159.531808000003</v>
      </c>
      <c r="O1268" s="455">
        <f t="shared" si="229"/>
        <v>73.36</v>
      </c>
      <c r="P1268" s="455">
        <f t="shared" si="230"/>
        <v>536466.89062400011</v>
      </c>
      <c r="R1268" s="458" t="s">
        <v>666</v>
      </c>
    </row>
    <row r="1269" spans="1:18" s="479" customFormat="1" ht="13.5" customHeight="1">
      <c r="A1269" s="475" t="s">
        <v>628</v>
      </c>
      <c r="B1269" s="476" t="str">
        <f>'Flat Sizes'!B106</f>
        <v>Utility</v>
      </c>
      <c r="C1269" s="477">
        <f>'Flat Sizes'!D106</f>
        <v>1.84</v>
      </c>
      <c r="D1269" s="477">
        <f>'Flat Sizes'!G106</f>
        <v>5.6</v>
      </c>
      <c r="E1269" s="477"/>
      <c r="F1269" s="454"/>
      <c r="G1269" s="477"/>
      <c r="H1269" s="477"/>
      <c r="I1269" s="477"/>
      <c r="J1269" s="477"/>
      <c r="K1269" s="477"/>
      <c r="L1269" s="477"/>
      <c r="M1269" s="459">
        <f>SUM(L1270:L1278)/C1269/10.764</f>
        <v>1327.5968728289142</v>
      </c>
      <c r="N1269" s="472"/>
      <c r="O1269" s="455"/>
      <c r="P1269" s="455"/>
      <c r="Q1269" s="478"/>
    </row>
    <row r="1270" spans="1:18">
      <c r="A1270" s="454"/>
      <c r="B1270" s="454" t="str" cm="1">
        <f t="array" ref="B1270:B1278">'Rate List - Flats'!B120:B128</f>
        <v>Flooring</v>
      </c>
      <c r="C1270" s="456"/>
      <c r="D1270" s="456"/>
      <c r="E1270" s="456">
        <f>C1269</f>
        <v>1.84</v>
      </c>
      <c r="F1270" s="456"/>
      <c r="G1270" s="456">
        <f t="shared" si="231"/>
        <v>1.84</v>
      </c>
      <c r="H1270" s="456" t="str" cm="1">
        <f t="array" ref="H1270:H1278">'Rate List - Flats'!H120:H128</f>
        <v>Sq M</v>
      </c>
      <c r="I1270" s="456" t="str" cm="1">
        <f t="array" ref="I1270:I1278">'Rate List - Flats'!C120:C128</f>
        <v>2'x2' Vitrified tiles</v>
      </c>
      <c r="J1270" s="456" cm="1">
        <f t="array" ref="J1270:J1278">'Rate List - Flats'!E120:E128</f>
        <v>45</v>
      </c>
      <c r="K1270" s="456" cm="1">
        <f t="array" ref="K1270:K1278">'Rate List - Flats'!G120:G128</f>
        <v>1340.1179999999999</v>
      </c>
      <c r="L1270" s="456">
        <f t="shared" si="232"/>
        <v>2465.8171200000002</v>
      </c>
      <c r="O1270" s="455">
        <f t="shared" ref="O1270:O1278" si="233">IF(I1270="N.A",0,G1270*$N$1188)</f>
        <v>51.52</v>
      </c>
      <c r="P1270" s="455">
        <f t="shared" ref="P1270:P1278" si="234">L1270*$N$1188</f>
        <v>69042.879360000006</v>
      </c>
      <c r="R1270" s="458" t="s">
        <v>748</v>
      </c>
    </row>
    <row r="1271" spans="1:18">
      <c r="A1271" s="454"/>
      <c r="B1271" s="454" t="str">
        <v>Skirting</v>
      </c>
      <c r="C1271" s="456"/>
      <c r="D1271" s="456"/>
      <c r="E1271" s="456">
        <f>D1269</f>
        <v>5.6</v>
      </c>
      <c r="F1271" s="456"/>
      <c r="G1271" s="456">
        <f t="shared" si="231"/>
        <v>5.6</v>
      </c>
      <c r="H1271" s="456" t="str">
        <v xml:space="preserve">RM </v>
      </c>
      <c r="I1271" s="456" t="str">
        <v xml:space="preserve">2'x2' Vitrified tiles </v>
      </c>
      <c r="J1271" s="456">
        <v>45</v>
      </c>
      <c r="K1271" s="456">
        <v>391.96</v>
      </c>
      <c r="L1271" s="456">
        <f t="shared" si="232"/>
        <v>2194.9759999999997</v>
      </c>
      <c r="O1271" s="455">
        <f t="shared" si="233"/>
        <v>156.79999999999998</v>
      </c>
      <c r="P1271" s="455">
        <f t="shared" si="234"/>
        <v>61459.327999999994</v>
      </c>
      <c r="R1271" s="458" t="s">
        <v>749</v>
      </c>
    </row>
    <row r="1272" spans="1:18">
      <c r="A1272" s="454"/>
      <c r="B1272" s="454" t="str">
        <v>Dado</v>
      </c>
      <c r="C1272" s="456"/>
      <c r="D1272" s="456"/>
      <c r="E1272" s="456"/>
      <c r="F1272" s="456"/>
      <c r="G1272" s="456">
        <f t="shared" si="231"/>
        <v>0</v>
      </c>
      <c r="H1272" s="456" t="str">
        <v>Sq M</v>
      </c>
      <c r="I1272" s="456" t="str">
        <v>N.A</v>
      </c>
      <c r="J1272" s="456">
        <v>0</v>
      </c>
      <c r="K1272" s="456">
        <v>0</v>
      </c>
      <c r="L1272" s="456">
        <f t="shared" si="232"/>
        <v>0</v>
      </c>
      <c r="O1272" s="455">
        <f t="shared" si="233"/>
        <v>0</v>
      </c>
      <c r="P1272" s="455">
        <f t="shared" si="234"/>
        <v>0</v>
      </c>
      <c r="R1272" s="458" t="s">
        <v>750</v>
      </c>
    </row>
    <row r="1273" spans="1:18">
      <c r="A1273" s="454"/>
      <c r="B1273" s="454" t="str">
        <v>Wall finishes plaster</v>
      </c>
      <c r="C1273" s="456"/>
      <c r="D1273" s="456"/>
      <c r="E1273" s="456">
        <f>D1269*(D1-0.15)</f>
        <v>16.52</v>
      </c>
      <c r="F1273" s="456">
        <f>-(Windows!K109*2.15)</f>
        <v>-2.15</v>
      </c>
      <c r="G1273" s="456">
        <f t="shared" si="231"/>
        <v>14.37</v>
      </c>
      <c r="H1273" s="456" t="str">
        <v>Sq M</v>
      </c>
      <c r="I1273" s="456" t="str">
        <v>External Plaster  - 15 mm</v>
      </c>
      <c r="J1273" s="456">
        <v>85</v>
      </c>
      <c r="K1273" s="456">
        <v>914.93999999999994</v>
      </c>
      <c r="L1273" s="456">
        <f t="shared" si="232"/>
        <v>13147.687799999998</v>
      </c>
      <c r="O1273" s="455">
        <f t="shared" si="233"/>
        <v>402.35999999999996</v>
      </c>
      <c r="P1273" s="455">
        <f t="shared" si="234"/>
        <v>368135.25839999993</v>
      </c>
      <c r="R1273" s="458" t="s">
        <v>751</v>
      </c>
    </row>
    <row r="1274" spans="1:18">
      <c r="A1274" s="454"/>
      <c r="B1274" s="454" t="str">
        <v>Ceiling plaster</v>
      </c>
      <c r="C1274" s="456"/>
      <c r="D1274" s="456"/>
      <c r="E1274" s="456">
        <f>E1270</f>
        <v>1.84</v>
      </c>
      <c r="F1274" s="456"/>
      <c r="G1274" s="456">
        <f t="shared" si="231"/>
        <v>1.84</v>
      </c>
      <c r="H1274" s="456" t="str">
        <v>Sq M</v>
      </c>
      <c r="I1274" s="456" t="str">
        <v>Gypsum Plaster</v>
      </c>
      <c r="J1274" s="456">
        <v>32</v>
      </c>
      <c r="K1274" s="456">
        <v>344.44799999999998</v>
      </c>
      <c r="L1274" s="456">
        <f t="shared" si="232"/>
        <v>633.78431999999998</v>
      </c>
      <c r="O1274" s="455">
        <f t="shared" si="233"/>
        <v>51.52</v>
      </c>
      <c r="P1274" s="455">
        <f t="shared" si="234"/>
        <v>17745.96096</v>
      </c>
      <c r="R1274" s="458" t="s">
        <v>662</v>
      </c>
    </row>
    <row r="1275" spans="1:18">
      <c r="A1275" s="454"/>
      <c r="B1275" s="454" t="str">
        <v>False ceiling</v>
      </c>
      <c r="C1275" s="456"/>
      <c r="D1275" s="456"/>
      <c r="E1275" s="456"/>
      <c r="F1275" s="456"/>
      <c r="G1275" s="456">
        <f t="shared" si="231"/>
        <v>0</v>
      </c>
      <c r="H1275" s="456" t="str">
        <v>Sq M</v>
      </c>
      <c r="I1275" s="456" t="str">
        <v>N.A.</v>
      </c>
      <c r="J1275" s="456">
        <v>0</v>
      </c>
      <c r="K1275" s="456">
        <v>0</v>
      </c>
      <c r="L1275" s="456">
        <f t="shared" si="232"/>
        <v>0</v>
      </c>
      <c r="O1275" s="455">
        <f t="shared" si="233"/>
        <v>0</v>
      </c>
      <c r="P1275" s="455">
        <f t="shared" si="234"/>
        <v>0</v>
      </c>
      <c r="R1275" s="458" t="s">
        <v>414</v>
      </c>
    </row>
    <row r="1276" spans="1:18">
      <c r="A1276" s="454"/>
      <c r="B1276" s="454" t="str">
        <v>Wall finishes Paint</v>
      </c>
      <c r="C1276" s="456"/>
      <c r="D1276" s="456"/>
      <c r="E1276" s="456">
        <f>E1273</f>
        <v>16.52</v>
      </c>
      <c r="F1276" s="456">
        <f>F1273</f>
        <v>-2.15</v>
      </c>
      <c r="G1276" s="456">
        <f t="shared" si="231"/>
        <v>14.37</v>
      </c>
      <c r="H1276" s="456" t="str">
        <v>Sq M</v>
      </c>
      <c r="I1276" s="456" t="str">
        <v>External Grade Paint</v>
      </c>
      <c r="J1276" s="456">
        <v>45</v>
      </c>
      <c r="K1276" s="456">
        <v>484.38</v>
      </c>
      <c r="L1276" s="456">
        <f t="shared" si="232"/>
        <v>6960.5405999999994</v>
      </c>
      <c r="O1276" s="455">
        <f t="shared" si="233"/>
        <v>402.35999999999996</v>
      </c>
      <c r="P1276" s="455">
        <f t="shared" si="234"/>
        <v>194895.13679999998</v>
      </c>
      <c r="R1276" s="458" t="s">
        <v>663</v>
      </c>
    </row>
    <row r="1277" spans="1:18">
      <c r="A1277" s="454"/>
      <c r="B1277" s="454" t="str">
        <v>Ceiling Paint</v>
      </c>
      <c r="C1277" s="456"/>
      <c r="D1277" s="456"/>
      <c r="E1277" s="456">
        <f>E1274</f>
        <v>1.84</v>
      </c>
      <c r="F1277" s="456"/>
      <c r="G1277" s="456">
        <f t="shared" si="231"/>
        <v>1.84</v>
      </c>
      <c r="H1277" s="456" t="str">
        <v>Sq M</v>
      </c>
      <c r="I1277" s="456" t="str">
        <v>External Grade Paint</v>
      </c>
      <c r="J1277" s="456">
        <v>45</v>
      </c>
      <c r="K1277" s="456">
        <v>484.38</v>
      </c>
      <c r="L1277" s="456">
        <f t="shared" si="232"/>
        <v>891.25920000000008</v>
      </c>
      <c r="O1277" s="455">
        <f t="shared" si="233"/>
        <v>51.52</v>
      </c>
      <c r="P1277" s="455">
        <f t="shared" si="234"/>
        <v>24955.257600000001</v>
      </c>
      <c r="R1277" s="458" t="s">
        <v>664</v>
      </c>
    </row>
    <row r="1278" spans="1:18">
      <c r="A1278" s="454"/>
      <c r="B1278" s="454" t="str">
        <v>Others</v>
      </c>
      <c r="C1278" s="456"/>
      <c r="D1278" s="456"/>
      <c r="E1278" s="456"/>
      <c r="F1278" s="456"/>
      <c r="G1278" s="456">
        <f t="shared" si="231"/>
        <v>0</v>
      </c>
      <c r="H1278" s="456" t="str">
        <v>-</v>
      </c>
      <c r="I1278" s="456" t="str">
        <v>N.A.</v>
      </c>
      <c r="J1278" s="456">
        <v>0</v>
      </c>
      <c r="K1278" s="456">
        <v>0</v>
      </c>
      <c r="L1278" s="456">
        <f t="shared" si="232"/>
        <v>0</v>
      </c>
      <c r="O1278" s="455">
        <f t="shared" si="233"/>
        <v>0</v>
      </c>
      <c r="P1278" s="455">
        <f t="shared" si="234"/>
        <v>0</v>
      </c>
    </row>
    <row r="1279" spans="1:18" s="479" customFormat="1" ht="13.5" customHeight="1">
      <c r="A1279" s="475" t="s">
        <v>628</v>
      </c>
      <c r="B1279" s="476" t="str">
        <f>'Flat Sizes'!B107</f>
        <v>Balcony</v>
      </c>
      <c r="C1279" s="477">
        <f>'Flat Sizes'!D107</f>
        <v>2.23</v>
      </c>
      <c r="D1279" s="477">
        <f>'Flat Sizes'!G107</f>
        <v>6.1</v>
      </c>
      <c r="E1279" s="477"/>
      <c r="F1279" s="454"/>
      <c r="G1279" s="477"/>
      <c r="H1279" s="477"/>
      <c r="I1279" s="477"/>
      <c r="J1279" s="477"/>
      <c r="K1279" s="477"/>
      <c r="L1279" s="477"/>
      <c r="M1279" s="459">
        <f>SUM(L1280:L1288)/C1279/10.764</f>
        <v>949.06736872451449</v>
      </c>
      <c r="N1279" s="472"/>
      <c r="O1279" s="455"/>
      <c r="P1279" s="455"/>
      <c r="Q1279" s="478"/>
    </row>
    <row r="1280" spans="1:18">
      <c r="A1280" s="454"/>
      <c r="B1280" s="454" t="str" cm="1">
        <f t="array" ref="B1280:B1288">'Rate List - Flats'!B120:B128</f>
        <v>Flooring</v>
      </c>
      <c r="C1280" s="456"/>
      <c r="D1280" s="456"/>
      <c r="E1280" s="456">
        <f>C1279</f>
        <v>2.23</v>
      </c>
      <c r="F1280" s="456"/>
      <c r="G1280" s="456">
        <f t="shared" si="231"/>
        <v>2.23</v>
      </c>
      <c r="H1280" s="456" t="str" cm="1">
        <f t="array" ref="H1280:H1288">'Rate List - Flats'!H120:H128</f>
        <v>Sq M</v>
      </c>
      <c r="I1280" s="456" t="str" cm="1">
        <f t="array" ref="I1280:I1288">'Rate List - Flats'!C120:C128</f>
        <v>2'x2' Vitrified tiles</v>
      </c>
      <c r="J1280" s="456" cm="1">
        <f t="array" ref="J1280:J1288">'Rate List - Flats'!E120:E128</f>
        <v>45</v>
      </c>
      <c r="K1280" s="456" cm="1">
        <f t="array" ref="K1280:K1288">'Rate List - Flats'!G120:G128</f>
        <v>1340.1179999999999</v>
      </c>
      <c r="L1280" s="456">
        <f t="shared" si="232"/>
        <v>2988.4631399999998</v>
      </c>
      <c r="O1280" s="455">
        <f t="shared" ref="O1280:O1288" si="235">IF(I1280="N.A",0,G1280*$N$1188)</f>
        <v>62.44</v>
      </c>
      <c r="P1280" s="455">
        <f t="shared" ref="P1280:P1288" si="236">L1280*$N$1188</f>
        <v>83676.967919999996</v>
      </c>
      <c r="R1280" s="458" t="s">
        <v>752</v>
      </c>
    </row>
    <row r="1281" spans="1:18">
      <c r="A1281" s="454"/>
      <c r="B1281" s="454" t="str">
        <v>Skirting</v>
      </c>
      <c r="C1281" s="456"/>
      <c r="D1281" s="456"/>
      <c r="E1281" s="456">
        <f>D1279</f>
        <v>6.1</v>
      </c>
      <c r="F1281" s="456"/>
      <c r="G1281" s="456">
        <f t="shared" si="231"/>
        <v>6.1</v>
      </c>
      <c r="H1281" s="456" t="str">
        <v xml:space="preserve">RM </v>
      </c>
      <c r="I1281" s="456" t="str">
        <v xml:space="preserve">2'x2' Vitrified tiles </v>
      </c>
      <c r="J1281" s="456">
        <v>45</v>
      </c>
      <c r="K1281" s="456">
        <v>391.96</v>
      </c>
      <c r="L1281" s="456">
        <f t="shared" si="232"/>
        <v>2390.9559999999997</v>
      </c>
      <c r="O1281" s="455">
        <f t="shared" si="235"/>
        <v>170.79999999999998</v>
      </c>
      <c r="P1281" s="455">
        <f t="shared" si="236"/>
        <v>66946.767999999996</v>
      </c>
      <c r="R1281" s="458" t="s">
        <v>753</v>
      </c>
    </row>
    <row r="1282" spans="1:18">
      <c r="A1282" s="454"/>
      <c r="B1282" s="454" t="str">
        <v>Dado</v>
      </c>
      <c r="C1282" s="456"/>
      <c r="D1282" s="456"/>
      <c r="E1282" s="456"/>
      <c r="F1282" s="456"/>
      <c r="G1282" s="456">
        <f t="shared" si="231"/>
        <v>0</v>
      </c>
      <c r="H1282" s="456" t="str">
        <v>Sq M</v>
      </c>
      <c r="I1282" s="456" t="str">
        <v>N.A</v>
      </c>
      <c r="J1282" s="456">
        <v>0</v>
      </c>
      <c r="K1282" s="456">
        <v>0</v>
      </c>
      <c r="L1282" s="456">
        <f t="shared" si="232"/>
        <v>0</v>
      </c>
      <c r="O1282" s="455">
        <f t="shared" si="235"/>
        <v>0</v>
      </c>
      <c r="P1282" s="455">
        <f t="shared" si="236"/>
        <v>0</v>
      </c>
      <c r="R1282" s="458" t="s">
        <v>754</v>
      </c>
    </row>
    <row r="1283" spans="1:18">
      <c r="A1283" s="454"/>
      <c r="B1283" s="454" t="str">
        <v>Wall finishes plaster</v>
      </c>
      <c r="C1283" s="456"/>
      <c r="D1283" s="456"/>
      <c r="E1283" s="456">
        <f>D1279*(D1-0.15)</f>
        <v>17.995000000000001</v>
      </c>
      <c r="F1283" s="456">
        <f>-(Windows!K110*2.15)</f>
        <v>-6.88</v>
      </c>
      <c r="G1283" s="456">
        <f t="shared" si="231"/>
        <v>11.115000000000002</v>
      </c>
      <c r="H1283" s="456" t="str">
        <v>Sq M</v>
      </c>
      <c r="I1283" s="456" t="str">
        <v>External Plaster  - 15 mm</v>
      </c>
      <c r="J1283" s="456">
        <v>85</v>
      </c>
      <c r="K1283" s="456">
        <v>914.93999999999994</v>
      </c>
      <c r="L1283" s="456">
        <f t="shared" si="232"/>
        <v>10169.558100000002</v>
      </c>
      <c r="O1283" s="455">
        <f t="shared" si="235"/>
        <v>311.22000000000003</v>
      </c>
      <c r="P1283" s="455">
        <f t="shared" si="236"/>
        <v>284747.62680000009</v>
      </c>
      <c r="R1283" s="458" t="s">
        <v>751</v>
      </c>
    </row>
    <row r="1284" spans="1:18">
      <c r="A1284" s="454"/>
      <c r="B1284" s="454" t="str">
        <v>Ceiling plaster</v>
      </c>
      <c r="C1284" s="456"/>
      <c r="D1284" s="456"/>
      <c r="E1284" s="456">
        <f>E1280</f>
        <v>2.23</v>
      </c>
      <c r="F1284" s="456"/>
      <c r="G1284" s="456">
        <f t="shared" si="231"/>
        <v>2.23</v>
      </c>
      <c r="H1284" s="456" t="str">
        <v>Sq M</v>
      </c>
      <c r="I1284" s="456" t="str">
        <v>Gypsum Plaster</v>
      </c>
      <c r="J1284" s="456">
        <v>32</v>
      </c>
      <c r="K1284" s="456">
        <v>344.44799999999998</v>
      </c>
      <c r="L1284" s="456">
        <f t="shared" si="232"/>
        <v>768.11903999999993</v>
      </c>
      <c r="O1284" s="455">
        <f t="shared" si="235"/>
        <v>62.44</v>
      </c>
      <c r="P1284" s="455">
        <f t="shared" si="236"/>
        <v>21507.333119999999</v>
      </c>
      <c r="R1284" s="458" t="s">
        <v>662</v>
      </c>
    </row>
    <row r="1285" spans="1:18">
      <c r="A1285" s="454"/>
      <c r="B1285" s="454" t="str">
        <v>False ceiling</v>
      </c>
      <c r="C1285" s="456"/>
      <c r="D1285" s="456"/>
      <c r="E1285" s="456"/>
      <c r="F1285" s="456"/>
      <c r="G1285" s="456">
        <f t="shared" si="231"/>
        <v>0</v>
      </c>
      <c r="H1285" s="456" t="str">
        <v>Sq M</v>
      </c>
      <c r="I1285" s="456" t="str">
        <v>N.A.</v>
      </c>
      <c r="J1285" s="456">
        <v>0</v>
      </c>
      <c r="K1285" s="456">
        <v>0</v>
      </c>
      <c r="L1285" s="456">
        <f t="shared" si="232"/>
        <v>0</v>
      </c>
      <c r="O1285" s="455">
        <f t="shared" si="235"/>
        <v>0</v>
      </c>
      <c r="P1285" s="455">
        <f t="shared" si="236"/>
        <v>0</v>
      </c>
      <c r="R1285" s="458" t="s">
        <v>414</v>
      </c>
    </row>
    <row r="1286" spans="1:18">
      <c r="A1286" s="454"/>
      <c r="B1286" s="454" t="str">
        <v>Wall finishes Paint</v>
      </c>
      <c r="C1286" s="456"/>
      <c r="D1286" s="456"/>
      <c r="E1286" s="456">
        <f>E1283</f>
        <v>17.995000000000001</v>
      </c>
      <c r="F1286" s="456">
        <f>F1283</f>
        <v>-6.88</v>
      </c>
      <c r="G1286" s="456">
        <f t="shared" si="231"/>
        <v>11.115000000000002</v>
      </c>
      <c r="H1286" s="456" t="str">
        <v>Sq M</v>
      </c>
      <c r="I1286" s="456" t="str">
        <v>External Grade Paint</v>
      </c>
      <c r="J1286" s="456">
        <v>45</v>
      </c>
      <c r="K1286" s="456">
        <v>484.38</v>
      </c>
      <c r="L1286" s="456">
        <f t="shared" si="232"/>
        <v>5383.8837000000012</v>
      </c>
      <c r="O1286" s="455">
        <f t="shared" si="235"/>
        <v>311.22000000000003</v>
      </c>
      <c r="P1286" s="455">
        <f t="shared" si="236"/>
        <v>150748.74360000005</v>
      </c>
      <c r="R1286" s="458" t="s">
        <v>663</v>
      </c>
    </row>
    <row r="1287" spans="1:18">
      <c r="A1287" s="454"/>
      <c r="B1287" s="454" t="str">
        <v>Ceiling Paint</v>
      </c>
      <c r="C1287" s="456"/>
      <c r="D1287" s="456"/>
      <c r="E1287" s="456">
        <f>E1284</f>
        <v>2.23</v>
      </c>
      <c r="F1287" s="456"/>
      <c r="G1287" s="456">
        <f t="shared" si="231"/>
        <v>2.23</v>
      </c>
      <c r="H1287" s="456" t="str">
        <v>Sq M</v>
      </c>
      <c r="I1287" s="456" t="str">
        <v>External Grade Paint</v>
      </c>
      <c r="J1287" s="456">
        <v>45</v>
      </c>
      <c r="K1287" s="456">
        <v>484.38</v>
      </c>
      <c r="L1287" s="456">
        <f t="shared" si="232"/>
        <v>1080.1674</v>
      </c>
      <c r="O1287" s="455">
        <f t="shared" si="235"/>
        <v>62.44</v>
      </c>
      <c r="P1287" s="455">
        <f t="shared" si="236"/>
        <v>30244.6872</v>
      </c>
      <c r="R1287" s="458" t="s">
        <v>664</v>
      </c>
    </row>
    <row r="1288" spans="1:18">
      <c r="A1288" s="454"/>
      <c r="B1288" s="454" t="str">
        <v>Others</v>
      </c>
      <c r="C1288" s="456"/>
      <c r="D1288" s="456"/>
      <c r="E1288" s="456"/>
      <c r="F1288" s="456"/>
      <c r="G1288" s="524">
        <f t="shared" si="231"/>
        <v>0</v>
      </c>
      <c r="H1288" s="456" t="str">
        <v>-</v>
      </c>
      <c r="I1288" s="456" t="str">
        <v>N.A.</v>
      </c>
      <c r="J1288" s="456">
        <v>0</v>
      </c>
      <c r="K1288" s="456">
        <v>0</v>
      </c>
      <c r="L1288" s="456">
        <f t="shared" si="232"/>
        <v>0</v>
      </c>
      <c r="O1288" s="455">
        <f t="shared" si="235"/>
        <v>0</v>
      </c>
      <c r="P1288" s="455">
        <f t="shared" si="236"/>
        <v>0</v>
      </c>
    </row>
    <row r="1289" spans="1:18" ht="13.8" thickBot="1">
      <c r="A1289" s="454"/>
      <c r="B1289" s="454"/>
      <c r="C1289" s="456"/>
      <c r="D1289" s="456"/>
      <c r="E1289" s="456"/>
      <c r="F1289" s="456"/>
      <c r="G1289" s="525">
        <f>SUM(G1189:G1288)</f>
        <v>808.36899999999991</v>
      </c>
      <c r="H1289" s="456"/>
      <c r="I1289" s="456"/>
      <c r="J1289" s="456"/>
      <c r="K1289" s="456"/>
      <c r="L1289" s="525">
        <f>SUM(L1189:L1288)</f>
        <v>462615.2896592</v>
      </c>
      <c r="O1289" s="525">
        <f>SUM(O1189:O1288)</f>
        <v>22634.332000000002</v>
      </c>
      <c r="P1289" s="525">
        <f>SUM(P1189:P1288)</f>
        <v>12953228.110457603</v>
      </c>
    </row>
    <row r="1290" spans="1:18">
      <c r="A1290" s="528"/>
      <c r="B1290" s="529" t="s">
        <v>744</v>
      </c>
      <c r="C1290" s="522"/>
      <c r="D1290" s="522"/>
      <c r="E1290" s="522"/>
      <c r="F1290" s="522"/>
      <c r="G1290" s="530"/>
      <c r="H1290" s="522"/>
      <c r="I1290" s="522"/>
      <c r="J1290" s="522"/>
      <c r="K1290" s="522"/>
      <c r="L1290" s="522"/>
    </row>
    <row r="1291" spans="1:18">
      <c r="A1291" s="528"/>
      <c r="B1291" s="528" t="s">
        <v>355</v>
      </c>
      <c r="C1291" s="522"/>
      <c r="D1291" s="522"/>
      <c r="E1291" s="522"/>
      <c r="F1291" s="522"/>
      <c r="G1291" s="522">
        <f>SUMIF($B$1189:$B$1288,B1291,$G$1189:$G$1288)</f>
        <v>70.440000000000012</v>
      </c>
      <c r="H1291" s="522"/>
      <c r="I1291" s="522"/>
      <c r="J1291" s="522"/>
      <c r="K1291" s="522"/>
      <c r="L1291" s="522">
        <f>SUMIF($B$1189:$B$1288,B1291,$L$1189:$L$1288)</f>
        <v>94783.908960000001</v>
      </c>
      <c r="O1291" s="455">
        <f t="shared" ref="O1291:O1306" si="237">IF(I1291="N.A",0,G1291*$N$1188)</f>
        <v>1972.3200000000004</v>
      </c>
      <c r="P1291" s="455">
        <f t="shared" ref="P1291:P1306" si="238">L1291*$N$1188</f>
        <v>2653949.4508799999</v>
      </c>
    </row>
    <row r="1292" spans="1:18">
      <c r="A1292" s="528"/>
      <c r="B1292" s="528" t="s">
        <v>695</v>
      </c>
      <c r="C1292" s="522"/>
      <c r="D1292" s="522"/>
      <c r="E1292" s="522"/>
      <c r="F1292" s="522"/>
      <c r="G1292" s="522">
        <f t="shared" ref="G1292:G1306" si="239">SUMIF($B$1189:$B$1288,B1292,$G$1189:$G$1288)</f>
        <v>61.740000000000009</v>
      </c>
      <c r="H1292" s="522"/>
      <c r="I1292" s="522"/>
      <c r="J1292" s="522"/>
      <c r="K1292" s="522"/>
      <c r="L1292" s="522">
        <f t="shared" ref="L1292:L1306" si="240">SUMIF($B$1189:$B$1288,B1292,$L$1189:$L$1288)</f>
        <v>24199.610399999994</v>
      </c>
      <c r="O1292" s="455">
        <f t="shared" si="237"/>
        <v>1728.7200000000003</v>
      </c>
      <c r="P1292" s="455">
        <f t="shared" si="238"/>
        <v>677589.09119999979</v>
      </c>
    </row>
    <row r="1293" spans="1:18">
      <c r="A1293" s="528"/>
      <c r="B1293" s="528" t="s">
        <v>698</v>
      </c>
      <c r="C1293" s="522"/>
      <c r="D1293" s="522"/>
      <c r="E1293" s="522"/>
      <c r="F1293" s="522"/>
      <c r="G1293" s="522">
        <f t="shared" si="239"/>
        <v>41.760000000000005</v>
      </c>
      <c r="H1293" s="522"/>
      <c r="I1293" s="522"/>
      <c r="J1293" s="522"/>
      <c r="K1293" s="522"/>
      <c r="L1293" s="522">
        <f t="shared" si="240"/>
        <v>61013.796480000005</v>
      </c>
      <c r="O1293" s="455">
        <f t="shared" si="237"/>
        <v>1169.2800000000002</v>
      </c>
      <c r="P1293" s="455">
        <f t="shared" si="238"/>
        <v>1708386.3014400001</v>
      </c>
    </row>
    <row r="1294" spans="1:18">
      <c r="A1294" s="528"/>
      <c r="B1294" s="528" t="s">
        <v>700</v>
      </c>
      <c r="C1294" s="522"/>
      <c r="D1294" s="522"/>
      <c r="E1294" s="522"/>
      <c r="F1294" s="522"/>
      <c r="G1294" s="522">
        <f t="shared" si="239"/>
        <v>186.1815</v>
      </c>
      <c r="H1294" s="522"/>
      <c r="I1294" s="522"/>
      <c r="J1294" s="522"/>
      <c r="K1294" s="522"/>
      <c r="L1294" s="522">
        <f t="shared" si="240"/>
        <v>79116.110423999984</v>
      </c>
      <c r="O1294" s="455">
        <f t="shared" si="237"/>
        <v>5213.0820000000003</v>
      </c>
      <c r="P1294" s="455">
        <f t="shared" si="238"/>
        <v>2215251.0918719997</v>
      </c>
    </row>
    <row r="1295" spans="1:18">
      <c r="A1295" s="528"/>
      <c r="B1295" s="528" t="s">
        <v>702</v>
      </c>
      <c r="C1295" s="522"/>
      <c r="D1295" s="522"/>
      <c r="E1295" s="522"/>
      <c r="F1295" s="522"/>
      <c r="G1295" s="522">
        <f t="shared" si="239"/>
        <v>70.440000000000012</v>
      </c>
      <c r="H1295" s="522"/>
      <c r="I1295" s="522"/>
      <c r="J1295" s="522"/>
      <c r="K1295" s="522"/>
      <c r="L1295" s="522">
        <f t="shared" si="240"/>
        <v>24262.917119999998</v>
      </c>
      <c r="O1295" s="455">
        <f t="shared" si="237"/>
        <v>1972.3200000000004</v>
      </c>
      <c r="P1295" s="455">
        <f t="shared" si="238"/>
        <v>679361.67935999995</v>
      </c>
    </row>
    <row r="1296" spans="1:18">
      <c r="A1296" s="528"/>
      <c r="B1296" s="528" t="s">
        <v>703</v>
      </c>
      <c r="C1296" s="522"/>
      <c r="D1296" s="522"/>
      <c r="E1296" s="522"/>
      <c r="F1296" s="522"/>
      <c r="G1296" s="522">
        <f t="shared" si="239"/>
        <v>0</v>
      </c>
      <c r="H1296" s="522"/>
      <c r="I1296" s="522"/>
      <c r="J1296" s="522"/>
      <c r="K1296" s="522"/>
      <c r="L1296" s="522">
        <f t="shared" si="240"/>
        <v>0</v>
      </c>
      <c r="O1296" s="455">
        <f t="shared" si="237"/>
        <v>0</v>
      </c>
      <c r="P1296" s="455">
        <f t="shared" si="238"/>
        <v>0</v>
      </c>
    </row>
    <row r="1297" spans="1:22">
      <c r="A1297" s="528"/>
      <c r="B1297" s="528" t="s">
        <v>704</v>
      </c>
      <c r="C1297" s="522"/>
      <c r="D1297" s="522"/>
      <c r="E1297" s="522"/>
      <c r="F1297" s="522"/>
      <c r="G1297" s="522">
        <f t="shared" si="239"/>
        <v>186.1815</v>
      </c>
      <c r="H1297" s="522"/>
      <c r="I1297" s="522"/>
      <c r="J1297" s="522"/>
      <c r="K1297" s="522"/>
      <c r="L1297" s="522">
        <f t="shared" si="240"/>
        <v>46939.166819999991</v>
      </c>
      <c r="O1297" s="455">
        <f t="shared" si="237"/>
        <v>5213.0820000000003</v>
      </c>
      <c r="P1297" s="455">
        <f t="shared" si="238"/>
        <v>1314296.6709599998</v>
      </c>
    </row>
    <row r="1298" spans="1:22">
      <c r="A1298" s="528"/>
      <c r="B1298" s="528" t="s">
        <v>706</v>
      </c>
      <c r="C1298" s="522"/>
      <c r="D1298" s="522"/>
      <c r="E1298" s="522"/>
      <c r="F1298" s="522"/>
      <c r="G1298" s="522">
        <f t="shared" si="239"/>
        <v>70.440000000000012</v>
      </c>
      <c r="H1298" s="522"/>
      <c r="I1298" s="522"/>
      <c r="J1298" s="522"/>
      <c r="K1298" s="522"/>
      <c r="L1298" s="522">
        <f t="shared" si="240"/>
        <v>16259.560199999998</v>
      </c>
      <c r="O1298" s="455">
        <f t="shared" si="237"/>
        <v>1972.3200000000004</v>
      </c>
      <c r="P1298" s="455">
        <f t="shared" si="238"/>
        <v>455267.68559999997</v>
      </c>
    </row>
    <row r="1299" spans="1:22">
      <c r="A1299" s="528"/>
      <c r="B1299" s="528" t="s">
        <v>713</v>
      </c>
      <c r="C1299" s="522"/>
      <c r="D1299" s="522"/>
      <c r="E1299" s="522"/>
      <c r="F1299" s="522"/>
      <c r="G1299" s="522">
        <f t="shared" si="239"/>
        <v>22.8</v>
      </c>
      <c r="H1299" s="522"/>
      <c r="I1299" s="522"/>
      <c r="J1299" s="522"/>
      <c r="K1299" s="522"/>
      <c r="L1299" s="522">
        <f t="shared" si="240"/>
        <v>14955.140159999999</v>
      </c>
      <c r="O1299" s="455">
        <f t="shared" si="237"/>
        <v>638.4</v>
      </c>
      <c r="P1299" s="455">
        <f t="shared" si="238"/>
        <v>418743.92447999999</v>
      </c>
    </row>
    <row r="1300" spans="1:22">
      <c r="A1300" s="528"/>
      <c r="B1300" s="528" t="s">
        <v>715</v>
      </c>
      <c r="C1300" s="522"/>
      <c r="D1300" s="522"/>
      <c r="E1300" s="522"/>
      <c r="F1300" s="522"/>
      <c r="G1300" s="522">
        <f t="shared" si="239"/>
        <v>43</v>
      </c>
      <c r="H1300" s="522"/>
      <c r="I1300" s="522"/>
      <c r="J1300" s="522"/>
      <c r="K1300" s="522"/>
      <c r="L1300" s="522">
        <f t="shared" si="240"/>
        <v>28204.869599999998</v>
      </c>
      <c r="O1300" s="455">
        <f t="shared" si="237"/>
        <v>1204</v>
      </c>
      <c r="P1300" s="455">
        <f t="shared" si="238"/>
        <v>789736.34879999992</v>
      </c>
    </row>
    <row r="1301" spans="1:22">
      <c r="A1301" s="528"/>
      <c r="B1301" s="528" t="s">
        <v>716</v>
      </c>
      <c r="C1301" s="522"/>
      <c r="D1301" s="522"/>
      <c r="E1301" s="522"/>
      <c r="F1301" s="522"/>
      <c r="G1301" s="522">
        <f t="shared" si="239"/>
        <v>43</v>
      </c>
      <c r="H1301" s="522"/>
      <c r="I1301" s="522"/>
      <c r="J1301" s="522"/>
      <c r="K1301" s="522"/>
      <c r="L1301" s="522">
        <f t="shared" si="240"/>
        <v>17158.823199999999</v>
      </c>
      <c r="O1301" s="455">
        <f t="shared" si="237"/>
        <v>1204</v>
      </c>
      <c r="P1301" s="455">
        <f t="shared" si="238"/>
        <v>480447.04959999997</v>
      </c>
    </row>
    <row r="1302" spans="1:22">
      <c r="A1302" s="528"/>
      <c r="B1302" s="528" t="s">
        <v>707</v>
      </c>
      <c r="C1302" s="522"/>
      <c r="D1302" s="522"/>
      <c r="E1302" s="522"/>
      <c r="F1302" s="522"/>
      <c r="G1302" s="522">
        <f t="shared" si="239"/>
        <v>0</v>
      </c>
      <c r="H1302" s="522"/>
      <c r="I1302" s="522"/>
      <c r="J1302" s="522"/>
      <c r="K1302" s="522"/>
      <c r="L1302" s="522">
        <f t="shared" si="240"/>
        <v>0</v>
      </c>
      <c r="O1302" s="455">
        <f t="shared" si="237"/>
        <v>0</v>
      </c>
      <c r="P1302" s="455">
        <f t="shared" si="238"/>
        <v>0</v>
      </c>
    </row>
    <row r="1303" spans="1:22">
      <c r="A1303" s="528"/>
      <c r="B1303" s="528" t="s">
        <v>718</v>
      </c>
      <c r="C1303" s="522"/>
      <c r="D1303" s="522"/>
      <c r="E1303" s="522"/>
      <c r="F1303" s="522"/>
      <c r="G1303" s="522">
        <f t="shared" si="239"/>
        <v>0.72</v>
      </c>
      <c r="H1303" s="522"/>
      <c r="I1303" s="522"/>
      <c r="J1303" s="522"/>
      <c r="K1303" s="522"/>
      <c r="L1303" s="522">
        <f t="shared" si="240"/>
        <v>4557.36384</v>
      </c>
      <c r="O1303" s="455">
        <f t="shared" si="237"/>
        <v>20.16</v>
      </c>
      <c r="P1303" s="455">
        <f t="shared" si="238"/>
        <v>127606.18752000001</v>
      </c>
    </row>
    <row r="1304" spans="1:22">
      <c r="A1304" s="528"/>
      <c r="B1304" s="528" t="s">
        <v>755</v>
      </c>
      <c r="C1304" s="522"/>
      <c r="D1304" s="522"/>
      <c r="E1304" s="522"/>
      <c r="F1304" s="522"/>
      <c r="G1304" s="522">
        <f t="shared" si="239"/>
        <v>5.5260000000000007</v>
      </c>
      <c r="H1304" s="522"/>
      <c r="I1304" s="522"/>
      <c r="J1304" s="522"/>
      <c r="K1304" s="522"/>
      <c r="L1304" s="522">
        <f t="shared" si="240"/>
        <v>6263.4402792000001</v>
      </c>
      <c r="O1304" s="455">
        <f t="shared" si="237"/>
        <v>154.72800000000001</v>
      </c>
      <c r="P1304" s="455">
        <f t="shared" si="238"/>
        <v>175376.32781759999</v>
      </c>
    </row>
    <row r="1305" spans="1:22">
      <c r="A1305" s="528"/>
      <c r="B1305" s="528" t="s">
        <v>747</v>
      </c>
      <c r="C1305" s="522"/>
      <c r="D1305" s="522"/>
      <c r="E1305" s="522"/>
      <c r="F1305" s="522"/>
      <c r="G1305" s="522">
        <f t="shared" si="239"/>
        <v>3.52</v>
      </c>
      <c r="H1305" s="522"/>
      <c r="I1305" s="522"/>
      <c r="J1305" s="522"/>
      <c r="K1305" s="522"/>
      <c r="L1305" s="522">
        <f t="shared" si="240"/>
        <v>25741.050368000004</v>
      </c>
      <c r="O1305" s="455">
        <f t="shared" si="237"/>
        <v>98.56</v>
      </c>
      <c r="P1305" s="455">
        <f t="shared" si="238"/>
        <v>720749.41030400014</v>
      </c>
    </row>
    <row r="1306" spans="1:22">
      <c r="A1306" s="528"/>
      <c r="B1306" s="528" t="s">
        <v>666</v>
      </c>
      <c r="C1306" s="522"/>
      <c r="D1306" s="522"/>
      <c r="E1306" s="522"/>
      <c r="F1306" s="522"/>
      <c r="G1306" s="522">
        <f t="shared" si="239"/>
        <v>2.62</v>
      </c>
      <c r="H1306" s="522"/>
      <c r="I1306" s="522"/>
      <c r="J1306" s="522"/>
      <c r="K1306" s="537"/>
      <c r="L1306" s="522">
        <f t="shared" si="240"/>
        <v>19159.531808000003</v>
      </c>
      <c r="O1306" s="455">
        <f t="shared" si="237"/>
        <v>73.36</v>
      </c>
      <c r="P1306" s="455">
        <f t="shared" si="238"/>
        <v>536466.89062400011</v>
      </c>
    </row>
    <row r="1307" spans="1:22" ht="13.8" thickBot="1">
      <c r="A1307" s="528"/>
      <c r="B1307" s="528"/>
      <c r="C1307" s="522"/>
      <c r="D1307" s="522"/>
      <c r="E1307" s="522"/>
      <c r="F1307" s="522"/>
      <c r="G1307" s="525">
        <f>SUM(G1291:G1306)</f>
        <v>808.36899999999991</v>
      </c>
      <c r="H1307" s="522"/>
      <c r="I1307" s="522"/>
      <c r="J1307" s="522"/>
      <c r="K1307" s="525" t="s">
        <v>232</v>
      </c>
      <c r="L1307" s="525">
        <f>SUM(L1291:L1306)</f>
        <v>462615.28965919995</v>
      </c>
      <c r="O1307" s="525">
        <f>SUM(O1291:O1306)</f>
        <v>22634.332000000006</v>
      </c>
      <c r="P1307" s="525">
        <f>SUM(P1291:P1306)</f>
        <v>12953228.110457599</v>
      </c>
    </row>
    <row r="1308" spans="1:22">
      <c r="A1308" s="528"/>
      <c r="B1308" s="528" t="s">
        <v>386</v>
      </c>
      <c r="C1308" s="522"/>
      <c r="D1308" s="522"/>
      <c r="E1308" s="522"/>
      <c r="F1308" s="522"/>
      <c r="G1308" s="522">
        <f>Doors!E92</f>
        <v>6</v>
      </c>
      <c r="H1308" s="522"/>
      <c r="I1308" s="522"/>
      <c r="J1308" s="522"/>
      <c r="K1308" s="530"/>
      <c r="L1308" s="522">
        <f>Doors!J92</f>
        <v>112000</v>
      </c>
    </row>
    <row r="1309" spans="1:22">
      <c r="A1309" s="528"/>
      <c r="B1309" s="528" t="s">
        <v>391</v>
      </c>
      <c r="C1309" s="522"/>
      <c r="D1309" s="522"/>
      <c r="E1309" s="522"/>
      <c r="F1309" s="522"/>
      <c r="G1309" s="522">
        <f>Windows!H111</f>
        <v>22.829999999999995</v>
      </c>
      <c r="H1309" s="522"/>
      <c r="I1309" s="522"/>
      <c r="J1309" s="522"/>
      <c r="K1309" s="522"/>
      <c r="L1309" s="522">
        <f>Windows!N111</f>
        <v>175058.166</v>
      </c>
    </row>
    <row r="1310" spans="1:22">
      <c r="A1310" s="528"/>
      <c r="B1310" s="528"/>
      <c r="C1310" s="522"/>
      <c r="D1310" s="522"/>
      <c r="E1310" s="522"/>
      <c r="F1310" s="522"/>
      <c r="G1310" s="522"/>
      <c r="H1310" s="522"/>
      <c r="I1310" s="522"/>
      <c r="J1310" s="522"/>
      <c r="K1310" s="539" t="s">
        <v>232</v>
      </c>
      <c r="L1310" s="539">
        <f>SUM(L1308:L1309)</f>
        <v>287058.16599999997</v>
      </c>
    </row>
    <row r="1311" spans="1:22" ht="13.8" thickBot="1">
      <c r="A1311" s="528"/>
      <c r="B1311" s="528"/>
      <c r="C1311" s="522"/>
      <c r="D1311" s="522"/>
      <c r="E1311" s="522"/>
      <c r="F1311" s="522"/>
      <c r="G1311" s="522"/>
      <c r="H1311" s="522"/>
      <c r="I1311" s="522"/>
      <c r="J1311" s="522"/>
      <c r="K1311" s="525" t="s">
        <v>758</v>
      </c>
      <c r="L1311" s="525">
        <f>L1307+L1310</f>
        <v>749673.45565919997</v>
      </c>
    </row>
    <row r="1312" spans="1:22" s="474" customFormat="1" ht="13.5" customHeight="1">
      <c r="A1312" s="465" t="s">
        <v>628</v>
      </c>
      <c r="B1312" s="466" t="str">
        <f>'Flat Sizes'!B109</f>
        <v>Flat 7,
3BHK</v>
      </c>
      <c r="C1312" s="456"/>
      <c r="D1312" s="456"/>
      <c r="E1312" s="456"/>
      <c r="F1312" s="456"/>
      <c r="G1312" s="456"/>
      <c r="H1312" s="456"/>
      <c r="I1312" s="456"/>
      <c r="J1312" s="456"/>
      <c r="K1312" s="456"/>
      <c r="L1312" s="456"/>
      <c r="M1312" s="471"/>
      <c r="N1312" s="472">
        <f>'Flat Sizes'!H109</f>
        <v>26</v>
      </c>
      <c r="O1312" s="459"/>
      <c r="P1312" s="459"/>
      <c r="Q1312" s="473"/>
      <c r="S1312" s="473"/>
      <c r="T1312" s="473"/>
      <c r="U1312" s="473"/>
      <c r="V1312" s="473"/>
    </row>
    <row r="1313" spans="1:18" s="479" customFormat="1" ht="13.5" customHeight="1">
      <c r="A1313" s="475" t="s">
        <v>628</v>
      </c>
      <c r="B1313" s="476" t="str">
        <f>'Flat Sizes'!B110</f>
        <v>Living, Dining &amp; Passage</v>
      </c>
      <c r="C1313" s="477">
        <f>'Flat Sizes'!D110</f>
        <v>30.42</v>
      </c>
      <c r="D1313" s="477">
        <f>'Flat Sizes'!G110</f>
        <v>31.59</v>
      </c>
      <c r="E1313" s="477"/>
      <c r="F1313" s="454"/>
      <c r="G1313" s="477"/>
      <c r="H1313" s="477"/>
      <c r="I1313" s="477"/>
      <c r="J1313" s="477"/>
      <c r="K1313" s="477"/>
      <c r="L1313" s="477"/>
      <c r="M1313" s="459">
        <f>SUM(L1314:L1324)/C1313/10.764</f>
        <v>372.16073455458587</v>
      </c>
      <c r="N1313" s="472"/>
      <c r="O1313" s="455"/>
      <c r="P1313" s="455"/>
      <c r="Q1313" s="478"/>
    </row>
    <row r="1314" spans="1:18">
      <c r="A1314" s="454"/>
      <c r="B1314" s="454" t="str" cm="1">
        <f t="array" ref="B1314:B1325">'Rate List - Flats'!B6:B17</f>
        <v>Flooring</v>
      </c>
      <c r="C1314" s="456"/>
      <c r="D1314" s="456"/>
      <c r="E1314" s="456">
        <f>C1313</f>
        <v>30.42</v>
      </c>
      <c r="F1314" s="456"/>
      <c r="G1314" s="456">
        <f t="shared" ref="G1314:G1379" si="241">E1314+F1314</f>
        <v>30.42</v>
      </c>
      <c r="H1314" s="456" t="str" cm="1">
        <f t="array" ref="H1314:H1325">'Rate List - Flats'!H6:H17</f>
        <v>Sq M</v>
      </c>
      <c r="I1314" s="456" t="str" cm="1">
        <f t="array" ref="I1314:I1325">'Rate List - Flats'!C6:C17</f>
        <v>2'x2' Vitrified tiles</v>
      </c>
      <c r="J1314" s="456" cm="1">
        <f t="array" ref="J1314:J1325">'Rate List - Flats'!E6:E17</f>
        <v>45</v>
      </c>
      <c r="K1314" s="456" cm="1">
        <f t="array" ref="K1314:K1325">'Rate List - Flats'!G6:G17</f>
        <v>1340.1179999999999</v>
      </c>
      <c r="L1314" s="456">
        <f t="shared" ref="L1314:L1379" si="242">G1314*K1314</f>
        <v>40766.389560000003</v>
      </c>
      <c r="O1314" s="455">
        <f>IF(I1314="N.A",0,G1314*$N$1312)</f>
        <v>790.92000000000007</v>
      </c>
      <c r="P1314" s="455">
        <f>L1314*$N$1312</f>
        <v>1059926.1285600001</v>
      </c>
      <c r="R1314" s="480" t="s">
        <v>659</v>
      </c>
    </row>
    <row r="1315" spans="1:18">
      <c r="A1315" s="454"/>
      <c r="B1315" s="454" t="str">
        <v>Skirting</v>
      </c>
      <c r="C1315" s="456"/>
      <c r="D1315" s="456"/>
      <c r="E1315" s="456">
        <f>D1313</f>
        <v>31.59</v>
      </c>
      <c r="F1315" s="456">
        <f>-(Doors!F94+Doors!F95+Doors!F97+Doors!F99+Doors!F101)</f>
        <v>-4.8</v>
      </c>
      <c r="G1315" s="456">
        <f t="shared" si="241"/>
        <v>26.79</v>
      </c>
      <c r="H1315" s="456" t="str">
        <v>RM</v>
      </c>
      <c r="I1315" s="456" t="str">
        <v xml:space="preserve">2'x2' Vitrified tiles </v>
      </c>
      <c r="J1315" s="456">
        <v>45</v>
      </c>
      <c r="K1315" s="456">
        <v>391.96</v>
      </c>
      <c r="L1315" s="456">
        <f t="shared" si="242"/>
        <v>10500.608399999999</v>
      </c>
      <c r="O1315" s="455">
        <f t="shared" ref="O1315:O1378" si="243">IF(I1315="N.A",0,G1315*$N$1312)</f>
        <v>696.54</v>
      </c>
      <c r="P1315" s="455">
        <f t="shared" ref="P1315:P1378" si="244">L1315*$N$1312</f>
        <v>273015.81839999999</v>
      </c>
      <c r="R1315" s="480" t="s">
        <v>660</v>
      </c>
    </row>
    <row r="1316" spans="1:18">
      <c r="A1316" s="454"/>
      <c r="B1316" s="454" t="str">
        <v>Dado</v>
      </c>
      <c r="C1316" s="456"/>
      <c r="D1316" s="456"/>
      <c r="E1316" s="456"/>
      <c r="F1316" s="456"/>
      <c r="G1316" s="456">
        <f t="shared" si="241"/>
        <v>0</v>
      </c>
      <c r="H1316" s="456" t="str">
        <v>Sq M</v>
      </c>
      <c r="I1316" s="456" t="str">
        <v>N.A.</v>
      </c>
      <c r="J1316" s="456">
        <v>0</v>
      </c>
      <c r="K1316" s="456">
        <v>0</v>
      </c>
      <c r="L1316" s="456">
        <f t="shared" si="242"/>
        <v>0</v>
      </c>
      <c r="O1316" s="455">
        <f t="shared" si="243"/>
        <v>0</v>
      </c>
      <c r="P1316" s="455">
        <f t="shared" si="244"/>
        <v>0</v>
      </c>
      <c r="R1316" s="480"/>
    </row>
    <row r="1317" spans="1:18">
      <c r="A1317" s="454"/>
      <c r="B1317" s="454" t="str">
        <v>Wall finishes plaster</v>
      </c>
      <c r="C1317" s="456"/>
      <c r="D1317" s="456"/>
      <c r="E1317" s="456">
        <f>D1313*(D1-0.15)</f>
        <v>93.1905</v>
      </c>
      <c r="F1317" s="456">
        <f>-(Doors!H94+Doors!H95+Doors!H97+Doors!H99+Doors!H101+Windows!H113)</f>
        <v>-16.035500000000003</v>
      </c>
      <c r="G1317" s="456">
        <f t="shared" si="241"/>
        <v>77.155000000000001</v>
      </c>
      <c r="H1317" s="456" t="str">
        <v>Sq M</v>
      </c>
      <c r="I1317" s="456" t="str">
        <v>Gypsum Plaster</v>
      </c>
      <c r="J1317" s="456">
        <v>32</v>
      </c>
      <c r="K1317" s="456">
        <v>344.44799999999998</v>
      </c>
      <c r="L1317" s="456">
        <f t="shared" si="242"/>
        <v>26575.885439999998</v>
      </c>
      <c r="O1317" s="455">
        <f t="shared" si="243"/>
        <v>2006.03</v>
      </c>
      <c r="P1317" s="455">
        <f t="shared" si="244"/>
        <v>690973.02143999992</v>
      </c>
      <c r="R1317" s="480" t="s">
        <v>661</v>
      </c>
    </row>
    <row r="1318" spans="1:18">
      <c r="A1318" s="454"/>
      <c r="B1318" s="454" t="str">
        <v>Ceiling plaster</v>
      </c>
      <c r="C1318" s="456"/>
      <c r="D1318" s="456"/>
      <c r="E1318" s="456">
        <f>E1314</f>
        <v>30.42</v>
      </c>
      <c r="F1318" s="456"/>
      <c r="G1318" s="456">
        <f t="shared" si="241"/>
        <v>30.42</v>
      </c>
      <c r="H1318" s="456" t="str">
        <v>Sq M</v>
      </c>
      <c r="I1318" s="456" t="str">
        <v>Gypsum Plaster</v>
      </c>
      <c r="J1318" s="456">
        <v>32</v>
      </c>
      <c r="K1318" s="456">
        <v>344.44799999999998</v>
      </c>
      <c r="L1318" s="456">
        <f t="shared" si="242"/>
        <v>10478.10816</v>
      </c>
      <c r="O1318" s="455">
        <f t="shared" si="243"/>
        <v>790.92000000000007</v>
      </c>
      <c r="P1318" s="455">
        <f t="shared" si="244"/>
        <v>272430.81215999997</v>
      </c>
      <c r="R1318" s="480" t="s">
        <v>662</v>
      </c>
    </row>
    <row r="1319" spans="1:18">
      <c r="A1319" s="454"/>
      <c r="B1319" s="454" t="str">
        <v>False ceiling</v>
      </c>
      <c r="C1319" s="456"/>
      <c r="D1319" s="456"/>
      <c r="E1319" s="456"/>
      <c r="F1319" s="456"/>
      <c r="G1319" s="456">
        <f t="shared" si="241"/>
        <v>0</v>
      </c>
      <c r="H1319" s="456" t="str">
        <v>Sq M</v>
      </c>
      <c r="I1319" s="456" t="str">
        <v>N.A.</v>
      </c>
      <c r="J1319" s="456">
        <v>0</v>
      </c>
      <c r="K1319" s="456">
        <v>0</v>
      </c>
      <c r="L1319" s="456">
        <f t="shared" si="242"/>
        <v>0</v>
      </c>
      <c r="O1319" s="455">
        <f t="shared" si="243"/>
        <v>0</v>
      </c>
      <c r="P1319" s="455">
        <f t="shared" si="244"/>
        <v>0</v>
      </c>
      <c r="R1319" s="480"/>
    </row>
    <row r="1320" spans="1:18">
      <c r="A1320" s="454"/>
      <c r="B1320" s="454" t="str">
        <v>Wall finishes Paint</v>
      </c>
      <c r="C1320" s="456"/>
      <c r="D1320" s="456"/>
      <c r="E1320" s="456">
        <f>E1317</f>
        <v>93.1905</v>
      </c>
      <c r="F1320" s="456">
        <f>F1317</f>
        <v>-16.035500000000003</v>
      </c>
      <c r="G1320" s="456">
        <f t="shared" si="241"/>
        <v>77.155000000000001</v>
      </c>
      <c r="H1320" s="456" t="str">
        <v>Sq M</v>
      </c>
      <c r="I1320" s="456" t="str">
        <v>Plastic paint</v>
      </c>
      <c r="J1320" s="456">
        <v>20</v>
      </c>
      <c r="K1320" s="456">
        <v>215.27999999999997</v>
      </c>
      <c r="L1320" s="456">
        <f t="shared" si="242"/>
        <v>16609.928399999997</v>
      </c>
      <c r="O1320" s="455">
        <f t="shared" si="243"/>
        <v>2006.03</v>
      </c>
      <c r="P1320" s="455">
        <f t="shared" si="244"/>
        <v>431858.13839999994</v>
      </c>
      <c r="R1320" s="480" t="s">
        <v>663</v>
      </c>
    </row>
    <row r="1321" spans="1:18">
      <c r="A1321" s="454"/>
      <c r="B1321" s="454" t="str">
        <v>Ceiling Paint</v>
      </c>
      <c r="C1321" s="456"/>
      <c r="D1321" s="456"/>
      <c r="E1321" s="456">
        <f>E1318</f>
        <v>30.42</v>
      </c>
      <c r="F1321" s="456"/>
      <c r="G1321" s="456">
        <f t="shared" si="241"/>
        <v>30.42</v>
      </c>
      <c r="H1321" s="456" t="str">
        <v>Sq M</v>
      </c>
      <c r="I1321" s="456" t="str">
        <v>Plastic paint</v>
      </c>
      <c r="J1321" s="456">
        <v>20</v>
      </c>
      <c r="K1321" s="456">
        <v>215.27999999999997</v>
      </c>
      <c r="L1321" s="456">
        <f t="shared" si="242"/>
        <v>6548.8175999999994</v>
      </c>
      <c r="O1321" s="455">
        <f t="shared" si="243"/>
        <v>790.92000000000007</v>
      </c>
      <c r="P1321" s="455">
        <f t="shared" si="244"/>
        <v>170269.25759999998</v>
      </c>
      <c r="R1321" s="480" t="s">
        <v>664</v>
      </c>
    </row>
    <row r="1322" spans="1:18">
      <c r="A1322" s="454"/>
      <c r="B1322" s="454" t="str">
        <v>Door Frames</v>
      </c>
      <c r="C1322" s="456"/>
      <c r="D1322" s="456"/>
      <c r="E1322" s="456"/>
      <c r="F1322" s="456"/>
      <c r="G1322" s="456">
        <f t="shared" si="241"/>
        <v>0</v>
      </c>
      <c r="H1322" s="456" t="str">
        <v>RM</v>
      </c>
      <c r="I1322" s="456" t="str">
        <v>N.A.</v>
      </c>
      <c r="J1322" s="456">
        <v>0</v>
      </c>
      <c r="K1322" s="456">
        <v>0</v>
      </c>
      <c r="L1322" s="456">
        <f t="shared" si="242"/>
        <v>0</v>
      </c>
      <c r="O1322" s="455">
        <f t="shared" si="243"/>
        <v>0</v>
      </c>
      <c r="P1322" s="455">
        <f t="shared" si="244"/>
        <v>0</v>
      </c>
      <c r="R1322" s="480" t="s">
        <v>742</v>
      </c>
    </row>
    <row r="1323" spans="1:18">
      <c r="A1323" s="454"/>
      <c r="B1323" s="454" t="str">
        <v>Window Frames - Internal</v>
      </c>
      <c r="C1323" s="456"/>
      <c r="D1323" s="456"/>
      <c r="E1323" s="456">
        <f>Windows!F113*2+Windows!G113*2</f>
        <v>9.84</v>
      </c>
      <c r="F1323" s="456"/>
      <c r="G1323" s="456">
        <f t="shared" si="241"/>
        <v>9.84</v>
      </c>
      <c r="H1323" s="456" t="str">
        <v>RM</v>
      </c>
      <c r="I1323" s="456" t="str">
        <v>Granite Window Frame</v>
      </c>
      <c r="J1323" s="456">
        <v>180</v>
      </c>
      <c r="K1323" s="456">
        <v>655.92719999999997</v>
      </c>
      <c r="L1323" s="456">
        <f t="shared" si="242"/>
        <v>6454.3236479999996</v>
      </c>
      <c r="O1323" s="455">
        <f t="shared" si="243"/>
        <v>255.84</v>
      </c>
      <c r="P1323" s="455">
        <f t="shared" si="244"/>
        <v>167812.41484799999</v>
      </c>
      <c r="R1323" s="480" t="s">
        <v>743</v>
      </c>
    </row>
    <row r="1324" spans="1:18">
      <c r="A1324" s="454"/>
      <c r="B1324" s="454" t="str">
        <v>Window Frames - External</v>
      </c>
      <c r="C1324" s="456"/>
      <c r="D1324" s="456"/>
      <c r="E1324" s="456">
        <f>E1323</f>
        <v>9.84</v>
      </c>
      <c r="F1324" s="456"/>
      <c r="G1324" s="456">
        <f t="shared" si="241"/>
        <v>9.84</v>
      </c>
      <c r="H1324" s="456" t="str">
        <v>RM</v>
      </c>
      <c r="I1324" s="456" t="str">
        <v>Marble Window Frames with Sill</v>
      </c>
      <c r="J1324" s="456">
        <v>60</v>
      </c>
      <c r="K1324" s="456">
        <v>399.04239999999999</v>
      </c>
      <c r="L1324" s="456">
        <f t="shared" si="242"/>
        <v>3926.5772159999997</v>
      </c>
      <c r="O1324" s="455">
        <f t="shared" si="243"/>
        <v>255.84</v>
      </c>
      <c r="P1324" s="455">
        <f t="shared" si="244"/>
        <v>102091.00761599999</v>
      </c>
      <c r="R1324" s="480" t="s">
        <v>409</v>
      </c>
    </row>
    <row r="1325" spans="1:18">
      <c r="A1325" s="454"/>
      <c r="B1325" s="454" t="str">
        <v>Others</v>
      </c>
      <c r="C1325" s="456"/>
      <c r="D1325" s="456"/>
      <c r="E1325" s="456"/>
      <c r="F1325" s="456"/>
      <c r="G1325" s="456">
        <f t="shared" si="241"/>
        <v>0</v>
      </c>
      <c r="H1325" s="456" t="str">
        <v>-</v>
      </c>
      <c r="I1325" s="456" t="str">
        <v>N.A.</v>
      </c>
      <c r="J1325" s="456" t="str">
        <v>-</v>
      </c>
      <c r="K1325" s="456" t="str">
        <v>-</v>
      </c>
      <c r="L1325" s="456"/>
      <c r="O1325" s="455">
        <f t="shared" si="243"/>
        <v>0</v>
      </c>
      <c r="P1325" s="455">
        <f t="shared" si="244"/>
        <v>0</v>
      </c>
    </row>
    <row r="1326" spans="1:18" s="479" customFormat="1" ht="13.5" customHeight="1">
      <c r="A1326" s="475" t="s">
        <v>628</v>
      </c>
      <c r="B1326" s="476" t="str">
        <f>'Flat Sizes'!B111</f>
        <v>M. Bedroom</v>
      </c>
      <c r="C1326" s="477">
        <f>'Flat Sizes'!D111</f>
        <v>15.3</v>
      </c>
      <c r="D1326" s="477">
        <f>'Flat Sizes'!G111</f>
        <v>18.32</v>
      </c>
      <c r="E1326" s="477"/>
      <c r="F1326" s="454"/>
      <c r="G1326" s="477"/>
      <c r="H1326" s="477"/>
      <c r="I1326" s="477"/>
      <c r="J1326" s="477"/>
      <c r="K1326" s="477"/>
      <c r="L1326" s="477"/>
      <c r="M1326" s="459">
        <f>SUM(L1328:L1339)/C1326/10.764</f>
        <v>341.1252868554829</v>
      </c>
      <c r="N1326" s="472"/>
      <c r="O1326" s="455"/>
      <c r="P1326" s="455"/>
      <c r="Q1326" s="478"/>
    </row>
    <row r="1327" spans="1:18">
      <c r="A1327" s="454"/>
      <c r="B1327" s="454" t="str" cm="1">
        <f t="array" ref="B1327:B1338">'Rate List - Flats'!B34:B45</f>
        <v>Flooring</v>
      </c>
      <c r="C1327" s="456"/>
      <c r="D1327" s="456"/>
      <c r="E1327" s="456">
        <f>C1326</f>
        <v>15.3</v>
      </c>
      <c r="F1327" s="456"/>
      <c r="G1327" s="456">
        <f t="shared" si="241"/>
        <v>15.3</v>
      </c>
      <c r="H1327" s="456" t="str" cm="1">
        <f t="array" ref="H1327:H1338">'Rate List - Flats'!H34:H45</f>
        <v>Sq M</v>
      </c>
      <c r="I1327" s="456" t="str" cm="1">
        <f t="array" ref="I1327:I1338">'Rate List - Flats'!C34:C45</f>
        <v>2'x2' Vitrified tiles</v>
      </c>
      <c r="J1327" s="456" cm="1">
        <f t="array" ref="J1327:J1338">'Rate List - Flats'!E34:E45</f>
        <v>45</v>
      </c>
      <c r="K1327" s="456" cm="1">
        <f t="array" ref="K1327:K1338">'Rate List - Flats'!G34:G45</f>
        <v>1340.1179999999999</v>
      </c>
      <c r="L1327" s="456">
        <f t="shared" si="242"/>
        <v>20503.805400000001</v>
      </c>
      <c r="O1327" s="455">
        <f t="shared" si="243"/>
        <v>397.8</v>
      </c>
      <c r="P1327" s="455">
        <f t="shared" si="244"/>
        <v>533098.94040000008</v>
      </c>
      <c r="R1327" s="480" t="s">
        <v>659</v>
      </c>
    </row>
    <row r="1328" spans="1:18">
      <c r="A1328" s="454"/>
      <c r="B1328" s="454" t="str">
        <v>Skirting</v>
      </c>
      <c r="C1328" s="456"/>
      <c r="D1328" s="456"/>
      <c r="E1328" s="456">
        <f>D1326</f>
        <v>18.32</v>
      </c>
      <c r="F1328" s="456">
        <f>-(Doors!F95+Doors!F96)</f>
        <v>-1.65</v>
      </c>
      <c r="G1328" s="456">
        <f t="shared" si="241"/>
        <v>16.670000000000002</v>
      </c>
      <c r="H1328" s="456" t="str">
        <v>RM</v>
      </c>
      <c r="I1328" s="456" t="str">
        <v xml:space="preserve">2'x2' Vitrified tiles </v>
      </c>
      <c r="J1328" s="456">
        <v>45</v>
      </c>
      <c r="K1328" s="456">
        <v>391.96</v>
      </c>
      <c r="L1328" s="456">
        <f t="shared" si="242"/>
        <v>6533.9732000000004</v>
      </c>
      <c r="O1328" s="455">
        <f t="shared" si="243"/>
        <v>433.42000000000007</v>
      </c>
      <c r="P1328" s="455">
        <f t="shared" si="244"/>
        <v>169883.30320000002</v>
      </c>
      <c r="R1328" s="480" t="s">
        <v>660</v>
      </c>
    </row>
    <row r="1329" spans="1:18">
      <c r="A1329" s="454"/>
      <c r="B1329" s="454" t="str">
        <v>Dado</v>
      </c>
      <c r="C1329" s="456"/>
      <c r="D1329" s="456"/>
      <c r="E1329" s="456"/>
      <c r="F1329" s="456"/>
      <c r="G1329" s="456">
        <f t="shared" si="241"/>
        <v>0</v>
      </c>
      <c r="H1329" s="456" t="str">
        <v>Sq M</v>
      </c>
      <c r="I1329" s="456" t="str">
        <v>N.A.</v>
      </c>
      <c r="J1329" s="456">
        <v>0</v>
      </c>
      <c r="K1329" s="456">
        <v>0</v>
      </c>
      <c r="L1329" s="456">
        <f t="shared" si="242"/>
        <v>0</v>
      </c>
      <c r="O1329" s="455">
        <f t="shared" si="243"/>
        <v>0</v>
      </c>
      <c r="P1329" s="455">
        <f t="shared" si="244"/>
        <v>0</v>
      </c>
      <c r="R1329" s="480"/>
    </row>
    <row r="1330" spans="1:18">
      <c r="A1330" s="454"/>
      <c r="B1330" s="454" t="str">
        <v>Wall finishes plaster</v>
      </c>
      <c r="C1330" s="456"/>
      <c r="D1330" s="456"/>
      <c r="E1330" s="456">
        <f>D1326*(D1-0.15)</f>
        <v>54.044000000000004</v>
      </c>
      <c r="F1330" s="456">
        <f>-(Doors!H95+Doors!H96+Windows!H114+Windows!H115)</f>
        <v>-12.236999999999998</v>
      </c>
      <c r="G1330" s="456">
        <f t="shared" si="241"/>
        <v>41.807000000000002</v>
      </c>
      <c r="H1330" s="456" t="str">
        <v>Sq M</v>
      </c>
      <c r="I1330" s="456" t="str">
        <v>Gypsum Plaster</v>
      </c>
      <c r="J1330" s="456">
        <v>32</v>
      </c>
      <c r="K1330" s="456">
        <v>344.44799999999998</v>
      </c>
      <c r="L1330" s="456">
        <f t="shared" si="242"/>
        <v>14400.337535999999</v>
      </c>
      <c r="O1330" s="455">
        <f t="shared" si="243"/>
        <v>1086.982</v>
      </c>
      <c r="P1330" s="455">
        <f t="shared" si="244"/>
        <v>374408.77593599999</v>
      </c>
      <c r="R1330" s="480" t="s">
        <v>661</v>
      </c>
    </row>
    <row r="1331" spans="1:18">
      <c r="A1331" s="454"/>
      <c r="B1331" s="454" t="str">
        <v>Ceiling plaster</v>
      </c>
      <c r="C1331" s="456"/>
      <c r="D1331" s="456"/>
      <c r="E1331" s="456">
        <f>E1327</f>
        <v>15.3</v>
      </c>
      <c r="F1331" s="456"/>
      <c r="G1331" s="456">
        <f t="shared" si="241"/>
        <v>15.3</v>
      </c>
      <c r="H1331" s="456" t="str">
        <v>Sq M</v>
      </c>
      <c r="I1331" s="456" t="str">
        <v>Gypsum Plaster</v>
      </c>
      <c r="J1331" s="456">
        <v>32</v>
      </c>
      <c r="K1331" s="456">
        <v>344.44799999999998</v>
      </c>
      <c r="L1331" s="456">
        <f t="shared" si="242"/>
        <v>5270.0544</v>
      </c>
      <c r="O1331" s="455">
        <f t="shared" si="243"/>
        <v>397.8</v>
      </c>
      <c r="P1331" s="455">
        <f t="shared" si="244"/>
        <v>137021.41440000001</v>
      </c>
      <c r="R1331" s="480" t="s">
        <v>662</v>
      </c>
    </row>
    <row r="1332" spans="1:18">
      <c r="A1332" s="454"/>
      <c r="B1332" s="454" t="str">
        <v>False ceiling</v>
      </c>
      <c r="C1332" s="456"/>
      <c r="D1332" s="456"/>
      <c r="E1332" s="456"/>
      <c r="F1332" s="456"/>
      <c r="G1332" s="456">
        <f t="shared" si="241"/>
        <v>0</v>
      </c>
      <c r="H1332" s="456" t="str">
        <v>Sq M</v>
      </c>
      <c r="I1332" s="456" t="str">
        <v>N.A.</v>
      </c>
      <c r="J1332" s="456">
        <v>0</v>
      </c>
      <c r="K1332" s="456">
        <v>0</v>
      </c>
      <c r="L1332" s="456">
        <f t="shared" si="242"/>
        <v>0</v>
      </c>
      <c r="O1332" s="455">
        <f t="shared" si="243"/>
        <v>0</v>
      </c>
      <c r="P1332" s="455">
        <f t="shared" si="244"/>
        <v>0</v>
      </c>
      <c r="R1332" s="480"/>
    </row>
    <row r="1333" spans="1:18">
      <c r="A1333" s="454"/>
      <c r="B1333" s="454" t="str">
        <v>Wall finishes Paint</v>
      </c>
      <c r="C1333" s="456"/>
      <c r="D1333" s="456"/>
      <c r="E1333" s="456">
        <f>E1330</f>
        <v>54.044000000000004</v>
      </c>
      <c r="F1333" s="456">
        <f>F1330</f>
        <v>-12.236999999999998</v>
      </c>
      <c r="G1333" s="456">
        <f t="shared" si="241"/>
        <v>41.807000000000002</v>
      </c>
      <c r="H1333" s="456" t="str">
        <v>Sq M</v>
      </c>
      <c r="I1333" s="456" t="str">
        <v>Plastic paint</v>
      </c>
      <c r="J1333" s="456">
        <v>20</v>
      </c>
      <c r="K1333" s="456">
        <v>215.27999999999997</v>
      </c>
      <c r="L1333" s="456">
        <f t="shared" si="242"/>
        <v>9000.2109599999985</v>
      </c>
      <c r="O1333" s="455">
        <f t="shared" si="243"/>
        <v>1086.982</v>
      </c>
      <c r="P1333" s="455">
        <f t="shared" si="244"/>
        <v>234005.48495999997</v>
      </c>
      <c r="R1333" s="480" t="s">
        <v>663</v>
      </c>
    </row>
    <row r="1334" spans="1:18">
      <c r="A1334" s="454"/>
      <c r="B1334" s="454" t="str">
        <v>Ceiling Paint</v>
      </c>
      <c r="C1334" s="456"/>
      <c r="D1334" s="456"/>
      <c r="E1334" s="456">
        <f>E1331</f>
        <v>15.3</v>
      </c>
      <c r="F1334" s="456"/>
      <c r="G1334" s="456">
        <f t="shared" si="241"/>
        <v>15.3</v>
      </c>
      <c r="H1334" s="456" t="str">
        <v>Sq M</v>
      </c>
      <c r="I1334" s="456" t="str">
        <v>Plastic paint</v>
      </c>
      <c r="J1334" s="456">
        <v>20</v>
      </c>
      <c r="K1334" s="456">
        <v>215.27999999999997</v>
      </c>
      <c r="L1334" s="456">
        <f t="shared" si="242"/>
        <v>3293.7839999999997</v>
      </c>
      <c r="O1334" s="455">
        <f t="shared" si="243"/>
        <v>397.8</v>
      </c>
      <c r="P1334" s="455">
        <f t="shared" si="244"/>
        <v>85638.383999999991</v>
      </c>
      <c r="R1334" s="480" t="s">
        <v>664</v>
      </c>
    </row>
    <row r="1335" spans="1:18">
      <c r="A1335" s="454"/>
      <c r="B1335" s="454" t="str">
        <v>Door Frames</v>
      </c>
      <c r="C1335" s="456"/>
      <c r="D1335" s="456"/>
      <c r="E1335" s="456"/>
      <c r="F1335" s="456"/>
      <c r="G1335" s="456">
        <f t="shared" si="241"/>
        <v>0</v>
      </c>
      <c r="H1335" s="456" t="str">
        <v>RM</v>
      </c>
      <c r="I1335" s="456" t="str">
        <v>N.A.</v>
      </c>
      <c r="J1335" s="456">
        <v>0</v>
      </c>
      <c r="K1335" s="456">
        <v>0</v>
      </c>
      <c r="L1335" s="456">
        <f t="shared" si="242"/>
        <v>0</v>
      </c>
      <c r="O1335" s="455">
        <f t="shared" si="243"/>
        <v>0</v>
      </c>
      <c r="P1335" s="455">
        <f t="shared" si="244"/>
        <v>0</v>
      </c>
      <c r="R1335" s="480"/>
    </row>
    <row r="1336" spans="1:18">
      <c r="A1336" s="454"/>
      <c r="B1336" s="454" t="str">
        <v>Window Frames - Internal</v>
      </c>
      <c r="C1336" s="456"/>
      <c r="D1336" s="456"/>
      <c r="E1336" s="456">
        <f>Windows!F114*2+Windows!G114*2+Windows!F115*2+Windows!G115*2</f>
        <v>16.759999999999998</v>
      </c>
      <c r="F1336" s="456"/>
      <c r="G1336" s="456">
        <f t="shared" si="241"/>
        <v>16.759999999999998</v>
      </c>
      <c r="H1336" s="456" t="str">
        <v>RM</v>
      </c>
      <c r="I1336" s="456" t="str">
        <v>Granite Window Frame</v>
      </c>
      <c r="J1336" s="456">
        <v>180</v>
      </c>
      <c r="K1336" s="456">
        <v>655.92719999999997</v>
      </c>
      <c r="L1336" s="456">
        <f t="shared" si="242"/>
        <v>10993.339871999999</v>
      </c>
      <c r="O1336" s="455">
        <f t="shared" si="243"/>
        <v>435.75999999999993</v>
      </c>
      <c r="P1336" s="455">
        <f t="shared" si="244"/>
        <v>285826.83667199995</v>
      </c>
      <c r="R1336" s="480" t="s">
        <v>743</v>
      </c>
    </row>
    <row r="1337" spans="1:18">
      <c r="A1337" s="454"/>
      <c r="B1337" s="454" t="str">
        <v>Window Frames - External</v>
      </c>
      <c r="C1337" s="456"/>
      <c r="D1337" s="456"/>
      <c r="E1337" s="456">
        <f>E1336</f>
        <v>16.759999999999998</v>
      </c>
      <c r="F1337" s="456"/>
      <c r="G1337" s="456">
        <f t="shared" si="241"/>
        <v>16.759999999999998</v>
      </c>
      <c r="H1337" s="456" t="str">
        <v>RM</v>
      </c>
      <c r="I1337" s="456" t="str">
        <v>Marble Window Frames with Sill</v>
      </c>
      <c r="J1337" s="456">
        <v>60</v>
      </c>
      <c r="K1337" s="456">
        <v>399.04239999999999</v>
      </c>
      <c r="L1337" s="456">
        <f t="shared" si="242"/>
        <v>6687.9506239999992</v>
      </c>
      <c r="O1337" s="455">
        <f t="shared" si="243"/>
        <v>435.75999999999993</v>
      </c>
      <c r="P1337" s="455">
        <f t="shared" si="244"/>
        <v>173886.71622399997</v>
      </c>
      <c r="R1337" s="480" t="s">
        <v>409</v>
      </c>
    </row>
    <row r="1338" spans="1:18">
      <c r="A1338" s="454"/>
      <c r="B1338" s="454" t="str">
        <v>Others</v>
      </c>
      <c r="C1338" s="456"/>
      <c r="D1338" s="456"/>
      <c r="E1338" s="456"/>
      <c r="F1338" s="456"/>
      <c r="G1338" s="456">
        <f t="shared" si="241"/>
        <v>0</v>
      </c>
      <c r="H1338" s="456" t="str">
        <v>-</v>
      </c>
      <c r="I1338" s="456" t="str">
        <v>N.A.</v>
      </c>
      <c r="J1338" s="456">
        <v>0</v>
      </c>
      <c r="K1338" s="456">
        <v>0</v>
      </c>
      <c r="L1338" s="456">
        <f t="shared" si="242"/>
        <v>0</v>
      </c>
      <c r="O1338" s="455">
        <f t="shared" si="243"/>
        <v>0</v>
      </c>
      <c r="P1338" s="455">
        <f t="shared" si="244"/>
        <v>0</v>
      </c>
    </row>
    <row r="1339" spans="1:18" s="479" customFormat="1" ht="13.5" customHeight="1">
      <c r="A1339" s="475" t="s">
        <v>628</v>
      </c>
      <c r="B1339" s="476" t="str">
        <f>'Flat Sizes'!B112</f>
        <v>M. Toilet</v>
      </c>
      <c r="C1339" s="477">
        <f>'Flat Sizes'!D112</f>
        <v>3.9</v>
      </c>
      <c r="D1339" s="477">
        <f>'Flat Sizes'!G112</f>
        <v>8.27</v>
      </c>
      <c r="E1339" s="477"/>
      <c r="F1339" s="454"/>
      <c r="G1339" s="477"/>
      <c r="H1339" s="477"/>
      <c r="I1339" s="477"/>
      <c r="J1339" s="477"/>
      <c r="K1339" s="477"/>
      <c r="L1339" s="477"/>
      <c r="M1339" s="459">
        <f>SUM(L1340:L1351)/C1339/10.764</f>
        <v>1187.8186943658347</v>
      </c>
      <c r="N1339" s="472"/>
      <c r="O1339" s="455">
        <f t="shared" si="243"/>
        <v>0</v>
      </c>
      <c r="P1339" s="455">
        <f t="shared" si="244"/>
        <v>0</v>
      </c>
      <c r="Q1339" s="478"/>
    </row>
    <row r="1340" spans="1:18">
      <c r="A1340" s="454"/>
      <c r="B1340" s="454" t="str" cm="1">
        <f t="array" ref="B1340:B1351">'Rate List - Flats'!B62:B73</f>
        <v>Flooring</v>
      </c>
      <c r="C1340" s="456"/>
      <c r="D1340" s="456"/>
      <c r="E1340" s="456">
        <f>C1339</f>
        <v>3.9</v>
      </c>
      <c r="F1340" s="456"/>
      <c r="G1340" s="456">
        <f t="shared" si="241"/>
        <v>3.9</v>
      </c>
      <c r="H1340" s="456" t="str" cm="1">
        <f t="array" ref="H1340:H1351">'Rate List - Flats'!H62:H73</f>
        <v>Sq M</v>
      </c>
      <c r="I1340" s="456" t="str" cm="1">
        <f t="array" ref="I1340:I1351">'Rate List - Flats'!C62:C73</f>
        <v>Ceramic tiles/vitrified anti-skid tiles</v>
      </c>
      <c r="J1340" s="456" cm="1">
        <f t="array" ref="J1340:J1351">'Rate List - Flats'!E62:E73</f>
        <v>50</v>
      </c>
      <c r="K1340" s="456" cm="1">
        <f t="array" ref="K1340:K1351">'Rate List - Flats'!G62:G73</f>
        <v>1399.32</v>
      </c>
      <c r="L1340" s="456">
        <f t="shared" si="242"/>
        <v>5457.348</v>
      </c>
      <c r="O1340" s="455">
        <f t="shared" si="243"/>
        <v>101.39999999999999</v>
      </c>
      <c r="P1340" s="455">
        <f t="shared" si="244"/>
        <v>141891.04800000001</v>
      </c>
      <c r="R1340" s="480" t="s">
        <v>667</v>
      </c>
    </row>
    <row r="1341" spans="1:18">
      <c r="A1341" s="454"/>
      <c r="B1341" s="454" t="str">
        <v>Skirting</v>
      </c>
      <c r="C1341" s="456"/>
      <c r="D1341" s="456"/>
      <c r="E1341" s="456"/>
      <c r="F1341" s="456"/>
      <c r="G1341" s="456">
        <f t="shared" si="241"/>
        <v>0</v>
      </c>
      <c r="H1341" s="456" t="str">
        <v xml:space="preserve">RM </v>
      </c>
      <c r="I1341" s="456" t="str">
        <v>N.A.</v>
      </c>
      <c r="J1341" s="456">
        <v>0</v>
      </c>
      <c r="K1341" s="456">
        <v>0</v>
      </c>
      <c r="L1341" s="456">
        <f t="shared" si="242"/>
        <v>0</v>
      </c>
      <c r="O1341" s="455">
        <f t="shared" si="243"/>
        <v>0</v>
      </c>
      <c r="P1341" s="455">
        <f t="shared" si="244"/>
        <v>0</v>
      </c>
      <c r="R1341" s="480"/>
    </row>
    <row r="1342" spans="1:18">
      <c r="A1342" s="454"/>
      <c r="B1342" s="454" t="str">
        <v>Dado</v>
      </c>
      <c r="C1342" s="456"/>
      <c r="D1342" s="456">
        <f>D1-0.7</f>
        <v>2.4000000000000004</v>
      </c>
      <c r="E1342" s="456">
        <f>D1339*D1342</f>
        <v>19.848000000000003</v>
      </c>
      <c r="F1342" s="456">
        <f>-(Doors!H96+Windows!H116)</f>
        <v>-2.0250000000000004</v>
      </c>
      <c r="G1342" s="456">
        <f t="shared" si="241"/>
        <v>17.823</v>
      </c>
      <c r="H1342" s="456" t="str">
        <v>Sq M</v>
      </c>
      <c r="I1342" s="456" t="str">
        <v>Vitrified tiles</v>
      </c>
      <c r="J1342" s="456">
        <v>50</v>
      </c>
      <c r="K1342" s="456">
        <v>1480.05</v>
      </c>
      <c r="L1342" s="456">
        <f t="shared" si="242"/>
        <v>26378.93115</v>
      </c>
      <c r="O1342" s="455">
        <f t="shared" si="243"/>
        <v>463.39800000000002</v>
      </c>
      <c r="P1342" s="455">
        <f t="shared" si="244"/>
        <v>685852.20990000002</v>
      </c>
      <c r="R1342" s="480" t="s">
        <v>668</v>
      </c>
    </row>
    <row r="1343" spans="1:18">
      <c r="A1343" s="454"/>
      <c r="B1343" s="454" t="str">
        <v>Wall finishes plaster</v>
      </c>
      <c r="C1343" s="456"/>
      <c r="D1343" s="456">
        <f>D1-D1342</f>
        <v>0.69999999999999973</v>
      </c>
      <c r="E1343" s="456">
        <f>D1339*D1343</f>
        <v>5.7889999999999979</v>
      </c>
      <c r="F1343" s="456"/>
      <c r="G1343" s="456">
        <f t="shared" si="241"/>
        <v>5.7889999999999979</v>
      </c>
      <c r="H1343" s="456" t="str">
        <v>Sq M</v>
      </c>
      <c r="I1343" s="456" t="str">
        <v>Gypsum Plaster</v>
      </c>
      <c r="J1343" s="456">
        <v>32</v>
      </c>
      <c r="K1343" s="456">
        <v>344.44799999999998</v>
      </c>
      <c r="L1343" s="456">
        <f t="shared" si="242"/>
        <v>1994.0094719999993</v>
      </c>
      <c r="O1343" s="455">
        <f t="shared" si="243"/>
        <v>150.51399999999995</v>
      </c>
      <c r="P1343" s="455">
        <f t="shared" si="244"/>
        <v>51844.246271999982</v>
      </c>
      <c r="R1343" s="480" t="s">
        <v>661</v>
      </c>
    </row>
    <row r="1344" spans="1:18">
      <c r="A1344" s="454"/>
      <c r="B1344" s="454" t="str">
        <v>Ceiling plaster</v>
      </c>
      <c r="C1344" s="456"/>
      <c r="D1344" s="456"/>
      <c r="E1344" s="456">
        <f>E1340</f>
        <v>3.9</v>
      </c>
      <c r="F1344" s="456"/>
      <c r="G1344" s="456">
        <f>E1344+F1344</f>
        <v>3.9</v>
      </c>
      <c r="H1344" s="456" t="str">
        <v>Sq M</v>
      </c>
      <c r="I1344" s="456" t="str">
        <v>Gypsum Plaster</v>
      </c>
      <c r="J1344" s="456">
        <v>32</v>
      </c>
      <c r="K1344" s="456">
        <v>344.44799999999998</v>
      </c>
      <c r="L1344" s="456">
        <f t="shared" si="242"/>
        <v>1343.3471999999999</v>
      </c>
      <c r="O1344" s="455">
        <f t="shared" si="243"/>
        <v>101.39999999999999</v>
      </c>
      <c r="P1344" s="455">
        <f t="shared" si="244"/>
        <v>34927.027199999997</v>
      </c>
      <c r="R1344" s="480" t="s">
        <v>662</v>
      </c>
    </row>
    <row r="1345" spans="1:18">
      <c r="A1345" s="454"/>
      <c r="B1345" s="454" t="str">
        <v>False ceiling</v>
      </c>
      <c r="C1345" s="456"/>
      <c r="D1345" s="456"/>
      <c r="E1345" s="456"/>
      <c r="F1345" s="456"/>
      <c r="G1345" s="456">
        <f>E1345+F1345</f>
        <v>0</v>
      </c>
      <c r="H1345" s="456" t="str">
        <v>Sq M</v>
      </c>
      <c r="I1345" s="456" t="str">
        <v>N.A.</v>
      </c>
      <c r="J1345" s="456">
        <v>0</v>
      </c>
      <c r="K1345" s="456">
        <v>0</v>
      </c>
      <c r="L1345" s="456">
        <f t="shared" si="242"/>
        <v>0</v>
      </c>
      <c r="O1345" s="455">
        <f t="shared" si="243"/>
        <v>0</v>
      </c>
      <c r="P1345" s="455">
        <f t="shared" si="244"/>
        <v>0</v>
      </c>
      <c r="R1345" s="480"/>
    </row>
    <row r="1346" spans="1:18">
      <c r="A1346" s="454"/>
      <c r="B1346" s="454" t="str">
        <v>Wall finishes Paint</v>
      </c>
      <c r="C1346" s="456"/>
      <c r="D1346" s="456"/>
      <c r="E1346" s="456">
        <f>E1343</f>
        <v>5.7889999999999979</v>
      </c>
      <c r="F1346" s="456"/>
      <c r="G1346" s="456">
        <f t="shared" si="241"/>
        <v>5.7889999999999979</v>
      </c>
      <c r="H1346" s="456" t="str">
        <v>Sq M</v>
      </c>
      <c r="I1346" s="456" t="str">
        <v>Plastic paint</v>
      </c>
      <c r="J1346" s="456">
        <v>20</v>
      </c>
      <c r="K1346" s="456">
        <v>215.27999999999997</v>
      </c>
      <c r="L1346" s="456">
        <f t="shared" si="242"/>
        <v>1246.2559199999994</v>
      </c>
      <c r="O1346" s="455">
        <f t="shared" si="243"/>
        <v>150.51399999999995</v>
      </c>
      <c r="P1346" s="455">
        <f t="shared" si="244"/>
        <v>32402.653919999982</v>
      </c>
      <c r="R1346" s="480" t="s">
        <v>663</v>
      </c>
    </row>
    <row r="1347" spans="1:18">
      <c r="A1347" s="454"/>
      <c r="B1347" s="454" t="str">
        <v>Ceiling Paint</v>
      </c>
      <c r="C1347" s="456"/>
      <c r="D1347" s="456"/>
      <c r="E1347" s="456">
        <f>E1344</f>
        <v>3.9</v>
      </c>
      <c r="F1347" s="456"/>
      <c r="G1347" s="456">
        <f t="shared" si="241"/>
        <v>3.9</v>
      </c>
      <c r="H1347" s="456" t="str">
        <v>Sq M</v>
      </c>
      <c r="I1347" s="456" t="str">
        <v>Plastic paint</v>
      </c>
      <c r="J1347" s="456">
        <v>20</v>
      </c>
      <c r="K1347" s="456">
        <v>215.27999999999997</v>
      </c>
      <c r="L1347" s="456">
        <f t="shared" si="242"/>
        <v>839.59199999999987</v>
      </c>
      <c r="O1347" s="455">
        <f t="shared" si="243"/>
        <v>101.39999999999999</v>
      </c>
      <c r="P1347" s="455">
        <f t="shared" si="244"/>
        <v>21829.391999999996</v>
      </c>
      <c r="R1347" s="480" t="s">
        <v>664</v>
      </c>
    </row>
    <row r="1348" spans="1:18">
      <c r="A1348" s="454"/>
      <c r="B1348" s="454" t="str">
        <v>Door Frames</v>
      </c>
      <c r="C1348" s="456"/>
      <c r="D1348" s="456"/>
      <c r="E1348" s="456">
        <f>Doors!F96*4+Doors!G96*4</f>
        <v>11.4</v>
      </c>
      <c r="F1348" s="456"/>
      <c r="G1348" s="456">
        <f t="shared" si="241"/>
        <v>11.4</v>
      </c>
      <c r="H1348" s="456" t="str">
        <v>RM</v>
      </c>
      <c r="I1348" s="456" t="str">
        <v>Granite Frames</v>
      </c>
      <c r="J1348" s="456">
        <v>180</v>
      </c>
      <c r="K1348" s="456">
        <v>655.92719999999997</v>
      </c>
      <c r="L1348" s="456">
        <f t="shared" si="242"/>
        <v>7477.5700799999995</v>
      </c>
      <c r="O1348" s="455">
        <f t="shared" si="243"/>
        <v>296.40000000000003</v>
      </c>
      <c r="P1348" s="455">
        <f t="shared" si="244"/>
        <v>194416.82207999998</v>
      </c>
      <c r="R1348" s="480" t="s">
        <v>669</v>
      </c>
    </row>
    <row r="1349" spans="1:18">
      <c r="A1349" s="454"/>
      <c r="B1349" s="454" t="str">
        <v>Window Frames - Internal</v>
      </c>
      <c r="C1349" s="456"/>
      <c r="D1349" s="456"/>
      <c r="E1349" s="456">
        <f>Windows!F116*2+Windows!G116*2</f>
        <v>2.7</v>
      </c>
      <c r="F1349" s="456"/>
      <c r="G1349" s="456">
        <f t="shared" si="241"/>
        <v>2.7</v>
      </c>
      <c r="H1349" s="456" t="str">
        <v>RM</v>
      </c>
      <c r="I1349" s="456" t="str">
        <v>Granite Window Frame</v>
      </c>
      <c r="J1349" s="456">
        <v>180</v>
      </c>
      <c r="K1349" s="456">
        <v>655.92719999999997</v>
      </c>
      <c r="L1349" s="456">
        <f t="shared" si="242"/>
        <v>1771.00344</v>
      </c>
      <c r="O1349" s="455">
        <f t="shared" si="243"/>
        <v>70.2</v>
      </c>
      <c r="P1349" s="455">
        <f t="shared" si="244"/>
        <v>46046.089439999996</v>
      </c>
      <c r="R1349" s="480" t="s">
        <v>743</v>
      </c>
    </row>
    <row r="1350" spans="1:18">
      <c r="A1350" s="454"/>
      <c r="B1350" s="454" t="str">
        <v>Window Frames - External</v>
      </c>
      <c r="C1350" s="456"/>
      <c r="D1350" s="456"/>
      <c r="E1350" s="456">
        <f>E1349</f>
        <v>2.7</v>
      </c>
      <c r="F1350" s="456"/>
      <c r="G1350" s="456">
        <f t="shared" si="241"/>
        <v>2.7</v>
      </c>
      <c r="H1350" s="456" t="str">
        <v>RM</v>
      </c>
      <c r="I1350" s="456" t="str">
        <v>Marble Window Frames with Sill</v>
      </c>
      <c r="J1350" s="456">
        <v>60</v>
      </c>
      <c r="K1350" s="456">
        <v>399.04239999999999</v>
      </c>
      <c r="L1350" s="456">
        <f t="shared" si="242"/>
        <v>1077.4144800000001</v>
      </c>
      <c r="O1350" s="455">
        <f t="shared" si="243"/>
        <v>70.2</v>
      </c>
      <c r="P1350" s="455">
        <f t="shared" si="244"/>
        <v>28012.776480000004</v>
      </c>
      <c r="R1350" s="480" t="s">
        <v>409</v>
      </c>
    </row>
    <row r="1351" spans="1:18">
      <c r="A1351" s="454"/>
      <c r="B1351" s="454" t="str">
        <v>Others - Counter</v>
      </c>
      <c r="C1351" s="456"/>
      <c r="D1351" s="456"/>
      <c r="E1351" s="456">
        <f>0.6*0.6</f>
        <v>0.36</v>
      </c>
      <c r="F1351" s="456"/>
      <c r="G1351" s="456">
        <f t="shared" si="241"/>
        <v>0.36</v>
      </c>
      <c r="H1351" s="456" t="str">
        <v>Sq M</v>
      </c>
      <c r="I1351" s="456" t="str">
        <v>Basin Counter 1'6" - Granite Basin Counter</v>
      </c>
      <c r="J1351" s="456">
        <v>180</v>
      </c>
      <c r="K1351" s="456">
        <v>6329.6720000000005</v>
      </c>
      <c r="L1351" s="456">
        <f t="shared" si="242"/>
        <v>2278.68192</v>
      </c>
      <c r="O1351" s="455">
        <f t="shared" si="243"/>
        <v>9.36</v>
      </c>
      <c r="P1351" s="455">
        <f t="shared" si="244"/>
        <v>59245.729919999998</v>
      </c>
      <c r="R1351" s="480" t="s">
        <v>670</v>
      </c>
    </row>
    <row r="1352" spans="1:18" s="479" customFormat="1" ht="13.5" customHeight="1">
      <c r="A1352" s="475" t="s">
        <v>628</v>
      </c>
      <c r="B1352" s="476" t="str">
        <f>'Flat Sizes'!B113</f>
        <v>M. Bedroom</v>
      </c>
      <c r="C1352" s="477">
        <f>'Flat Sizes'!D113</f>
        <v>14.53</v>
      </c>
      <c r="D1352" s="477">
        <f>'Flat Sizes'!G113</f>
        <v>17.23</v>
      </c>
      <c r="E1352" s="477"/>
      <c r="F1352" s="454"/>
      <c r="G1352" s="477"/>
      <c r="H1352" s="477"/>
      <c r="I1352" s="477"/>
      <c r="J1352" s="477"/>
      <c r="K1352" s="477"/>
      <c r="L1352" s="477"/>
      <c r="M1352" s="459">
        <f>SUM(L1353:L1364)/C1352/10.764</f>
        <v>431.73303448598648</v>
      </c>
      <c r="N1352" s="472"/>
      <c r="O1352" s="455">
        <f t="shared" si="243"/>
        <v>0</v>
      </c>
      <c r="P1352" s="455">
        <f t="shared" si="244"/>
        <v>0</v>
      </c>
      <c r="Q1352" s="478"/>
    </row>
    <row r="1353" spans="1:18">
      <c r="A1353" s="454"/>
      <c r="B1353" s="454" t="str" cm="1">
        <f t="array" ref="B1353:B1364">'Rate List - Flats'!B34:B45</f>
        <v>Flooring</v>
      </c>
      <c r="C1353" s="456"/>
      <c r="D1353" s="456"/>
      <c r="E1353" s="456">
        <f>C1352</f>
        <v>14.53</v>
      </c>
      <c r="F1353" s="456"/>
      <c r="G1353" s="456">
        <f t="shared" si="241"/>
        <v>14.53</v>
      </c>
      <c r="H1353" s="456" t="str" cm="1">
        <f t="array" ref="H1353:H1364">'Rate List - Flats'!H34:H45</f>
        <v>Sq M</v>
      </c>
      <c r="I1353" s="456" t="str" cm="1">
        <f t="array" ref="I1353:I1364">'Rate List - Flats'!C34:C45</f>
        <v>2'x2' Vitrified tiles</v>
      </c>
      <c r="J1353" s="456" cm="1">
        <f t="array" ref="J1353:J1364">'Rate List - Flats'!E34:E45</f>
        <v>45</v>
      </c>
      <c r="K1353" s="456" cm="1">
        <f t="array" ref="K1353:K1364">'Rate List - Flats'!G34:G45</f>
        <v>1340.1179999999999</v>
      </c>
      <c r="L1353" s="456">
        <f t="shared" si="242"/>
        <v>19471.914539999998</v>
      </c>
      <c r="O1353" s="455">
        <f t="shared" si="243"/>
        <v>377.78</v>
      </c>
      <c r="P1353" s="455">
        <f t="shared" si="244"/>
        <v>506269.77803999995</v>
      </c>
      <c r="R1353" s="480" t="s">
        <v>659</v>
      </c>
    </row>
    <row r="1354" spans="1:18">
      <c r="A1354" s="454"/>
      <c r="B1354" s="454" t="str">
        <v>Skirting</v>
      </c>
      <c r="C1354" s="456"/>
      <c r="D1354" s="456"/>
      <c r="E1354" s="456">
        <f>D1352</f>
        <v>17.23</v>
      </c>
      <c r="F1354" s="456">
        <f>-(Doors!F97+Doors!F98)</f>
        <v>-1.65</v>
      </c>
      <c r="G1354" s="456">
        <f t="shared" si="241"/>
        <v>15.58</v>
      </c>
      <c r="H1354" s="456" t="str">
        <v>RM</v>
      </c>
      <c r="I1354" s="456" t="str">
        <v xml:space="preserve">2'x2' Vitrified tiles </v>
      </c>
      <c r="J1354" s="456">
        <v>45</v>
      </c>
      <c r="K1354" s="456">
        <v>391.96</v>
      </c>
      <c r="L1354" s="456">
        <f t="shared" si="242"/>
        <v>6106.7367999999997</v>
      </c>
      <c r="O1354" s="455">
        <f t="shared" si="243"/>
        <v>405.08</v>
      </c>
      <c r="P1354" s="455">
        <f t="shared" si="244"/>
        <v>158775.1568</v>
      </c>
      <c r="R1354" s="480" t="s">
        <v>660</v>
      </c>
    </row>
    <row r="1355" spans="1:18">
      <c r="A1355" s="454"/>
      <c r="B1355" s="454" t="str">
        <v>Dado</v>
      </c>
      <c r="C1355" s="456"/>
      <c r="D1355" s="456"/>
      <c r="E1355" s="456"/>
      <c r="F1355" s="456"/>
      <c r="G1355" s="456">
        <f t="shared" si="241"/>
        <v>0</v>
      </c>
      <c r="H1355" s="456" t="str">
        <v>Sq M</v>
      </c>
      <c r="I1355" s="456" t="str">
        <v>N.A.</v>
      </c>
      <c r="J1355" s="456">
        <v>0</v>
      </c>
      <c r="K1355" s="456">
        <v>0</v>
      </c>
      <c r="L1355" s="456">
        <f t="shared" si="242"/>
        <v>0</v>
      </c>
      <c r="O1355" s="455">
        <f t="shared" si="243"/>
        <v>0</v>
      </c>
      <c r="P1355" s="455">
        <f t="shared" si="244"/>
        <v>0</v>
      </c>
      <c r="R1355" s="480"/>
    </row>
    <row r="1356" spans="1:18">
      <c r="A1356" s="454"/>
      <c r="B1356" s="454" t="str">
        <v>Wall finishes plaster</v>
      </c>
      <c r="C1356" s="456"/>
      <c r="D1356" s="456"/>
      <c r="E1356" s="456">
        <f>D1352*(D1-0.15)</f>
        <v>50.828500000000005</v>
      </c>
      <c r="F1356" s="456">
        <f>-(Doors!H97+Doors!H98+Windows!H117)</f>
        <v>-10.022499999999999</v>
      </c>
      <c r="G1356" s="456">
        <f t="shared" si="241"/>
        <v>40.806000000000004</v>
      </c>
      <c r="H1356" s="456" t="str">
        <v>Sq M</v>
      </c>
      <c r="I1356" s="456" t="str">
        <v>Gypsum Plaster</v>
      </c>
      <c r="J1356" s="456">
        <v>32</v>
      </c>
      <c r="K1356" s="456">
        <v>344.44799999999998</v>
      </c>
      <c r="L1356" s="456">
        <f t="shared" si="242"/>
        <v>14055.545088000001</v>
      </c>
      <c r="O1356" s="455">
        <f t="shared" si="243"/>
        <v>1060.9560000000001</v>
      </c>
      <c r="P1356" s="455">
        <f t="shared" si="244"/>
        <v>365444.172288</v>
      </c>
      <c r="R1356" s="480" t="s">
        <v>661</v>
      </c>
    </row>
    <row r="1357" spans="1:18">
      <c r="A1357" s="454"/>
      <c r="B1357" s="454" t="str">
        <v>Ceiling plaster</v>
      </c>
      <c r="C1357" s="456"/>
      <c r="D1357" s="456"/>
      <c r="E1357" s="456">
        <f>E1353</f>
        <v>14.53</v>
      </c>
      <c r="F1357" s="456"/>
      <c r="G1357" s="456">
        <f t="shared" si="241"/>
        <v>14.53</v>
      </c>
      <c r="H1357" s="456" t="str">
        <v>Sq M</v>
      </c>
      <c r="I1357" s="456" t="str">
        <v>Gypsum Plaster</v>
      </c>
      <c r="J1357" s="456">
        <v>32</v>
      </c>
      <c r="K1357" s="456">
        <v>344.44799999999998</v>
      </c>
      <c r="L1357" s="456">
        <f t="shared" si="242"/>
        <v>5004.8294399999995</v>
      </c>
      <c r="O1357" s="455">
        <f t="shared" si="243"/>
        <v>377.78</v>
      </c>
      <c r="P1357" s="455">
        <f t="shared" si="244"/>
        <v>130125.56543999999</v>
      </c>
      <c r="R1357" s="480" t="s">
        <v>662</v>
      </c>
    </row>
    <row r="1358" spans="1:18">
      <c r="A1358" s="454"/>
      <c r="B1358" s="454" t="str">
        <v>False ceiling</v>
      </c>
      <c r="C1358" s="456"/>
      <c r="D1358" s="456"/>
      <c r="E1358" s="456"/>
      <c r="F1358" s="456"/>
      <c r="G1358" s="456">
        <f t="shared" si="241"/>
        <v>0</v>
      </c>
      <c r="H1358" s="456" t="str">
        <v>Sq M</v>
      </c>
      <c r="I1358" s="456" t="str">
        <v>N.A.</v>
      </c>
      <c r="J1358" s="456">
        <v>0</v>
      </c>
      <c r="K1358" s="456">
        <v>0</v>
      </c>
      <c r="L1358" s="456">
        <f t="shared" si="242"/>
        <v>0</v>
      </c>
      <c r="O1358" s="455">
        <f t="shared" si="243"/>
        <v>0</v>
      </c>
      <c r="P1358" s="455">
        <f t="shared" si="244"/>
        <v>0</v>
      </c>
      <c r="R1358" s="480"/>
    </row>
    <row r="1359" spans="1:18">
      <c r="A1359" s="454"/>
      <c r="B1359" s="454" t="str">
        <v>Wall finishes Paint</v>
      </c>
      <c r="C1359" s="456"/>
      <c r="D1359" s="456"/>
      <c r="E1359" s="456">
        <f>E1356</f>
        <v>50.828500000000005</v>
      </c>
      <c r="F1359" s="456">
        <f>F1356</f>
        <v>-10.022499999999999</v>
      </c>
      <c r="G1359" s="456">
        <f t="shared" si="241"/>
        <v>40.806000000000004</v>
      </c>
      <c r="H1359" s="456" t="str">
        <v>Sq M</v>
      </c>
      <c r="I1359" s="456" t="str">
        <v>Plastic paint</v>
      </c>
      <c r="J1359" s="456">
        <v>20</v>
      </c>
      <c r="K1359" s="456">
        <v>215.27999999999997</v>
      </c>
      <c r="L1359" s="456">
        <f t="shared" si="242"/>
        <v>8784.7156799999993</v>
      </c>
      <c r="O1359" s="455">
        <f t="shared" si="243"/>
        <v>1060.9560000000001</v>
      </c>
      <c r="P1359" s="455">
        <f t="shared" si="244"/>
        <v>228402.60767999999</v>
      </c>
      <c r="R1359" s="480" t="s">
        <v>663</v>
      </c>
    </row>
    <row r="1360" spans="1:18">
      <c r="A1360" s="454"/>
      <c r="B1360" s="454" t="str">
        <v>Ceiling Paint</v>
      </c>
      <c r="C1360" s="456"/>
      <c r="D1360" s="456"/>
      <c r="E1360" s="456">
        <f>E1357</f>
        <v>14.53</v>
      </c>
      <c r="F1360" s="456"/>
      <c r="G1360" s="456">
        <f t="shared" si="241"/>
        <v>14.53</v>
      </c>
      <c r="H1360" s="456" t="str">
        <v>Sq M</v>
      </c>
      <c r="I1360" s="456" t="str">
        <v>Plastic paint</v>
      </c>
      <c r="J1360" s="456">
        <v>20</v>
      </c>
      <c r="K1360" s="456">
        <v>215.27999999999997</v>
      </c>
      <c r="L1360" s="456">
        <f t="shared" si="242"/>
        <v>3128.0183999999995</v>
      </c>
      <c r="O1360" s="455">
        <f t="shared" si="243"/>
        <v>377.78</v>
      </c>
      <c r="P1360" s="455">
        <f t="shared" si="244"/>
        <v>81328.478399999993</v>
      </c>
      <c r="R1360" s="480" t="s">
        <v>664</v>
      </c>
    </row>
    <row r="1361" spans="1:18">
      <c r="A1361" s="454"/>
      <c r="B1361" s="454" t="str">
        <v>Door Frames</v>
      </c>
      <c r="C1361" s="456"/>
      <c r="D1361" s="456"/>
      <c r="E1361" s="456"/>
      <c r="F1361" s="456"/>
      <c r="G1361" s="456">
        <f t="shared" si="241"/>
        <v>0</v>
      </c>
      <c r="H1361" s="456" t="str">
        <v>RM</v>
      </c>
      <c r="I1361" s="456" t="str">
        <v>N.A.</v>
      </c>
      <c r="J1361" s="456">
        <v>0</v>
      </c>
      <c r="K1361" s="456">
        <v>0</v>
      </c>
      <c r="L1361" s="456">
        <f t="shared" si="242"/>
        <v>0</v>
      </c>
      <c r="O1361" s="455">
        <f t="shared" si="243"/>
        <v>0</v>
      </c>
      <c r="P1361" s="455">
        <f t="shared" si="244"/>
        <v>0</v>
      </c>
      <c r="R1361" s="480"/>
    </row>
    <row r="1362" spans="1:18">
      <c r="A1362" s="454"/>
      <c r="B1362" s="454" t="str">
        <v>Window Frames - Internal</v>
      </c>
      <c r="C1362" s="456"/>
      <c r="D1362" s="456"/>
      <c r="E1362" s="456">
        <f>Windows!F117*2+Windows!G117*2</f>
        <v>10.399999999999999</v>
      </c>
      <c r="F1362" s="456"/>
      <c r="G1362" s="456">
        <f t="shared" si="241"/>
        <v>10.399999999999999</v>
      </c>
      <c r="H1362" s="456" t="str">
        <v>RM</v>
      </c>
      <c r="I1362" s="456" t="str">
        <v>Granite Window Frame</v>
      </c>
      <c r="J1362" s="456">
        <v>180</v>
      </c>
      <c r="K1362" s="456">
        <v>655.92719999999997</v>
      </c>
      <c r="L1362" s="456">
        <f t="shared" si="242"/>
        <v>6821.6428799999985</v>
      </c>
      <c r="O1362" s="455">
        <f t="shared" si="243"/>
        <v>270.39999999999998</v>
      </c>
      <c r="P1362" s="455">
        <f t="shared" si="244"/>
        <v>177362.71487999996</v>
      </c>
      <c r="R1362" s="480" t="s">
        <v>743</v>
      </c>
    </row>
    <row r="1363" spans="1:18">
      <c r="A1363" s="454"/>
      <c r="B1363" s="454" t="str">
        <v>Window Frames - External</v>
      </c>
      <c r="C1363" s="456"/>
      <c r="D1363" s="456"/>
      <c r="E1363" s="456">
        <f>E1362</f>
        <v>10.399999999999999</v>
      </c>
      <c r="F1363" s="456"/>
      <c r="G1363" s="456">
        <f t="shared" si="241"/>
        <v>10.399999999999999</v>
      </c>
      <c r="H1363" s="456" t="str">
        <v>RM</v>
      </c>
      <c r="I1363" s="456" t="str">
        <v>Marble Window Frames with Sill</v>
      </c>
      <c r="J1363" s="456">
        <v>60</v>
      </c>
      <c r="K1363" s="456">
        <v>399.04239999999999</v>
      </c>
      <c r="L1363" s="456">
        <f t="shared" si="242"/>
        <v>4150.0409599999994</v>
      </c>
      <c r="O1363" s="455">
        <f t="shared" si="243"/>
        <v>270.39999999999998</v>
      </c>
      <c r="P1363" s="455">
        <f t="shared" si="244"/>
        <v>107901.06495999999</v>
      </c>
      <c r="R1363" s="480" t="s">
        <v>409</v>
      </c>
    </row>
    <row r="1364" spans="1:18">
      <c r="A1364" s="454"/>
      <c r="B1364" s="454" t="str">
        <v>Others</v>
      </c>
      <c r="C1364" s="456"/>
      <c r="D1364" s="456"/>
      <c r="E1364" s="456"/>
      <c r="F1364" s="456"/>
      <c r="G1364" s="456">
        <f t="shared" si="241"/>
        <v>0</v>
      </c>
      <c r="H1364" s="456" t="str">
        <v>-</v>
      </c>
      <c r="I1364" s="456" t="str">
        <v>N.A.</v>
      </c>
      <c r="J1364" s="456">
        <v>0</v>
      </c>
      <c r="K1364" s="456">
        <v>0</v>
      </c>
      <c r="L1364" s="456">
        <f t="shared" si="242"/>
        <v>0</v>
      </c>
      <c r="O1364" s="455">
        <f t="shared" si="243"/>
        <v>0</v>
      </c>
      <c r="P1364" s="455">
        <f t="shared" si="244"/>
        <v>0</v>
      </c>
    </row>
    <row r="1365" spans="1:18" s="479" customFormat="1" ht="13.5" customHeight="1">
      <c r="A1365" s="475" t="s">
        <v>628</v>
      </c>
      <c r="B1365" s="476" t="str">
        <f>'Flat Sizes'!B114</f>
        <v>M. Toilet</v>
      </c>
      <c r="C1365" s="477">
        <f>'Flat Sizes'!D114</f>
        <v>3.83</v>
      </c>
      <c r="D1365" s="477">
        <f>'Flat Sizes'!G114</f>
        <v>8.32</v>
      </c>
      <c r="E1365" s="477"/>
      <c r="F1365" s="454"/>
      <c r="G1365" s="477"/>
      <c r="H1365" s="477"/>
      <c r="I1365" s="477"/>
      <c r="J1365" s="477"/>
      <c r="K1365" s="477"/>
      <c r="L1365" s="477"/>
      <c r="M1365" s="459">
        <f>SUM(L1366:L1377)/C1365/10.764</f>
        <v>1210.9850934795709</v>
      </c>
      <c r="N1365" s="472"/>
      <c r="O1365" s="455">
        <f t="shared" si="243"/>
        <v>0</v>
      </c>
      <c r="P1365" s="455">
        <f t="shared" si="244"/>
        <v>0</v>
      </c>
      <c r="Q1365" s="478"/>
    </row>
    <row r="1366" spans="1:18">
      <c r="A1366" s="454"/>
      <c r="B1366" s="454" t="str" cm="1">
        <f t="array" ref="B1366:B1377">'Rate List - Flats'!B62:B73</f>
        <v>Flooring</v>
      </c>
      <c r="C1366" s="456"/>
      <c r="D1366" s="456"/>
      <c r="E1366" s="456">
        <f>C1365</f>
        <v>3.83</v>
      </c>
      <c r="F1366" s="456"/>
      <c r="G1366" s="456">
        <f t="shared" si="241"/>
        <v>3.83</v>
      </c>
      <c r="H1366" s="456" t="str" cm="1">
        <f t="array" ref="H1366:H1377">'Rate List - Flats'!H62:H73</f>
        <v>Sq M</v>
      </c>
      <c r="I1366" s="456" t="str" cm="1">
        <f t="array" ref="I1366:I1377">'Rate List - Flats'!C62:C73</f>
        <v>Ceramic tiles/vitrified anti-skid tiles</v>
      </c>
      <c r="J1366" s="456" cm="1">
        <f t="array" ref="J1366:J1377">'Rate List - Flats'!E62:E73</f>
        <v>50</v>
      </c>
      <c r="K1366" s="456" cm="1">
        <f t="array" ref="K1366:K1377">'Rate List - Flats'!G62:G73</f>
        <v>1399.32</v>
      </c>
      <c r="L1366" s="456">
        <f t="shared" si="242"/>
        <v>5359.3955999999998</v>
      </c>
      <c r="O1366" s="455">
        <f t="shared" si="243"/>
        <v>99.58</v>
      </c>
      <c r="P1366" s="455">
        <f t="shared" si="244"/>
        <v>139344.2856</v>
      </c>
      <c r="R1366" s="480" t="s">
        <v>667</v>
      </c>
    </row>
    <row r="1367" spans="1:18">
      <c r="A1367" s="454"/>
      <c r="B1367" s="454" t="str">
        <v>Skirting</v>
      </c>
      <c r="C1367" s="456"/>
      <c r="D1367" s="456"/>
      <c r="E1367" s="456"/>
      <c r="F1367" s="456"/>
      <c r="G1367" s="456">
        <f t="shared" si="241"/>
        <v>0</v>
      </c>
      <c r="H1367" s="456" t="str">
        <v xml:space="preserve">RM </v>
      </c>
      <c r="I1367" s="456" t="str">
        <v>N.A.</v>
      </c>
      <c r="J1367" s="456">
        <v>0</v>
      </c>
      <c r="K1367" s="456">
        <v>0</v>
      </c>
      <c r="L1367" s="456">
        <f t="shared" si="242"/>
        <v>0</v>
      </c>
      <c r="O1367" s="455">
        <f t="shared" si="243"/>
        <v>0</v>
      </c>
      <c r="P1367" s="455">
        <f t="shared" si="244"/>
        <v>0</v>
      </c>
      <c r="R1367" s="480"/>
    </row>
    <row r="1368" spans="1:18">
      <c r="A1368" s="454"/>
      <c r="B1368" s="454" t="str">
        <v>Dado</v>
      </c>
      <c r="C1368" s="456"/>
      <c r="D1368" s="456">
        <f>D1-0.7</f>
        <v>2.4000000000000004</v>
      </c>
      <c r="E1368" s="456">
        <f>D1365*D1368</f>
        <v>19.968000000000004</v>
      </c>
      <c r="F1368" s="456">
        <f>-(Doors!H96+Windows!H116)</f>
        <v>-2.0250000000000004</v>
      </c>
      <c r="G1368" s="456">
        <f t="shared" si="241"/>
        <v>17.943000000000005</v>
      </c>
      <c r="H1368" s="456" t="str">
        <v>Sq M</v>
      </c>
      <c r="I1368" s="456" t="str">
        <v>Vitrified tiles</v>
      </c>
      <c r="J1368" s="456">
        <v>50</v>
      </c>
      <c r="K1368" s="456">
        <v>1480.05</v>
      </c>
      <c r="L1368" s="456">
        <f t="shared" si="242"/>
        <v>26556.537150000007</v>
      </c>
      <c r="O1368" s="455">
        <f t="shared" si="243"/>
        <v>466.51800000000014</v>
      </c>
      <c r="P1368" s="455">
        <f t="shared" si="244"/>
        <v>690469.96590000018</v>
      </c>
      <c r="R1368" s="480" t="s">
        <v>668</v>
      </c>
    </row>
    <row r="1369" spans="1:18">
      <c r="A1369" s="454"/>
      <c r="B1369" s="454" t="str">
        <v>Wall finishes plaster</v>
      </c>
      <c r="C1369" s="456"/>
      <c r="D1369" s="456">
        <f>D1-D1368</f>
        <v>0.69999999999999973</v>
      </c>
      <c r="E1369" s="456">
        <f>D1365*D1369</f>
        <v>5.8239999999999981</v>
      </c>
      <c r="F1369" s="456"/>
      <c r="G1369" s="456">
        <f t="shared" si="241"/>
        <v>5.8239999999999981</v>
      </c>
      <c r="H1369" s="456" t="str">
        <v>Sq M</v>
      </c>
      <c r="I1369" s="456" t="str">
        <v>Gypsum Plaster</v>
      </c>
      <c r="J1369" s="456">
        <v>32</v>
      </c>
      <c r="K1369" s="456">
        <v>344.44799999999998</v>
      </c>
      <c r="L1369" s="456">
        <f t="shared" si="242"/>
        <v>2006.0651519999992</v>
      </c>
      <c r="O1369" s="455">
        <f t="shared" si="243"/>
        <v>151.42399999999995</v>
      </c>
      <c r="P1369" s="455">
        <f t="shared" si="244"/>
        <v>52157.69395199998</v>
      </c>
      <c r="R1369" s="480" t="s">
        <v>661</v>
      </c>
    </row>
    <row r="1370" spans="1:18">
      <c r="A1370" s="454"/>
      <c r="B1370" s="454" t="str">
        <v>Ceiling plaster</v>
      </c>
      <c r="C1370" s="456"/>
      <c r="D1370" s="456"/>
      <c r="E1370" s="456">
        <f>E1366</f>
        <v>3.83</v>
      </c>
      <c r="F1370" s="456"/>
      <c r="G1370" s="456">
        <f t="shared" si="241"/>
        <v>3.83</v>
      </c>
      <c r="H1370" s="456" t="str">
        <v>Sq M</v>
      </c>
      <c r="I1370" s="456" t="str">
        <v>Gypsum Plaster</v>
      </c>
      <c r="J1370" s="456">
        <v>32</v>
      </c>
      <c r="K1370" s="456">
        <v>344.44799999999998</v>
      </c>
      <c r="L1370" s="456">
        <f t="shared" si="242"/>
        <v>1319.2358400000001</v>
      </c>
      <c r="O1370" s="455">
        <f t="shared" si="243"/>
        <v>99.58</v>
      </c>
      <c r="P1370" s="455">
        <f t="shared" si="244"/>
        <v>34300.131840000002</v>
      </c>
      <c r="R1370" s="480" t="s">
        <v>662</v>
      </c>
    </row>
    <row r="1371" spans="1:18">
      <c r="A1371" s="454"/>
      <c r="B1371" s="454" t="str">
        <v>False ceiling</v>
      </c>
      <c r="C1371" s="456"/>
      <c r="D1371" s="456"/>
      <c r="E1371" s="456"/>
      <c r="F1371" s="456"/>
      <c r="G1371" s="456">
        <f t="shared" si="241"/>
        <v>0</v>
      </c>
      <c r="H1371" s="456" t="str">
        <v>Sq M</v>
      </c>
      <c r="I1371" s="456" t="str">
        <v>N.A.</v>
      </c>
      <c r="J1371" s="456">
        <v>0</v>
      </c>
      <c r="K1371" s="456">
        <v>0</v>
      </c>
      <c r="L1371" s="456">
        <f t="shared" si="242"/>
        <v>0</v>
      </c>
      <c r="O1371" s="455">
        <f t="shared" si="243"/>
        <v>0</v>
      </c>
      <c r="P1371" s="455">
        <f t="shared" si="244"/>
        <v>0</v>
      </c>
      <c r="R1371" s="480"/>
    </row>
    <row r="1372" spans="1:18">
      <c r="A1372" s="454"/>
      <c r="B1372" s="454" t="str">
        <v>Wall finishes Paint</v>
      </c>
      <c r="C1372" s="456"/>
      <c r="D1372" s="456"/>
      <c r="E1372" s="456">
        <f>E1369</f>
        <v>5.8239999999999981</v>
      </c>
      <c r="F1372" s="456"/>
      <c r="G1372" s="456">
        <f t="shared" si="241"/>
        <v>5.8239999999999981</v>
      </c>
      <c r="H1372" s="456" t="str">
        <v>Sq M</v>
      </c>
      <c r="I1372" s="456" t="str">
        <v>Plastic paint</v>
      </c>
      <c r="J1372" s="456">
        <v>20</v>
      </c>
      <c r="K1372" s="456">
        <v>215.27999999999997</v>
      </c>
      <c r="L1372" s="456">
        <f t="shared" si="242"/>
        <v>1253.7907199999995</v>
      </c>
      <c r="O1372" s="455">
        <f t="shared" si="243"/>
        <v>151.42399999999995</v>
      </c>
      <c r="P1372" s="455">
        <f t="shared" si="244"/>
        <v>32598.558719999986</v>
      </c>
      <c r="R1372" s="480" t="s">
        <v>663</v>
      </c>
    </row>
    <row r="1373" spans="1:18">
      <c r="A1373" s="454"/>
      <c r="B1373" s="454" t="str">
        <v>Ceiling Paint</v>
      </c>
      <c r="C1373" s="456"/>
      <c r="D1373" s="456"/>
      <c r="E1373" s="456">
        <f>E1370</f>
        <v>3.83</v>
      </c>
      <c r="F1373" s="456"/>
      <c r="G1373" s="456">
        <f t="shared" si="241"/>
        <v>3.83</v>
      </c>
      <c r="H1373" s="456" t="str">
        <v>Sq M</v>
      </c>
      <c r="I1373" s="456" t="str">
        <v>Plastic paint</v>
      </c>
      <c r="J1373" s="456">
        <v>20</v>
      </c>
      <c r="K1373" s="456">
        <v>215.27999999999997</v>
      </c>
      <c r="L1373" s="456">
        <f t="shared" si="242"/>
        <v>824.52239999999995</v>
      </c>
      <c r="O1373" s="455">
        <f t="shared" si="243"/>
        <v>99.58</v>
      </c>
      <c r="P1373" s="455">
        <f t="shared" si="244"/>
        <v>21437.582399999999</v>
      </c>
      <c r="R1373" s="480" t="s">
        <v>664</v>
      </c>
    </row>
    <row r="1374" spans="1:18">
      <c r="A1374" s="454"/>
      <c r="B1374" s="454" t="str">
        <v>Door Frames</v>
      </c>
      <c r="C1374" s="456"/>
      <c r="D1374" s="456"/>
      <c r="E1374" s="456">
        <f>Doors!F98*4+Doors!G98*4</f>
        <v>11.4</v>
      </c>
      <c r="F1374" s="456"/>
      <c r="G1374" s="456">
        <f t="shared" si="241"/>
        <v>11.4</v>
      </c>
      <c r="H1374" s="456" t="str">
        <v>RM</v>
      </c>
      <c r="I1374" s="456" t="str">
        <v>Granite Frames</v>
      </c>
      <c r="J1374" s="456">
        <v>180</v>
      </c>
      <c r="K1374" s="456">
        <v>655.92719999999997</v>
      </c>
      <c r="L1374" s="456">
        <f t="shared" si="242"/>
        <v>7477.5700799999995</v>
      </c>
      <c r="O1374" s="455">
        <f t="shared" si="243"/>
        <v>296.40000000000003</v>
      </c>
      <c r="P1374" s="455">
        <f t="shared" si="244"/>
        <v>194416.82207999998</v>
      </c>
      <c r="R1374" s="480" t="s">
        <v>669</v>
      </c>
    </row>
    <row r="1375" spans="1:18">
      <c r="A1375" s="454"/>
      <c r="B1375" s="454" t="str">
        <v>Window Frames - Internal</v>
      </c>
      <c r="C1375" s="456"/>
      <c r="D1375" s="456"/>
      <c r="E1375" s="456">
        <f>Windows!F118*2+Windows!G120*2</f>
        <v>2.7</v>
      </c>
      <c r="F1375" s="456"/>
      <c r="G1375" s="456">
        <f t="shared" si="241"/>
        <v>2.7</v>
      </c>
      <c r="H1375" s="456" t="str">
        <v>RM</v>
      </c>
      <c r="I1375" s="456" t="str">
        <v>Granite Window Frame</v>
      </c>
      <c r="J1375" s="456">
        <v>180</v>
      </c>
      <c r="K1375" s="456">
        <v>655.92719999999997</v>
      </c>
      <c r="L1375" s="456">
        <f t="shared" si="242"/>
        <v>1771.00344</v>
      </c>
      <c r="O1375" s="455">
        <f t="shared" si="243"/>
        <v>70.2</v>
      </c>
      <c r="P1375" s="455">
        <f t="shared" si="244"/>
        <v>46046.089439999996</v>
      </c>
      <c r="R1375" s="480" t="s">
        <v>743</v>
      </c>
    </row>
    <row r="1376" spans="1:18">
      <c r="A1376" s="454"/>
      <c r="B1376" s="454" t="str">
        <v>Window Frames - External</v>
      </c>
      <c r="C1376" s="456"/>
      <c r="D1376" s="456"/>
      <c r="E1376" s="456">
        <f>E1375</f>
        <v>2.7</v>
      </c>
      <c r="F1376" s="456"/>
      <c r="G1376" s="456">
        <f t="shared" si="241"/>
        <v>2.7</v>
      </c>
      <c r="H1376" s="456" t="str">
        <v>RM</v>
      </c>
      <c r="I1376" s="456" t="str">
        <v>Marble Window Frames with Sill</v>
      </c>
      <c r="J1376" s="456">
        <v>60</v>
      </c>
      <c r="K1376" s="456">
        <v>399.04239999999999</v>
      </c>
      <c r="L1376" s="456">
        <f t="shared" si="242"/>
        <v>1077.4144800000001</v>
      </c>
      <c r="O1376" s="455">
        <f t="shared" si="243"/>
        <v>70.2</v>
      </c>
      <c r="P1376" s="455">
        <f t="shared" si="244"/>
        <v>28012.776480000004</v>
      </c>
      <c r="R1376" s="480" t="s">
        <v>409</v>
      </c>
    </row>
    <row r="1377" spans="1:18">
      <c r="A1377" s="454"/>
      <c r="B1377" s="454" t="str">
        <v>Others - Counter</v>
      </c>
      <c r="C1377" s="456"/>
      <c r="D1377" s="456"/>
      <c r="E1377" s="456">
        <f>0.6*0.6</f>
        <v>0.36</v>
      </c>
      <c r="F1377" s="456"/>
      <c r="G1377" s="456">
        <f t="shared" si="241"/>
        <v>0.36</v>
      </c>
      <c r="H1377" s="456" t="str">
        <v>Sq M</v>
      </c>
      <c r="I1377" s="456" t="str">
        <v>Basin Counter 1'6" - Granite Basin Counter</v>
      </c>
      <c r="J1377" s="456">
        <v>180</v>
      </c>
      <c r="K1377" s="456">
        <v>6329.6720000000005</v>
      </c>
      <c r="L1377" s="456">
        <f t="shared" si="242"/>
        <v>2278.68192</v>
      </c>
      <c r="O1377" s="455">
        <f t="shared" si="243"/>
        <v>9.36</v>
      </c>
      <c r="P1377" s="455">
        <f t="shared" si="244"/>
        <v>59245.729919999998</v>
      </c>
      <c r="R1377" s="480" t="s">
        <v>670</v>
      </c>
    </row>
    <row r="1378" spans="1:18" s="479" customFormat="1" ht="13.5" customHeight="1">
      <c r="A1378" s="475" t="s">
        <v>628</v>
      </c>
      <c r="B1378" s="476" t="str">
        <f>'Flat Sizes'!B115</f>
        <v>C. Bedroom</v>
      </c>
      <c r="C1378" s="477">
        <f>'Flat Sizes'!D115</f>
        <v>10.74</v>
      </c>
      <c r="D1378" s="477">
        <f>'Flat Sizes'!G115</f>
        <v>13.43</v>
      </c>
      <c r="E1378" s="477"/>
      <c r="F1378" s="454"/>
      <c r="G1378" s="477"/>
      <c r="H1378" s="477"/>
      <c r="I1378" s="477"/>
      <c r="J1378" s="477"/>
      <c r="K1378" s="477"/>
      <c r="L1378" s="477"/>
      <c r="M1378" s="459">
        <f>SUM(L1379:L1390)/C1378/10.764</f>
        <v>454.6417966087385</v>
      </c>
      <c r="N1378" s="472"/>
      <c r="O1378" s="455">
        <f t="shared" si="243"/>
        <v>0</v>
      </c>
      <c r="P1378" s="455">
        <f t="shared" si="244"/>
        <v>0</v>
      </c>
      <c r="Q1378" s="478"/>
    </row>
    <row r="1379" spans="1:18">
      <c r="A1379" s="454"/>
      <c r="B1379" s="454" t="str" cm="1">
        <f t="array" ref="B1379:B1390">'Rate List - Flats'!B48:B59</f>
        <v>Flooring</v>
      </c>
      <c r="C1379" s="456"/>
      <c r="D1379" s="456"/>
      <c r="E1379" s="456">
        <f>C1378</f>
        <v>10.74</v>
      </c>
      <c r="F1379" s="456"/>
      <c r="G1379" s="456">
        <f t="shared" si="241"/>
        <v>10.74</v>
      </c>
      <c r="H1379" s="456" t="str" cm="1">
        <f t="array" ref="H1379:H1390">'Rate List - Flats'!H48:H59</f>
        <v>Sq M</v>
      </c>
      <c r="I1379" s="456" t="str" cm="1">
        <f t="array" ref="I1379:I1390">'Rate List - Flats'!C48:C59</f>
        <v>2'x2' Vitrified tiles</v>
      </c>
      <c r="J1379" s="456" cm="1">
        <f t="array" ref="J1379:J1390">'Rate List - Flats'!E48:E59</f>
        <v>45</v>
      </c>
      <c r="K1379" s="456" cm="1">
        <f t="array" ref="K1379:K1390">'Rate List - Flats'!G48:G59</f>
        <v>1340.1179999999999</v>
      </c>
      <c r="L1379" s="456">
        <f t="shared" si="242"/>
        <v>14392.867319999999</v>
      </c>
      <c r="O1379" s="455">
        <f t="shared" ref="O1379:O1438" si="245">IF(I1379="N.A",0,G1379*$N$1312)</f>
        <v>279.24</v>
      </c>
      <c r="P1379" s="455">
        <f t="shared" ref="P1379:P1438" si="246">L1379*$N$1312</f>
        <v>374214.55031999998</v>
      </c>
      <c r="R1379" s="480" t="s">
        <v>659</v>
      </c>
    </row>
    <row r="1380" spans="1:18">
      <c r="A1380" s="454"/>
      <c r="B1380" s="454" t="str">
        <v>Skirting</v>
      </c>
      <c r="C1380" s="456"/>
      <c r="D1380" s="456"/>
      <c r="E1380" s="456">
        <f>D1378</f>
        <v>13.43</v>
      </c>
      <c r="F1380" s="456">
        <f>-(Doors!F99+Doors!F100)</f>
        <v>-1.65</v>
      </c>
      <c r="G1380" s="456">
        <f t="shared" ref="G1380:G1438" si="247">E1380+F1380</f>
        <v>11.78</v>
      </c>
      <c r="H1380" s="456" t="str">
        <v>RM</v>
      </c>
      <c r="I1380" s="456" t="str">
        <v xml:space="preserve">2'x2' Vitrified tiles </v>
      </c>
      <c r="J1380" s="456">
        <v>45</v>
      </c>
      <c r="K1380" s="456">
        <v>391.96</v>
      </c>
      <c r="L1380" s="456">
        <f t="shared" ref="L1380:L1438" si="248">G1380*K1380</f>
        <v>4617.2887999999994</v>
      </c>
      <c r="O1380" s="455">
        <f t="shared" si="245"/>
        <v>306.27999999999997</v>
      </c>
      <c r="P1380" s="455">
        <f t="shared" si="246"/>
        <v>120049.50879999998</v>
      </c>
      <c r="R1380" s="480" t="s">
        <v>660</v>
      </c>
    </row>
    <row r="1381" spans="1:18">
      <c r="A1381" s="454"/>
      <c r="B1381" s="454" t="str">
        <v>Dado</v>
      </c>
      <c r="C1381" s="456"/>
      <c r="D1381" s="456"/>
      <c r="E1381" s="456"/>
      <c r="F1381" s="456"/>
      <c r="G1381" s="456">
        <f t="shared" si="247"/>
        <v>0</v>
      </c>
      <c r="H1381" s="456" t="str">
        <v>Sq M</v>
      </c>
      <c r="I1381" s="456" t="str">
        <v>N.A.</v>
      </c>
      <c r="J1381" s="456">
        <v>0</v>
      </c>
      <c r="K1381" s="456">
        <v>0</v>
      </c>
      <c r="L1381" s="456">
        <f t="shared" si="248"/>
        <v>0</v>
      </c>
      <c r="O1381" s="455">
        <f t="shared" si="245"/>
        <v>0</v>
      </c>
      <c r="P1381" s="455">
        <f t="shared" si="246"/>
        <v>0</v>
      </c>
      <c r="R1381" s="480"/>
    </row>
    <row r="1382" spans="1:18">
      <c r="A1382" s="454"/>
      <c r="B1382" s="454" t="str">
        <v>Wall finishes plaster</v>
      </c>
      <c r="C1382" s="456"/>
      <c r="D1382" s="456"/>
      <c r="E1382" s="456">
        <f>D1378*(D1-0.15)</f>
        <v>39.618500000000004</v>
      </c>
      <c r="F1382" s="456">
        <f>-(Doors!H99+Doors!H100+Windows!H119)</f>
        <v>-10.022499999999999</v>
      </c>
      <c r="G1382" s="456">
        <f t="shared" si="247"/>
        <v>29.596000000000004</v>
      </c>
      <c r="H1382" s="456" t="str">
        <v>Sq M</v>
      </c>
      <c r="I1382" s="456" t="str">
        <v>Gypsum Plaster</v>
      </c>
      <c r="J1382" s="456">
        <v>32</v>
      </c>
      <c r="K1382" s="456">
        <v>344.44799999999998</v>
      </c>
      <c r="L1382" s="456">
        <f t="shared" si="248"/>
        <v>10194.283008</v>
      </c>
      <c r="O1382" s="455">
        <f t="shared" si="245"/>
        <v>769.49600000000009</v>
      </c>
      <c r="P1382" s="455">
        <f t="shared" si="246"/>
        <v>265051.35820800002</v>
      </c>
      <c r="R1382" s="480" t="s">
        <v>661</v>
      </c>
    </row>
    <row r="1383" spans="1:18">
      <c r="A1383" s="454"/>
      <c r="B1383" s="454" t="str">
        <v>Ceiling plaster</v>
      </c>
      <c r="C1383" s="456"/>
      <c r="D1383" s="456"/>
      <c r="E1383" s="456">
        <f>E1379</f>
        <v>10.74</v>
      </c>
      <c r="F1383" s="456"/>
      <c r="G1383" s="456">
        <f t="shared" si="247"/>
        <v>10.74</v>
      </c>
      <c r="H1383" s="456" t="str">
        <v>Sq M</v>
      </c>
      <c r="I1383" s="456" t="str">
        <v>Gypsum Plaster</v>
      </c>
      <c r="J1383" s="456">
        <v>32</v>
      </c>
      <c r="K1383" s="456">
        <v>344.44799999999998</v>
      </c>
      <c r="L1383" s="456">
        <f t="shared" si="248"/>
        <v>3699.3715199999997</v>
      </c>
      <c r="O1383" s="455">
        <f t="shared" si="245"/>
        <v>279.24</v>
      </c>
      <c r="P1383" s="455">
        <f t="shared" si="246"/>
        <v>96183.659519999987</v>
      </c>
      <c r="R1383" s="480" t="s">
        <v>662</v>
      </c>
    </row>
    <row r="1384" spans="1:18">
      <c r="A1384" s="454"/>
      <c r="B1384" s="454" t="str">
        <v>False ceiling</v>
      </c>
      <c r="C1384" s="456"/>
      <c r="D1384" s="456"/>
      <c r="E1384" s="456"/>
      <c r="F1384" s="456"/>
      <c r="G1384" s="456">
        <f t="shared" si="247"/>
        <v>0</v>
      </c>
      <c r="H1384" s="456" t="str">
        <v>Sq M</v>
      </c>
      <c r="I1384" s="456" t="str">
        <v>N.A.</v>
      </c>
      <c r="J1384" s="456">
        <v>0</v>
      </c>
      <c r="K1384" s="456">
        <v>0</v>
      </c>
      <c r="L1384" s="456">
        <f t="shared" si="248"/>
        <v>0</v>
      </c>
      <c r="O1384" s="455">
        <f t="shared" si="245"/>
        <v>0</v>
      </c>
      <c r="P1384" s="455">
        <f t="shared" si="246"/>
        <v>0</v>
      </c>
      <c r="R1384" s="480"/>
    </row>
    <row r="1385" spans="1:18">
      <c r="A1385" s="454"/>
      <c r="B1385" s="454" t="str">
        <v>Wall finishes Paint</v>
      </c>
      <c r="C1385" s="456"/>
      <c r="D1385" s="456"/>
      <c r="E1385" s="456">
        <f>E1382</f>
        <v>39.618500000000004</v>
      </c>
      <c r="F1385" s="456">
        <f>F1382</f>
        <v>-10.022499999999999</v>
      </c>
      <c r="G1385" s="456">
        <f t="shared" si="247"/>
        <v>29.596000000000004</v>
      </c>
      <c r="H1385" s="456" t="str">
        <v>Sq M</v>
      </c>
      <c r="I1385" s="456" t="str">
        <v>Plastic paint</v>
      </c>
      <c r="J1385" s="456">
        <v>20</v>
      </c>
      <c r="K1385" s="456">
        <v>215.27999999999997</v>
      </c>
      <c r="L1385" s="456">
        <f t="shared" si="248"/>
        <v>6371.42688</v>
      </c>
      <c r="O1385" s="455">
        <f t="shared" si="245"/>
        <v>769.49600000000009</v>
      </c>
      <c r="P1385" s="455">
        <f t="shared" si="246"/>
        <v>165657.09888000001</v>
      </c>
      <c r="R1385" s="480" t="s">
        <v>663</v>
      </c>
    </row>
    <row r="1386" spans="1:18">
      <c r="A1386" s="454"/>
      <c r="B1386" s="454" t="str">
        <v>Ceiling Paint</v>
      </c>
      <c r="C1386" s="456"/>
      <c r="D1386" s="456"/>
      <c r="E1386" s="456">
        <f>E1383</f>
        <v>10.74</v>
      </c>
      <c r="F1386" s="456"/>
      <c r="G1386" s="456">
        <f t="shared" si="247"/>
        <v>10.74</v>
      </c>
      <c r="H1386" s="456" t="str">
        <v>Sq M</v>
      </c>
      <c r="I1386" s="456" t="str">
        <v>Plastic paint</v>
      </c>
      <c r="J1386" s="456">
        <v>20</v>
      </c>
      <c r="K1386" s="456">
        <v>215.27999999999997</v>
      </c>
      <c r="L1386" s="456">
        <f t="shared" si="248"/>
        <v>2312.1071999999999</v>
      </c>
      <c r="O1386" s="455">
        <f t="shared" si="245"/>
        <v>279.24</v>
      </c>
      <c r="P1386" s="455">
        <f t="shared" si="246"/>
        <v>60114.787199999999</v>
      </c>
      <c r="R1386" s="480" t="s">
        <v>664</v>
      </c>
    </row>
    <row r="1387" spans="1:18">
      <c r="A1387" s="454"/>
      <c r="B1387" s="454" t="str">
        <v>Door Frames</v>
      </c>
      <c r="C1387" s="456"/>
      <c r="D1387" s="456"/>
      <c r="E1387" s="456"/>
      <c r="F1387" s="456"/>
      <c r="G1387" s="456">
        <f t="shared" si="247"/>
        <v>0</v>
      </c>
      <c r="H1387" s="456" t="str">
        <v>RM</v>
      </c>
      <c r="I1387" s="456" t="str">
        <v>N.A.</v>
      </c>
      <c r="J1387" s="456">
        <v>0</v>
      </c>
      <c r="K1387" s="456">
        <v>0</v>
      </c>
      <c r="L1387" s="456">
        <f t="shared" si="248"/>
        <v>0</v>
      </c>
      <c r="O1387" s="455">
        <f t="shared" si="245"/>
        <v>0</v>
      </c>
      <c r="P1387" s="455">
        <f t="shared" si="246"/>
        <v>0</v>
      </c>
      <c r="R1387" s="480"/>
    </row>
    <row r="1388" spans="1:18">
      <c r="A1388" s="454"/>
      <c r="B1388" s="454" t="str">
        <v>Window Frames - Internal</v>
      </c>
      <c r="C1388" s="456"/>
      <c r="D1388" s="456"/>
      <c r="E1388" s="456">
        <f>Windows!F119*2+Windows!G119*2</f>
        <v>10.399999999999999</v>
      </c>
      <c r="F1388" s="456"/>
      <c r="G1388" s="456">
        <f t="shared" si="247"/>
        <v>10.399999999999999</v>
      </c>
      <c r="H1388" s="456" t="str">
        <v>RM</v>
      </c>
      <c r="I1388" s="456" t="str">
        <v>Granite Window Frame</v>
      </c>
      <c r="J1388" s="456">
        <v>180</v>
      </c>
      <c r="K1388" s="456">
        <v>655.92719999999997</v>
      </c>
      <c r="L1388" s="456">
        <f t="shared" si="248"/>
        <v>6821.6428799999985</v>
      </c>
      <c r="O1388" s="455">
        <f t="shared" si="245"/>
        <v>270.39999999999998</v>
      </c>
      <c r="P1388" s="455">
        <f t="shared" si="246"/>
        <v>177362.71487999996</v>
      </c>
      <c r="R1388" s="480" t="s">
        <v>743</v>
      </c>
    </row>
    <row r="1389" spans="1:18">
      <c r="A1389" s="454"/>
      <c r="B1389" s="454" t="str">
        <v>Window Frames - External</v>
      </c>
      <c r="C1389" s="456"/>
      <c r="D1389" s="456"/>
      <c r="E1389" s="456">
        <f>E1388</f>
        <v>10.399999999999999</v>
      </c>
      <c r="F1389" s="456"/>
      <c r="G1389" s="456">
        <f t="shared" si="247"/>
        <v>10.399999999999999</v>
      </c>
      <c r="H1389" s="456" t="str">
        <v>RM</v>
      </c>
      <c r="I1389" s="456" t="str">
        <v>Marble Window Frames with Sill</v>
      </c>
      <c r="J1389" s="456">
        <v>60</v>
      </c>
      <c r="K1389" s="456">
        <v>399.04239999999999</v>
      </c>
      <c r="L1389" s="456">
        <f t="shared" si="248"/>
        <v>4150.0409599999994</v>
      </c>
      <c r="O1389" s="455">
        <f t="shared" si="245"/>
        <v>270.39999999999998</v>
      </c>
      <c r="P1389" s="455">
        <f t="shared" si="246"/>
        <v>107901.06495999999</v>
      </c>
      <c r="R1389" s="480" t="s">
        <v>409</v>
      </c>
    </row>
    <row r="1390" spans="1:18">
      <c r="A1390" s="454"/>
      <c r="B1390" s="454" t="str">
        <v>Others</v>
      </c>
      <c r="C1390" s="456"/>
      <c r="D1390" s="456"/>
      <c r="E1390" s="456"/>
      <c r="F1390" s="456"/>
      <c r="G1390" s="456">
        <f t="shared" si="247"/>
        <v>0</v>
      </c>
      <c r="H1390" s="456" t="str">
        <v>-</v>
      </c>
      <c r="I1390" s="456" t="str">
        <v>N.A.</v>
      </c>
      <c r="J1390" s="456">
        <v>0</v>
      </c>
      <c r="K1390" s="456">
        <v>0</v>
      </c>
      <c r="L1390" s="456">
        <f t="shared" si="248"/>
        <v>0</v>
      </c>
      <c r="O1390" s="455">
        <f t="shared" si="245"/>
        <v>0</v>
      </c>
      <c r="P1390" s="455">
        <f t="shared" si="246"/>
        <v>0</v>
      </c>
    </row>
    <row r="1391" spans="1:18" s="479" customFormat="1" ht="13.5" customHeight="1">
      <c r="A1391" s="475" t="s">
        <v>628</v>
      </c>
      <c r="B1391" s="476" t="str">
        <f>'Flat Sizes'!B116</f>
        <v>C. Toilet</v>
      </c>
      <c r="C1391" s="477">
        <f>'Flat Sizes'!D116</f>
        <v>3.83</v>
      </c>
      <c r="D1391" s="477">
        <f>'Flat Sizes'!G116</f>
        <v>8.32</v>
      </c>
      <c r="E1391" s="477"/>
      <c r="F1391" s="454"/>
      <c r="G1391" s="477"/>
      <c r="H1391" s="477"/>
      <c r="I1391" s="477"/>
      <c r="J1391" s="477"/>
      <c r="K1391" s="477"/>
      <c r="L1391" s="477"/>
      <c r="M1391" s="459">
        <f>SUM(L1392:L1403)/C1391/10.764</f>
        <v>1210.9850934795709</v>
      </c>
      <c r="N1391" s="472"/>
      <c r="O1391" s="455">
        <f t="shared" si="245"/>
        <v>0</v>
      </c>
      <c r="P1391" s="455">
        <f t="shared" si="246"/>
        <v>0</v>
      </c>
      <c r="Q1391" s="478"/>
    </row>
    <row r="1392" spans="1:18">
      <c r="A1392" s="454"/>
      <c r="B1392" s="454" t="str" cm="1">
        <f t="array" ref="B1392:B1403">'Rate List - Flats'!B76:B87</f>
        <v>Flooring</v>
      </c>
      <c r="C1392" s="456"/>
      <c r="D1392" s="456"/>
      <c r="E1392" s="456">
        <f>C1391</f>
        <v>3.83</v>
      </c>
      <c r="F1392" s="456"/>
      <c r="G1392" s="456">
        <f t="shared" si="247"/>
        <v>3.83</v>
      </c>
      <c r="H1392" s="456" t="str" cm="1">
        <f t="array" ref="H1392:H1403">'Rate List - Flats'!H76:H87</f>
        <v>Sq M</v>
      </c>
      <c r="I1392" s="456" t="str" cm="1">
        <f t="array" ref="I1392:I1403">'Rate List - Flats'!C76:C87</f>
        <v>ceramic tiles/vitrified anti-skid tiles</v>
      </c>
      <c r="J1392" s="456" cm="1">
        <f t="array" ref="J1392:J1403">'Rate List - Flats'!E76:E87</f>
        <v>50</v>
      </c>
      <c r="K1392" s="456" cm="1">
        <f t="array" ref="K1392:K1403">'Rate List - Flats'!G76:G87</f>
        <v>1399.32</v>
      </c>
      <c r="L1392" s="456">
        <f t="shared" si="248"/>
        <v>5359.3955999999998</v>
      </c>
      <c r="O1392" s="455">
        <f t="shared" si="245"/>
        <v>99.58</v>
      </c>
      <c r="P1392" s="455">
        <f t="shared" si="246"/>
        <v>139344.2856</v>
      </c>
      <c r="R1392" s="480" t="s">
        <v>667</v>
      </c>
    </row>
    <row r="1393" spans="1:18">
      <c r="A1393" s="454"/>
      <c r="B1393" s="454" t="str">
        <v>Skirting</v>
      </c>
      <c r="C1393" s="456"/>
      <c r="D1393" s="456"/>
      <c r="E1393" s="456"/>
      <c r="F1393" s="456"/>
      <c r="G1393" s="456">
        <f t="shared" si="247"/>
        <v>0</v>
      </c>
      <c r="H1393" s="456" t="str">
        <v xml:space="preserve">RM </v>
      </c>
      <c r="I1393" s="456" t="str">
        <v>N.A.</v>
      </c>
      <c r="J1393" s="456">
        <v>0</v>
      </c>
      <c r="K1393" s="456">
        <v>0</v>
      </c>
      <c r="L1393" s="456">
        <f t="shared" si="248"/>
        <v>0</v>
      </c>
      <c r="O1393" s="455">
        <f t="shared" si="245"/>
        <v>0</v>
      </c>
      <c r="P1393" s="455">
        <f t="shared" si="246"/>
        <v>0</v>
      </c>
      <c r="R1393" s="480"/>
    </row>
    <row r="1394" spans="1:18">
      <c r="A1394" s="454"/>
      <c r="B1394" s="454" t="str">
        <v>Dado</v>
      </c>
      <c r="C1394" s="456"/>
      <c r="D1394" s="456">
        <f>D1-0.7</f>
        <v>2.4000000000000004</v>
      </c>
      <c r="E1394" s="456">
        <f>D1391*D1394</f>
        <v>19.968000000000004</v>
      </c>
      <c r="F1394" s="456">
        <f>-(Doors!H100+Windows!H120)</f>
        <v>-2.0250000000000004</v>
      </c>
      <c r="G1394" s="456">
        <f t="shared" si="247"/>
        <v>17.943000000000005</v>
      </c>
      <c r="H1394" s="456" t="str">
        <v>Sq M</v>
      </c>
      <c r="I1394" s="456" t="str">
        <v>Vitrified tiles</v>
      </c>
      <c r="J1394" s="456">
        <v>50</v>
      </c>
      <c r="K1394" s="456">
        <v>1480.05</v>
      </c>
      <c r="L1394" s="456">
        <f t="shared" si="248"/>
        <v>26556.537150000007</v>
      </c>
      <c r="O1394" s="455">
        <f t="shared" si="245"/>
        <v>466.51800000000014</v>
      </c>
      <c r="P1394" s="455">
        <f t="shared" si="246"/>
        <v>690469.96590000018</v>
      </c>
      <c r="R1394" s="480" t="s">
        <v>668</v>
      </c>
    </row>
    <row r="1395" spans="1:18">
      <c r="A1395" s="454"/>
      <c r="B1395" s="454" t="str">
        <v>Wall finishes plaster</v>
      </c>
      <c r="C1395" s="456"/>
      <c r="D1395" s="456">
        <f>D1-D1394</f>
        <v>0.69999999999999973</v>
      </c>
      <c r="E1395" s="456">
        <f>D1391*D1395</f>
        <v>5.8239999999999981</v>
      </c>
      <c r="F1395" s="456"/>
      <c r="G1395" s="456">
        <f t="shared" si="247"/>
        <v>5.8239999999999981</v>
      </c>
      <c r="H1395" s="456" t="str">
        <v>Sq M</v>
      </c>
      <c r="I1395" s="456" t="str">
        <v>Gypsum Plaster</v>
      </c>
      <c r="J1395" s="456">
        <v>32</v>
      </c>
      <c r="K1395" s="456">
        <v>344.44799999999998</v>
      </c>
      <c r="L1395" s="456">
        <f t="shared" si="248"/>
        <v>2006.0651519999992</v>
      </c>
      <c r="O1395" s="455">
        <f t="shared" si="245"/>
        <v>151.42399999999995</v>
      </c>
      <c r="P1395" s="455">
        <f t="shared" si="246"/>
        <v>52157.69395199998</v>
      </c>
      <c r="R1395" s="480" t="s">
        <v>661</v>
      </c>
    </row>
    <row r="1396" spans="1:18">
      <c r="A1396" s="454"/>
      <c r="B1396" s="454" t="str">
        <v>Ceiling plaster</v>
      </c>
      <c r="C1396" s="456"/>
      <c r="D1396" s="456"/>
      <c r="E1396" s="456">
        <f>E1392</f>
        <v>3.83</v>
      </c>
      <c r="F1396" s="456"/>
      <c r="G1396" s="456">
        <f t="shared" si="247"/>
        <v>3.83</v>
      </c>
      <c r="H1396" s="456" t="str">
        <v>Sq M</v>
      </c>
      <c r="I1396" s="456" t="str">
        <v>Gypsum Plaster</v>
      </c>
      <c r="J1396" s="456">
        <v>32</v>
      </c>
      <c r="K1396" s="456">
        <v>344.44799999999998</v>
      </c>
      <c r="L1396" s="456">
        <f t="shared" si="248"/>
        <v>1319.2358400000001</v>
      </c>
      <c r="O1396" s="455">
        <f t="shared" si="245"/>
        <v>99.58</v>
      </c>
      <c r="P1396" s="455">
        <f t="shared" si="246"/>
        <v>34300.131840000002</v>
      </c>
      <c r="R1396" s="480" t="s">
        <v>662</v>
      </c>
    </row>
    <row r="1397" spans="1:18">
      <c r="A1397" s="454"/>
      <c r="B1397" s="454" t="str">
        <v>False ceiling</v>
      </c>
      <c r="C1397" s="456"/>
      <c r="D1397" s="456"/>
      <c r="E1397" s="456"/>
      <c r="F1397" s="456"/>
      <c r="G1397" s="456">
        <f t="shared" si="247"/>
        <v>0</v>
      </c>
      <c r="H1397" s="456" t="str">
        <v>Sq M</v>
      </c>
      <c r="I1397" s="456" t="str">
        <v>N.A.</v>
      </c>
      <c r="J1397" s="456">
        <v>0</v>
      </c>
      <c r="K1397" s="456">
        <v>0</v>
      </c>
      <c r="L1397" s="456">
        <f t="shared" si="248"/>
        <v>0</v>
      </c>
      <c r="O1397" s="455">
        <f t="shared" si="245"/>
        <v>0</v>
      </c>
      <c r="P1397" s="455">
        <f t="shared" si="246"/>
        <v>0</v>
      </c>
      <c r="R1397" s="480"/>
    </row>
    <row r="1398" spans="1:18">
      <c r="A1398" s="454"/>
      <c r="B1398" s="454" t="str">
        <v>Wall finishes Paint</v>
      </c>
      <c r="C1398" s="456"/>
      <c r="D1398" s="456"/>
      <c r="E1398" s="456">
        <f>E1395</f>
        <v>5.8239999999999981</v>
      </c>
      <c r="F1398" s="456"/>
      <c r="G1398" s="456">
        <f t="shared" si="247"/>
        <v>5.8239999999999981</v>
      </c>
      <c r="H1398" s="456" t="str">
        <v>Sq M</v>
      </c>
      <c r="I1398" s="456" t="str">
        <v>Plastic paint</v>
      </c>
      <c r="J1398" s="456">
        <v>20</v>
      </c>
      <c r="K1398" s="456">
        <v>215.27999999999997</v>
      </c>
      <c r="L1398" s="456">
        <f t="shared" si="248"/>
        <v>1253.7907199999995</v>
      </c>
      <c r="O1398" s="455">
        <f t="shared" si="245"/>
        <v>151.42399999999995</v>
      </c>
      <c r="P1398" s="455">
        <f t="shared" si="246"/>
        <v>32598.558719999986</v>
      </c>
      <c r="R1398" s="480" t="s">
        <v>663</v>
      </c>
    </row>
    <row r="1399" spans="1:18">
      <c r="A1399" s="454"/>
      <c r="B1399" s="454" t="str">
        <v>Ceiling Paint</v>
      </c>
      <c r="C1399" s="456"/>
      <c r="D1399" s="456"/>
      <c r="E1399" s="456">
        <f>E1396</f>
        <v>3.83</v>
      </c>
      <c r="F1399" s="456"/>
      <c r="G1399" s="456">
        <f t="shared" si="247"/>
        <v>3.83</v>
      </c>
      <c r="H1399" s="456" t="str">
        <v>Sq M</v>
      </c>
      <c r="I1399" s="456" t="str">
        <v>Plastic paint</v>
      </c>
      <c r="J1399" s="456">
        <v>20</v>
      </c>
      <c r="K1399" s="456">
        <v>215.27999999999997</v>
      </c>
      <c r="L1399" s="456">
        <f t="shared" si="248"/>
        <v>824.52239999999995</v>
      </c>
      <c r="O1399" s="455">
        <f t="shared" si="245"/>
        <v>99.58</v>
      </c>
      <c r="P1399" s="455">
        <f t="shared" si="246"/>
        <v>21437.582399999999</v>
      </c>
      <c r="R1399" s="480" t="s">
        <v>664</v>
      </c>
    </row>
    <row r="1400" spans="1:18">
      <c r="A1400" s="454"/>
      <c r="B1400" s="454" t="str">
        <v>Door Frames</v>
      </c>
      <c r="C1400" s="456"/>
      <c r="D1400" s="456"/>
      <c r="E1400" s="456">
        <f>Doors!F100*4+Doors!G100*4</f>
        <v>11.4</v>
      </c>
      <c r="F1400" s="456"/>
      <c r="G1400" s="456">
        <f t="shared" si="247"/>
        <v>11.4</v>
      </c>
      <c r="H1400" s="456" t="str">
        <v>RM</v>
      </c>
      <c r="I1400" s="456" t="str">
        <v>Granite Frames</v>
      </c>
      <c r="J1400" s="456">
        <v>180</v>
      </c>
      <c r="K1400" s="456">
        <v>655.92719999999997</v>
      </c>
      <c r="L1400" s="456">
        <f t="shared" si="248"/>
        <v>7477.5700799999995</v>
      </c>
      <c r="O1400" s="455">
        <f t="shared" si="245"/>
        <v>296.40000000000003</v>
      </c>
      <c r="P1400" s="455">
        <f t="shared" si="246"/>
        <v>194416.82207999998</v>
      </c>
      <c r="R1400" s="480" t="s">
        <v>669</v>
      </c>
    </row>
    <row r="1401" spans="1:18">
      <c r="A1401" s="454"/>
      <c r="B1401" s="454" t="str">
        <v>Window Frames - Internal</v>
      </c>
      <c r="C1401" s="456"/>
      <c r="D1401" s="456"/>
      <c r="E1401" s="456">
        <f>Windows!F120*2+Windows!G120*2</f>
        <v>2.7</v>
      </c>
      <c r="F1401" s="456"/>
      <c r="G1401" s="456">
        <f t="shared" si="247"/>
        <v>2.7</v>
      </c>
      <c r="H1401" s="456" t="str">
        <v>RM</v>
      </c>
      <c r="I1401" s="456" t="str">
        <v>Granite Window Frame</v>
      </c>
      <c r="J1401" s="456">
        <v>180</v>
      </c>
      <c r="K1401" s="456">
        <v>655.92719999999997</v>
      </c>
      <c r="L1401" s="456">
        <f t="shared" si="248"/>
        <v>1771.00344</v>
      </c>
      <c r="O1401" s="455">
        <f t="shared" si="245"/>
        <v>70.2</v>
      </c>
      <c r="P1401" s="455">
        <f t="shared" si="246"/>
        <v>46046.089439999996</v>
      </c>
      <c r="R1401" s="480" t="s">
        <v>743</v>
      </c>
    </row>
    <row r="1402" spans="1:18">
      <c r="A1402" s="454"/>
      <c r="B1402" s="454" t="str">
        <v>Window Frames - External</v>
      </c>
      <c r="C1402" s="456"/>
      <c r="D1402" s="456"/>
      <c r="E1402" s="456">
        <f>E1401</f>
        <v>2.7</v>
      </c>
      <c r="F1402" s="456"/>
      <c r="G1402" s="456">
        <f t="shared" si="247"/>
        <v>2.7</v>
      </c>
      <c r="H1402" s="456" t="str">
        <v>RM</v>
      </c>
      <c r="I1402" s="456" t="str">
        <v>Marble Window Frames with Sill</v>
      </c>
      <c r="J1402" s="456">
        <v>60</v>
      </c>
      <c r="K1402" s="456">
        <v>399.04239999999999</v>
      </c>
      <c r="L1402" s="456">
        <f t="shared" si="248"/>
        <v>1077.4144800000001</v>
      </c>
      <c r="O1402" s="455">
        <f t="shared" si="245"/>
        <v>70.2</v>
      </c>
      <c r="P1402" s="455">
        <f t="shared" si="246"/>
        <v>28012.776480000004</v>
      </c>
      <c r="R1402" s="480" t="s">
        <v>409</v>
      </c>
    </row>
    <row r="1403" spans="1:18">
      <c r="A1403" s="454"/>
      <c r="B1403" s="454" t="str">
        <v>Others - Counter</v>
      </c>
      <c r="C1403" s="456"/>
      <c r="D1403" s="456"/>
      <c r="E1403" s="456">
        <f>0.6*0.6</f>
        <v>0.36</v>
      </c>
      <c r="F1403" s="456"/>
      <c r="G1403" s="456">
        <f t="shared" si="247"/>
        <v>0.36</v>
      </c>
      <c r="H1403" s="456" t="str">
        <v>Sq M</v>
      </c>
      <c r="I1403" s="456" t="str">
        <v>Basin Counter 1'6" - Granite Basin Counter</v>
      </c>
      <c r="J1403" s="456">
        <v>180</v>
      </c>
      <c r="K1403" s="456">
        <v>6329.6720000000005</v>
      </c>
      <c r="L1403" s="456">
        <f t="shared" si="248"/>
        <v>2278.68192</v>
      </c>
      <c r="O1403" s="455">
        <f t="shared" si="245"/>
        <v>9.36</v>
      </c>
      <c r="P1403" s="455">
        <f t="shared" si="246"/>
        <v>59245.729919999998</v>
      </c>
      <c r="R1403" s="480" t="s">
        <v>670</v>
      </c>
    </row>
    <row r="1404" spans="1:18" s="479" customFormat="1" ht="13.5" customHeight="1">
      <c r="A1404" s="475" t="s">
        <v>628</v>
      </c>
      <c r="B1404" s="476" t="str">
        <f>'Flat Sizes'!B117</f>
        <v>Kitchen</v>
      </c>
      <c r="C1404" s="477">
        <f>'Flat Sizes'!D117</f>
        <v>7.83</v>
      </c>
      <c r="D1404" s="477">
        <f>'Flat Sizes'!G117</f>
        <v>11.93</v>
      </c>
      <c r="E1404" s="477"/>
      <c r="F1404" s="454"/>
      <c r="G1404" s="477"/>
      <c r="H1404" s="477"/>
      <c r="I1404" s="477"/>
      <c r="J1404" s="477"/>
      <c r="K1404" s="477"/>
      <c r="L1404" s="477"/>
      <c r="M1404" s="459">
        <f>SUM(L1405:L1418)/C1404/10.764</f>
        <v>1130.0591684831847</v>
      </c>
      <c r="N1404" s="472"/>
      <c r="O1404" s="455">
        <f t="shared" si="245"/>
        <v>0</v>
      </c>
      <c r="P1404" s="455">
        <f t="shared" si="246"/>
        <v>0</v>
      </c>
      <c r="Q1404" s="478"/>
    </row>
    <row r="1405" spans="1:18">
      <c r="A1405" s="454"/>
      <c r="B1405" s="454" t="str" cm="1">
        <f t="array" ref="B1405:B1418">'Rate List - Flats'!B90:B103</f>
        <v>Flooring</v>
      </c>
      <c r="C1405" s="456"/>
      <c r="D1405" s="456"/>
      <c r="E1405" s="456">
        <f>C1404</f>
        <v>7.83</v>
      </c>
      <c r="F1405" s="456"/>
      <c r="G1405" s="456">
        <f t="shared" si="247"/>
        <v>7.83</v>
      </c>
      <c r="H1405" s="456" t="str" cm="1">
        <f t="array" ref="H1405:H1418">'Rate List - Flats'!H90:H103</f>
        <v>Sq M</v>
      </c>
      <c r="I1405" s="456" t="str" cm="1">
        <f t="array" ref="I1405:I1418">'Rate List - Flats'!C90:C103</f>
        <v>ceramic tiles/vitrified anti-skid tiles</v>
      </c>
      <c r="J1405" s="456" cm="1">
        <f t="array" ref="J1405:J1418">'Rate List - Flats'!E90:E103</f>
        <v>45</v>
      </c>
      <c r="K1405" s="456" cm="1">
        <f t="array" ref="K1405:K1418">'Rate List - Flats'!G90:G103</f>
        <v>1340.1179999999999</v>
      </c>
      <c r="L1405" s="456">
        <f t="shared" si="248"/>
        <v>10493.123939999999</v>
      </c>
      <c r="O1405" s="455">
        <f t="shared" si="245"/>
        <v>203.58</v>
      </c>
      <c r="P1405" s="455">
        <f t="shared" si="246"/>
        <v>272821.22243999998</v>
      </c>
      <c r="R1405" s="458" t="s">
        <v>659</v>
      </c>
    </row>
    <row r="1406" spans="1:18">
      <c r="A1406" s="454"/>
      <c r="B1406" s="454" t="str">
        <v>Skirting</v>
      </c>
      <c r="C1406" s="456"/>
      <c r="D1406" s="456"/>
      <c r="E1406" s="456"/>
      <c r="F1406" s="456"/>
      <c r="G1406" s="456">
        <f t="shared" si="247"/>
        <v>0</v>
      </c>
      <c r="H1406" s="456" t="str">
        <v xml:space="preserve">RM </v>
      </c>
      <c r="I1406" s="456" t="str">
        <v>N.A.</v>
      </c>
      <c r="J1406" s="456">
        <v>0</v>
      </c>
      <c r="K1406" s="456">
        <v>0</v>
      </c>
      <c r="L1406" s="456">
        <f t="shared" si="248"/>
        <v>0</v>
      </c>
      <c r="O1406" s="455">
        <f t="shared" si="245"/>
        <v>0</v>
      </c>
      <c r="P1406" s="455">
        <f t="shared" si="246"/>
        <v>0</v>
      </c>
      <c r="R1406" s="458" t="s">
        <v>660</v>
      </c>
    </row>
    <row r="1407" spans="1:18">
      <c r="A1407" s="454"/>
      <c r="B1407" s="454" t="str">
        <v>Dado</v>
      </c>
      <c r="C1407" s="456"/>
      <c r="D1407" s="456">
        <f>D1-0.9-0.7</f>
        <v>1.5000000000000002</v>
      </c>
      <c r="E1407" s="456">
        <f>(E1417+E1418)*D1407</f>
        <v>9.2100000000000026</v>
      </c>
      <c r="F1407" s="456"/>
      <c r="G1407" s="456">
        <f t="shared" si="247"/>
        <v>9.2100000000000026</v>
      </c>
      <c r="H1407" s="456" t="str">
        <v>Sq M</v>
      </c>
      <c r="I1407" s="456" t="str">
        <v>Vitrified tiles</v>
      </c>
      <c r="J1407" s="456">
        <v>45</v>
      </c>
      <c r="K1407" s="456">
        <v>1393.9379999999999</v>
      </c>
      <c r="L1407" s="456">
        <f t="shared" si="248"/>
        <v>12838.168980000002</v>
      </c>
      <c r="O1407" s="455">
        <f t="shared" si="245"/>
        <v>239.46000000000006</v>
      </c>
      <c r="P1407" s="455">
        <f t="shared" si="246"/>
        <v>333792.39348000009</v>
      </c>
      <c r="R1407" s="458" t="s">
        <v>665</v>
      </c>
    </row>
    <row r="1408" spans="1:18">
      <c r="A1408" s="454"/>
      <c r="B1408" s="454" t="str">
        <v>Dado Below Kitchen Platform</v>
      </c>
      <c r="C1408" s="456"/>
      <c r="D1408" s="456">
        <v>0.9</v>
      </c>
      <c r="E1408" s="456">
        <f>(E1417+E1418)*D1408</f>
        <v>5.5260000000000007</v>
      </c>
      <c r="F1408" s="456"/>
      <c r="G1408" s="456">
        <f t="shared" si="247"/>
        <v>5.5260000000000007</v>
      </c>
      <c r="H1408" s="456" t="str">
        <v>Sq M</v>
      </c>
      <c r="I1408" s="456" t="str">
        <v>dado under platform</v>
      </c>
      <c r="J1408" s="456">
        <v>23</v>
      </c>
      <c r="K1408" s="456">
        <v>1133.4491999999998</v>
      </c>
      <c r="L1408" s="456">
        <f t="shared" si="248"/>
        <v>6263.4402792000001</v>
      </c>
      <c r="O1408" s="455">
        <f t="shared" si="245"/>
        <v>143.67600000000002</v>
      </c>
      <c r="P1408" s="455">
        <f t="shared" si="246"/>
        <v>162849.44725920001</v>
      </c>
      <c r="R1408" s="458" t="s">
        <v>746</v>
      </c>
    </row>
    <row r="1409" spans="1:18">
      <c r="A1409" s="454"/>
      <c r="B1409" s="454" t="str">
        <v>Wall finishes plaster</v>
      </c>
      <c r="C1409" s="456"/>
      <c r="D1409" s="456">
        <f>D1-0.15</f>
        <v>2.95</v>
      </c>
      <c r="E1409" s="456">
        <f>(D1404*D1409)-(E1407+E1408)</f>
        <v>20.457499999999996</v>
      </c>
      <c r="F1409" s="456">
        <f>-(Doors!H101+Windows!H121)</f>
        <v>-4.04</v>
      </c>
      <c r="G1409" s="456">
        <f t="shared" si="247"/>
        <v>16.417499999999997</v>
      </c>
      <c r="H1409" s="456" t="str">
        <v>Sq M</v>
      </c>
      <c r="I1409" s="456" t="str">
        <v>Gypsum Plaster</v>
      </c>
      <c r="J1409" s="456">
        <v>32</v>
      </c>
      <c r="K1409" s="456">
        <v>376.73999999999995</v>
      </c>
      <c r="L1409" s="456">
        <f t="shared" si="248"/>
        <v>6185.1289499999984</v>
      </c>
      <c r="O1409" s="455">
        <f t="shared" si="245"/>
        <v>426.8549999999999</v>
      </c>
      <c r="P1409" s="455">
        <f t="shared" si="246"/>
        <v>160813.35269999996</v>
      </c>
      <c r="R1409" s="458" t="s">
        <v>661</v>
      </c>
    </row>
    <row r="1410" spans="1:18">
      <c r="A1410" s="454"/>
      <c r="B1410" s="454" t="str">
        <v>Ceiling plaster</v>
      </c>
      <c r="C1410" s="456"/>
      <c r="D1410" s="456"/>
      <c r="E1410" s="456">
        <f>E1405</f>
        <v>7.83</v>
      </c>
      <c r="F1410" s="456"/>
      <c r="G1410" s="456">
        <f t="shared" si="247"/>
        <v>7.83</v>
      </c>
      <c r="H1410" s="456" t="str">
        <v>Sq M</v>
      </c>
      <c r="I1410" s="456" t="str">
        <v>Gypsum Plaster</v>
      </c>
      <c r="J1410" s="456">
        <v>32</v>
      </c>
      <c r="K1410" s="456">
        <v>344.44799999999998</v>
      </c>
      <c r="L1410" s="456">
        <f t="shared" si="248"/>
        <v>2697.0278399999997</v>
      </c>
      <c r="O1410" s="455">
        <f t="shared" si="245"/>
        <v>203.58</v>
      </c>
      <c r="P1410" s="455">
        <f t="shared" si="246"/>
        <v>70122.723839999991</v>
      </c>
      <c r="R1410" s="458" t="s">
        <v>662</v>
      </c>
    </row>
    <row r="1411" spans="1:18">
      <c r="A1411" s="454"/>
      <c r="B1411" s="454" t="str">
        <v>False ceiling</v>
      </c>
      <c r="C1411" s="456"/>
      <c r="D1411" s="456"/>
      <c r="E1411" s="456"/>
      <c r="F1411" s="456"/>
      <c r="G1411" s="456">
        <f t="shared" si="247"/>
        <v>0</v>
      </c>
      <c r="H1411" s="456" t="str">
        <v>Sq M</v>
      </c>
      <c r="I1411" s="456" t="str">
        <v>N.A.</v>
      </c>
      <c r="J1411" s="456">
        <v>0</v>
      </c>
      <c r="K1411" s="456">
        <v>0</v>
      </c>
      <c r="L1411" s="456">
        <f t="shared" si="248"/>
        <v>0</v>
      </c>
      <c r="O1411" s="455">
        <f t="shared" si="245"/>
        <v>0</v>
      </c>
      <c r="P1411" s="455">
        <f t="shared" si="246"/>
        <v>0</v>
      </c>
      <c r="R1411" s="458"/>
    </row>
    <row r="1412" spans="1:18">
      <c r="A1412" s="454"/>
      <c r="B1412" s="454" t="str">
        <v>Wall finishes Paint</v>
      </c>
      <c r="C1412" s="456"/>
      <c r="D1412" s="456"/>
      <c r="E1412" s="456">
        <f>E1409</f>
        <v>20.457499999999996</v>
      </c>
      <c r="F1412" s="456">
        <f>F1409</f>
        <v>-4.04</v>
      </c>
      <c r="G1412" s="456">
        <f t="shared" si="247"/>
        <v>16.417499999999997</v>
      </c>
      <c r="H1412" s="456" t="str">
        <v>Sq M</v>
      </c>
      <c r="I1412" s="456" t="str">
        <v>Plastic paint</v>
      </c>
      <c r="J1412" s="456">
        <v>20</v>
      </c>
      <c r="K1412" s="456">
        <v>215.27999999999997</v>
      </c>
      <c r="L1412" s="456">
        <f t="shared" si="248"/>
        <v>3534.3593999999989</v>
      </c>
      <c r="O1412" s="455">
        <f t="shared" si="245"/>
        <v>426.8549999999999</v>
      </c>
      <c r="P1412" s="455">
        <f t="shared" si="246"/>
        <v>91893.344399999973</v>
      </c>
      <c r="R1412" s="458" t="s">
        <v>663</v>
      </c>
    </row>
    <row r="1413" spans="1:18">
      <c r="A1413" s="454"/>
      <c r="B1413" s="454" t="str">
        <v>Ceiling Paint</v>
      </c>
      <c r="C1413" s="456"/>
      <c r="D1413" s="456"/>
      <c r="E1413" s="456">
        <f>E1410</f>
        <v>7.83</v>
      </c>
      <c r="F1413" s="456"/>
      <c r="G1413" s="456">
        <f t="shared" si="247"/>
        <v>7.83</v>
      </c>
      <c r="H1413" s="456" t="str">
        <v>Sq M</v>
      </c>
      <c r="I1413" s="456" t="str">
        <v>Plastic paint</v>
      </c>
      <c r="J1413" s="456">
        <v>20</v>
      </c>
      <c r="K1413" s="456">
        <v>215.27999999999997</v>
      </c>
      <c r="L1413" s="456">
        <f t="shared" si="248"/>
        <v>1685.6423999999997</v>
      </c>
      <c r="O1413" s="455">
        <f t="shared" si="245"/>
        <v>203.58</v>
      </c>
      <c r="P1413" s="455">
        <f t="shared" si="246"/>
        <v>43826.702399999995</v>
      </c>
      <c r="R1413" s="458" t="s">
        <v>664</v>
      </c>
    </row>
    <row r="1414" spans="1:18">
      <c r="A1414" s="454"/>
      <c r="B1414" s="454" t="str">
        <v>Door Frames</v>
      </c>
      <c r="C1414" s="456"/>
      <c r="D1414" s="456"/>
      <c r="E1414" s="456"/>
      <c r="F1414" s="456"/>
      <c r="G1414" s="456">
        <f t="shared" si="247"/>
        <v>0</v>
      </c>
      <c r="H1414" s="456" t="str">
        <v>Sq M</v>
      </c>
      <c r="I1414" s="456" t="str">
        <v>N.A.</v>
      </c>
      <c r="J1414" s="456">
        <v>0</v>
      </c>
      <c r="K1414" s="456">
        <v>0</v>
      </c>
      <c r="L1414" s="456">
        <f t="shared" si="248"/>
        <v>0</v>
      </c>
      <c r="O1414" s="455">
        <f t="shared" si="245"/>
        <v>0</v>
      </c>
      <c r="P1414" s="455">
        <f t="shared" si="246"/>
        <v>0</v>
      </c>
      <c r="R1414" s="458" t="s">
        <v>407</v>
      </c>
    </row>
    <row r="1415" spans="1:18">
      <c r="A1415" s="454"/>
      <c r="B1415" s="454" t="str">
        <v>Window Frames - Internal</v>
      </c>
      <c r="C1415" s="456"/>
      <c r="D1415" s="456"/>
      <c r="E1415" s="456">
        <f>Windows!F121*2+Windows!G121*2</f>
        <v>6.3</v>
      </c>
      <c r="F1415" s="456"/>
      <c r="G1415" s="456">
        <f t="shared" si="247"/>
        <v>6.3</v>
      </c>
      <c r="H1415" s="456" t="str">
        <v>RM</v>
      </c>
      <c r="I1415" s="456" t="str">
        <v>Granite Window Frame</v>
      </c>
      <c r="J1415" s="456">
        <v>180</v>
      </c>
      <c r="K1415" s="456">
        <v>655.92719999999997</v>
      </c>
      <c r="L1415" s="456">
        <f t="shared" si="248"/>
        <v>4132.3413599999994</v>
      </c>
      <c r="O1415" s="455">
        <f t="shared" si="245"/>
        <v>163.79999999999998</v>
      </c>
      <c r="P1415" s="455">
        <f t="shared" si="246"/>
        <v>107440.87535999999</v>
      </c>
      <c r="R1415" s="458" t="s">
        <v>408</v>
      </c>
    </row>
    <row r="1416" spans="1:18">
      <c r="A1416" s="454"/>
      <c r="B1416" s="454" t="str">
        <v>Window Frames - External</v>
      </c>
      <c r="C1416" s="456"/>
      <c r="D1416" s="456"/>
      <c r="E1416" s="456">
        <f>E1415</f>
        <v>6.3</v>
      </c>
      <c r="F1416" s="456"/>
      <c r="G1416" s="456">
        <f t="shared" si="247"/>
        <v>6.3</v>
      </c>
      <c r="H1416" s="456" t="str">
        <v>RM</v>
      </c>
      <c r="I1416" s="456" t="str">
        <v>Marble Window Frames with Sill</v>
      </c>
      <c r="J1416" s="456">
        <v>60</v>
      </c>
      <c r="K1416" s="456">
        <v>399.04239999999999</v>
      </c>
      <c r="L1416" s="456">
        <f t="shared" si="248"/>
        <v>2513.9671199999998</v>
      </c>
      <c r="O1416" s="455">
        <f t="shared" si="245"/>
        <v>163.79999999999998</v>
      </c>
      <c r="P1416" s="455">
        <f t="shared" si="246"/>
        <v>65363.145119999994</v>
      </c>
      <c r="R1416" s="458" t="s">
        <v>409</v>
      </c>
    </row>
    <row r="1417" spans="1:18">
      <c r="A1417" s="454"/>
      <c r="B1417" s="454" t="str">
        <v>Kitchen Platform</v>
      </c>
      <c r="C1417" s="456"/>
      <c r="D1417" s="456"/>
      <c r="E1417" s="456">
        <v>3.52</v>
      </c>
      <c r="F1417" s="456"/>
      <c r="G1417" s="456">
        <f t="shared" si="247"/>
        <v>3.52</v>
      </c>
      <c r="H1417" s="456" t="str">
        <v>RM</v>
      </c>
      <c r="I1417" s="456" t="str">
        <v>Kitchen 2' Granite Main Counter</v>
      </c>
      <c r="J1417" s="456">
        <v>180</v>
      </c>
      <c r="K1417" s="456">
        <v>7312.7984000000006</v>
      </c>
      <c r="L1417" s="456">
        <f t="shared" si="248"/>
        <v>25741.050368000004</v>
      </c>
      <c r="O1417" s="455">
        <f t="shared" si="245"/>
        <v>91.52</v>
      </c>
      <c r="P1417" s="455">
        <f t="shared" si="246"/>
        <v>669267.30956800014</v>
      </c>
      <c r="R1417" s="458" t="s">
        <v>747</v>
      </c>
    </row>
    <row r="1418" spans="1:18">
      <c r="A1418" s="454"/>
      <c r="B1418" s="454" t="str">
        <v>Service Platform</v>
      </c>
      <c r="C1418" s="456"/>
      <c r="D1418" s="456"/>
      <c r="E1418" s="456">
        <f>E1417-0.9</f>
        <v>2.62</v>
      </c>
      <c r="F1418" s="456"/>
      <c r="G1418" s="456">
        <f t="shared" si="247"/>
        <v>2.62</v>
      </c>
      <c r="H1418" s="456" t="str">
        <v>RM</v>
      </c>
      <c r="I1418" s="456" t="str">
        <v>Kitchen 1'6" Granite Main Counter</v>
      </c>
      <c r="J1418" s="456">
        <v>180</v>
      </c>
      <c r="K1418" s="456">
        <v>7312.7984000000006</v>
      </c>
      <c r="L1418" s="456">
        <f t="shared" si="248"/>
        <v>19159.531808000003</v>
      </c>
      <c r="O1418" s="455">
        <f t="shared" si="245"/>
        <v>68.12</v>
      </c>
      <c r="P1418" s="455">
        <f t="shared" si="246"/>
        <v>498147.82700800011</v>
      </c>
      <c r="R1418" s="458" t="s">
        <v>666</v>
      </c>
    </row>
    <row r="1419" spans="1:18" s="479" customFormat="1" ht="13.5" customHeight="1">
      <c r="A1419" s="475" t="s">
        <v>628</v>
      </c>
      <c r="B1419" s="476" t="str">
        <f>'Flat Sizes'!B118</f>
        <v>Utility</v>
      </c>
      <c r="C1419" s="477">
        <f>'Flat Sizes'!D118</f>
        <v>2.82</v>
      </c>
      <c r="D1419" s="477">
        <f>'Flat Sizes'!G118</f>
        <v>7.05</v>
      </c>
      <c r="E1419" s="477"/>
      <c r="F1419" s="454"/>
      <c r="G1419" s="477"/>
      <c r="H1419" s="477"/>
      <c r="I1419" s="477"/>
      <c r="J1419" s="477"/>
      <c r="K1419" s="477"/>
      <c r="L1419" s="477"/>
      <c r="M1419" s="459">
        <f>SUM(L1420:L1428)/C1419/10.764</f>
        <v>1152.1714560750177</v>
      </c>
      <c r="N1419" s="472"/>
      <c r="O1419" s="455">
        <f t="shared" si="245"/>
        <v>0</v>
      </c>
      <c r="P1419" s="455">
        <f t="shared" si="246"/>
        <v>0</v>
      </c>
      <c r="Q1419" s="478"/>
    </row>
    <row r="1420" spans="1:18">
      <c r="A1420" s="454"/>
      <c r="B1420" s="454" t="str" cm="1">
        <f t="array" ref="B1420:B1428">'Rate List - Flats'!B120:B128</f>
        <v>Flooring</v>
      </c>
      <c r="C1420" s="456"/>
      <c r="D1420" s="456"/>
      <c r="E1420" s="456">
        <f>C1419</f>
        <v>2.82</v>
      </c>
      <c r="F1420" s="456"/>
      <c r="G1420" s="456">
        <f t="shared" si="247"/>
        <v>2.82</v>
      </c>
      <c r="H1420" s="456" t="str" cm="1">
        <f t="array" ref="H1420:H1428">'Rate List - Flats'!H120:H128</f>
        <v>Sq M</v>
      </c>
      <c r="I1420" s="456" t="str" cm="1">
        <f t="array" ref="I1420:I1428">'Rate List - Flats'!C120:C128</f>
        <v>2'x2' Vitrified tiles</v>
      </c>
      <c r="J1420" s="456" cm="1">
        <f t="array" ref="J1420:J1428">'Rate List - Flats'!E120:E128</f>
        <v>45</v>
      </c>
      <c r="K1420" s="456" cm="1">
        <f t="array" ref="K1420:K1428">'Rate List - Flats'!G120:G128</f>
        <v>1340.1179999999999</v>
      </c>
      <c r="L1420" s="456">
        <f t="shared" si="248"/>
        <v>3779.1327599999995</v>
      </c>
      <c r="O1420" s="455">
        <f t="shared" si="245"/>
        <v>73.319999999999993</v>
      </c>
      <c r="P1420" s="455">
        <f t="shared" si="246"/>
        <v>98257.451759999982</v>
      </c>
      <c r="R1420" s="458" t="s">
        <v>748</v>
      </c>
    </row>
    <row r="1421" spans="1:18">
      <c r="A1421" s="454"/>
      <c r="B1421" s="454" t="str">
        <v>Skirting</v>
      </c>
      <c r="C1421" s="456"/>
      <c r="D1421" s="456"/>
      <c r="E1421" s="456">
        <f>D1419</f>
        <v>7.05</v>
      </c>
      <c r="F1421" s="456"/>
      <c r="G1421" s="456">
        <f t="shared" si="247"/>
        <v>7.05</v>
      </c>
      <c r="H1421" s="456" t="str">
        <v xml:space="preserve">RM </v>
      </c>
      <c r="I1421" s="456" t="str">
        <v xml:space="preserve">2'x2' Vitrified tiles </v>
      </c>
      <c r="J1421" s="456">
        <v>45</v>
      </c>
      <c r="K1421" s="456">
        <v>391.96</v>
      </c>
      <c r="L1421" s="456">
        <f t="shared" si="248"/>
        <v>2763.3179999999998</v>
      </c>
      <c r="O1421" s="455">
        <f t="shared" si="245"/>
        <v>183.29999999999998</v>
      </c>
      <c r="P1421" s="455">
        <f t="shared" si="246"/>
        <v>71846.267999999996</v>
      </c>
      <c r="R1421" s="458" t="s">
        <v>749</v>
      </c>
    </row>
    <row r="1422" spans="1:18">
      <c r="A1422" s="454"/>
      <c r="B1422" s="454" t="str">
        <v>Dado</v>
      </c>
      <c r="C1422" s="456"/>
      <c r="D1422" s="456"/>
      <c r="E1422" s="456"/>
      <c r="F1422" s="456"/>
      <c r="G1422" s="456">
        <f t="shared" si="247"/>
        <v>0</v>
      </c>
      <c r="H1422" s="456" t="str">
        <v>Sq M</v>
      </c>
      <c r="I1422" s="456" t="str">
        <v>N.A</v>
      </c>
      <c r="J1422" s="456">
        <v>0</v>
      </c>
      <c r="K1422" s="456">
        <v>0</v>
      </c>
      <c r="L1422" s="456">
        <f t="shared" si="248"/>
        <v>0</v>
      </c>
      <c r="O1422" s="455">
        <f t="shared" si="245"/>
        <v>0</v>
      </c>
      <c r="P1422" s="455">
        <f t="shared" si="246"/>
        <v>0</v>
      </c>
      <c r="R1422" s="458" t="s">
        <v>750</v>
      </c>
    </row>
    <row r="1423" spans="1:18">
      <c r="A1423" s="454"/>
      <c r="B1423" s="454" t="str">
        <v>Wall finishes plaster</v>
      </c>
      <c r="C1423" s="456"/>
      <c r="D1423" s="456"/>
      <c r="E1423" s="456">
        <f>D1419*(D1-0.15)</f>
        <v>20.797499999999999</v>
      </c>
      <c r="F1423" s="456">
        <f>-(Windows!K122*2.15)</f>
        <v>-2.15</v>
      </c>
      <c r="G1423" s="456">
        <f t="shared" si="247"/>
        <v>18.647500000000001</v>
      </c>
      <c r="H1423" s="456" t="str">
        <v>Sq M</v>
      </c>
      <c r="I1423" s="456" t="str">
        <v>External Plaster  - 15 mm</v>
      </c>
      <c r="J1423" s="456">
        <v>85</v>
      </c>
      <c r="K1423" s="456">
        <v>914.93999999999994</v>
      </c>
      <c r="L1423" s="456">
        <f t="shared" si="248"/>
        <v>17061.343649999999</v>
      </c>
      <c r="O1423" s="455">
        <f t="shared" si="245"/>
        <v>484.83500000000004</v>
      </c>
      <c r="P1423" s="455">
        <f t="shared" si="246"/>
        <v>443594.93489999999</v>
      </c>
      <c r="R1423" s="458" t="s">
        <v>751</v>
      </c>
    </row>
    <row r="1424" spans="1:18">
      <c r="A1424" s="454"/>
      <c r="B1424" s="454" t="str">
        <v>Ceiling plaster</v>
      </c>
      <c r="C1424" s="456"/>
      <c r="D1424" s="456"/>
      <c r="E1424" s="456">
        <f>E1420</f>
        <v>2.82</v>
      </c>
      <c r="F1424" s="456"/>
      <c r="G1424" s="456">
        <f t="shared" si="247"/>
        <v>2.82</v>
      </c>
      <c r="H1424" s="456" t="str">
        <v>Sq M</v>
      </c>
      <c r="I1424" s="456" t="str">
        <v>Gypsum Plaster</v>
      </c>
      <c r="J1424" s="456">
        <v>32</v>
      </c>
      <c r="K1424" s="456">
        <v>344.44799999999998</v>
      </c>
      <c r="L1424" s="456">
        <f t="shared" si="248"/>
        <v>971.34335999999985</v>
      </c>
      <c r="O1424" s="455">
        <f t="shared" si="245"/>
        <v>73.319999999999993</v>
      </c>
      <c r="P1424" s="455">
        <f t="shared" si="246"/>
        <v>25254.927359999994</v>
      </c>
      <c r="R1424" s="458" t="s">
        <v>662</v>
      </c>
    </row>
    <row r="1425" spans="1:18">
      <c r="A1425" s="454"/>
      <c r="B1425" s="454" t="str">
        <v>False ceiling</v>
      </c>
      <c r="C1425" s="456"/>
      <c r="D1425" s="456"/>
      <c r="E1425" s="456"/>
      <c r="F1425" s="456"/>
      <c r="G1425" s="456">
        <f t="shared" si="247"/>
        <v>0</v>
      </c>
      <c r="H1425" s="456" t="str">
        <v>Sq M</v>
      </c>
      <c r="I1425" s="456" t="str">
        <v>N.A.</v>
      </c>
      <c r="J1425" s="456">
        <v>0</v>
      </c>
      <c r="K1425" s="456">
        <v>0</v>
      </c>
      <c r="L1425" s="456">
        <f t="shared" si="248"/>
        <v>0</v>
      </c>
      <c r="O1425" s="455">
        <f t="shared" si="245"/>
        <v>0</v>
      </c>
      <c r="P1425" s="455">
        <f t="shared" si="246"/>
        <v>0</v>
      </c>
      <c r="R1425" s="458" t="s">
        <v>414</v>
      </c>
    </row>
    <row r="1426" spans="1:18">
      <c r="A1426" s="454"/>
      <c r="B1426" s="454" t="str">
        <v>Wall finishes Paint</v>
      </c>
      <c r="C1426" s="456"/>
      <c r="D1426" s="456"/>
      <c r="E1426" s="456">
        <f>E1423</f>
        <v>20.797499999999999</v>
      </c>
      <c r="F1426" s="456">
        <f>F1423</f>
        <v>-2.15</v>
      </c>
      <c r="G1426" s="456">
        <f t="shared" si="247"/>
        <v>18.647500000000001</v>
      </c>
      <c r="H1426" s="456" t="str">
        <v>Sq M</v>
      </c>
      <c r="I1426" s="456" t="str">
        <v>External Grade Paint</v>
      </c>
      <c r="J1426" s="456">
        <v>45</v>
      </c>
      <c r="K1426" s="456">
        <v>484.38</v>
      </c>
      <c r="L1426" s="456">
        <f t="shared" si="248"/>
        <v>9032.4760500000011</v>
      </c>
      <c r="O1426" s="455">
        <f t="shared" si="245"/>
        <v>484.83500000000004</v>
      </c>
      <c r="P1426" s="455">
        <f t="shared" si="246"/>
        <v>234844.37730000002</v>
      </c>
      <c r="R1426" s="458" t="s">
        <v>663</v>
      </c>
    </row>
    <row r="1427" spans="1:18">
      <c r="A1427" s="454"/>
      <c r="B1427" s="454" t="str">
        <v>Ceiling Paint</v>
      </c>
      <c r="C1427" s="456"/>
      <c r="D1427" s="456"/>
      <c r="E1427" s="456">
        <f>E1424</f>
        <v>2.82</v>
      </c>
      <c r="F1427" s="456"/>
      <c r="G1427" s="456">
        <f t="shared" si="247"/>
        <v>2.82</v>
      </c>
      <c r="H1427" s="456" t="str">
        <v>Sq M</v>
      </c>
      <c r="I1427" s="456" t="str">
        <v>External Grade Paint</v>
      </c>
      <c r="J1427" s="456">
        <v>45</v>
      </c>
      <c r="K1427" s="456">
        <v>484.38</v>
      </c>
      <c r="L1427" s="456">
        <f t="shared" si="248"/>
        <v>1365.9515999999999</v>
      </c>
      <c r="O1427" s="455">
        <f t="shared" si="245"/>
        <v>73.319999999999993</v>
      </c>
      <c r="P1427" s="455">
        <f t="shared" si="246"/>
        <v>35514.741599999994</v>
      </c>
      <c r="R1427" s="458" t="s">
        <v>664</v>
      </c>
    </row>
    <row r="1428" spans="1:18">
      <c r="A1428" s="454"/>
      <c r="B1428" s="454" t="str">
        <v>Others</v>
      </c>
      <c r="C1428" s="456"/>
      <c r="D1428" s="456"/>
      <c r="E1428" s="456"/>
      <c r="F1428" s="456"/>
      <c r="G1428" s="456">
        <f t="shared" si="247"/>
        <v>0</v>
      </c>
      <c r="H1428" s="456" t="str">
        <v>-</v>
      </c>
      <c r="I1428" s="456" t="str">
        <v>N.A.</v>
      </c>
      <c r="J1428" s="456">
        <v>0</v>
      </c>
      <c r="K1428" s="456">
        <v>0</v>
      </c>
      <c r="L1428" s="456">
        <f t="shared" si="248"/>
        <v>0</v>
      </c>
      <c r="O1428" s="455">
        <f t="shared" si="245"/>
        <v>0</v>
      </c>
      <c r="P1428" s="455">
        <f t="shared" si="246"/>
        <v>0</v>
      </c>
    </row>
    <row r="1429" spans="1:18" s="479" customFormat="1" ht="13.5" customHeight="1">
      <c r="A1429" s="475" t="s">
        <v>628</v>
      </c>
      <c r="B1429" s="476" t="str">
        <f>'Flat Sizes'!B119</f>
        <v>Balcony</v>
      </c>
      <c r="C1429" s="477">
        <f>'Flat Sizes'!D119</f>
        <v>2.8</v>
      </c>
      <c r="D1429" s="477">
        <f>'Flat Sizes'!G119</f>
        <v>7.01</v>
      </c>
      <c r="E1429" s="477"/>
      <c r="F1429" s="454"/>
      <c r="G1429" s="477"/>
      <c r="H1429" s="477"/>
      <c r="I1429" s="477"/>
      <c r="J1429" s="477"/>
      <c r="K1429" s="477"/>
      <c r="L1429" s="477"/>
      <c r="M1429" s="545">
        <f>SUM(L1430:L1438)/C1429/10.764</f>
        <v>888.43640972554022</v>
      </c>
      <c r="N1429" s="472"/>
      <c r="O1429" s="455">
        <f t="shared" si="245"/>
        <v>0</v>
      </c>
      <c r="P1429" s="455">
        <f t="shared" si="246"/>
        <v>0</v>
      </c>
      <c r="Q1429" s="478"/>
    </row>
    <row r="1430" spans="1:18">
      <c r="A1430" s="454"/>
      <c r="B1430" s="454" t="str" cm="1">
        <f t="array" ref="B1430:B1438">'Rate List - Flats'!B120:B128</f>
        <v>Flooring</v>
      </c>
      <c r="C1430" s="456"/>
      <c r="D1430" s="456"/>
      <c r="E1430" s="456">
        <f>C1429</f>
        <v>2.8</v>
      </c>
      <c r="F1430" s="456"/>
      <c r="G1430" s="456">
        <f t="shared" si="247"/>
        <v>2.8</v>
      </c>
      <c r="H1430" s="456" t="str" cm="1">
        <f t="array" ref="H1430:H1438">'Rate List - Flats'!H120:H128</f>
        <v>Sq M</v>
      </c>
      <c r="I1430" s="456" t="str" cm="1">
        <f t="array" ref="I1430:I1438">'Rate List - Flats'!C120:C128</f>
        <v>2'x2' Vitrified tiles</v>
      </c>
      <c r="J1430" s="456" cm="1">
        <f t="array" ref="J1430:J1438">'Rate List - Flats'!E120:E128</f>
        <v>45</v>
      </c>
      <c r="K1430" s="456" cm="1">
        <f t="array" ref="K1430:K1438">'Rate List - Flats'!G120:G128</f>
        <v>1340.1179999999999</v>
      </c>
      <c r="L1430" s="456">
        <f t="shared" si="248"/>
        <v>3752.3303999999994</v>
      </c>
      <c r="O1430" s="455">
        <f t="shared" si="245"/>
        <v>72.8</v>
      </c>
      <c r="P1430" s="455">
        <f t="shared" si="246"/>
        <v>97560.590399999986</v>
      </c>
      <c r="R1430" s="458" t="s">
        <v>752</v>
      </c>
    </row>
    <row r="1431" spans="1:18">
      <c r="A1431" s="454"/>
      <c r="B1431" s="454" t="str">
        <v>Skirting</v>
      </c>
      <c r="C1431" s="456"/>
      <c r="D1431" s="456"/>
      <c r="E1431" s="456">
        <f>D1429</f>
        <v>7.01</v>
      </c>
      <c r="F1431" s="456"/>
      <c r="G1431" s="456">
        <f t="shared" si="247"/>
        <v>7.01</v>
      </c>
      <c r="H1431" s="456" t="str">
        <v xml:space="preserve">RM </v>
      </c>
      <c r="I1431" s="456" t="str">
        <v xml:space="preserve">2'x2' Vitrified tiles </v>
      </c>
      <c r="J1431" s="456">
        <v>45</v>
      </c>
      <c r="K1431" s="456">
        <v>391.96</v>
      </c>
      <c r="L1431" s="456">
        <f t="shared" si="248"/>
        <v>2747.6396</v>
      </c>
      <c r="O1431" s="455">
        <f t="shared" si="245"/>
        <v>182.26</v>
      </c>
      <c r="P1431" s="455">
        <f t="shared" si="246"/>
        <v>71438.6296</v>
      </c>
      <c r="R1431" s="458" t="s">
        <v>753</v>
      </c>
    </row>
    <row r="1432" spans="1:18">
      <c r="A1432" s="454"/>
      <c r="B1432" s="454" t="str">
        <v>Dado</v>
      </c>
      <c r="C1432" s="456"/>
      <c r="D1432" s="456"/>
      <c r="E1432" s="456"/>
      <c r="F1432" s="456"/>
      <c r="G1432" s="456">
        <f t="shared" si="247"/>
        <v>0</v>
      </c>
      <c r="H1432" s="456" t="str">
        <v>Sq M</v>
      </c>
      <c r="I1432" s="456" t="str">
        <v>N.A</v>
      </c>
      <c r="J1432" s="456">
        <v>0</v>
      </c>
      <c r="K1432" s="456">
        <v>0</v>
      </c>
      <c r="L1432" s="456">
        <f t="shared" si="248"/>
        <v>0</v>
      </c>
      <c r="O1432" s="455">
        <f t="shared" si="245"/>
        <v>0</v>
      </c>
      <c r="P1432" s="455">
        <f t="shared" si="246"/>
        <v>0</v>
      </c>
      <c r="R1432" s="458" t="s">
        <v>754</v>
      </c>
    </row>
    <row r="1433" spans="1:18">
      <c r="A1433" s="454"/>
      <c r="B1433" s="454" t="str">
        <v>Wall finishes plaster</v>
      </c>
      <c r="C1433" s="456"/>
      <c r="D1433" s="456"/>
      <c r="E1433" s="456">
        <f>D1429*(D1-0.15)</f>
        <v>20.679500000000001</v>
      </c>
      <c r="F1433" s="456">
        <f>-(Windows!K123*2.15)</f>
        <v>-7.8474999999999993</v>
      </c>
      <c r="G1433" s="456">
        <f t="shared" si="247"/>
        <v>12.832000000000001</v>
      </c>
      <c r="H1433" s="456" t="str">
        <v>Sq M</v>
      </c>
      <c r="I1433" s="456" t="str">
        <v>External Plaster  - 15 mm</v>
      </c>
      <c r="J1433" s="456">
        <v>85</v>
      </c>
      <c r="K1433" s="456">
        <v>914.93999999999994</v>
      </c>
      <c r="L1433" s="456">
        <f t="shared" si="248"/>
        <v>11740.51008</v>
      </c>
      <c r="O1433" s="455">
        <f t="shared" si="245"/>
        <v>333.63200000000001</v>
      </c>
      <c r="P1433" s="455">
        <f t="shared" si="246"/>
        <v>305253.26208000001</v>
      </c>
      <c r="R1433" s="458" t="s">
        <v>751</v>
      </c>
    </row>
    <row r="1434" spans="1:18">
      <c r="A1434" s="454"/>
      <c r="B1434" s="454" t="str">
        <v>Ceiling plaster</v>
      </c>
      <c r="C1434" s="456"/>
      <c r="D1434" s="456"/>
      <c r="E1434" s="456">
        <f>E1430</f>
        <v>2.8</v>
      </c>
      <c r="F1434" s="456"/>
      <c r="G1434" s="456">
        <f t="shared" si="247"/>
        <v>2.8</v>
      </c>
      <c r="H1434" s="456" t="str">
        <v>Sq M</v>
      </c>
      <c r="I1434" s="456" t="str">
        <v>Gypsum Plaster</v>
      </c>
      <c r="J1434" s="456">
        <v>32</v>
      </c>
      <c r="K1434" s="456">
        <v>344.44799999999998</v>
      </c>
      <c r="L1434" s="456">
        <f t="shared" si="248"/>
        <v>964.45439999999985</v>
      </c>
      <c r="O1434" s="455">
        <f t="shared" si="245"/>
        <v>72.8</v>
      </c>
      <c r="P1434" s="455">
        <f t="shared" si="246"/>
        <v>25075.814399999996</v>
      </c>
      <c r="R1434" s="458" t="s">
        <v>662</v>
      </c>
    </row>
    <row r="1435" spans="1:18">
      <c r="A1435" s="454"/>
      <c r="B1435" s="454" t="str">
        <v>False ceiling</v>
      </c>
      <c r="C1435" s="456"/>
      <c r="D1435" s="456"/>
      <c r="E1435" s="456"/>
      <c r="F1435" s="456"/>
      <c r="G1435" s="456">
        <f t="shared" si="247"/>
        <v>0</v>
      </c>
      <c r="H1435" s="456" t="str">
        <v>Sq M</v>
      </c>
      <c r="I1435" s="456" t="str">
        <v>N.A.</v>
      </c>
      <c r="J1435" s="456">
        <v>0</v>
      </c>
      <c r="K1435" s="456">
        <v>0</v>
      </c>
      <c r="L1435" s="456">
        <f t="shared" si="248"/>
        <v>0</v>
      </c>
      <c r="O1435" s="455">
        <f t="shared" si="245"/>
        <v>0</v>
      </c>
      <c r="P1435" s="455">
        <f t="shared" si="246"/>
        <v>0</v>
      </c>
      <c r="R1435" s="458" t="s">
        <v>414</v>
      </c>
    </row>
    <row r="1436" spans="1:18">
      <c r="A1436" s="454"/>
      <c r="B1436" s="454" t="str">
        <v>Wall finishes Paint</v>
      </c>
      <c r="C1436" s="456"/>
      <c r="D1436" s="456"/>
      <c r="E1436" s="456">
        <f>E1433</f>
        <v>20.679500000000001</v>
      </c>
      <c r="F1436" s="456">
        <f>F1433</f>
        <v>-7.8474999999999993</v>
      </c>
      <c r="G1436" s="456">
        <f t="shared" si="247"/>
        <v>12.832000000000001</v>
      </c>
      <c r="H1436" s="456" t="str">
        <v>Sq M</v>
      </c>
      <c r="I1436" s="456" t="str">
        <v>External Grade Paint</v>
      </c>
      <c r="J1436" s="456">
        <v>45</v>
      </c>
      <c r="K1436" s="456">
        <v>484.38</v>
      </c>
      <c r="L1436" s="456">
        <f t="shared" si="248"/>
        <v>6215.5641599999999</v>
      </c>
      <c r="O1436" s="455">
        <f t="shared" si="245"/>
        <v>333.63200000000001</v>
      </c>
      <c r="P1436" s="455">
        <f t="shared" si="246"/>
        <v>161604.66816</v>
      </c>
      <c r="R1436" s="458" t="s">
        <v>663</v>
      </c>
    </row>
    <row r="1437" spans="1:18">
      <c r="A1437" s="454"/>
      <c r="B1437" s="454" t="str">
        <v>Ceiling Paint</v>
      </c>
      <c r="C1437" s="456"/>
      <c r="D1437" s="456"/>
      <c r="E1437" s="456">
        <f>E1434</f>
        <v>2.8</v>
      </c>
      <c r="F1437" s="456"/>
      <c r="G1437" s="456">
        <f t="shared" si="247"/>
        <v>2.8</v>
      </c>
      <c r="H1437" s="456" t="str">
        <v>Sq M</v>
      </c>
      <c r="I1437" s="456" t="str">
        <v>External Grade Paint</v>
      </c>
      <c r="J1437" s="456">
        <v>45</v>
      </c>
      <c r="K1437" s="456">
        <v>484.38</v>
      </c>
      <c r="L1437" s="456">
        <f t="shared" si="248"/>
        <v>1356.2639999999999</v>
      </c>
      <c r="O1437" s="455">
        <f t="shared" si="245"/>
        <v>72.8</v>
      </c>
      <c r="P1437" s="455">
        <f t="shared" si="246"/>
        <v>35262.863999999994</v>
      </c>
      <c r="R1437" s="458" t="s">
        <v>664</v>
      </c>
    </row>
    <row r="1438" spans="1:18">
      <c r="A1438" s="454"/>
      <c r="B1438" s="454" t="str">
        <v>Others</v>
      </c>
      <c r="C1438" s="456"/>
      <c r="D1438" s="456"/>
      <c r="E1438" s="456"/>
      <c r="F1438" s="456"/>
      <c r="G1438" s="524">
        <f t="shared" si="247"/>
        <v>0</v>
      </c>
      <c r="H1438" s="456" t="str">
        <v>-</v>
      </c>
      <c r="I1438" s="456" t="str">
        <v>N.A.</v>
      </c>
      <c r="J1438" s="456">
        <v>0</v>
      </c>
      <c r="K1438" s="456">
        <v>0</v>
      </c>
      <c r="L1438" s="456">
        <f t="shared" si="248"/>
        <v>0</v>
      </c>
      <c r="O1438" s="455">
        <f t="shared" si="245"/>
        <v>0</v>
      </c>
      <c r="P1438" s="455">
        <f t="shared" si="246"/>
        <v>0</v>
      </c>
    </row>
    <row r="1439" spans="1:18" ht="13.8" thickBot="1">
      <c r="A1439" s="454"/>
      <c r="B1439" s="454"/>
      <c r="C1439" s="456"/>
      <c r="D1439" s="456"/>
      <c r="E1439" s="456"/>
      <c r="F1439" s="456"/>
      <c r="G1439" s="525">
        <f>SUM(G1313:G1438)</f>
        <v>1115.7410000000002</v>
      </c>
      <c r="H1439" s="456"/>
      <c r="I1439" s="456"/>
      <c r="J1439" s="456"/>
      <c r="K1439" s="456"/>
      <c r="L1439" s="525">
        <f>SUM(L1313:L1438)</f>
        <v>625333.26450320019</v>
      </c>
      <c r="O1439" s="525">
        <f>SUM(O1313:O1438)</f>
        <v>29009.266000000018</v>
      </c>
      <c r="P1439" s="525">
        <f>SUM(P1313:P1438)</f>
        <v>16258664.877083203</v>
      </c>
    </row>
    <row r="1440" spans="1:18">
      <c r="A1440" s="528"/>
      <c r="B1440" s="529" t="s">
        <v>744</v>
      </c>
      <c r="C1440" s="522"/>
      <c r="D1440" s="522"/>
      <c r="E1440" s="522"/>
      <c r="F1440" s="522"/>
      <c r="G1440" s="530"/>
      <c r="H1440" s="522"/>
      <c r="I1440" s="522"/>
      <c r="J1440" s="522"/>
      <c r="K1440" s="522"/>
      <c r="L1440" s="522"/>
    </row>
    <row r="1441" spans="1:16">
      <c r="A1441" s="528"/>
      <c r="B1441" s="528" t="s">
        <v>355</v>
      </c>
      <c r="C1441" s="522"/>
      <c r="D1441" s="522"/>
      <c r="E1441" s="522"/>
      <c r="F1441" s="522"/>
      <c r="G1441" s="522">
        <f>SUMIF($B$1313:$B$1438,B1441,$G$1313:$G$1438)</f>
        <v>95.999999999999972</v>
      </c>
      <c r="H1441" s="522"/>
      <c r="I1441" s="522"/>
      <c r="J1441" s="522"/>
      <c r="K1441" s="522"/>
      <c r="L1441" s="522">
        <f>SUMIF($B$1313:$B$1438,B1441,$L$1313:$L$1438)</f>
        <v>129335.70312000002</v>
      </c>
      <c r="O1441" s="455">
        <f t="shared" ref="O1441" si="249">IF(I1441="N.A",0,G1441*$N$1312)</f>
        <v>2495.9999999999991</v>
      </c>
      <c r="P1441" s="455">
        <f t="shared" ref="P1441" si="250">L1441*$N$1312</f>
        <v>3362728.2811200004</v>
      </c>
    </row>
    <row r="1442" spans="1:16">
      <c r="A1442" s="528"/>
      <c r="B1442" s="528" t="s">
        <v>695</v>
      </c>
      <c r="C1442" s="522"/>
      <c r="D1442" s="522"/>
      <c r="E1442" s="522"/>
      <c r="F1442" s="522"/>
      <c r="G1442" s="522">
        <f t="shared" ref="G1442:G1456" si="251">SUMIF($B$1313:$B$1438,B1442,$G$1313:$G$1438)</f>
        <v>84.88</v>
      </c>
      <c r="H1442" s="522"/>
      <c r="I1442" s="522"/>
      <c r="J1442" s="522"/>
      <c r="K1442" s="522"/>
      <c r="L1442" s="522">
        <f t="shared" ref="L1442:L1456" si="252">SUMIF($B$1313:$B$1438,B1442,$L$1313:$L$1438)</f>
        <v>33269.564799999993</v>
      </c>
      <c r="O1442" s="455">
        <f t="shared" ref="O1442:O1458" si="253">IF(I1442="N.A",0,G1442*$N$1312)</f>
        <v>2206.88</v>
      </c>
      <c r="P1442" s="455">
        <f t="shared" ref="P1442:P1458" si="254">L1442*$N$1312</f>
        <v>865008.68479999981</v>
      </c>
    </row>
    <row r="1443" spans="1:16">
      <c r="A1443" s="528"/>
      <c r="B1443" s="528" t="s">
        <v>698</v>
      </c>
      <c r="C1443" s="522"/>
      <c r="D1443" s="522"/>
      <c r="E1443" s="522"/>
      <c r="F1443" s="522"/>
      <c r="G1443" s="522">
        <f t="shared" si="251"/>
        <v>62.919000000000011</v>
      </c>
      <c r="H1443" s="522"/>
      <c r="I1443" s="522"/>
      <c r="J1443" s="522"/>
      <c r="K1443" s="522"/>
      <c r="L1443" s="522">
        <f t="shared" si="252"/>
        <v>92330.174430000014</v>
      </c>
      <c r="O1443" s="455">
        <f t="shared" si="253"/>
        <v>1635.8940000000002</v>
      </c>
      <c r="P1443" s="455">
        <f t="shared" si="254"/>
        <v>2400584.5351800006</v>
      </c>
    </row>
    <row r="1444" spans="1:16">
      <c r="A1444" s="528"/>
      <c r="B1444" s="528" t="s">
        <v>700</v>
      </c>
      <c r="C1444" s="522"/>
      <c r="D1444" s="522"/>
      <c r="E1444" s="522"/>
      <c r="F1444" s="522"/>
      <c r="G1444" s="522">
        <f t="shared" si="251"/>
        <v>254.69800000000004</v>
      </c>
      <c r="H1444" s="522"/>
      <c r="I1444" s="522"/>
      <c r="J1444" s="522"/>
      <c r="K1444" s="522"/>
      <c r="L1444" s="522">
        <f t="shared" si="252"/>
        <v>106219.17352799998</v>
      </c>
      <c r="O1444" s="455">
        <f t="shared" si="253"/>
        <v>6622.148000000001</v>
      </c>
      <c r="P1444" s="455">
        <f t="shared" si="254"/>
        <v>2761698.5117279994</v>
      </c>
    </row>
    <row r="1445" spans="1:16">
      <c r="A1445" s="528"/>
      <c r="B1445" s="528" t="s">
        <v>702</v>
      </c>
      <c r="C1445" s="522"/>
      <c r="D1445" s="522"/>
      <c r="E1445" s="522"/>
      <c r="F1445" s="522"/>
      <c r="G1445" s="522">
        <f t="shared" si="251"/>
        <v>95.999999999999972</v>
      </c>
      <c r="H1445" s="522"/>
      <c r="I1445" s="522"/>
      <c r="J1445" s="522"/>
      <c r="K1445" s="522"/>
      <c r="L1445" s="522">
        <f t="shared" si="252"/>
        <v>33067.008000000002</v>
      </c>
      <c r="O1445" s="455">
        <f t="shared" si="253"/>
        <v>2495.9999999999991</v>
      </c>
      <c r="P1445" s="455">
        <f t="shared" si="254"/>
        <v>859742.2080000001</v>
      </c>
    </row>
    <row r="1446" spans="1:16">
      <c r="A1446" s="528"/>
      <c r="B1446" s="528" t="s">
        <v>703</v>
      </c>
      <c r="C1446" s="522"/>
      <c r="D1446" s="522"/>
      <c r="E1446" s="522"/>
      <c r="F1446" s="522"/>
      <c r="G1446" s="522">
        <f t="shared" si="251"/>
        <v>0</v>
      </c>
      <c r="H1446" s="522"/>
      <c r="I1446" s="522"/>
      <c r="J1446" s="522"/>
      <c r="K1446" s="522"/>
      <c r="L1446" s="522">
        <f t="shared" si="252"/>
        <v>0</v>
      </c>
      <c r="O1446" s="455">
        <f t="shared" si="253"/>
        <v>0</v>
      </c>
      <c r="P1446" s="455">
        <f t="shared" si="254"/>
        <v>0</v>
      </c>
    </row>
    <row r="1447" spans="1:16">
      <c r="A1447" s="528"/>
      <c r="B1447" s="528" t="s">
        <v>704</v>
      </c>
      <c r="C1447" s="522"/>
      <c r="D1447" s="522"/>
      <c r="E1447" s="522"/>
      <c r="F1447" s="522"/>
      <c r="G1447" s="522">
        <f t="shared" si="251"/>
        <v>254.69800000000004</v>
      </c>
      <c r="H1447" s="522"/>
      <c r="I1447" s="522"/>
      <c r="J1447" s="522"/>
      <c r="K1447" s="522"/>
      <c r="L1447" s="522">
        <f t="shared" si="252"/>
        <v>63302.518889999985</v>
      </c>
      <c r="O1447" s="455">
        <f t="shared" si="253"/>
        <v>6622.148000000001</v>
      </c>
      <c r="P1447" s="455">
        <f t="shared" si="254"/>
        <v>1645865.4911399996</v>
      </c>
    </row>
    <row r="1448" spans="1:16">
      <c r="A1448" s="528"/>
      <c r="B1448" s="528" t="s">
        <v>706</v>
      </c>
      <c r="C1448" s="522"/>
      <c r="D1448" s="522"/>
      <c r="E1448" s="522"/>
      <c r="F1448" s="522"/>
      <c r="G1448" s="522">
        <f t="shared" si="251"/>
        <v>95.999999999999972</v>
      </c>
      <c r="H1448" s="522"/>
      <c r="I1448" s="522"/>
      <c r="J1448" s="522"/>
      <c r="K1448" s="522"/>
      <c r="L1448" s="522">
        <f t="shared" si="252"/>
        <v>22179.221999999998</v>
      </c>
      <c r="O1448" s="455">
        <f t="shared" si="253"/>
        <v>2495.9999999999991</v>
      </c>
      <c r="P1448" s="455">
        <f t="shared" si="254"/>
        <v>576659.772</v>
      </c>
    </row>
    <row r="1449" spans="1:16">
      <c r="A1449" s="528"/>
      <c r="B1449" s="528" t="s">
        <v>713</v>
      </c>
      <c r="C1449" s="522"/>
      <c r="D1449" s="522"/>
      <c r="E1449" s="522"/>
      <c r="F1449" s="522"/>
      <c r="G1449" s="522">
        <f t="shared" si="251"/>
        <v>34.200000000000003</v>
      </c>
      <c r="H1449" s="522"/>
      <c r="I1449" s="522"/>
      <c r="J1449" s="522"/>
      <c r="K1449" s="522"/>
      <c r="L1449" s="522">
        <f t="shared" si="252"/>
        <v>22432.71024</v>
      </c>
      <c r="O1449" s="455">
        <f t="shared" si="253"/>
        <v>889.2</v>
      </c>
      <c r="P1449" s="455">
        <f t="shared" si="254"/>
        <v>583250.46623999998</v>
      </c>
    </row>
    <row r="1450" spans="1:16">
      <c r="A1450" s="528"/>
      <c r="B1450" s="528" t="s">
        <v>715</v>
      </c>
      <c r="C1450" s="522"/>
      <c r="D1450" s="522"/>
      <c r="E1450" s="522"/>
      <c r="F1450" s="522"/>
      <c r="G1450" s="522">
        <f t="shared" si="251"/>
        <v>61.8</v>
      </c>
      <c r="H1450" s="522"/>
      <c r="I1450" s="522"/>
      <c r="J1450" s="522"/>
      <c r="K1450" s="522"/>
      <c r="L1450" s="522">
        <f t="shared" si="252"/>
        <v>40536.300959999993</v>
      </c>
      <c r="O1450" s="455">
        <f t="shared" si="253"/>
        <v>1606.8</v>
      </c>
      <c r="P1450" s="455">
        <f t="shared" si="254"/>
        <v>1053943.8249599999</v>
      </c>
    </row>
    <row r="1451" spans="1:16">
      <c r="A1451" s="528"/>
      <c r="B1451" s="528" t="s">
        <v>716</v>
      </c>
      <c r="C1451" s="522"/>
      <c r="D1451" s="522"/>
      <c r="E1451" s="522"/>
      <c r="F1451" s="522"/>
      <c r="G1451" s="522">
        <f t="shared" si="251"/>
        <v>61.8</v>
      </c>
      <c r="H1451" s="522"/>
      <c r="I1451" s="522"/>
      <c r="J1451" s="522"/>
      <c r="K1451" s="522"/>
      <c r="L1451" s="522">
        <f t="shared" si="252"/>
        <v>24660.820319999995</v>
      </c>
      <c r="O1451" s="455">
        <f t="shared" si="253"/>
        <v>1606.8</v>
      </c>
      <c r="P1451" s="455">
        <f t="shared" si="254"/>
        <v>641181.32831999986</v>
      </c>
    </row>
    <row r="1452" spans="1:16">
      <c r="A1452" s="528"/>
      <c r="B1452" s="528" t="s">
        <v>707</v>
      </c>
      <c r="C1452" s="522"/>
      <c r="D1452" s="522"/>
      <c r="E1452" s="522"/>
      <c r="F1452" s="522"/>
      <c r="G1452" s="522">
        <f t="shared" si="251"/>
        <v>0</v>
      </c>
      <c r="H1452" s="522"/>
      <c r="I1452" s="522"/>
      <c r="J1452" s="522"/>
      <c r="K1452" s="522"/>
      <c r="L1452" s="522">
        <f t="shared" si="252"/>
        <v>0</v>
      </c>
      <c r="O1452" s="455">
        <f t="shared" si="253"/>
        <v>0</v>
      </c>
      <c r="P1452" s="455">
        <f t="shared" si="254"/>
        <v>0</v>
      </c>
    </row>
    <row r="1453" spans="1:16">
      <c r="A1453" s="528"/>
      <c r="B1453" s="528" t="s">
        <v>718</v>
      </c>
      <c r="C1453" s="522"/>
      <c r="D1453" s="522"/>
      <c r="E1453" s="522"/>
      <c r="F1453" s="522"/>
      <c r="G1453" s="522">
        <f t="shared" si="251"/>
        <v>1.08</v>
      </c>
      <c r="H1453" s="522"/>
      <c r="I1453" s="522"/>
      <c r="J1453" s="522"/>
      <c r="K1453" s="522"/>
      <c r="L1453" s="522">
        <f t="shared" si="252"/>
        <v>6836.04576</v>
      </c>
      <c r="O1453" s="455">
        <f t="shared" si="253"/>
        <v>28.080000000000002</v>
      </c>
      <c r="P1453" s="455">
        <f t="shared" si="254"/>
        <v>177737.18976000001</v>
      </c>
    </row>
    <row r="1454" spans="1:16">
      <c r="A1454" s="528"/>
      <c r="B1454" s="528" t="s">
        <v>755</v>
      </c>
      <c r="C1454" s="522"/>
      <c r="D1454" s="522"/>
      <c r="E1454" s="522"/>
      <c r="F1454" s="522"/>
      <c r="G1454" s="522">
        <f t="shared" si="251"/>
        <v>5.5260000000000007</v>
      </c>
      <c r="H1454" s="522"/>
      <c r="I1454" s="522"/>
      <c r="J1454" s="522"/>
      <c r="K1454" s="522"/>
      <c r="L1454" s="522">
        <f t="shared" si="252"/>
        <v>6263.4402792000001</v>
      </c>
      <c r="O1454" s="455">
        <f t="shared" si="253"/>
        <v>143.67600000000002</v>
      </c>
      <c r="P1454" s="455">
        <f t="shared" si="254"/>
        <v>162849.44725920001</v>
      </c>
    </row>
    <row r="1455" spans="1:16">
      <c r="A1455" s="528"/>
      <c r="B1455" s="528" t="s">
        <v>747</v>
      </c>
      <c r="C1455" s="522"/>
      <c r="D1455" s="522"/>
      <c r="E1455" s="522"/>
      <c r="F1455" s="522"/>
      <c r="G1455" s="522">
        <f t="shared" si="251"/>
        <v>3.52</v>
      </c>
      <c r="H1455" s="522"/>
      <c r="I1455" s="522"/>
      <c r="J1455" s="522"/>
      <c r="K1455" s="522"/>
      <c r="L1455" s="522">
        <f t="shared" si="252"/>
        <v>25741.050368000004</v>
      </c>
      <c r="O1455" s="455">
        <f t="shared" si="253"/>
        <v>91.52</v>
      </c>
      <c r="P1455" s="455">
        <f t="shared" si="254"/>
        <v>669267.30956800014</v>
      </c>
    </row>
    <row r="1456" spans="1:16">
      <c r="A1456" s="528"/>
      <c r="B1456" s="528" t="s">
        <v>666</v>
      </c>
      <c r="C1456" s="522"/>
      <c r="D1456" s="522"/>
      <c r="E1456" s="522"/>
      <c r="F1456" s="522"/>
      <c r="G1456" s="537">
        <f t="shared" si="251"/>
        <v>2.62</v>
      </c>
      <c r="H1456" s="522"/>
      <c r="I1456" s="522"/>
      <c r="J1456" s="522"/>
      <c r="K1456" s="522"/>
      <c r="L1456" s="522">
        <f t="shared" si="252"/>
        <v>19159.531808000003</v>
      </c>
      <c r="O1456" s="455">
        <f t="shared" si="253"/>
        <v>68.12</v>
      </c>
      <c r="P1456" s="455">
        <f t="shared" si="254"/>
        <v>498147.82700800011</v>
      </c>
    </row>
    <row r="1457" spans="1:22" ht="13.8" thickBot="1">
      <c r="A1457" s="528"/>
      <c r="B1457" s="528"/>
      <c r="C1457" s="522"/>
      <c r="D1457" s="522"/>
      <c r="E1457" s="522"/>
      <c r="F1457" s="522"/>
      <c r="G1457" s="525">
        <f>SUM(G1441:G1456)</f>
        <v>1115.7409999999998</v>
      </c>
      <c r="H1457" s="522"/>
      <c r="I1457" s="522"/>
      <c r="J1457" s="522"/>
      <c r="K1457" s="525" t="s">
        <v>232</v>
      </c>
      <c r="L1457" s="525">
        <f>SUM(L1441:L1456)</f>
        <v>625333.26450320007</v>
      </c>
      <c r="O1457" s="525">
        <f t="shared" si="253"/>
        <v>29009.265999999992</v>
      </c>
      <c r="P1457" s="525">
        <f t="shared" si="254"/>
        <v>16258664.877083201</v>
      </c>
    </row>
    <row r="1458" spans="1:22">
      <c r="A1458" s="528"/>
      <c r="B1458" s="528" t="s">
        <v>386</v>
      </c>
      <c r="C1458" s="522"/>
      <c r="D1458" s="522"/>
      <c r="E1458" s="522"/>
      <c r="F1458" s="522"/>
      <c r="G1458" s="530">
        <f>Doors!E102</f>
        <v>8</v>
      </c>
      <c r="H1458" s="522"/>
      <c r="I1458" s="522"/>
      <c r="J1458" s="522"/>
      <c r="K1458" s="522"/>
      <c r="L1458" s="522">
        <f>Doors!J102</f>
        <v>140500</v>
      </c>
      <c r="O1458" s="455">
        <f t="shared" si="253"/>
        <v>208</v>
      </c>
      <c r="P1458" s="455">
        <f t="shared" si="254"/>
        <v>3653000</v>
      </c>
    </row>
    <row r="1459" spans="1:22">
      <c r="A1459" s="528"/>
      <c r="B1459" s="528" t="s">
        <v>391</v>
      </c>
      <c r="C1459" s="522"/>
      <c r="D1459" s="522"/>
      <c r="E1459" s="522"/>
      <c r="F1459" s="522"/>
      <c r="G1459" s="522">
        <f>Windows!H124</f>
        <v>31.342499999999998</v>
      </c>
      <c r="H1459" s="522"/>
      <c r="I1459" s="522"/>
      <c r="J1459" s="522"/>
      <c r="K1459" s="522"/>
      <c r="L1459" s="537">
        <f>Windows!N124</f>
        <v>229728.86849999998</v>
      </c>
      <c r="O1459" s="455"/>
      <c r="P1459" s="455"/>
    </row>
    <row r="1460" spans="1:22" ht="13.8" thickBot="1">
      <c r="A1460" s="528"/>
      <c r="B1460" s="528"/>
      <c r="C1460" s="522"/>
      <c r="D1460" s="522"/>
      <c r="E1460" s="522"/>
      <c r="F1460" s="522"/>
      <c r="G1460" s="522"/>
      <c r="H1460" s="522"/>
      <c r="I1460" s="522"/>
      <c r="J1460" s="522"/>
      <c r="K1460" s="525" t="s">
        <v>232</v>
      </c>
      <c r="L1460" s="539">
        <f>SUM(L1458:L1459)</f>
        <v>370228.86849999998</v>
      </c>
      <c r="O1460" s="455"/>
      <c r="P1460" s="455"/>
    </row>
    <row r="1461" spans="1:22" ht="13.8" thickBot="1">
      <c r="A1461" s="528"/>
      <c r="B1461" s="528"/>
      <c r="C1461" s="522"/>
      <c r="D1461" s="522"/>
      <c r="E1461" s="522"/>
      <c r="F1461" s="522"/>
      <c r="G1461" s="522"/>
      <c r="H1461" s="522"/>
      <c r="I1461" s="522"/>
      <c r="J1461" s="522"/>
      <c r="K1461" s="525" t="s">
        <v>745</v>
      </c>
      <c r="L1461" s="525">
        <f>L1457+L1460</f>
        <v>995562.13300320006</v>
      </c>
      <c r="O1461" s="455"/>
      <c r="P1461" s="455"/>
    </row>
    <row r="1462" spans="1:22" s="474" customFormat="1" ht="13.5" customHeight="1">
      <c r="A1462" s="465" t="s">
        <v>628</v>
      </c>
      <c r="B1462" s="466" t="str">
        <f>'Flat Sizes'!B121</f>
        <v>Flat 8,
3BHK</v>
      </c>
      <c r="C1462" s="456"/>
      <c r="D1462" s="456"/>
      <c r="E1462" s="456"/>
      <c r="F1462" s="456"/>
      <c r="G1462" s="456"/>
      <c r="H1462" s="456"/>
      <c r="I1462" s="456"/>
      <c r="J1462" s="456"/>
      <c r="K1462" s="456"/>
      <c r="L1462" s="546"/>
      <c r="M1462" s="471"/>
      <c r="N1462" s="472">
        <f>'Flat Sizes'!H121</f>
        <v>30</v>
      </c>
      <c r="O1462" s="459"/>
      <c r="P1462" s="459"/>
      <c r="Q1462" s="473"/>
      <c r="S1462" s="473"/>
      <c r="T1462" s="473"/>
      <c r="U1462" s="473"/>
      <c r="V1462" s="473"/>
    </row>
    <row r="1463" spans="1:22" s="479" customFormat="1" ht="13.5" customHeight="1">
      <c r="A1463" s="475" t="s">
        <v>628</v>
      </c>
      <c r="B1463" s="476" t="str">
        <f>'Flat Sizes'!B122</f>
        <v>Living, Dining &amp; Passage</v>
      </c>
      <c r="C1463" s="477">
        <f>'Flat Sizes'!D122</f>
        <v>30.36</v>
      </c>
      <c r="D1463" s="477">
        <f>'Flat Sizes'!G122</f>
        <v>31.42</v>
      </c>
      <c r="E1463" s="477"/>
      <c r="F1463" s="454"/>
      <c r="G1463" s="477"/>
      <c r="H1463" s="477"/>
      <c r="I1463" s="477"/>
      <c r="J1463" s="477"/>
      <c r="K1463" s="477"/>
      <c r="L1463" s="477"/>
      <c r="M1463" s="459">
        <f>SUM(L1464:L1475)/C1463/10.764</f>
        <v>371.484557635881</v>
      </c>
      <c r="N1463" s="472"/>
      <c r="O1463" s="455"/>
      <c r="P1463" s="455"/>
      <c r="Q1463" s="478"/>
    </row>
    <row r="1464" spans="1:22">
      <c r="A1464" s="454"/>
      <c r="B1464" s="454" t="str" cm="1">
        <f t="array" ref="B1464:B1475">'Rate List - Flats'!B6:B17</f>
        <v>Flooring</v>
      </c>
      <c r="C1464" s="456"/>
      <c r="D1464" s="456"/>
      <c r="E1464" s="456">
        <f>C1463</f>
        <v>30.36</v>
      </c>
      <c r="F1464" s="456"/>
      <c r="G1464" s="456">
        <f t="shared" ref="G1464:G1529" si="255">E1464+F1464</f>
        <v>30.36</v>
      </c>
      <c r="H1464" s="456" t="str" cm="1">
        <f t="array" ref="H1464:H1475">'Rate List - Flats'!H6:H17</f>
        <v>Sq M</v>
      </c>
      <c r="I1464" s="456" t="str" cm="1">
        <f t="array" ref="I1464:I1475">'Rate List - Flats'!C6:C17</f>
        <v>2'x2' Vitrified tiles</v>
      </c>
      <c r="J1464" s="456" cm="1">
        <f t="array" ref="J1464:J1475">'Rate List - Flats'!E6:E17</f>
        <v>45</v>
      </c>
      <c r="K1464" s="456" cm="1">
        <f t="array" ref="K1464:K1475">'Rate List - Flats'!G6:G17</f>
        <v>1340.1179999999999</v>
      </c>
      <c r="L1464" s="456">
        <f t="shared" ref="L1464:L1529" si="256">G1464*K1464</f>
        <v>40685.982479999999</v>
      </c>
      <c r="O1464" s="455">
        <f>IF(I1464="N.A",0,G1464*$N$1462)</f>
        <v>910.8</v>
      </c>
      <c r="P1464" s="455">
        <f>L1464*$N$1462</f>
        <v>1220579.4743999999</v>
      </c>
      <c r="R1464" s="480" t="s">
        <v>659</v>
      </c>
    </row>
    <row r="1465" spans="1:22">
      <c r="A1465" s="454"/>
      <c r="B1465" s="454" t="str">
        <v>Skirting</v>
      </c>
      <c r="C1465" s="456"/>
      <c r="D1465" s="456"/>
      <c r="E1465" s="456">
        <f>D1463</f>
        <v>31.42</v>
      </c>
      <c r="F1465" s="456">
        <f>-(Doors!F104+Doors!F105+Doors!F107+Doors!F109+Doors!F111)</f>
        <v>-4.8</v>
      </c>
      <c r="G1465" s="456">
        <f t="shared" si="255"/>
        <v>26.62</v>
      </c>
      <c r="H1465" s="456" t="str">
        <v>RM</v>
      </c>
      <c r="I1465" s="456" t="str">
        <v xml:space="preserve">2'x2' Vitrified tiles </v>
      </c>
      <c r="J1465" s="456">
        <v>45</v>
      </c>
      <c r="K1465" s="456">
        <v>391.96</v>
      </c>
      <c r="L1465" s="456">
        <f t="shared" si="256"/>
        <v>10433.975199999999</v>
      </c>
      <c r="O1465" s="455">
        <f t="shared" ref="O1465:O1475" si="257">IF(I1465="N.A",0,G1465*$N$1462)</f>
        <v>798.6</v>
      </c>
      <c r="P1465" s="455">
        <f t="shared" ref="P1465:P1475" si="258">L1465*$N$1462</f>
        <v>313019.25599999999</v>
      </c>
      <c r="R1465" s="480" t="s">
        <v>660</v>
      </c>
    </row>
    <row r="1466" spans="1:22">
      <c r="A1466" s="454"/>
      <c r="B1466" s="454" t="str">
        <v>Dado</v>
      </c>
      <c r="C1466" s="456"/>
      <c r="D1466" s="456"/>
      <c r="E1466" s="456"/>
      <c r="F1466" s="456"/>
      <c r="G1466" s="456">
        <f t="shared" si="255"/>
        <v>0</v>
      </c>
      <c r="H1466" s="456" t="str">
        <v>Sq M</v>
      </c>
      <c r="I1466" s="456" t="str">
        <v>N.A.</v>
      </c>
      <c r="J1466" s="456">
        <v>0</v>
      </c>
      <c r="K1466" s="456">
        <v>0</v>
      </c>
      <c r="L1466" s="456">
        <f t="shared" si="256"/>
        <v>0</v>
      </c>
      <c r="O1466" s="455">
        <f t="shared" si="257"/>
        <v>0</v>
      </c>
      <c r="P1466" s="455">
        <f t="shared" si="258"/>
        <v>0</v>
      </c>
      <c r="R1466" s="480"/>
    </row>
    <row r="1467" spans="1:22">
      <c r="A1467" s="454"/>
      <c r="B1467" s="454" t="str">
        <v>Wall finishes plaster</v>
      </c>
      <c r="C1467" s="456"/>
      <c r="D1467" s="456"/>
      <c r="E1467" s="456">
        <f>D1463*(D1-0.15)</f>
        <v>92.689000000000007</v>
      </c>
      <c r="F1467" s="456">
        <f>-(Doors!H104+Doors!H105+Doors!H107+Doors!H109+Doors!H111+Windows!H126)</f>
        <v>-16.035500000000003</v>
      </c>
      <c r="G1467" s="456">
        <f t="shared" si="255"/>
        <v>76.653500000000008</v>
      </c>
      <c r="H1467" s="456" t="str">
        <v>Sq M</v>
      </c>
      <c r="I1467" s="456" t="str">
        <v>Gypsum Plaster</v>
      </c>
      <c r="J1467" s="456">
        <v>32</v>
      </c>
      <c r="K1467" s="456">
        <v>344.44799999999998</v>
      </c>
      <c r="L1467" s="456">
        <f t="shared" si="256"/>
        <v>26403.144768000002</v>
      </c>
      <c r="O1467" s="455">
        <f t="shared" si="257"/>
        <v>2299.6050000000005</v>
      </c>
      <c r="P1467" s="455">
        <f t="shared" si="258"/>
        <v>792094.34304000007</v>
      </c>
      <c r="R1467" s="480" t="s">
        <v>661</v>
      </c>
    </row>
    <row r="1468" spans="1:22">
      <c r="A1468" s="454"/>
      <c r="B1468" s="454" t="str">
        <v>Ceiling plaster</v>
      </c>
      <c r="C1468" s="456"/>
      <c r="D1468" s="456"/>
      <c r="E1468" s="456">
        <f>E1464</f>
        <v>30.36</v>
      </c>
      <c r="F1468" s="456"/>
      <c r="G1468" s="456">
        <f t="shared" si="255"/>
        <v>30.36</v>
      </c>
      <c r="H1468" s="456" t="str">
        <v>Sq M</v>
      </c>
      <c r="I1468" s="456" t="str">
        <v>Gypsum Plaster</v>
      </c>
      <c r="J1468" s="456">
        <v>32</v>
      </c>
      <c r="K1468" s="456">
        <v>344.44799999999998</v>
      </c>
      <c r="L1468" s="456">
        <f t="shared" si="256"/>
        <v>10457.441279999999</v>
      </c>
      <c r="O1468" s="455">
        <f t="shared" si="257"/>
        <v>910.8</v>
      </c>
      <c r="P1468" s="455">
        <f t="shared" si="258"/>
        <v>313723.23839999997</v>
      </c>
      <c r="R1468" s="480" t="s">
        <v>662</v>
      </c>
    </row>
    <row r="1469" spans="1:22">
      <c r="A1469" s="454"/>
      <c r="B1469" s="454" t="str">
        <v>False ceiling</v>
      </c>
      <c r="C1469" s="456"/>
      <c r="D1469" s="456"/>
      <c r="E1469" s="456"/>
      <c r="F1469" s="456"/>
      <c r="G1469" s="456">
        <f t="shared" si="255"/>
        <v>0</v>
      </c>
      <c r="H1469" s="456" t="str">
        <v>Sq M</v>
      </c>
      <c r="I1469" s="456" t="str">
        <v>N.A.</v>
      </c>
      <c r="J1469" s="456">
        <v>0</v>
      </c>
      <c r="K1469" s="456">
        <v>0</v>
      </c>
      <c r="L1469" s="456">
        <f t="shared" si="256"/>
        <v>0</v>
      </c>
      <c r="O1469" s="455">
        <f t="shared" si="257"/>
        <v>0</v>
      </c>
      <c r="P1469" s="455">
        <f t="shared" si="258"/>
        <v>0</v>
      </c>
      <c r="R1469" s="480"/>
    </row>
    <row r="1470" spans="1:22">
      <c r="A1470" s="454"/>
      <c r="B1470" s="454" t="str">
        <v>Wall finishes Paint</v>
      </c>
      <c r="C1470" s="456"/>
      <c r="D1470" s="456"/>
      <c r="E1470" s="456">
        <f>E1467</f>
        <v>92.689000000000007</v>
      </c>
      <c r="F1470" s="456">
        <f>F1467</f>
        <v>-16.035500000000003</v>
      </c>
      <c r="G1470" s="456">
        <f t="shared" si="255"/>
        <v>76.653500000000008</v>
      </c>
      <c r="H1470" s="456" t="str">
        <v>Sq M</v>
      </c>
      <c r="I1470" s="456" t="str">
        <v>Plastic paint</v>
      </c>
      <c r="J1470" s="456">
        <v>20</v>
      </c>
      <c r="K1470" s="456">
        <v>215.27999999999997</v>
      </c>
      <c r="L1470" s="456">
        <f t="shared" si="256"/>
        <v>16501.965479999999</v>
      </c>
      <c r="O1470" s="455">
        <f t="shared" si="257"/>
        <v>2299.6050000000005</v>
      </c>
      <c r="P1470" s="455">
        <f t="shared" si="258"/>
        <v>495058.96439999994</v>
      </c>
      <c r="R1470" s="480" t="s">
        <v>663</v>
      </c>
    </row>
    <row r="1471" spans="1:22">
      <c r="A1471" s="454"/>
      <c r="B1471" s="454" t="str">
        <v>Ceiling Paint</v>
      </c>
      <c r="C1471" s="456"/>
      <c r="D1471" s="456"/>
      <c r="E1471" s="456">
        <f>E1468</f>
        <v>30.36</v>
      </c>
      <c r="F1471" s="456"/>
      <c r="G1471" s="456">
        <f t="shared" si="255"/>
        <v>30.36</v>
      </c>
      <c r="H1471" s="456" t="str">
        <v>Sq M</v>
      </c>
      <c r="I1471" s="456" t="str">
        <v>Plastic paint</v>
      </c>
      <c r="J1471" s="456">
        <v>20</v>
      </c>
      <c r="K1471" s="456">
        <v>215.27999999999997</v>
      </c>
      <c r="L1471" s="456">
        <f t="shared" si="256"/>
        <v>6535.9007999999994</v>
      </c>
      <c r="O1471" s="455">
        <f t="shared" si="257"/>
        <v>910.8</v>
      </c>
      <c r="P1471" s="455">
        <f t="shared" si="258"/>
        <v>196077.02399999998</v>
      </c>
      <c r="R1471" s="480" t="s">
        <v>664</v>
      </c>
    </row>
    <row r="1472" spans="1:22">
      <c r="A1472" s="454"/>
      <c r="B1472" s="454" t="str">
        <v>Door Frames</v>
      </c>
      <c r="C1472" s="456"/>
      <c r="D1472" s="456"/>
      <c r="E1472" s="456"/>
      <c r="F1472" s="456"/>
      <c r="G1472" s="456">
        <f t="shared" si="255"/>
        <v>0</v>
      </c>
      <c r="H1472" s="456" t="str">
        <v>RM</v>
      </c>
      <c r="I1472" s="456" t="str">
        <v>N.A.</v>
      </c>
      <c r="J1472" s="456">
        <v>0</v>
      </c>
      <c r="K1472" s="456">
        <v>0</v>
      </c>
      <c r="L1472" s="456">
        <f t="shared" si="256"/>
        <v>0</v>
      </c>
      <c r="O1472" s="455">
        <f t="shared" si="257"/>
        <v>0</v>
      </c>
      <c r="P1472" s="455">
        <f t="shared" si="258"/>
        <v>0</v>
      </c>
      <c r="R1472" s="480" t="s">
        <v>742</v>
      </c>
    </row>
    <row r="1473" spans="1:18">
      <c r="A1473" s="454"/>
      <c r="B1473" s="454" t="str">
        <v>Window Frames - Internal</v>
      </c>
      <c r="C1473" s="456"/>
      <c r="D1473" s="456"/>
      <c r="E1473" s="456">
        <f>Windows!F126*2+Windows!G126*2</f>
        <v>9.84</v>
      </c>
      <c r="F1473" s="456"/>
      <c r="G1473" s="456">
        <f t="shared" si="255"/>
        <v>9.84</v>
      </c>
      <c r="H1473" s="456" t="str">
        <v>RM</v>
      </c>
      <c r="I1473" s="456" t="str">
        <v>Granite Window Frame</v>
      </c>
      <c r="J1473" s="456">
        <v>180</v>
      </c>
      <c r="K1473" s="456">
        <v>655.92719999999997</v>
      </c>
      <c r="L1473" s="456">
        <f t="shared" si="256"/>
        <v>6454.3236479999996</v>
      </c>
      <c r="O1473" s="455">
        <f t="shared" si="257"/>
        <v>295.2</v>
      </c>
      <c r="P1473" s="455">
        <f t="shared" si="258"/>
        <v>193629.70943999998</v>
      </c>
      <c r="R1473" s="480" t="s">
        <v>743</v>
      </c>
    </row>
    <row r="1474" spans="1:18">
      <c r="A1474" s="454"/>
      <c r="B1474" s="454" t="str">
        <v>Window Frames - External</v>
      </c>
      <c r="C1474" s="456"/>
      <c r="D1474" s="456"/>
      <c r="E1474" s="456">
        <f>E1473</f>
        <v>9.84</v>
      </c>
      <c r="F1474" s="456"/>
      <c r="G1474" s="456">
        <f t="shared" si="255"/>
        <v>9.84</v>
      </c>
      <c r="H1474" s="456" t="str">
        <v>RM</v>
      </c>
      <c r="I1474" s="456" t="str">
        <v>Marble Window Frames with Sill</v>
      </c>
      <c r="J1474" s="456">
        <v>60</v>
      </c>
      <c r="K1474" s="456">
        <v>399.04239999999999</v>
      </c>
      <c r="L1474" s="456">
        <f t="shared" si="256"/>
        <v>3926.5772159999997</v>
      </c>
      <c r="O1474" s="455">
        <f t="shared" si="257"/>
        <v>295.2</v>
      </c>
      <c r="P1474" s="455">
        <f t="shared" si="258"/>
        <v>117797.31647999999</v>
      </c>
      <c r="R1474" s="480" t="s">
        <v>409</v>
      </c>
    </row>
    <row r="1475" spans="1:18">
      <c r="A1475" s="454"/>
      <c r="B1475" s="454" t="str">
        <v>Others</v>
      </c>
      <c r="C1475" s="456"/>
      <c r="D1475" s="456"/>
      <c r="E1475" s="456"/>
      <c r="F1475" s="456"/>
      <c r="G1475" s="456">
        <f t="shared" si="255"/>
        <v>0</v>
      </c>
      <c r="H1475" s="456" t="str">
        <v>-</v>
      </c>
      <c r="I1475" s="456" t="str">
        <v>N.A.</v>
      </c>
      <c r="J1475" s="456" t="str">
        <v>-</v>
      </c>
      <c r="K1475" s="456" t="str">
        <v>-</v>
      </c>
      <c r="L1475" s="456"/>
      <c r="O1475" s="455">
        <f t="shared" si="257"/>
        <v>0</v>
      </c>
      <c r="P1475" s="455">
        <f t="shared" si="258"/>
        <v>0</v>
      </c>
    </row>
    <row r="1476" spans="1:18" s="479" customFormat="1" ht="13.5" customHeight="1">
      <c r="A1476" s="475" t="s">
        <v>628</v>
      </c>
      <c r="B1476" s="476" t="str">
        <f>'Flat Sizes'!B123</f>
        <v>M. Bedroom</v>
      </c>
      <c r="C1476" s="477">
        <f>'Flat Sizes'!D123</f>
        <v>14.58</v>
      </c>
      <c r="D1476" s="477">
        <f>'Flat Sizes'!G123</f>
        <v>17.350000000000001</v>
      </c>
      <c r="E1476" s="477"/>
      <c r="F1476" s="454"/>
      <c r="G1476" s="477"/>
      <c r="H1476" s="477"/>
      <c r="I1476" s="477"/>
      <c r="J1476" s="477"/>
      <c r="K1476" s="477"/>
      <c r="L1476" s="477"/>
      <c r="M1476" s="459">
        <f>(SUM(L1477:L1488)/C1476/10.764)</f>
        <v>467.27485154753003</v>
      </c>
      <c r="N1476" s="472"/>
      <c r="O1476" s="455"/>
      <c r="P1476" s="455"/>
      <c r="Q1476" s="478"/>
    </row>
    <row r="1477" spans="1:18">
      <c r="A1477" s="454"/>
      <c r="B1477" s="454" t="str" cm="1">
        <f t="array" ref="B1477:B1488">'Rate List - Flats'!B34:B45</f>
        <v>Flooring</v>
      </c>
      <c r="C1477" s="456"/>
      <c r="D1477" s="456"/>
      <c r="E1477" s="456">
        <f>C1476</f>
        <v>14.58</v>
      </c>
      <c r="F1477" s="456"/>
      <c r="G1477" s="456">
        <f t="shared" si="255"/>
        <v>14.58</v>
      </c>
      <c r="H1477" s="456" t="str" cm="1">
        <f t="array" ref="H1477:H1488">'Rate List - Flats'!H34:H45</f>
        <v>Sq M</v>
      </c>
      <c r="I1477" s="456" t="str" cm="1">
        <f t="array" ref="I1477:I1488">'Rate List - Flats'!C34:C45</f>
        <v>2'x2' Vitrified tiles</v>
      </c>
      <c r="J1477" s="456" cm="1">
        <f t="array" ref="J1477:J1488">'Rate List - Flats'!E34:E45</f>
        <v>45</v>
      </c>
      <c r="K1477" s="456" cm="1">
        <f t="array" ref="K1477:K1488">'Rate List - Flats'!G34:G45</f>
        <v>1340.1179999999999</v>
      </c>
      <c r="L1477" s="456">
        <f t="shared" si="256"/>
        <v>19538.920439999998</v>
      </c>
      <c r="O1477" s="455">
        <f t="shared" ref="O1477:O1488" si="259">IF(I1477="N.A",0,G1477*$N$1462)</f>
        <v>437.4</v>
      </c>
      <c r="P1477" s="455">
        <f t="shared" ref="P1477:P1488" si="260">L1477*$N$1462</f>
        <v>586167.61319999991</v>
      </c>
      <c r="R1477" s="480" t="s">
        <v>659</v>
      </c>
    </row>
    <row r="1478" spans="1:18">
      <c r="A1478" s="454"/>
      <c r="B1478" s="454" t="str">
        <v>Skirting</v>
      </c>
      <c r="C1478" s="456"/>
      <c r="D1478" s="456"/>
      <c r="E1478" s="456">
        <f>D1476</f>
        <v>17.350000000000001</v>
      </c>
      <c r="F1478" s="456">
        <f>-(Doors!F105+Doors!F106)</f>
        <v>-1.65</v>
      </c>
      <c r="G1478" s="456">
        <f t="shared" si="255"/>
        <v>15.700000000000001</v>
      </c>
      <c r="H1478" s="456" t="str">
        <v>RM</v>
      </c>
      <c r="I1478" s="456" t="str">
        <v xml:space="preserve">2'x2' Vitrified tiles </v>
      </c>
      <c r="J1478" s="456">
        <v>45</v>
      </c>
      <c r="K1478" s="456">
        <v>391.96</v>
      </c>
      <c r="L1478" s="456">
        <f t="shared" si="256"/>
        <v>6153.7719999999999</v>
      </c>
      <c r="O1478" s="455">
        <f t="shared" si="259"/>
        <v>471.00000000000006</v>
      </c>
      <c r="P1478" s="455">
        <f t="shared" si="260"/>
        <v>184613.16</v>
      </c>
      <c r="R1478" s="480" t="s">
        <v>660</v>
      </c>
    </row>
    <row r="1479" spans="1:18">
      <c r="A1479" s="454"/>
      <c r="B1479" s="454" t="str">
        <v>Dado</v>
      </c>
      <c r="C1479" s="456"/>
      <c r="D1479" s="456"/>
      <c r="E1479" s="456"/>
      <c r="F1479" s="456"/>
      <c r="G1479" s="456">
        <f t="shared" si="255"/>
        <v>0</v>
      </c>
      <c r="H1479" s="456" t="str">
        <v>Sq M</v>
      </c>
      <c r="I1479" s="456" t="str">
        <v>N.A.</v>
      </c>
      <c r="J1479" s="456">
        <v>0</v>
      </c>
      <c r="K1479" s="456">
        <v>0</v>
      </c>
      <c r="L1479" s="456">
        <f t="shared" si="256"/>
        <v>0</v>
      </c>
      <c r="O1479" s="455">
        <f t="shared" si="259"/>
        <v>0</v>
      </c>
      <c r="P1479" s="455">
        <f t="shared" si="260"/>
        <v>0</v>
      </c>
      <c r="R1479" s="480"/>
    </row>
    <row r="1480" spans="1:18">
      <c r="A1480" s="454"/>
      <c r="B1480" s="454" t="str">
        <v>Wall finishes plaster</v>
      </c>
      <c r="C1480" s="456"/>
      <c r="D1480" s="456"/>
      <c r="E1480" s="456">
        <f>D1476*(D1-0.15)</f>
        <v>51.182500000000005</v>
      </c>
      <c r="F1480" s="456">
        <f>-(Doors!H105+Doors!H106+Windows!H127+Windows!H128)</f>
        <v>-12.236999999999998</v>
      </c>
      <c r="G1480" s="456">
        <f t="shared" si="255"/>
        <v>38.94550000000001</v>
      </c>
      <c r="H1480" s="456" t="str">
        <v>Sq M</v>
      </c>
      <c r="I1480" s="456" t="str">
        <v>Gypsum Plaster</v>
      </c>
      <c r="J1480" s="456">
        <v>32</v>
      </c>
      <c r="K1480" s="456">
        <v>344.44799999999998</v>
      </c>
      <c r="L1480" s="456">
        <f t="shared" si="256"/>
        <v>13414.699584000002</v>
      </c>
      <c r="O1480" s="455">
        <f t="shared" si="259"/>
        <v>1168.3650000000002</v>
      </c>
      <c r="P1480" s="455">
        <f t="shared" si="260"/>
        <v>402440.98752000008</v>
      </c>
      <c r="R1480" s="480" t="s">
        <v>661</v>
      </c>
    </row>
    <row r="1481" spans="1:18">
      <c r="A1481" s="454"/>
      <c r="B1481" s="454" t="str">
        <v>Ceiling plaster</v>
      </c>
      <c r="C1481" s="456"/>
      <c r="D1481" s="456"/>
      <c r="E1481" s="456">
        <f>E1477</f>
        <v>14.58</v>
      </c>
      <c r="F1481" s="456"/>
      <c r="G1481" s="456">
        <f t="shared" si="255"/>
        <v>14.58</v>
      </c>
      <c r="H1481" s="456" t="str">
        <v>Sq M</v>
      </c>
      <c r="I1481" s="456" t="str">
        <v>Gypsum Plaster</v>
      </c>
      <c r="J1481" s="456">
        <v>32</v>
      </c>
      <c r="K1481" s="456">
        <v>344.44799999999998</v>
      </c>
      <c r="L1481" s="456">
        <f t="shared" si="256"/>
        <v>5022.0518400000001</v>
      </c>
      <c r="O1481" s="455">
        <f t="shared" si="259"/>
        <v>437.4</v>
      </c>
      <c r="P1481" s="455">
        <f t="shared" si="260"/>
        <v>150661.5552</v>
      </c>
      <c r="R1481" s="480" t="s">
        <v>662</v>
      </c>
    </row>
    <row r="1482" spans="1:18">
      <c r="A1482" s="454"/>
      <c r="B1482" s="454" t="str">
        <v>False ceiling</v>
      </c>
      <c r="C1482" s="456"/>
      <c r="D1482" s="456"/>
      <c r="E1482" s="456"/>
      <c r="F1482" s="456"/>
      <c r="G1482" s="456">
        <f t="shared" si="255"/>
        <v>0</v>
      </c>
      <c r="H1482" s="456" t="str">
        <v>Sq M</v>
      </c>
      <c r="I1482" s="456" t="str">
        <v>N.A.</v>
      </c>
      <c r="J1482" s="456">
        <v>0</v>
      </c>
      <c r="K1482" s="456">
        <v>0</v>
      </c>
      <c r="L1482" s="456">
        <f t="shared" si="256"/>
        <v>0</v>
      </c>
      <c r="O1482" s="455">
        <f t="shared" si="259"/>
        <v>0</v>
      </c>
      <c r="P1482" s="455">
        <f t="shared" si="260"/>
        <v>0</v>
      </c>
      <c r="R1482" s="480"/>
    </row>
    <row r="1483" spans="1:18">
      <c r="A1483" s="454"/>
      <c r="B1483" s="454" t="str">
        <v>Wall finishes Paint</v>
      </c>
      <c r="C1483" s="456"/>
      <c r="D1483" s="456"/>
      <c r="E1483" s="456">
        <f>E1480</f>
        <v>51.182500000000005</v>
      </c>
      <c r="F1483" s="456">
        <f>F1480</f>
        <v>-12.236999999999998</v>
      </c>
      <c r="G1483" s="456">
        <f t="shared" si="255"/>
        <v>38.94550000000001</v>
      </c>
      <c r="H1483" s="456" t="str">
        <v>Sq M</v>
      </c>
      <c r="I1483" s="456" t="str">
        <v>Plastic paint</v>
      </c>
      <c r="J1483" s="456">
        <v>20</v>
      </c>
      <c r="K1483" s="456">
        <v>215.27999999999997</v>
      </c>
      <c r="L1483" s="456">
        <f t="shared" si="256"/>
        <v>8384.1872400000011</v>
      </c>
      <c r="O1483" s="455">
        <f t="shared" si="259"/>
        <v>1168.3650000000002</v>
      </c>
      <c r="P1483" s="455">
        <f t="shared" si="260"/>
        <v>251525.61720000004</v>
      </c>
      <c r="R1483" s="480" t="s">
        <v>663</v>
      </c>
    </row>
    <row r="1484" spans="1:18">
      <c r="A1484" s="454"/>
      <c r="B1484" s="454" t="str">
        <v>Ceiling Paint</v>
      </c>
      <c r="C1484" s="456"/>
      <c r="D1484" s="456"/>
      <c r="E1484" s="456">
        <f>E1481</f>
        <v>14.58</v>
      </c>
      <c r="F1484" s="456"/>
      <c r="G1484" s="456">
        <f t="shared" si="255"/>
        <v>14.58</v>
      </c>
      <c r="H1484" s="456" t="str">
        <v>Sq M</v>
      </c>
      <c r="I1484" s="456" t="str">
        <v>Plastic paint</v>
      </c>
      <c r="J1484" s="456">
        <v>20</v>
      </c>
      <c r="K1484" s="456">
        <v>215.27999999999997</v>
      </c>
      <c r="L1484" s="456">
        <f t="shared" si="256"/>
        <v>3138.7823999999996</v>
      </c>
      <c r="O1484" s="455">
        <f t="shared" si="259"/>
        <v>437.4</v>
      </c>
      <c r="P1484" s="455">
        <f t="shared" si="260"/>
        <v>94163.471999999994</v>
      </c>
      <c r="R1484" s="480" t="s">
        <v>664</v>
      </c>
    </row>
    <row r="1485" spans="1:18">
      <c r="A1485" s="454"/>
      <c r="B1485" s="454" t="str">
        <v>Door Frames</v>
      </c>
      <c r="C1485" s="456"/>
      <c r="D1485" s="456"/>
      <c r="E1485" s="456"/>
      <c r="F1485" s="456"/>
      <c r="G1485" s="456">
        <f t="shared" si="255"/>
        <v>0</v>
      </c>
      <c r="H1485" s="456" t="str">
        <v>RM</v>
      </c>
      <c r="I1485" s="456" t="str">
        <v>N.A.</v>
      </c>
      <c r="J1485" s="456">
        <v>0</v>
      </c>
      <c r="K1485" s="456">
        <v>0</v>
      </c>
      <c r="L1485" s="456">
        <f t="shared" si="256"/>
        <v>0</v>
      </c>
      <c r="O1485" s="455">
        <f t="shared" si="259"/>
        <v>0</v>
      </c>
      <c r="P1485" s="455">
        <f t="shared" si="260"/>
        <v>0</v>
      </c>
      <c r="R1485" s="480"/>
    </row>
    <row r="1486" spans="1:18">
      <c r="A1486" s="454"/>
      <c r="B1486" s="454" t="str">
        <v>Window Frames - Internal</v>
      </c>
      <c r="C1486" s="456"/>
      <c r="D1486" s="456"/>
      <c r="E1486" s="456">
        <f>Windows!F127*2+Windows!F128*2+Windows!G127*2+Windows!G128*2</f>
        <v>16.760000000000002</v>
      </c>
      <c r="F1486" s="456"/>
      <c r="G1486" s="456">
        <f t="shared" si="255"/>
        <v>16.760000000000002</v>
      </c>
      <c r="H1486" s="456" t="str">
        <v>RM</v>
      </c>
      <c r="I1486" s="456" t="str">
        <v>Granite Window Frame</v>
      </c>
      <c r="J1486" s="456">
        <v>180</v>
      </c>
      <c r="K1486" s="456">
        <v>655.92719999999997</v>
      </c>
      <c r="L1486" s="456">
        <f t="shared" si="256"/>
        <v>10993.339872</v>
      </c>
      <c r="O1486" s="455">
        <f t="shared" si="259"/>
        <v>502.80000000000007</v>
      </c>
      <c r="P1486" s="455">
        <f t="shared" si="260"/>
        <v>329800.19615999999</v>
      </c>
      <c r="R1486" s="480" t="s">
        <v>743</v>
      </c>
    </row>
    <row r="1487" spans="1:18">
      <c r="A1487" s="454"/>
      <c r="B1487" s="454" t="str">
        <v>Window Frames - External</v>
      </c>
      <c r="C1487" s="456"/>
      <c r="D1487" s="456"/>
      <c r="E1487" s="456">
        <f>E1486</f>
        <v>16.760000000000002</v>
      </c>
      <c r="F1487" s="456"/>
      <c r="G1487" s="456">
        <f t="shared" si="255"/>
        <v>16.760000000000002</v>
      </c>
      <c r="H1487" s="456" t="str">
        <v>RM</v>
      </c>
      <c r="I1487" s="456" t="str">
        <v>Marble Window Frames with Sill</v>
      </c>
      <c r="J1487" s="456">
        <v>60</v>
      </c>
      <c r="K1487" s="456">
        <v>399.04239999999999</v>
      </c>
      <c r="L1487" s="456">
        <f t="shared" si="256"/>
        <v>6687.9506240000001</v>
      </c>
      <c r="O1487" s="455">
        <f t="shared" si="259"/>
        <v>502.80000000000007</v>
      </c>
      <c r="P1487" s="455">
        <f t="shared" si="260"/>
        <v>200638.51871999999</v>
      </c>
      <c r="R1487" s="480" t="s">
        <v>409</v>
      </c>
    </row>
    <row r="1488" spans="1:18">
      <c r="A1488" s="454"/>
      <c r="B1488" s="454" t="str">
        <v>Others</v>
      </c>
      <c r="C1488" s="456"/>
      <c r="D1488" s="456"/>
      <c r="E1488" s="456"/>
      <c r="F1488" s="456"/>
      <c r="G1488" s="456">
        <f t="shared" si="255"/>
        <v>0</v>
      </c>
      <c r="H1488" s="456" t="str">
        <v>-</v>
      </c>
      <c r="I1488" s="456" t="str">
        <v>N.A.</v>
      </c>
      <c r="J1488" s="456">
        <v>0</v>
      </c>
      <c r="K1488" s="456">
        <v>0</v>
      </c>
      <c r="L1488" s="456">
        <f t="shared" si="256"/>
        <v>0</v>
      </c>
      <c r="O1488" s="455">
        <f t="shared" si="259"/>
        <v>0</v>
      </c>
      <c r="P1488" s="455">
        <f t="shared" si="260"/>
        <v>0</v>
      </c>
    </row>
    <row r="1489" spans="1:18" s="479" customFormat="1" ht="13.5" customHeight="1">
      <c r="A1489" s="475" t="s">
        <v>628</v>
      </c>
      <c r="B1489" s="476" t="str">
        <f>'Flat Sizes'!B124</f>
        <v>M. Toilet</v>
      </c>
      <c r="C1489" s="477">
        <f>'Flat Sizes'!D124</f>
        <v>3.28</v>
      </c>
      <c r="D1489" s="477">
        <f>'Flat Sizes'!G124</f>
        <v>8.2100000000000009</v>
      </c>
      <c r="E1489" s="477"/>
      <c r="F1489" s="454"/>
      <c r="G1489" s="477"/>
      <c r="H1489" s="477"/>
      <c r="I1489" s="477"/>
      <c r="J1489" s="477"/>
      <c r="K1489" s="477"/>
      <c r="L1489" s="477"/>
      <c r="M1489" s="459">
        <f>SUM(L1490:L1501)/C1489/10.764</f>
        <v>1371.2405207398647</v>
      </c>
      <c r="N1489" s="472"/>
      <c r="O1489" s="455"/>
      <c r="P1489" s="455"/>
      <c r="Q1489" s="478"/>
    </row>
    <row r="1490" spans="1:18">
      <c r="A1490" s="454"/>
      <c r="B1490" s="454" t="str" cm="1">
        <f t="array" ref="B1490:B1501">'Rate List - Flats'!B62:B73</f>
        <v>Flooring</v>
      </c>
      <c r="C1490" s="456"/>
      <c r="D1490" s="456"/>
      <c r="E1490" s="456">
        <f>C1489</f>
        <v>3.28</v>
      </c>
      <c r="F1490" s="456"/>
      <c r="G1490" s="456">
        <f t="shared" si="255"/>
        <v>3.28</v>
      </c>
      <c r="H1490" s="456" t="str" cm="1">
        <f t="array" ref="H1490:H1501">'Rate List - Flats'!H62:H73</f>
        <v>Sq M</v>
      </c>
      <c r="I1490" s="456" t="str" cm="1">
        <f t="array" ref="I1490:I1501">'Rate List - Flats'!C62:C73</f>
        <v>Ceramic tiles/vitrified anti-skid tiles</v>
      </c>
      <c r="J1490" s="456" cm="1">
        <f t="array" ref="J1490:J1501">'Rate List - Flats'!E62:E73</f>
        <v>50</v>
      </c>
      <c r="K1490" s="456" cm="1">
        <f t="array" ref="K1490:K1501">'Rate List - Flats'!G62:G73</f>
        <v>1399.32</v>
      </c>
      <c r="L1490" s="456">
        <f t="shared" si="256"/>
        <v>4589.7695999999996</v>
      </c>
      <c r="O1490" s="455">
        <f t="shared" ref="O1490:O1501" si="261">IF(I1490="N.A",0,G1490*$N$1462)</f>
        <v>98.399999999999991</v>
      </c>
      <c r="P1490" s="455">
        <f t="shared" ref="P1490:P1501" si="262">L1490*$N$1462</f>
        <v>137693.08799999999</v>
      </c>
      <c r="R1490" s="480" t="s">
        <v>667</v>
      </c>
    </row>
    <row r="1491" spans="1:18">
      <c r="A1491" s="454"/>
      <c r="B1491" s="454" t="str">
        <v>Skirting</v>
      </c>
      <c r="C1491" s="456"/>
      <c r="D1491" s="456"/>
      <c r="E1491" s="456"/>
      <c r="F1491" s="456"/>
      <c r="G1491" s="456">
        <f t="shared" si="255"/>
        <v>0</v>
      </c>
      <c r="H1491" s="456" t="str">
        <v xml:space="preserve">RM </v>
      </c>
      <c r="I1491" s="456" t="str">
        <v>N.A.</v>
      </c>
      <c r="J1491" s="456">
        <v>0</v>
      </c>
      <c r="K1491" s="456">
        <v>0</v>
      </c>
      <c r="L1491" s="456">
        <f t="shared" si="256"/>
        <v>0</v>
      </c>
      <c r="O1491" s="455">
        <f t="shared" si="261"/>
        <v>0</v>
      </c>
      <c r="P1491" s="455">
        <f t="shared" si="262"/>
        <v>0</v>
      </c>
      <c r="R1491" s="480"/>
    </row>
    <row r="1492" spans="1:18">
      <c r="A1492" s="454"/>
      <c r="B1492" s="454" t="str">
        <v>Dado</v>
      </c>
      <c r="C1492" s="456"/>
      <c r="D1492" s="456">
        <f>D1-0.7</f>
        <v>2.4000000000000004</v>
      </c>
      <c r="E1492" s="456">
        <f>D1489*D1492</f>
        <v>19.704000000000004</v>
      </c>
      <c r="F1492" s="456">
        <f>-(Doors!H106+Windows!H129)</f>
        <v>-2.0250000000000004</v>
      </c>
      <c r="G1492" s="456">
        <f t="shared" si="255"/>
        <v>17.679000000000002</v>
      </c>
      <c r="H1492" s="456" t="str">
        <v>Sq M</v>
      </c>
      <c r="I1492" s="456" t="str">
        <v>Vitrified tiles</v>
      </c>
      <c r="J1492" s="456">
        <v>50</v>
      </c>
      <c r="K1492" s="456">
        <v>1480.05</v>
      </c>
      <c r="L1492" s="456">
        <f t="shared" si="256"/>
        <v>26165.803950000001</v>
      </c>
      <c r="O1492" s="455">
        <f t="shared" si="261"/>
        <v>530.37000000000012</v>
      </c>
      <c r="P1492" s="455">
        <f t="shared" si="262"/>
        <v>784974.1185000001</v>
      </c>
      <c r="R1492" s="480" t="s">
        <v>668</v>
      </c>
    </row>
    <row r="1493" spans="1:18">
      <c r="A1493" s="454"/>
      <c r="B1493" s="454" t="str">
        <v>Wall finishes plaster</v>
      </c>
      <c r="C1493" s="456"/>
      <c r="D1493" s="456">
        <f>D1-D1492</f>
        <v>0.69999999999999973</v>
      </c>
      <c r="E1493" s="456">
        <f>D1489*D1493</f>
        <v>5.7469999999999981</v>
      </c>
      <c r="F1493" s="456"/>
      <c r="G1493" s="456">
        <f t="shared" si="255"/>
        <v>5.7469999999999981</v>
      </c>
      <c r="H1493" s="456" t="str">
        <v>Sq M</v>
      </c>
      <c r="I1493" s="456" t="str">
        <v>Gypsum Plaster</v>
      </c>
      <c r="J1493" s="456">
        <v>32</v>
      </c>
      <c r="K1493" s="456">
        <v>344.44799999999998</v>
      </c>
      <c r="L1493" s="456">
        <f t="shared" si="256"/>
        <v>1979.5426559999992</v>
      </c>
      <c r="O1493" s="455">
        <f t="shared" si="261"/>
        <v>172.40999999999994</v>
      </c>
      <c r="P1493" s="455">
        <f t="shared" si="262"/>
        <v>59386.279679999978</v>
      </c>
      <c r="R1493" s="480" t="s">
        <v>661</v>
      </c>
    </row>
    <row r="1494" spans="1:18">
      <c r="A1494" s="454"/>
      <c r="B1494" s="454" t="str">
        <v>Ceiling plaster</v>
      </c>
      <c r="C1494" s="456"/>
      <c r="D1494" s="456"/>
      <c r="E1494" s="456">
        <f>E1490</f>
        <v>3.28</v>
      </c>
      <c r="F1494" s="456"/>
      <c r="G1494" s="456">
        <f t="shared" si="255"/>
        <v>3.28</v>
      </c>
      <c r="H1494" s="456" t="str">
        <v>Sq M</v>
      </c>
      <c r="I1494" s="456" t="str">
        <v>Gypsum Plaster</v>
      </c>
      <c r="J1494" s="456">
        <v>32</v>
      </c>
      <c r="K1494" s="456">
        <v>344.44799999999998</v>
      </c>
      <c r="L1494" s="456">
        <f t="shared" si="256"/>
        <v>1129.7894399999998</v>
      </c>
      <c r="O1494" s="455">
        <f t="shared" si="261"/>
        <v>98.399999999999991</v>
      </c>
      <c r="P1494" s="455">
        <f t="shared" si="262"/>
        <v>33893.683199999992</v>
      </c>
      <c r="R1494" s="480" t="s">
        <v>662</v>
      </c>
    </row>
    <row r="1495" spans="1:18">
      <c r="A1495" s="454"/>
      <c r="B1495" s="454" t="str">
        <v>False ceiling</v>
      </c>
      <c r="C1495" s="456"/>
      <c r="D1495" s="456"/>
      <c r="E1495" s="456"/>
      <c r="F1495" s="456"/>
      <c r="G1495" s="456">
        <f t="shared" si="255"/>
        <v>0</v>
      </c>
      <c r="H1495" s="456" t="str">
        <v>Sq M</v>
      </c>
      <c r="I1495" s="456" t="str">
        <v>N.A.</v>
      </c>
      <c r="J1495" s="456">
        <v>0</v>
      </c>
      <c r="K1495" s="456">
        <v>0</v>
      </c>
      <c r="L1495" s="456">
        <f t="shared" si="256"/>
        <v>0</v>
      </c>
      <c r="O1495" s="455">
        <f t="shared" si="261"/>
        <v>0</v>
      </c>
      <c r="P1495" s="455">
        <f t="shared" si="262"/>
        <v>0</v>
      </c>
      <c r="R1495" s="480"/>
    </row>
    <row r="1496" spans="1:18">
      <c r="A1496" s="454"/>
      <c r="B1496" s="454" t="str">
        <v>Wall finishes Paint</v>
      </c>
      <c r="C1496" s="456"/>
      <c r="D1496" s="456"/>
      <c r="E1496" s="456">
        <f>E1493</f>
        <v>5.7469999999999981</v>
      </c>
      <c r="F1496" s="456"/>
      <c r="G1496" s="456">
        <f t="shared" si="255"/>
        <v>5.7469999999999981</v>
      </c>
      <c r="H1496" s="456" t="str">
        <v>Sq M</v>
      </c>
      <c r="I1496" s="456" t="str">
        <v>Plastic paint</v>
      </c>
      <c r="J1496" s="456">
        <v>20</v>
      </c>
      <c r="K1496" s="456">
        <v>215.27999999999997</v>
      </c>
      <c r="L1496" s="456">
        <f t="shared" si="256"/>
        <v>1237.2141599999995</v>
      </c>
      <c r="O1496" s="455">
        <f t="shared" si="261"/>
        <v>172.40999999999994</v>
      </c>
      <c r="P1496" s="455">
        <f t="shared" si="262"/>
        <v>37116.424799999986</v>
      </c>
      <c r="R1496" s="480" t="s">
        <v>663</v>
      </c>
    </row>
    <row r="1497" spans="1:18">
      <c r="A1497" s="454"/>
      <c r="B1497" s="454" t="str">
        <v>Ceiling Paint</v>
      </c>
      <c r="C1497" s="456"/>
      <c r="D1497" s="456"/>
      <c r="E1497" s="456">
        <f>E1494</f>
        <v>3.28</v>
      </c>
      <c r="F1497" s="456"/>
      <c r="G1497" s="456">
        <f t="shared" si="255"/>
        <v>3.28</v>
      </c>
      <c r="H1497" s="456" t="str">
        <v>Sq M</v>
      </c>
      <c r="I1497" s="456" t="str">
        <v>Plastic paint</v>
      </c>
      <c r="J1497" s="456">
        <v>20</v>
      </c>
      <c r="K1497" s="456">
        <v>215.27999999999997</v>
      </c>
      <c r="L1497" s="456">
        <f t="shared" si="256"/>
        <v>706.11839999999984</v>
      </c>
      <c r="O1497" s="455">
        <f t="shared" si="261"/>
        <v>98.399999999999991</v>
      </c>
      <c r="P1497" s="455">
        <f t="shared" si="262"/>
        <v>21183.551999999996</v>
      </c>
      <c r="R1497" s="480" t="s">
        <v>664</v>
      </c>
    </row>
    <row r="1498" spans="1:18">
      <c r="A1498" s="454"/>
      <c r="B1498" s="454" t="str">
        <v>Door Frames</v>
      </c>
      <c r="C1498" s="456"/>
      <c r="D1498" s="456"/>
      <c r="E1498" s="456">
        <f>Doors!F106*4+Doors!G106*4</f>
        <v>11.4</v>
      </c>
      <c r="F1498" s="456"/>
      <c r="G1498" s="456">
        <f t="shared" si="255"/>
        <v>11.4</v>
      </c>
      <c r="H1498" s="456" t="str">
        <v>RM</v>
      </c>
      <c r="I1498" s="456" t="str">
        <v>Granite Frames</v>
      </c>
      <c r="J1498" s="456">
        <v>180</v>
      </c>
      <c r="K1498" s="456">
        <v>655.92719999999997</v>
      </c>
      <c r="L1498" s="456">
        <f t="shared" si="256"/>
        <v>7477.5700799999995</v>
      </c>
      <c r="O1498" s="455">
        <f t="shared" si="261"/>
        <v>342</v>
      </c>
      <c r="P1498" s="455">
        <f t="shared" si="262"/>
        <v>224327.10239999997</v>
      </c>
      <c r="R1498" s="480" t="s">
        <v>669</v>
      </c>
    </row>
    <row r="1499" spans="1:18">
      <c r="A1499" s="454"/>
      <c r="B1499" s="454" t="str">
        <v>Window Frames - Internal</v>
      </c>
      <c r="C1499" s="456"/>
      <c r="D1499" s="456"/>
      <c r="E1499" s="456">
        <f>Windows!F129*2+Windows!G129*2</f>
        <v>2.7</v>
      </c>
      <c r="F1499" s="456"/>
      <c r="G1499" s="456">
        <f t="shared" si="255"/>
        <v>2.7</v>
      </c>
      <c r="H1499" s="456" t="str">
        <v>RM</v>
      </c>
      <c r="I1499" s="456" t="str">
        <v>Granite Window Frame</v>
      </c>
      <c r="J1499" s="456">
        <v>180</v>
      </c>
      <c r="K1499" s="456">
        <v>655.92719999999997</v>
      </c>
      <c r="L1499" s="456">
        <f t="shared" si="256"/>
        <v>1771.00344</v>
      </c>
      <c r="O1499" s="455">
        <f t="shared" si="261"/>
        <v>81</v>
      </c>
      <c r="P1499" s="455">
        <f t="shared" si="262"/>
        <v>53130.103199999998</v>
      </c>
      <c r="R1499" s="480" t="s">
        <v>743</v>
      </c>
    </row>
    <row r="1500" spans="1:18">
      <c r="A1500" s="454"/>
      <c r="B1500" s="454" t="str">
        <v>Window Frames - External</v>
      </c>
      <c r="C1500" s="456"/>
      <c r="D1500" s="456"/>
      <c r="E1500" s="456">
        <f>E1499</f>
        <v>2.7</v>
      </c>
      <c r="F1500" s="456"/>
      <c r="G1500" s="456">
        <f t="shared" si="255"/>
        <v>2.7</v>
      </c>
      <c r="H1500" s="456" t="str">
        <v>RM</v>
      </c>
      <c r="I1500" s="456" t="str">
        <v>Marble Window Frames with Sill</v>
      </c>
      <c r="J1500" s="456">
        <v>60</v>
      </c>
      <c r="K1500" s="456">
        <v>399.04239999999999</v>
      </c>
      <c r="L1500" s="456">
        <f t="shared" si="256"/>
        <v>1077.4144800000001</v>
      </c>
      <c r="O1500" s="455">
        <f t="shared" si="261"/>
        <v>81</v>
      </c>
      <c r="P1500" s="455">
        <f t="shared" si="262"/>
        <v>32322.434400000006</v>
      </c>
      <c r="R1500" s="480" t="s">
        <v>409</v>
      </c>
    </row>
    <row r="1501" spans="1:18">
      <c r="A1501" s="454"/>
      <c r="B1501" s="454" t="str">
        <v>Others - Counter</v>
      </c>
      <c r="C1501" s="456"/>
      <c r="D1501" s="456"/>
      <c r="E1501" s="456">
        <f>0.6*0.6</f>
        <v>0.36</v>
      </c>
      <c r="F1501" s="456"/>
      <c r="G1501" s="456">
        <f t="shared" si="255"/>
        <v>0.36</v>
      </c>
      <c r="H1501" s="456" t="str">
        <v>Sq M</v>
      </c>
      <c r="I1501" s="456" t="str">
        <v>Basin Counter 1'6" - Granite Basin Counter</v>
      </c>
      <c r="J1501" s="456">
        <v>180</v>
      </c>
      <c r="K1501" s="456">
        <v>6329.6720000000005</v>
      </c>
      <c r="L1501" s="456">
        <f t="shared" si="256"/>
        <v>2278.68192</v>
      </c>
      <c r="O1501" s="455">
        <f t="shared" si="261"/>
        <v>10.799999999999999</v>
      </c>
      <c r="P1501" s="455">
        <f t="shared" si="262"/>
        <v>68360.457599999994</v>
      </c>
      <c r="R1501" s="480" t="s">
        <v>670</v>
      </c>
    </row>
    <row r="1502" spans="1:18" s="479" customFormat="1" ht="13.5" customHeight="1">
      <c r="A1502" s="475" t="s">
        <v>628</v>
      </c>
      <c r="B1502" s="476" t="str">
        <f>'Flat Sizes'!B125</f>
        <v>M. Bedroom</v>
      </c>
      <c r="C1502" s="477">
        <f>'Flat Sizes'!D125</f>
        <v>15.21</v>
      </c>
      <c r="D1502" s="477">
        <f>'Flat Sizes'!G125</f>
        <v>18.329999999999998</v>
      </c>
      <c r="E1502" s="477"/>
      <c r="F1502" s="454"/>
      <c r="G1502" s="477"/>
      <c r="H1502" s="477"/>
      <c r="I1502" s="477"/>
      <c r="J1502" s="477"/>
      <c r="K1502" s="477"/>
      <c r="L1502" s="477"/>
      <c r="M1502" s="459">
        <f>SUM(L1503:L1514)/C1502/10.764</f>
        <v>473.35645438040603</v>
      </c>
      <c r="N1502" s="472"/>
      <c r="O1502" s="455"/>
      <c r="P1502" s="455"/>
      <c r="Q1502" s="478"/>
    </row>
    <row r="1503" spans="1:18">
      <c r="A1503" s="454"/>
      <c r="B1503" s="454" t="str" cm="1">
        <f t="array" ref="B1503:B1514">'Rate List - Flats'!B34:B45</f>
        <v>Flooring</v>
      </c>
      <c r="C1503" s="456"/>
      <c r="D1503" s="456"/>
      <c r="E1503" s="456">
        <f>C1502</f>
        <v>15.21</v>
      </c>
      <c r="F1503" s="456"/>
      <c r="G1503" s="456">
        <f t="shared" si="255"/>
        <v>15.21</v>
      </c>
      <c r="H1503" s="456" t="str" cm="1">
        <f t="array" ref="H1503:H1514">'Rate List - Flats'!H34:H45</f>
        <v>Sq M</v>
      </c>
      <c r="I1503" s="456" t="str" cm="1">
        <f t="array" ref="I1503:I1514">'Rate List - Flats'!C34:C45</f>
        <v>2'x2' Vitrified tiles</v>
      </c>
      <c r="J1503" s="456" cm="1">
        <f t="array" ref="J1503:J1514">'Rate List - Flats'!E34:E45</f>
        <v>45</v>
      </c>
      <c r="K1503" s="456" cm="1">
        <f t="array" ref="K1503:K1514">'Rate List - Flats'!G34:G45</f>
        <v>1340.1179999999999</v>
      </c>
      <c r="L1503" s="456">
        <f t="shared" si="256"/>
        <v>20383.194780000002</v>
      </c>
      <c r="O1503" s="455">
        <f t="shared" ref="O1503:O1514" si="263">IF(I1503="N.A",0,G1503*$N$1462)</f>
        <v>456.3</v>
      </c>
      <c r="P1503" s="455">
        <f t="shared" ref="P1503:P1514" si="264">L1503*$N$1462</f>
        <v>611495.84340000001</v>
      </c>
      <c r="R1503" s="480" t="s">
        <v>659</v>
      </c>
    </row>
    <row r="1504" spans="1:18">
      <c r="A1504" s="454"/>
      <c r="B1504" s="454" t="str">
        <v>Skirting</v>
      </c>
      <c r="C1504" s="456"/>
      <c r="D1504" s="456"/>
      <c r="E1504" s="456">
        <f>D1502</f>
        <v>18.329999999999998</v>
      </c>
      <c r="F1504" s="456">
        <f>-(Doors!F107+Doors!F108)</f>
        <v>-1.65</v>
      </c>
      <c r="G1504" s="456">
        <f t="shared" si="255"/>
        <v>16.68</v>
      </c>
      <c r="H1504" s="456" t="str">
        <v>RM</v>
      </c>
      <c r="I1504" s="456" t="str">
        <v xml:space="preserve">2'x2' Vitrified tiles </v>
      </c>
      <c r="J1504" s="456">
        <v>45</v>
      </c>
      <c r="K1504" s="456">
        <v>391.96</v>
      </c>
      <c r="L1504" s="456">
        <f t="shared" si="256"/>
        <v>6537.8927999999996</v>
      </c>
      <c r="O1504" s="455">
        <f t="shared" si="263"/>
        <v>500.4</v>
      </c>
      <c r="P1504" s="455">
        <f t="shared" si="264"/>
        <v>196136.78399999999</v>
      </c>
      <c r="R1504" s="480" t="s">
        <v>660</v>
      </c>
    </row>
    <row r="1505" spans="1:18">
      <c r="A1505" s="454"/>
      <c r="B1505" s="454" t="str">
        <v>Dado</v>
      </c>
      <c r="C1505" s="456"/>
      <c r="D1505" s="456"/>
      <c r="E1505" s="456"/>
      <c r="F1505" s="456"/>
      <c r="G1505" s="456">
        <f t="shared" si="255"/>
        <v>0</v>
      </c>
      <c r="H1505" s="456" t="str">
        <v>Sq M</v>
      </c>
      <c r="I1505" s="456" t="str">
        <v>N.A.</v>
      </c>
      <c r="J1505" s="456">
        <v>0</v>
      </c>
      <c r="K1505" s="456">
        <v>0</v>
      </c>
      <c r="L1505" s="456">
        <f t="shared" si="256"/>
        <v>0</v>
      </c>
      <c r="O1505" s="455">
        <f t="shared" si="263"/>
        <v>0</v>
      </c>
      <c r="P1505" s="455">
        <f t="shared" si="264"/>
        <v>0</v>
      </c>
      <c r="R1505" s="480"/>
    </row>
    <row r="1506" spans="1:18">
      <c r="A1506" s="454"/>
      <c r="B1506" s="454" t="str">
        <v>Wall finishes plaster</v>
      </c>
      <c r="C1506" s="456"/>
      <c r="D1506" s="456"/>
      <c r="E1506" s="456">
        <f>D1502*(D1-0.15)</f>
        <v>54.073499999999996</v>
      </c>
      <c r="F1506" s="456">
        <f>-(Doors!H107+Doors!H108+Windows!H130)</f>
        <v>-10.022499999999999</v>
      </c>
      <c r="G1506" s="456">
        <f t="shared" si="255"/>
        <v>44.050999999999995</v>
      </c>
      <c r="H1506" s="456" t="str">
        <v>Sq M</v>
      </c>
      <c r="I1506" s="456" t="str">
        <v>Gypsum Plaster</v>
      </c>
      <c r="J1506" s="456">
        <v>32</v>
      </c>
      <c r="K1506" s="456">
        <v>344.44799999999998</v>
      </c>
      <c r="L1506" s="456">
        <f t="shared" si="256"/>
        <v>15173.278847999998</v>
      </c>
      <c r="O1506" s="455">
        <f t="shared" si="263"/>
        <v>1321.5299999999997</v>
      </c>
      <c r="P1506" s="455">
        <f t="shared" si="264"/>
        <v>455198.36543999997</v>
      </c>
      <c r="R1506" s="480" t="s">
        <v>661</v>
      </c>
    </row>
    <row r="1507" spans="1:18">
      <c r="A1507" s="454"/>
      <c r="B1507" s="454" t="str">
        <v>Ceiling plaster</v>
      </c>
      <c r="C1507" s="456"/>
      <c r="D1507" s="456"/>
      <c r="E1507" s="456">
        <f>E1503</f>
        <v>15.21</v>
      </c>
      <c r="F1507" s="456"/>
      <c r="G1507" s="456">
        <f t="shared" si="255"/>
        <v>15.21</v>
      </c>
      <c r="H1507" s="456" t="str">
        <v>Sq M</v>
      </c>
      <c r="I1507" s="456" t="str">
        <v>Gypsum Plaster</v>
      </c>
      <c r="J1507" s="456">
        <v>32</v>
      </c>
      <c r="K1507" s="456">
        <v>344.44799999999998</v>
      </c>
      <c r="L1507" s="456">
        <f t="shared" si="256"/>
        <v>5239.0540799999999</v>
      </c>
      <c r="O1507" s="455">
        <f t="shared" si="263"/>
        <v>456.3</v>
      </c>
      <c r="P1507" s="455">
        <f t="shared" si="264"/>
        <v>157171.62239999999</v>
      </c>
      <c r="R1507" s="480" t="s">
        <v>662</v>
      </c>
    </row>
    <row r="1508" spans="1:18">
      <c r="A1508" s="454"/>
      <c r="B1508" s="454" t="str">
        <v>False ceiling</v>
      </c>
      <c r="C1508" s="456"/>
      <c r="D1508" s="456"/>
      <c r="E1508" s="456"/>
      <c r="F1508" s="456"/>
      <c r="G1508" s="456">
        <f t="shared" si="255"/>
        <v>0</v>
      </c>
      <c r="H1508" s="456" t="str">
        <v>Sq M</v>
      </c>
      <c r="I1508" s="456" t="str">
        <v>N.A.</v>
      </c>
      <c r="J1508" s="456">
        <v>0</v>
      </c>
      <c r="K1508" s="456">
        <v>0</v>
      </c>
      <c r="L1508" s="456">
        <f t="shared" si="256"/>
        <v>0</v>
      </c>
      <c r="O1508" s="455">
        <f t="shared" si="263"/>
        <v>0</v>
      </c>
      <c r="P1508" s="455">
        <f t="shared" si="264"/>
        <v>0</v>
      </c>
      <c r="R1508" s="480"/>
    </row>
    <row r="1509" spans="1:18">
      <c r="A1509" s="454"/>
      <c r="B1509" s="454" t="str">
        <v>Wall finishes Paint</v>
      </c>
      <c r="C1509" s="456"/>
      <c r="D1509" s="456"/>
      <c r="E1509" s="456">
        <f>E1506</f>
        <v>54.073499999999996</v>
      </c>
      <c r="F1509" s="456">
        <f>F1506</f>
        <v>-10.022499999999999</v>
      </c>
      <c r="G1509" s="456">
        <f t="shared" si="255"/>
        <v>44.050999999999995</v>
      </c>
      <c r="H1509" s="456" t="str">
        <v>Sq M</v>
      </c>
      <c r="I1509" s="456" t="str">
        <v>Plastic paint</v>
      </c>
      <c r="J1509" s="456">
        <v>20</v>
      </c>
      <c r="K1509" s="456">
        <v>215.27999999999997</v>
      </c>
      <c r="L1509" s="456">
        <f t="shared" si="256"/>
        <v>9483.2992799999975</v>
      </c>
      <c r="O1509" s="455">
        <f t="shared" si="263"/>
        <v>1321.5299999999997</v>
      </c>
      <c r="P1509" s="455">
        <f t="shared" si="264"/>
        <v>284498.97839999991</v>
      </c>
      <c r="R1509" s="480" t="s">
        <v>663</v>
      </c>
    </row>
    <row r="1510" spans="1:18">
      <c r="A1510" s="454"/>
      <c r="B1510" s="454" t="str">
        <v>Ceiling Paint</v>
      </c>
      <c r="C1510" s="456"/>
      <c r="D1510" s="456"/>
      <c r="E1510" s="456">
        <f>E1507</f>
        <v>15.21</v>
      </c>
      <c r="F1510" s="456"/>
      <c r="G1510" s="456">
        <f t="shared" si="255"/>
        <v>15.21</v>
      </c>
      <c r="H1510" s="456" t="str">
        <v>Sq M</v>
      </c>
      <c r="I1510" s="456" t="str">
        <v>Plastic paint</v>
      </c>
      <c r="J1510" s="456">
        <v>20</v>
      </c>
      <c r="K1510" s="456">
        <v>215.27999999999997</v>
      </c>
      <c r="L1510" s="456">
        <f t="shared" si="256"/>
        <v>3274.4087999999997</v>
      </c>
      <c r="O1510" s="455">
        <f t="shared" si="263"/>
        <v>456.3</v>
      </c>
      <c r="P1510" s="455">
        <f t="shared" si="264"/>
        <v>98232.263999999996</v>
      </c>
      <c r="R1510" s="480" t="s">
        <v>664</v>
      </c>
    </row>
    <row r="1511" spans="1:18">
      <c r="A1511" s="454"/>
      <c r="B1511" s="454" t="str">
        <v>Door Frames</v>
      </c>
      <c r="C1511" s="456"/>
      <c r="D1511" s="456"/>
      <c r="E1511" s="456"/>
      <c r="F1511" s="456"/>
      <c r="G1511" s="456">
        <f t="shared" si="255"/>
        <v>0</v>
      </c>
      <c r="H1511" s="456" t="str">
        <v>RM</v>
      </c>
      <c r="I1511" s="456" t="str">
        <v>N.A.</v>
      </c>
      <c r="J1511" s="456">
        <v>0</v>
      </c>
      <c r="K1511" s="456">
        <v>0</v>
      </c>
      <c r="L1511" s="456">
        <f t="shared" si="256"/>
        <v>0</v>
      </c>
      <c r="O1511" s="455">
        <f t="shared" si="263"/>
        <v>0</v>
      </c>
      <c r="P1511" s="455">
        <f t="shared" si="264"/>
        <v>0</v>
      </c>
      <c r="R1511" s="480"/>
    </row>
    <row r="1512" spans="1:18">
      <c r="A1512" s="454"/>
      <c r="B1512" s="454" t="str">
        <v>Window Frames - Internal</v>
      </c>
      <c r="C1512" s="456"/>
      <c r="D1512" s="456"/>
      <c r="E1512" s="456">
        <f>Windows!F130*4+Windows!G130*2</f>
        <v>16.5</v>
      </c>
      <c r="F1512" s="456"/>
      <c r="G1512" s="456">
        <f t="shared" si="255"/>
        <v>16.5</v>
      </c>
      <c r="H1512" s="456" t="str">
        <v>RM</v>
      </c>
      <c r="I1512" s="456" t="str">
        <v>Granite Window Frame</v>
      </c>
      <c r="J1512" s="456">
        <v>180</v>
      </c>
      <c r="K1512" s="456">
        <v>655.92719999999997</v>
      </c>
      <c r="L1512" s="456">
        <f t="shared" si="256"/>
        <v>10822.798799999999</v>
      </c>
      <c r="O1512" s="455">
        <f t="shared" si="263"/>
        <v>495</v>
      </c>
      <c r="P1512" s="455">
        <f t="shared" si="264"/>
        <v>324683.96399999998</v>
      </c>
      <c r="R1512" s="480" t="s">
        <v>743</v>
      </c>
    </row>
    <row r="1513" spans="1:18">
      <c r="A1513" s="454"/>
      <c r="B1513" s="454" t="str">
        <v>Window Frames - External</v>
      </c>
      <c r="C1513" s="456"/>
      <c r="D1513" s="456"/>
      <c r="E1513" s="456">
        <f>E1512</f>
        <v>16.5</v>
      </c>
      <c r="F1513" s="456"/>
      <c r="G1513" s="456">
        <f t="shared" si="255"/>
        <v>16.5</v>
      </c>
      <c r="H1513" s="456" t="str">
        <v>RM</v>
      </c>
      <c r="I1513" s="456" t="str">
        <v>Marble Window Frames with Sill</v>
      </c>
      <c r="J1513" s="456">
        <v>60</v>
      </c>
      <c r="K1513" s="456">
        <v>399.04239999999999</v>
      </c>
      <c r="L1513" s="456">
        <f t="shared" si="256"/>
        <v>6584.1995999999999</v>
      </c>
      <c r="O1513" s="455">
        <f t="shared" si="263"/>
        <v>495</v>
      </c>
      <c r="P1513" s="455">
        <f t="shared" si="264"/>
        <v>197525.98800000001</v>
      </c>
      <c r="R1513" s="480" t="s">
        <v>409</v>
      </c>
    </row>
    <row r="1514" spans="1:18">
      <c r="A1514" s="454"/>
      <c r="B1514" s="454" t="str">
        <v>Others</v>
      </c>
      <c r="C1514" s="456"/>
      <c r="D1514" s="456"/>
      <c r="E1514" s="456"/>
      <c r="F1514" s="456"/>
      <c r="G1514" s="456">
        <f t="shared" si="255"/>
        <v>0</v>
      </c>
      <c r="H1514" s="456" t="str">
        <v>-</v>
      </c>
      <c r="I1514" s="456" t="str">
        <v>N.A.</v>
      </c>
      <c r="J1514" s="456">
        <v>0</v>
      </c>
      <c r="K1514" s="456">
        <v>0</v>
      </c>
      <c r="L1514" s="456">
        <f t="shared" si="256"/>
        <v>0</v>
      </c>
      <c r="O1514" s="455">
        <f t="shared" si="263"/>
        <v>0</v>
      </c>
      <c r="P1514" s="455">
        <f t="shared" si="264"/>
        <v>0</v>
      </c>
    </row>
    <row r="1515" spans="1:18" s="479" customFormat="1" ht="13.5" customHeight="1">
      <c r="A1515" s="475" t="s">
        <v>628</v>
      </c>
      <c r="B1515" s="476" t="str">
        <f>'Flat Sizes'!B126</f>
        <v>M. Toilet</v>
      </c>
      <c r="C1515" s="477">
        <f>'Flat Sizes'!D126</f>
        <v>3.9</v>
      </c>
      <c r="D1515" s="477">
        <f>'Flat Sizes'!G126</f>
        <v>8.27</v>
      </c>
      <c r="E1515" s="477"/>
      <c r="F1515" s="454"/>
      <c r="G1515" s="477"/>
      <c r="H1515" s="477"/>
      <c r="I1515" s="477"/>
      <c r="J1515" s="477"/>
      <c r="K1515" s="477"/>
      <c r="L1515" s="477"/>
      <c r="M1515" s="459">
        <f>SUM(L1516:L1527)/C1515/10.764</f>
        <v>1187.8186943658347</v>
      </c>
      <c r="N1515" s="472"/>
      <c r="O1515" s="455"/>
      <c r="P1515" s="455"/>
      <c r="Q1515" s="478"/>
    </row>
    <row r="1516" spans="1:18">
      <c r="A1516" s="454"/>
      <c r="B1516" s="454" t="str" cm="1">
        <f t="array" ref="B1516:B1527">'Rate List - Flats'!B62:B73</f>
        <v>Flooring</v>
      </c>
      <c r="C1516" s="456"/>
      <c r="D1516" s="456"/>
      <c r="E1516" s="456">
        <f>C1515</f>
        <v>3.9</v>
      </c>
      <c r="F1516" s="456"/>
      <c r="G1516" s="456">
        <f t="shared" si="255"/>
        <v>3.9</v>
      </c>
      <c r="H1516" s="456" t="str" cm="1">
        <f t="array" ref="H1516:H1527">'Rate List - Flats'!H62:H73</f>
        <v>Sq M</v>
      </c>
      <c r="I1516" s="456" t="str" cm="1">
        <f t="array" ref="I1516:I1527">'Rate List - Flats'!C62:C73</f>
        <v>Ceramic tiles/vitrified anti-skid tiles</v>
      </c>
      <c r="J1516" s="456" cm="1">
        <f t="array" ref="J1516:J1527">'Rate List - Flats'!E62:E73</f>
        <v>50</v>
      </c>
      <c r="K1516" s="456" cm="1">
        <f t="array" ref="K1516:K1527">'Rate List - Flats'!G62:G73</f>
        <v>1399.32</v>
      </c>
      <c r="L1516" s="456">
        <f t="shared" si="256"/>
        <v>5457.348</v>
      </c>
      <c r="O1516" s="455">
        <f t="shared" ref="O1516:O1527" si="265">IF(I1516="N.A",0,G1516*$N$1462)</f>
        <v>117</v>
      </c>
      <c r="P1516" s="455">
        <f t="shared" ref="P1516:P1527" si="266">L1516*$N$1462</f>
        <v>163720.44</v>
      </c>
      <c r="R1516" s="480" t="s">
        <v>667</v>
      </c>
    </row>
    <row r="1517" spans="1:18">
      <c r="A1517" s="454"/>
      <c r="B1517" s="454" t="str">
        <v>Skirting</v>
      </c>
      <c r="C1517" s="456"/>
      <c r="D1517" s="456"/>
      <c r="E1517" s="456"/>
      <c r="F1517" s="456"/>
      <c r="G1517" s="456">
        <f t="shared" si="255"/>
        <v>0</v>
      </c>
      <c r="H1517" s="456" t="str">
        <v xml:space="preserve">RM </v>
      </c>
      <c r="I1517" s="456" t="str">
        <v>N.A.</v>
      </c>
      <c r="J1517" s="456">
        <v>0</v>
      </c>
      <c r="K1517" s="456">
        <v>0</v>
      </c>
      <c r="L1517" s="456">
        <f t="shared" si="256"/>
        <v>0</v>
      </c>
      <c r="O1517" s="455">
        <f t="shared" si="265"/>
        <v>0</v>
      </c>
      <c r="P1517" s="455">
        <f t="shared" si="266"/>
        <v>0</v>
      </c>
      <c r="R1517" s="480"/>
    </row>
    <row r="1518" spans="1:18">
      <c r="A1518" s="454"/>
      <c r="B1518" s="454" t="str">
        <v>Dado</v>
      </c>
      <c r="C1518" s="456"/>
      <c r="D1518" s="456">
        <f>D1-0.7</f>
        <v>2.4000000000000004</v>
      </c>
      <c r="E1518" s="456">
        <f>D1515*D1518</f>
        <v>19.848000000000003</v>
      </c>
      <c r="F1518" s="456">
        <f>-(Doors!H108+Windows!H131)</f>
        <v>-2.0250000000000004</v>
      </c>
      <c r="G1518" s="456">
        <f t="shared" si="255"/>
        <v>17.823</v>
      </c>
      <c r="H1518" s="456" t="str">
        <v>Sq M</v>
      </c>
      <c r="I1518" s="456" t="str">
        <v>Vitrified tiles</v>
      </c>
      <c r="J1518" s="456">
        <v>50</v>
      </c>
      <c r="K1518" s="456">
        <v>1480.05</v>
      </c>
      <c r="L1518" s="456">
        <f t="shared" si="256"/>
        <v>26378.93115</v>
      </c>
      <c r="O1518" s="455">
        <f t="shared" si="265"/>
        <v>534.69000000000005</v>
      </c>
      <c r="P1518" s="455">
        <f t="shared" si="266"/>
        <v>791367.93449999997</v>
      </c>
      <c r="R1518" s="480" t="s">
        <v>668</v>
      </c>
    </row>
    <row r="1519" spans="1:18">
      <c r="A1519" s="454"/>
      <c r="B1519" s="454" t="str">
        <v>Wall finishes plaster</v>
      </c>
      <c r="C1519" s="456"/>
      <c r="D1519" s="456">
        <f>D1-D1518</f>
        <v>0.69999999999999973</v>
      </c>
      <c r="E1519" s="456">
        <f>D1515*D1519</f>
        <v>5.7889999999999979</v>
      </c>
      <c r="F1519" s="456"/>
      <c r="G1519" s="456">
        <f t="shared" si="255"/>
        <v>5.7889999999999979</v>
      </c>
      <c r="H1519" s="456" t="str">
        <v>Sq M</v>
      </c>
      <c r="I1519" s="456" t="str">
        <v>Gypsum Plaster</v>
      </c>
      <c r="J1519" s="456">
        <v>32</v>
      </c>
      <c r="K1519" s="456">
        <v>344.44799999999998</v>
      </c>
      <c r="L1519" s="456">
        <f t="shared" si="256"/>
        <v>1994.0094719999993</v>
      </c>
      <c r="O1519" s="455">
        <f t="shared" si="265"/>
        <v>173.66999999999993</v>
      </c>
      <c r="P1519" s="455">
        <f t="shared" si="266"/>
        <v>59820.284159999981</v>
      </c>
      <c r="R1519" s="480" t="s">
        <v>661</v>
      </c>
    </row>
    <row r="1520" spans="1:18">
      <c r="A1520" s="454"/>
      <c r="B1520" s="454" t="str">
        <v>Ceiling plaster</v>
      </c>
      <c r="C1520" s="456"/>
      <c r="D1520" s="456"/>
      <c r="E1520" s="456">
        <f>E1516</f>
        <v>3.9</v>
      </c>
      <c r="F1520" s="456"/>
      <c r="G1520" s="456">
        <f t="shared" si="255"/>
        <v>3.9</v>
      </c>
      <c r="H1520" s="456" t="str">
        <v>Sq M</v>
      </c>
      <c r="I1520" s="456" t="str">
        <v>Gypsum Plaster</v>
      </c>
      <c r="J1520" s="456">
        <v>32</v>
      </c>
      <c r="K1520" s="456">
        <v>344.44799999999998</v>
      </c>
      <c r="L1520" s="456">
        <f t="shared" si="256"/>
        <v>1343.3471999999999</v>
      </c>
      <c r="O1520" s="455">
        <f t="shared" si="265"/>
        <v>117</v>
      </c>
      <c r="P1520" s="455">
        <f t="shared" si="266"/>
        <v>40300.415999999997</v>
      </c>
      <c r="R1520" s="480" t="s">
        <v>662</v>
      </c>
    </row>
    <row r="1521" spans="1:18">
      <c r="A1521" s="454"/>
      <c r="B1521" s="454" t="str">
        <v>False ceiling</v>
      </c>
      <c r="C1521" s="456"/>
      <c r="D1521" s="456"/>
      <c r="E1521" s="456"/>
      <c r="F1521" s="456"/>
      <c r="G1521" s="456">
        <f t="shared" si="255"/>
        <v>0</v>
      </c>
      <c r="H1521" s="456" t="str">
        <v>Sq M</v>
      </c>
      <c r="I1521" s="456" t="str">
        <v>N.A.</v>
      </c>
      <c r="J1521" s="456">
        <v>0</v>
      </c>
      <c r="K1521" s="456">
        <v>0</v>
      </c>
      <c r="L1521" s="456">
        <f t="shared" si="256"/>
        <v>0</v>
      </c>
      <c r="O1521" s="455">
        <f t="shared" si="265"/>
        <v>0</v>
      </c>
      <c r="P1521" s="455">
        <f t="shared" si="266"/>
        <v>0</v>
      </c>
      <c r="R1521" s="480"/>
    </row>
    <row r="1522" spans="1:18">
      <c r="A1522" s="454"/>
      <c r="B1522" s="454" t="str">
        <v>Wall finishes Paint</v>
      </c>
      <c r="C1522" s="456"/>
      <c r="D1522" s="456"/>
      <c r="E1522" s="456">
        <f>E1519</f>
        <v>5.7889999999999979</v>
      </c>
      <c r="F1522" s="456"/>
      <c r="G1522" s="456">
        <f t="shared" si="255"/>
        <v>5.7889999999999979</v>
      </c>
      <c r="H1522" s="456" t="str">
        <v>Sq M</v>
      </c>
      <c r="I1522" s="456" t="str">
        <v>Plastic paint</v>
      </c>
      <c r="J1522" s="456">
        <v>20</v>
      </c>
      <c r="K1522" s="456">
        <v>215.27999999999997</v>
      </c>
      <c r="L1522" s="456">
        <f t="shared" si="256"/>
        <v>1246.2559199999994</v>
      </c>
      <c r="O1522" s="455">
        <f t="shared" si="265"/>
        <v>173.66999999999993</v>
      </c>
      <c r="P1522" s="455">
        <f t="shared" si="266"/>
        <v>37387.677599999981</v>
      </c>
      <c r="R1522" s="480" t="s">
        <v>663</v>
      </c>
    </row>
    <row r="1523" spans="1:18">
      <c r="A1523" s="454"/>
      <c r="B1523" s="454" t="str">
        <v>Ceiling Paint</v>
      </c>
      <c r="C1523" s="456"/>
      <c r="D1523" s="456"/>
      <c r="E1523" s="456">
        <f>E1520</f>
        <v>3.9</v>
      </c>
      <c r="F1523" s="456"/>
      <c r="G1523" s="456">
        <f t="shared" si="255"/>
        <v>3.9</v>
      </c>
      <c r="H1523" s="456" t="str">
        <v>Sq M</v>
      </c>
      <c r="I1523" s="456" t="str">
        <v>Plastic paint</v>
      </c>
      <c r="J1523" s="456">
        <v>20</v>
      </c>
      <c r="K1523" s="456">
        <v>215.27999999999997</v>
      </c>
      <c r="L1523" s="456">
        <f t="shared" si="256"/>
        <v>839.59199999999987</v>
      </c>
      <c r="O1523" s="455">
        <f t="shared" si="265"/>
        <v>117</v>
      </c>
      <c r="P1523" s="455">
        <f t="shared" si="266"/>
        <v>25187.759999999995</v>
      </c>
      <c r="R1523" s="480" t="s">
        <v>664</v>
      </c>
    </row>
    <row r="1524" spans="1:18">
      <c r="A1524" s="454"/>
      <c r="B1524" s="454" t="str">
        <v>Door Frames</v>
      </c>
      <c r="C1524" s="456"/>
      <c r="D1524" s="456"/>
      <c r="E1524" s="456">
        <f>Doors!F108*4+Doors!G108*4</f>
        <v>11.4</v>
      </c>
      <c r="F1524" s="456"/>
      <c r="G1524" s="456">
        <f t="shared" si="255"/>
        <v>11.4</v>
      </c>
      <c r="H1524" s="456" t="str">
        <v>RM</v>
      </c>
      <c r="I1524" s="456" t="str">
        <v>Granite Frames</v>
      </c>
      <c r="J1524" s="456">
        <v>180</v>
      </c>
      <c r="K1524" s="456">
        <v>655.92719999999997</v>
      </c>
      <c r="L1524" s="456">
        <f t="shared" si="256"/>
        <v>7477.5700799999995</v>
      </c>
      <c r="O1524" s="455">
        <f t="shared" si="265"/>
        <v>342</v>
      </c>
      <c r="P1524" s="455">
        <f t="shared" si="266"/>
        <v>224327.10239999997</v>
      </c>
      <c r="R1524" s="480" t="s">
        <v>669</v>
      </c>
    </row>
    <row r="1525" spans="1:18">
      <c r="A1525" s="454"/>
      <c r="B1525" s="454" t="str">
        <v>Window Frames - Internal</v>
      </c>
      <c r="C1525" s="456"/>
      <c r="D1525" s="456"/>
      <c r="E1525" s="456">
        <f>Windows!F131*2+Windows!G131*2</f>
        <v>2.7</v>
      </c>
      <c r="F1525" s="456"/>
      <c r="G1525" s="456">
        <f t="shared" si="255"/>
        <v>2.7</v>
      </c>
      <c r="H1525" s="456" t="str">
        <v>RM</v>
      </c>
      <c r="I1525" s="456" t="str">
        <v>Granite Window Frame</v>
      </c>
      <c r="J1525" s="456">
        <v>180</v>
      </c>
      <c r="K1525" s="456">
        <v>655.92719999999997</v>
      </c>
      <c r="L1525" s="456">
        <f t="shared" si="256"/>
        <v>1771.00344</v>
      </c>
      <c r="O1525" s="455">
        <f t="shared" si="265"/>
        <v>81</v>
      </c>
      <c r="P1525" s="455">
        <f t="shared" si="266"/>
        <v>53130.103199999998</v>
      </c>
      <c r="R1525" s="480" t="s">
        <v>743</v>
      </c>
    </row>
    <row r="1526" spans="1:18">
      <c r="A1526" s="454"/>
      <c r="B1526" s="454" t="str">
        <v>Window Frames - External</v>
      </c>
      <c r="C1526" s="456"/>
      <c r="D1526" s="456"/>
      <c r="E1526" s="456">
        <f>E1525</f>
        <v>2.7</v>
      </c>
      <c r="F1526" s="456"/>
      <c r="G1526" s="456">
        <f t="shared" si="255"/>
        <v>2.7</v>
      </c>
      <c r="H1526" s="456" t="str">
        <v>RM</v>
      </c>
      <c r="I1526" s="456" t="str">
        <v>Marble Window Frames with Sill</v>
      </c>
      <c r="J1526" s="456">
        <v>60</v>
      </c>
      <c r="K1526" s="456">
        <v>399.04239999999999</v>
      </c>
      <c r="L1526" s="456">
        <f t="shared" si="256"/>
        <v>1077.4144800000001</v>
      </c>
      <c r="O1526" s="455">
        <f t="shared" si="265"/>
        <v>81</v>
      </c>
      <c r="P1526" s="455">
        <f t="shared" si="266"/>
        <v>32322.434400000006</v>
      </c>
      <c r="R1526" s="480" t="s">
        <v>409</v>
      </c>
    </row>
    <row r="1527" spans="1:18">
      <c r="A1527" s="454"/>
      <c r="B1527" s="454" t="str">
        <v>Others - Counter</v>
      </c>
      <c r="C1527" s="456"/>
      <c r="D1527" s="456"/>
      <c r="E1527" s="456">
        <f>0.6*0.6</f>
        <v>0.36</v>
      </c>
      <c r="F1527" s="456"/>
      <c r="G1527" s="456">
        <f t="shared" si="255"/>
        <v>0.36</v>
      </c>
      <c r="H1527" s="456" t="str">
        <v>Sq M</v>
      </c>
      <c r="I1527" s="456" t="str">
        <v>Basin Counter 1'6" - Granite Basin Counter</v>
      </c>
      <c r="J1527" s="456">
        <v>180</v>
      </c>
      <c r="K1527" s="456">
        <v>6329.6720000000005</v>
      </c>
      <c r="L1527" s="456">
        <f t="shared" si="256"/>
        <v>2278.68192</v>
      </c>
      <c r="O1527" s="455">
        <f t="shared" si="265"/>
        <v>10.799999999999999</v>
      </c>
      <c r="P1527" s="455">
        <f t="shared" si="266"/>
        <v>68360.457599999994</v>
      </c>
      <c r="R1527" s="480" t="s">
        <v>670</v>
      </c>
    </row>
    <row r="1528" spans="1:18" s="479" customFormat="1" ht="13.5" customHeight="1">
      <c r="A1528" s="475" t="s">
        <v>628</v>
      </c>
      <c r="B1528" s="476" t="str">
        <f>'Flat Sizes'!B127</f>
        <v>C. Bedroom</v>
      </c>
      <c r="C1528" s="477">
        <f>'Flat Sizes'!D127</f>
        <v>10.47</v>
      </c>
      <c r="D1528" s="477">
        <f>'Flat Sizes'!G127</f>
        <v>13.43</v>
      </c>
      <c r="E1528" s="477"/>
      <c r="F1528" s="454"/>
      <c r="G1528" s="477"/>
      <c r="H1528" s="477"/>
      <c r="I1528" s="477"/>
      <c r="J1528" s="477"/>
      <c r="K1528" s="477"/>
      <c r="L1528" s="477"/>
      <c r="M1528" s="459">
        <f>SUM(L1529:L1540)/C1528/10.764</f>
        <v>461.81450769606994</v>
      </c>
      <c r="N1528" s="472"/>
      <c r="O1528" s="455"/>
      <c r="P1528" s="455"/>
      <c r="Q1528" s="478"/>
    </row>
    <row r="1529" spans="1:18">
      <c r="A1529" s="454"/>
      <c r="B1529" s="454" t="str" cm="1">
        <f t="array" ref="B1529:B1540">'Rate List - Flats'!B48:B59</f>
        <v>Flooring</v>
      </c>
      <c r="C1529" s="456"/>
      <c r="D1529" s="456"/>
      <c r="E1529" s="456">
        <f>C1528</f>
        <v>10.47</v>
      </c>
      <c r="F1529" s="456"/>
      <c r="G1529" s="456">
        <f t="shared" si="255"/>
        <v>10.47</v>
      </c>
      <c r="H1529" s="456" t="str" cm="1">
        <f t="array" ref="H1529:H1540">'Rate List - Flats'!H48:H59</f>
        <v>Sq M</v>
      </c>
      <c r="I1529" s="456" t="str" cm="1">
        <f t="array" ref="I1529:I1540">'Rate List - Flats'!C48:C59</f>
        <v>2'x2' Vitrified tiles</v>
      </c>
      <c r="J1529" s="456" cm="1">
        <f t="array" ref="J1529:J1540">'Rate List - Flats'!E48:E59</f>
        <v>45</v>
      </c>
      <c r="K1529" s="456" cm="1">
        <f t="array" ref="K1529:K1540">'Rate List - Flats'!G48:G59</f>
        <v>1340.1179999999999</v>
      </c>
      <c r="L1529" s="456">
        <f t="shared" si="256"/>
        <v>14031.035460000001</v>
      </c>
      <c r="O1529" s="455">
        <f t="shared" ref="O1529:O1540" si="267">IF(I1529="N.A",0,G1529*$N$1462)</f>
        <v>314.10000000000002</v>
      </c>
      <c r="P1529" s="455">
        <f t="shared" ref="P1529:P1540" si="268">L1529*$N$1462</f>
        <v>420931.0638</v>
      </c>
      <c r="R1529" s="480" t="s">
        <v>659</v>
      </c>
    </row>
    <row r="1530" spans="1:18">
      <c r="A1530" s="454"/>
      <c r="B1530" s="454" t="str">
        <v>Skirting</v>
      </c>
      <c r="C1530" s="456"/>
      <c r="D1530" s="456"/>
      <c r="E1530" s="456">
        <f>D1528</f>
        <v>13.43</v>
      </c>
      <c r="F1530" s="456">
        <f>-(Doors!F109+Doors!F110)</f>
        <v>-1.65</v>
      </c>
      <c r="G1530" s="456">
        <f t="shared" ref="G1530:G1588" si="269">E1530+F1530</f>
        <v>11.78</v>
      </c>
      <c r="H1530" s="456" t="str">
        <v>RM</v>
      </c>
      <c r="I1530" s="456" t="str">
        <v xml:space="preserve">2'x2' Vitrified tiles </v>
      </c>
      <c r="J1530" s="456">
        <v>45</v>
      </c>
      <c r="K1530" s="456">
        <v>391.96</v>
      </c>
      <c r="L1530" s="456">
        <f t="shared" ref="L1530:L1588" si="270">G1530*K1530</f>
        <v>4617.2887999999994</v>
      </c>
      <c r="O1530" s="455">
        <f t="shared" si="267"/>
        <v>353.4</v>
      </c>
      <c r="P1530" s="455">
        <f t="shared" si="268"/>
        <v>138518.66399999999</v>
      </c>
      <c r="R1530" s="480" t="s">
        <v>660</v>
      </c>
    </row>
    <row r="1531" spans="1:18">
      <c r="A1531" s="454"/>
      <c r="B1531" s="454" t="str">
        <v>Dado</v>
      </c>
      <c r="C1531" s="456"/>
      <c r="D1531" s="456"/>
      <c r="E1531" s="456"/>
      <c r="F1531" s="456"/>
      <c r="G1531" s="456">
        <f t="shared" si="269"/>
        <v>0</v>
      </c>
      <c r="H1531" s="456" t="str">
        <v>Sq M</v>
      </c>
      <c r="I1531" s="456" t="str">
        <v>N.A.</v>
      </c>
      <c r="J1531" s="456">
        <v>0</v>
      </c>
      <c r="K1531" s="456">
        <v>0</v>
      </c>
      <c r="L1531" s="456">
        <f t="shared" si="270"/>
        <v>0</v>
      </c>
      <c r="O1531" s="455">
        <f t="shared" si="267"/>
        <v>0</v>
      </c>
      <c r="P1531" s="455">
        <f t="shared" si="268"/>
        <v>0</v>
      </c>
      <c r="R1531" s="480"/>
    </row>
    <row r="1532" spans="1:18">
      <c r="A1532" s="454"/>
      <c r="B1532" s="454" t="str">
        <v>Wall finishes plaster</v>
      </c>
      <c r="C1532" s="456"/>
      <c r="D1532" s="456"/>
      <c r="E1532" s="456">
        <f>D1528*(D1-0.15)</f>
        <v>39.618500000000004</v>
      </c>
      <c r="F1532" s="456">
        <f>-(Doors!H109+Doors!H110+Windows!H132)</f>
        <v>-10.022499999999999</v>
      </c>
      <c r="G1532" s="456">
        <f t="shared" si="269"/>
        <v>29.596000000000004</v>
      </c>
      <c r="H1532" s="456" t="str">
        <v>Sq M</v>
      </c>
      <c r="I1532" s="456" t="str">
        <v>Gypsum Plaster</v>
      </c>
      <c r="J1532" s="456">
        <v>32</v>
      </c>
      <c r="K1532" s="456">
        <v>344.44799999999998</v>
      </c>
      <c r="L1532" s="456">
        <f t="shared" si="270"/>
        <v>10194.283008</v>
      </c>
      <c r="O1532" s="455">
        <f t="shared" si="267"/>
        <v>887.88000000000011</v>
      </c>
      <c r="P1532" s="455">
        <f t="shared" si="268"/>
        <v>305828.49024000001</v>
      </c>
      <c r="R1532" s="480" t="s">
        <v>661</v>
      </c>
    </row>
    <row r="1533" spans="1:18">
      <c r="A1533" s="454"/>
      <c r="B1533" s="454" t="str">
        <v>Ceiling plaster</v>
      </c>
      <c r="C1533" s="456"/>
      <c r="D1533" s="456"/>
      <c r="E1533" s="456">
        <f>E1529</f>
        <v>10.47</v>
      </c>
      <c r="F1533" s="456"/>
      <c r="G1533" s="456">
        <f t="shared" si="269"/>
        <v>10.47</v>
      </c>
      <c r="H1533" s="456" t="str">
        <v>Sq M</v>
      </c>
      <c r="I1533" s="456" t="str">
        <v>Gypsum Plaster</v>
      </c>
      <c r="J1533" s="456">
        <v>32</v>
      </c>
      <c r="K1533" s="456">
        <v>344.44799999999998</v>
      </c>
      <c r="L1533" s="456">
        <f t="shared" si="270"/>
        <v>3606.3705599999998</v>
      </c>
      <c r="O1533" s="455">
        <f t="shared" si="267"/>
        <v>314.10000000000002</v>
      </c>
      <c r="P1533" s="455">
        <f t="shared" si="268"/>
        <v>108191.11679999999</v>
      </c>
      <c r="R1533" s="480" t="s">
        <v>662</v>
      </c>
    </row>
    <row r="1534" spans="1:18">
      <c r="A1534" s="454"/>
      <c r="B1534" s="454" t="str">
        <v>False ceiling</v>
      </c>
      <c r="C1534" s="456"/>
      <c r="D1534" s="456"/>
      <c r="E1534" s="456"/>
      <c r="F1534" s="456"/>
      <c r="G1534" s="456">
        <f t="shared" si="269"/>
        <v>0</v>
      </c>
      <c r="H1534" s="456" t="str">
        <v>Sq M</v>
      </c>
      <c r="I1534" s="456" t="str">
        <v>N.A.</v>
      </c>
      <c r="J1534" s="456">
        <v>0</v>
      </c>
      <c r="K1534" s="456">
        <v>0</v>
      </c>
      <c r="L1534" s="456">
        <f t="shared" si="270"/>
        <v>0</v>
      </c>
      <c r="O1534" s="455">
        <f t="shared" si="267"/>
        <v>0</v>
      </c>
      <c r="P1534" s="455">
        <f t="shared" si="268"/>
        <v>0</v>
      </c>
      <c r="R1534" s="480"/>
    </row>
    <row r="1535" spans="1:18">
      <c r="A1535" s="454"/>
      <c r="B1535" s="454" t="str">
        <v>Wall finishes Paint</v>
      </c>
      <c r="C1535" s="456"/>
      <c r="D1535" s="456"/>
      <c r="E1535" s="456">
        <f>E1532</f>
        <v>39.618500000000004</v>
      </c>
      <c r="F1535" s="456">
        <f>F1532</f>
        <v>-10.022499999999999</v>
      </c>
      <c r="G1535" s="456">
        <f t="shared" si="269"/>
        <v>29.596000000000004</v>
      </c>
      <c r="H1535" s="456" t="str">
        <v>Sq M</v>
      </c>
      <c r="I1535" s="456" t="str">
        <v>Plastic paint</v>
      </c>
      <c r="J1535" s="456">
        <v>20</v>
      </c>
      <c r="K1535" s="456">
        <v>215.27999999999997</v>
      </c>
      <c r="L1535" s="456">
        <f t="shared" si="270"/>
        <v>6371.42688</v>
      </c>
      <c r="O1535" s="455">
        <f t="shared" si="267"/>
        <v>887.88000000000011</v>
      </c>
      <c r="P1535" s="455">
        <f t="shared" si="268"/>
        <v>191142.8064</v>
      </c>
      <c r="R1535" s="480" t="s">
        <v>663</v>
      </c>
    </row>
    <row r="1536" spans="1:18">
      <c r="A1536" s="454"/>
      <c r="B1536" s="454" t="str">
        <v>Ceiling Paint</v>
      </c>
      <c r="C1536" s="456"/>
      <c r="D1536" s="456"/>
      <c r="E1536" s="456">
        <f>E1533</f>
        <v>10.47</v>
      </c>
      <c r="F1536" s="456"/>
      <c r="G1536" s="456">
        <f t="shared" si="269"/>
        <v>10.47</v>
      </c>
      <c r="H1536" s="456" t="str">
        <v>Sq M</v>
      </c>
      <c r="I1536" s="456" t="str">
        <v>Plastic paint</v>
      </c>
      <c r="J1536" s="456">
        <v>20</v>
      </c>
      <c r="K1536" s="456">
        <v>215.27999999999997</v>
      </c>
      <c r="L1536" s="456">
        <f t="shared" si="270"/>
        <v>2253.9816000000001</v>
      </c>
      <c r="O1536" s="455">
        <f t="shared" si="267"/>
        <v>314.10000000000002</v>
      </c>
      <c r="P1536" s="455">
        <f t="shared" si="268"/>
        <v>67619.448000000004</v>
      </c>
      <c r="R1536" s="480" t="s">
        <v>664</v>
      </c>
    </row>
    <row r="1537" spans="1:18">
      <c r="A1537" s="454"/>
      <c r="B1537" s="454" t="str">
        <v>Door Frames</v>
      </c>
      <c r="C1537" s="456"/>
      <c r="D1537" s="456"/>
      <c r="E1537" s="456"/>
      <c r="F1537" s="456"/>
      <c r="G1537" s="456">
        <f t="shared" si="269"/>
        <v>0</v>
      </c>
      <c r="H1537" s="456" t="str">
        <v>RM</v>
      </c>
      <c r="I1537" s="456" t="str">
        <v>N.A.</v>
      </c>
      <c r="J1537" s="456">
        <v>0</v>
      </c>
      <c r="K1537" s="456">
        <v>0</v>
      </c>
      <c r="L1537" s="456">
        <f t="shared" si="270"/>
        <v>0</v>
      </c>
      <c r="O1537" s="455">
        <f t="shared" si="267"/>
        <v>0</v>
      </c>
      <c r="P1537" s="455">
        <f t="shared" si="268"/>
        <v>0</v>
      </c>
      <c r="R1537" s="480"/>
    </row>
    <row r="1538" spans="1:18">
      <c r="A1538" s="454"/>
      <c r="B1538" s="454" t="str">
        <v>Window Frames - Internal</v>
      </c>
      <c r="C1538" s="456"/>
      <c r="D1538" s="456"/>
      <c r="E1538" s="456">
        <f>Windows!F132*2+Windows!G132*2</f>
        <v>10.399999999999999</v>
      </c>
      <c r="F1538" s="456"/>
      <c r="G1538" s="456">
        <f t="shared" si="269"/>
        <v>10.399999999999999</v>
      </c>
      <c r="H1538" s="456" t="str">
        <v>RM</v>
      </c>
      <c r="I1538" s="456" t="str">
        <v>Granite Window Frame</v>
      </c>
      <c r="J1538" s="456">
        <v>180</v>
      </c>
      <c r="K1538" s="456">
        <v>655.92719999999997</v>
      </c>
      <c r="L1538" s="456">
        <f t="shared" si="270"/>
        <v>6821.6428799999985</v>
      </c>
      <c r="O1538" s="455">
        <f t="shared" si="267"/>
        <v>311.99999999999994</v>
      </c>
      <c r="P1538" s="455">
        <f t="shared" si="268"/>
        <v>204649.28639999995</v>
      </c>
      <c r="R1538" s="480" t="s">
        <v>743</v>
      </c>
    </row>
    <row r="1539" spans="1:18">
      <c r="A1539" s="454"/>
      <c r="B1539" s="454" t="str">
        <v>Window Frames - External</v>
      </c>
      <c r="C1539" s="456"/>
      <c r="D1539" s="456"/>
      <c r="E1539" s="456">
        <f>E1538</f>
        <v>10.399999999999999</v>
      </c>
      <c r="F1539" s="456"/>
      <c r="G1539" s="456">
        <f t="shared" si="269"/>
        <v>10.399999999999999</v>
      </c>
      <c r="H1539" s="456" t="str">
        <v>RM</v>
      </c>
      <c r="I1539" s="456" t="str">
        <v>Marble Window Frames with Sill</v>
      </c>
      <c r="J1539" s="456">
        <v>60</v>
      </c>
      <c r="K1539" s="456">
        <v>399.04239999999999</v>
      </c>
      <c r="L1539" s="456">
        <f t="shared" si="270"/>
        <v>4150.0409599999994</v>
      </c>
      <c r="O1539" s="455">
        <f t="shared" si="267"/>
        <v>311.99999999999994</v>
      </c>
      <c r="P1539" s="455">
        <f t="shared" si="268"/>
        <v>124501.22879999998</v>
      </c>
      <c r="R1539" s="480" t="s">
        <v>409</v>
      </c>
    </row>
    <row r="1540" spans="1:18">
      <c r="A1540" s="454"/>
      <c r="B1540" s="454" t="str">
        <v>Others</v>
      </c>
      <c r="C1540" s="456"/>
      <c r="D1540" s="456"/>
      <c r="E1540" s="456"/>
      <c r="F1540" s="456"/>
      <c r="G1540" s="456">
        <f t="shared" si="269"/>
        <v>0</v>
      </c>
      <c r="H1540" s="456" t="str">
        <v>-</v>
      </c>
      <c r="I1540" s="456" t="str">
        <v>N.A.</v>
      </c>
      <c r="J1540" s="456">
        <v>0</v>
      </c>
      <c r="K1540" s="456">
        <v>0</v>
      </c>
      <c r="L1540" s="456">
        <f t="shared" si="270"/>
        <v>0</v>
      </c>
      <c r="O1540" s="455">
        <f t="shared" si="267"/>
        <v>0</v>
      </c>
      <c r="P1540" s="455">
        <f t="shared" si="268"/>
        <v>0</v>
      </c>
    </row>
    <row r="1541" spans="1:18" s="479" customFormat="1" ht="13.5" customHeight="1">
      <c r="A1541" s="475" t="s">
        <v>628</v>
      </c>
      <c r="B1541" s="476" t="str">
        <f>'Flat Sizes'!B128</f>
        <v>C. Toilet</v>
      </c>
      <c r="C1541" s="477">
        <f>'Flat Sizes'!D128</f>
        <v>3.83</v>
      </c>
      <c r="D1541" s="477">
        <f>'Flat Sizes'!G128</f>
        <v>8.2200000000000006</v>
      </c>
      <c r="E1541" s="477"/>
      <c r="F1541" s="454"/>
      <c r="G1541" s="477"/>
      <c r="H1541" s="477"/>
      <c r="I1541" s="477"/>
      <c r="J1541" s="477"/>
      <c r="K1541" s="477"/>
      <c r="L1541" s="477"/>
      <c r="M1541" s="459">
        <f>SUM(L1542:L1553)/C1541/10.764</f>
        <v>1201.4185138451062</v>
      </c>
      <c r="N1541" s="472"/>
      <c r="O1541" s="455"/>
      <c r="P1541" s="455"/>
      <c r="Q1541" s="478"/>
    </row>
    <row r="1542" spans="1:18">
      <c r="A1542" s="454"/>
      <c r="B1542" s="454" t="str" cm="1">
        <f t="array" ref="B1542:B1553">'Rate List - Flats'!B76:B87</f>
        <v>Flooring</v>
      </c>
      <c r="C1542" s="456"/>
      <c r="D1542" s="456"/>
      <c r="E1542" s="456">
        <f>C1541</f>
        <v>3.83</v>
      </c>
      <c r="F1542" s="456"/>
      <c r="G1542" s="456">
        <f t="shared" si="269"/>
        <v>3.83</v>
      </c>
      <c r="H1542" s="456" t="str" cm="1">
        <f t="array" ref="H1542:H1553">'Rate List - Flats'!H76:H87</f>
        <v>Sq M</v>
      </c>
      <c r="I1542" s="456" t="str" cm="1">
        <f t="array" ref="I1542:I1553">'Rate List - Flats'!C76:C87</f>
        <v>ceramic tiles/vitrified anti-skid tiles</v>
      </c>
      <c r="J1542" s="456" cm="1">
        <f t="array" ref="J1542:J1553">'Rate List - Flats'!E76:E87</f>
        <v>50</v>
      </c>
      <c r="K1542" s="456" cm="1">
        <f t="array" ref="K1542:K1553">'Rate List - Flats'!G76:G87</f>
        <v>1399.32</v>
      </c>
      <c r="L1542" s="456">
        <f t="shared" si="270"/>
        <v>5359.3955999999998</v>
      </c>
      <c r="O1542" s="455">
        <f t="shared" ref="O1542:O1553" si="271">IF(I1542="N.A",0,G1542*$N$1462)</f>
        <v>114.9</v>
      </c>
      <c r="P1542" s="455">
        <f t="shared" ref="P1542:P1553" si="272">L1542*$N$1462</f>
        <v>160781.86799999999</v>
      </c>
      <c r="R1542" s="480" t="s">
        <v>667</v>
      </c>
    </row>
    <row r="1543" spans="1:18">
      <c r="A1543" s="454"/>
      <c r="B1543" s="454" t="str">
        <v>Skirting</v>
      </c>
      <c r="C1543" s="456"/>
      <c r="D1543" s="456"/>
      <c r="E1543" s="456"/>
      <c r="F1543" s="456"/>
      <c r="G1543" s="456">
        <f t="shared" si="269"/>
        <v>0</v>
      </c>
      <c r="H1543" s="456" t="str">
        <v xml:space="preserve">RM </v>
      </c>
      <c r="I1543" s="456" t="str">
        <v>N.A.</v>
      </c>
      <c r="J1543" s="456">
        <v>0</v>
      </c>
      <c r="K1543" s="456">
        <v>0</v>
      </c>
      <c r="L1543" s="456">
        <f t="shared" si="270"/>
        <v>0</v>
      </c>
      <c r="O1543" s="455">
        <f t="shared" si="271"/>
        <v>0</v>
      </c>
      <c r="P1543" s="455">
        <f t="shared" si="272"/>
        <v>0</v>
      </c>
      <c r="R1543" s="480"/>
    </row>
    <row r="1544" spans="1:18">
      <c r="A1544" s="454"/>
      <c r="B1544" s="454" t="str">
        <v>Dado</v>
      </c>
      <c r="C1544" s="456"/>
      <c r="D1544" s="456">
        <f>D1-0.7</f>
        <v>2.4000000000000004</v>
      </c>
      <c r="E1544" s="456">
        <f>D1541*D1544</f>
        <v>19.728000000000005</v>
      </c>
      <c r="F1544" s="456">
        <f>-(Doors!H110+Windows!H133)</f>
        <v>-2.0250000000000004</v>
      </c>
      <c r="G1544" s="456">
        <f t="shared" si="269"/>
        <v>17.703000000000003</v>
      </c>
      <c r="H1544" s="456" t="str">
        <v>Sq M</v>
      </c>
      <c r="I1544" s="456" t="str">
        <v>Vitrified tiles</v>
      </c>
      <c r="J1544" s="456">
        <v>50</v>
      </c>
      <c r="K1544" s="456">
        <v>1480.05</v>
      </c>
      <c r="L1544" s="456">
        <f t="shared" si="270"/>
        <v>26201.325150000004</v>
      </c>
      <c r="O1544" s="455">
        <f t="shared" si="271"/>
        <v>531.09000000000015</v>
      </c>
      <c r="P1544" s="455">
        <f t="shared" si="272"/>
        <v>786039.75450000016</v>
      </c>
      <c r="R1544" s="480" t="s">
        <v>668</v>
      </c>
    </row>
    <row r="1545" spans="1:18">
      <c r="A1545" s="454"/>
      <c r="B1545" s="454" t="str">
        <v>Wall finishes plaster</v>
      </c>
      <c r="C1545" s="456"/>
      <c r="D1545" s="456">
        <f>D1-D1544</f>
        <v>0.69999999999999973</v>
      </c>
      <c r="E1545" s="456">
        <f>D1541*D1545</f>
        <v>5.7539999999999987</v>
      </c>
      <c r="F1545" s="456"/>
      <c r="G1545" s="456">
        <f t="shared" si="269"/>
        <v>5.7539999999999987</v>
      </c>
      <c r="H1545" s="456" t="str">
        <v>Sq M</v>
      </c>
      <c r="I1545" s="456" t="str">
        <v>Gypsum Plaster</v>
      </c>
      <c r="J1545" s="456">
        <v>32</v>
      </c>
      <c r="K1545" s="456">
        <v>344.44799999999998</v>
      </c>
      <c r="L1545" s="456">
        <f t="shared" si="270"/>
        <v>1981.9537919999993</v>
      </c>
      <c r="O1545" s="455">
        <f t="shared" si="271"/>
        <v>172.61999999999995</v>
      </c>
      <c r="P1545" s="455">
        <f t="shared" si="272"/>
        <v>59458.613759999978</v>
      </c>
      <c r="R1545" s="480" t="s">
        <v>661</v>
      </c>
    </row>
    <row r="1546" spans="1:18">
      <c r="A1546" s="454"/>
      <c r="B1546" s="454" t="str">
        <v>Ceiling plaster</v>
      </c>
      <c r="C1546" s="456"/>
      <c r="D1546" s="456"/>
      <c r="E1546" s="456">
        <f>E1542</f>
        <v>3.83</v>
      </c>
      <c r="F1546" s="456"/>
      <c r="G1546" s="456">
        <f t="shared" si="269"/>
        <v>3.83</v>
      </c>
      <c r="H1546" s="456" t="str">
        <v>Sq M</v>
      </c>
      <c r="I1546" s="456" t="str">
        <v>Gypsum Plaster</v>
      </c>
      <c r="J1546" s="456">
        <v>32</v>
      </c>
      <c r="K1546" s="456">
        <v>344.44799999999998</v>
      </c>
      <c r="L1546" s="456">
        <f t="shared" si="270"/>
        <v>1319.2358400000001</v>
      </c>
      <c r="O1546" s="455">
        <f t="shared" si="271"/>
        <v>114.9</v>
      </c>
      <c r="P1546" s="455">
        <f t="shared" si="272"/>
        <v>39577.075199999999</v>
      </c>
      <c r="R1546" s="480" t="s">
        <v>662</v>
      </c>
    </row>
    <row r="1547" spans="1:18">
      <c r="A1547" s="454"/>
      <c r="B1547" s="454" t="str">
        <v>False ceiling</v>
      </c>
      <c r="C1547" s="456"/>
      <c r="D1547" s="456"/>
      <c r="E1547" s="456"/>
      <c r="F1547" s="456"/>
      <c r="G1547" s="456">
        <f t="shared" si="269"/>
        <v>0</v>
      </c>
      <c r="H1547" s="456" t="str">
        <v>Sq M</v>
      </c>
      <c r="I1547" s="456" t="str">
        <v>N.A.</v>
      </c>
      <c r="J1547" s="456">
        <v>0</v>
      </c>
      <c r="K1547" s="456">
        <v>0</v>
      </c>
      <c r="L1547" s="456">
        <f t="shared" si="270"/>
        <v>0</v>
      </c>
      <c r="O1547" s="455">
        <f t="shared" si="271"/>
        <v>0</v>
      </c>
      <c r="P1547" s="455">
        <f t="shared" si="272"/>
        <v>0</v>
      </c>
      <c r="R1547" s="480"/>
    </row>
    <row r="1548" spans="1:18">
      <c r="A1548" s="454"/>
      <c r="B1548" s="454" t="str">
        <v>Wall finishes Paint</v>
      </c>
      <c r="C1548" s="456"/>
      <c r="D1548" s="456"/>
      <c r="E1548" s="456">
        <f>E1545</f>
        <v>5.7539999999999987</v>
      </c>
      <c r="F1548" s="456"/>
      <c r="G1548" s="456">
        <f t="shared" si="269"/>
        <v>5.7539999999999987</v>
      </c>
      <c r="H1548" s="456" t="str">
        <v>Sq M</v>
      </c>
      <c r="I1548" s="456" t="str">
        <v>Plastic paint</v>
      </c>
      <c r="J1548" s="456">
        <v>20</v>
      </c>
      <c r="K1548" s="456">
        <v>215.27999999999997</v>
      </c>
      <c r="L1548" s="456">
        <f t="shared" si="270"/>
        <v>1238.7211199999995</v>
      </c>
      <c r="O1548" s="455">
        <f t="shared" si="271"/>
        <v>172.61999999999995</v>
      </c>
      <c r="P1548" s="455">
        <f t="shared" si="272"/>
        <v>37161.633599999986</v>
      </c>
      <c r="R1548" s="480" t="s">
        <v>663</v>
      </c>
    </row>
    <row r="1549" spans="1:18">
      <c r="A1549" s="454"/>
      <c r="B1549" s="454" t="str">
        <v>Ceiling Paint</v>
      </c>
      <c r="C1549" s="456"/>
      <c r="D1549" s="456"/>
      <c r="E1549" s="456">
        <f>E1546</f>
        <v>3.83</v>
      </c>
      <c r="F1549" s="456"/>
      <c r="G1549" s="456">
        <f t="shared" si="269"/>
        <v>3.83</v>
      </c>
      <c r="H1549" s="456" t="str">
        <v>Sq M</v>
      </c>
      <c r="I1549" s="456" t="str">
        <v>Plastic paint</v>
      </c>
      <c r="J1549" s="456">
        <v>20</v>
      </c>
      <c r="K1549" s="456">
        <v>215.27999999999997</v>
      </c>
      <c r="L1549" s="456">
        <f t="shared" si="270"/>
        <v>824.52239999999995</v>
      </c>
      <c r="O1549" s="455">
        <f t="shared" si="271"/>
        <v>114.9</v>
      </c>
      <c r="P1549" s="455">
        <f t="shared" si="272"/>
        <v>24735.671999999999</v>
      </c>
      <c r="R1549" s="480" t="s">
        <v>664</v>
      </c>
    </row>
    <row r="1550" spans="1:18">
      <c r="A1550" s="454"/>
      <c r="B1550" s="454" t="str">
        <v>Door Frames</v>
      </c>
      <c r="C1550" s="456"/>
      <c r="D1550" s="456"/>
      <c r="E1550" s="456">
        <f>Doors!F110*4+Doors!G110*4</f>
        <v>11.4</v>
      </c>
      <c r="F1550" s="456"/>
      <c r="G1550" s="456">
        <f t="shared" si="269"/>
        <v>11.4</v>
      </c>
      <c r="H1550" s="456" t="str">
        <v>RM</v>
      </c>
      <c r="I1550" s="456" t="str">
        <v>Granite Frames</v>
      </c>
      <c r="J1550" s="456">
        <v>180</v>
      </c>
      <c r="K1550" s="456">
        <v>655.92719999999997</v>
      </c>
      <c r="L1550" s="456">
        <f t="shared" si="270"/>
        <v>7477.5700799999995</v>
      </c>
      <c r="O1550" s="455">
        <f t="shared" si="271"/>
        <v>342</v>
      </c>
      <c r="P1550" s="455">
        <f t="shared" si="272"/>
        <v>224327.10239999997</v>
      </c>
      <c r="R1550" s="480" t="s">
        <v>669</v>
      </c>
    </row>
    <row r="1551" spans="1:18">
      <c r="A1551" s="454"/>
      <c r="B1551" s="454" t="str">
        <v>Window Frames - Internal</v>
      </c>
      <c r="C1551" s="456"/>
      <c r="D1551" s="456"/>
      <c r="E1551" s="456">
        <f>Windows!F133*2+Windows!G133*2</f>
        <v>2.7</v>
      </c>
      <c r="F1551" s="456"/>
      <c r="G1551" s="456">
        <f t="shared" si="269"/>
        <v>2.7</v>
      </c>
      <c r="H1551" s="456" t="str">
        <v>RM</v>
      </c>
      <c r="I1551" s="456" t="str">
        <v>Granite Window Frame</v>
      </c>
      <c r="J1551" s="456">
        <v>180</v>
      </c>
      <c r="K1551" s="456">
        <v>655.92719999999997</v>
      </c>
      <c r="L1551" s="456">
        <f t="shared" si="270"/>
        <v>1771.00344</v>
      </c>
      <c r="O1551" s="455">
        <f t="shared" si="271"/>
        <v>81</v>
      </c>
      <c r="P1551" s="455">
        <f t="shared" si="272"/>
        <v>53130.103199999998</v>
      </c>
      <c r="R1551" s="480" t="s">
        <v>743</v>
      </c>
    </row>
    <row r="1552" spans="1:18">
      <c r="A1552" s="454"/>
      <c r="B1552" s="454" t="str">
        <v>Window Frames - External</v>
      </c>
      <c r="C1552" s="456"/>
      <c r="D1552" s="456"/>
      <c r="E1552" s="456">
        <f>E1551</f>
        <v>2.7</v>
      </c>
      <c r="F1552" s="456"/>
      <c r="G1552" s="456">
        <f t="shared" si="269"/>
        <v>2.7</v>
      </c>
      <c r="H1552" s="456" t="str">
        <v>RM</v>
      </c>
      <c r="I1552" s="456" t="str">
        <v>Marble Window Frames with Sill</v>
      </c>
      <c r="J1552" s="456">
        <v>60</v>
      </c>
      <c r="K1552" s="456">
        <v>399.04239999999999</v>
      </c>
      <c r="L1552" s="456">
        <f t="shared" si="270"/>
        <v>1077.4144800000001</v>
      </c>
      <c r="O1552" s="455">
        <f t="shared" si="271"/>
        <v>81</v>
      </c>
      <c r="P1552" s="455">
        <f t="shared" si="272"/>
        <v>32322.434400000006</v>
      </c>
      <c r="R1552" s="480" t="s">
        <v>409</v>
      </c>
    </row>
    <row r="1553" spans="1:18">
      <c r="A1553" s="454"/>
      <c r="B1553" s="454" t="str">
        <v>Others - Counter</v>
      </c>
      <c r="C1553" s="456"/>
      <c r="D1553" s="456"/>
      <c r="E1553" s="456">
        <f>0.6*0.6</f>
        <v>0.36</v>
      </c>
      <c r="F1553" s="456"/>
      <c r="G1553" s="456">
        <f t="shared" si="269"/>
        <v>0.36</v>
      </c>
      <c r="H1553" s="456" t="str">
        <v>Sq M</v>
      </c>
      <c r="I1553" s="456" t="str">
        <v>Basin Counter 1'6" - Granite Basin Counter</v>
      </c>
      <c r="J1553" s="456">
        <v>180</v>
      </c>
      <c r="K1553" s="456">
        <v>6329.6720000000005</v>
      </c>
      <c r="L1553" s="456">
        <f t="shared" si="270"/>
        <v>2278.68192</v>
      </c>
      <c r="O1553" s="455">
        <f t="shared" si="271"/>
        <v>10.799999999999999</v>
      </c>
      <c r="P1553" s="455">
        <f t="shared" si="272"/>
        <v>68360.457599999994</v>
      </c>
      <c r="R1553" s="480" t="s">
        <v>670</v>
      </c>
    </row>
    <row r="1554" spans="1:18" s="479" customFormat="1" ht="13.5" customHeight="1">
      <c r="A1554" s="475" t="s">
        <v>628</v>
      </c>
      <c r="B1554" s="476" t="str">
        <f>'Flat Sizes'!B129</f>
        <v>Kitchen</v>
      </c>
      <c r="C1554" s="477">
        <f>'Flat Sizes'!D129</f>
        <v>7.83</v>
      </c>
      <c r="D1554" s="477">
        <f>'Flat Sizes'!G129</f>
        <v>11.99</v>
      </c>
      <c r="E1554" s="477"/>
      <c r="F1554" s="454"/>
      <c r="G1554" s="477"/>
      <c r="H1554" s="477"/>
      <c r="I1554" s="477"/>
      <c r="J1554" s="477"/>
      <c r="K1554" s="477"/>
      <c r="L1554" s="477"/>
      <c r="M1554" s="459">
        <f>SUM(L1555:L1568)/C1554/10.764</f>
        <v>1151.9410331064289</v>
      </c>
      <c r="N1554" s="472"/>
      <c r="O1554" s="455"/>
      <c r="P1554" s="455"/>
      <c r="Q1554" s="478"/>
    </row>
    <row r="1555" spans="1:18">
      <c r="A1555" s="454"/>
      <c r="B1555" s="454" t="str" cm="1">
        <f t="array" ref="B1555:B1568">'Rate List - Flats'!B90:B103</f>
        <v>Flooring</v>
      </c>
      <c r="C1555" s="456"/>
      <c r="D1555" s="456"/>
      <c r="E1555" s="456">
        <f>C1554</f>
        <v>7.83</v>
      </c>
      <c r="F1555" s="456"/>
      <c r="G1555" s="456">
        <f t="shared" si="269"/>
        <v>7.83</v>
      </c>
      <c r="H1555" s="456" t="str" cm="1">
        <f t="array" ref="H1555:H1568">'Rate List - Flats'!H90:H103</f>
        <v>Sq M</v>
      </c>
      <c r="I1555" s="456" t="str" cm="1">
        <f t="array" ref="I1555:I1568">'Rate List - Flats'!C90:C103</f>
        <v>ceramic tiles/vitrified anti-skid tiles</v>
      </c>
      <c r="J1555" s="456" cm="1">
        <f t="array" ref="J1555:J1568">'Rate List - Flats'!E90:E103</f>
        <v>45</v>
      </c>
      <c r="K1555" s="456" cm="1">
        <f t="array" ref="K1555:K1568">'Rate List - Flats'!G90:G103</f>
        <v>1340.1179999999999</v>
      </c>
      <c r="L1555" s="456">
        <f t="shared" si="270"/>
        <v>10493.123939999999</v>
      </c>
      <c r="O1555" s="455">
        <f t="shared" ref="O1555:O1568" si="273">IF(I1555="N.A",0,G1555*$N$1462)</f>
        <v>234.9</v>
      </c>
      <c r="P1555" s="455">
        <f t="shared" ref="P1555:P1568" si="274">L1555*$N$1462</f>
        <v>314793.7182</v>
      </c>
      <c r="R1555" s="458" t="s">
        <v>659</v>
      </c>
    </row>
    <row r="1556" spans="1:18">
      <c r="A1556" s="454"/>
      <c r="B1556" s="454" t="str">
        <v>Skirting</v>
      </c>
      <c r="C1556" s="456"/>
      <c r="D1556" s="456"/>
      <c r="E1556" s="456"/>
      <c r="F1556" s="456"/>
      <c r="G1556" s="456">
        <f t="shared" si="269"/>
        <v>0</v>
      </c>
      <c r="H1556" s="456" t="str">
        <v xml:space="preserve">RM </v>
      </c>
      <c r="I1556" s="456" t="str">
        <v>N.A.</v>
      </c>
      <c r="J1556" s="456">
        <v>0</v>
      </c>
      <c r="K1556" s="456">
        <v>0</v>
      </c>
      <c r="L1556" s="456">
        <f t="shared" si="270"/>
        <v>0</v>
      </c>
      <c r="O1556" s="455">
        <f t="shared" si="273"/>
        <v>0</v>
      </c>
      <c r="P1556" s="455">
        <f t="shared" si="274"/>
        <v>0</v>
      </c>
      <c r="R1556" s="458" t="s">
        <v>660</v>
      </c>
    </row>
    <row r="1557" spans="1:18">
      <c r="A1557" s="454"/>
      <c r="B1557" s="454" t="str">
        <v>Dado</v>
      </c>
      <c r="C1557" s="456"/>
      <c r="D1557" s="456">
        <f>D1-0.7-0.9</f>
        <v>1.5000000000000004</v>
      </c>
      <c r="E1557" s="456">
        <f>(E1567+E1568)*D1557</f>
        <v>9.2100000000000044</v>
      </c>
      <c r="F1557" s="456"/>
      <c r="G1557" s="456">
        <f t="shared" si="269"/>
        <v>9.2100000000000044</v>
      </c>
      <c r="H1557" s="456" t="str">
        <v>Sq M</v>
      </c>
      <c r="I1557" s="456" t="str">
        <v>Vitrified tiles</v>
      </c>
      <c r="J1557" s="456">
        <v>45</v>
      </c>
      <c r="K1557" s="456">
        <v>1393.9379999999999</v>
      </c>
      <c r="L1557" s="456">
        <f t="shared" si="270"/>
        <v>12838.168980000006</v>
      </c>
      <c r="O1557" s="455">
        <f t="shared" si="273"/>
        <v>276.30000000000013</v>
      </c>
      <c r="P1557" s="455">
        <f t="shared" si="274"/>
        <v>385145.06940000015</v>
      </c>
      <c r="R1557" s="458" t="s">
        <v>665</v>
      </c>
    </row>
    <row r="1558" spans="1:18">
      <c r="A1558" s="454"/>
      <c r="B1558" s="454" t="str">
        <v>Dado Below Kitchen Platform</v>
      </c>
      <c r="C1558" s="456"/>
      <c r="D1558" s="456">
        <v>0.9</v>
      </c>
      <c r="E1558" s="456">
        <f>(E1567+E1568)*D1558</f>
        <v>5.5260000000000007</v>
      </c>
      <c r="F1558" s="456"/>
      <c r="G1558" s="456">
        <f t="shared" si="269"/>
        <v>5.5260000000000007</v>
      </c>
      <c r="H1558" s="456" t="str">
        <v>Sq M</v>
      </c>
      <c r="I1558" s="456" t="str">
        <v>dado under platform</v>
      </c>
      <c r="J1558" s="456">
        <v>23</v>
      </c>
      <c r="K1558" s="456">
        <v>1133.4491999999998</v>
      </c>
      <c r="L1558" s="456">
        <f t="shared" si="270"/>
        <v>6263.4402792000001</v>
      </c>
      <c r="O1558" s="455">
        <f t="shared" si="273"/>
        <v>165.78000000000003</v>
      </c>
      <c r="P1558" s="455">
        <f t="shared" si="274"/>
        <v>187903.208376</v>
      </c>
      <c r="R1558" s="458" t="s">
        <v>746</v>
      </c>
    </row>
    <row r="1559" spans="1:18">
      <c r="A1559" s="454"/>
      <c r="B1559" s="454" t="str">
        <v>Wall finishes plaster</v>
      </c>
      <c r="C1559" s="456"/>
      <c r="D1559" s="456">
        <f>D1-0.15</f>
        <v>2.95</v>
      </c>
      <c r="E1559" s="456">
        <f>(D1554*D1559)-(E1557+E1558)</f>
        <v>20.634499999999996</v>
      </c>
      <c r="F1559" s="456">
        <f>-(Doors!H111+Windows!H134)</f>
        <v>-4.04</v>
      </c>
      <c r="G1559" s="456">
        <f t="shared" si="269"/>
        <v>16.594499999999996</v>
      </c>
      <c r="H1559" s="456" t="str">
        <v>Sq M</v>
      </c>
      <c r="I1559" s="456" t="str">
        <v>Gypsum Plaster</v>
      </c>
      <c r="J1559" s="456">
        <v>32</v>
      </c>
      <c r="K1559" s="456">
        <v>376.73999999999995</v>
      </c>
      <c r="L1559" s="456">
        <f t="shared" si="270"/>
        <v>6251.811929999998</v>
      </c>
      <c r="O1559" s="455">
        <f t="shared" si="273"/>
        <v>497.83499999999992</v>
      </c>
      <c r="P1559" s="455">
        <f t="shared" si="274"/>
        <v>187554.35789999994</v>
      </c>
      <c r="R1559" s="458" t="s">
        <v>661</v>
      </c>
    </row>
    <row r="1560" spans="1:18">
      <c r="A1560" s="454"/>
      <c r="B1560" s="454" t="str">
        <v>Ceiling plaster</v>
      </c>
      <c r="C1560" s="456"/>
      <c r="D1560" s="456"/>
      <c r="E1560" s="456">
        <f>E1555</f>
        <v>7.83</v>
      </c>
      <c r="F1560" s="456"/>
      <c r="G1560" s="456">
        <f t="shared" si="269"/>
        <v>7.83</v>
      </c>
      <c r="H1560" s="456" t="str">
        <v>Sq M</v>
      </c>
      <c r="I1560" s="456" t="str">
        <v>Gypsum Plaster</v>
      </c>
      <c r="J1560" s="456">
        <v>32</v>
      </c>
      <c r="K1560" s="456">
        <v>344.44799999999998</v>
      </c>
      <c r="L1560" s="456">
        <f t="shared" si="270"/>
        <v>2697.0278399999997</v>
      </c>
      <c r="O1560" s="455">
        <f t="shared" si="273"/>
        <v>234.9</v>
      </c>
      <c r="P1560" s="455">
        <f t="shared" si="274"/>
        <v>80910.835199999987</v>
      </c>
      <c r="R1560" s="458" t="s">
        <v>662</v>
      </c>
    </row>
    <row r="1561" spans="1:18">
      <c r="A1561" s="454"/>
      <c r="B1561" s="454" t="str">
        <v>False ceiling</v>
      </c>
      <c r="C1561" s="456"/>
      <c r="D1561" s="456"/>
      <c r="E1561" s="456"/>
      <c r="F1561" s="456"/>
      <c r="G1561" s="456">
        <f t="shared" si="269"/>
        <v>0</v>
      </c>
      <c r="H1561" s="456" t="str">
        <v>Sq M</v>
      </c>
      <c r="I1561" s="456" t="str">
        <v>N.A.</v>
      </c>
      <c r="J1561" s="456">
        <v>0</v>
      </c>
      <c r="K1561" s="456">
        <v>0</v>
      </c>
      <c r="L1561" s="456">
        <f t="shared" si="270"/>
        <v>0</v>
      </c>
      <c r="O1561" s="455">
        <f t="shared" si="273"/>
        <v>0</v>
      </c>
      <c r="P1561" s="455">
        <f t="shared" si="274"/>
        <v>0</v>
      </c>
      <c r="R1561" s="458"/>
    </row>
    <row r="1562" spans="1:18">
      <c r="A1562" s="454"/>
      <c r="B1562" s="454" t="str">
        <v>Wall finishes Paint</v>
      </c>
      <c r="C1562" s="456"/>
      <c r="D1562" s="456"/>
      <c r="E1562" s="456">
        <f>E1559</f>
        <v>20.634499999999996</v>
      </c>
      <c r="F1562" s="456">
        <f>-F1559</f>
        <v>4.04</v>
      </c>
      <c r="G1562" s="456">
        <f t="shared" si="269"/>
        <v>24.674499999999995</v>
      </c>
      <c r="H1562" s="456" t="str">
        <v>Sq M</v>
      </c>
      <c r="I1562" s="456" t="str">
        <v>Plastic paint</v>
      </c>
      <c r="J1562" s="456">
        <v>20</v>
      </c>
      <c r="K1562" s="456">
        <v>215.27999999999997</v>
      </c>
      <c r="L1562" s="456">
        <f t="shared" si="270"/>
        <v>5311.9263599999986</v>
      </c>
      <c r="O1562" s="455">
        <f t="shared" si="273"/>
        <v>740.2349999999999</v>
      </c>
      <c r="P1562" s="455">
        <f t="shared" si="274"/>
        <v>159357.79079999996</v>
      </c>
      <c r="R1562" s="458" t="s">
        <v>663</v>
      </c>
    </row>
    <row r="1563" spans="1:18">
      <c r="A1563" s="454"/>
      <c r="B1563" s="454" t="str">
        <v>Ceiling Paint</v>
      </c>
      <c r="C1563" s="456"/>
      <c r="D1563" s="456"/>
      <c r="E1563" s="456">
        <f>E1560</f>
        <v>7.83</v>
      </c>
      <c r="F1563" s="456"/>
      <c r="G1563" s="456">
        <f t="shared" si="269"/>
        <v>7.83</v>
      </c>
      <c r="H1563" s="456" t="str">
        <v>Sq M</v>
      </c>
      <c r="I1563" s="456" t="str">
        <v>Plastic paint</v>
      </c>
      <c r="J1563" s="456">
        <v>20</v>
      </c>
      <c r="K1563" s="456">
        <v>215.27999999999997</v>
      </c>
      <c r="L1563" s="456">
        <f t="shared" si="270"/>
        <v>1685.6423999999997</v>
      </c>
      <c r="O1563" s="455">
        <f t="shared" si="273"/>
        <v>234.9</v>
      </c>
      <c r="P1563" s="455">
        <f t="shared" si="274"/>
        <v>50569.27199999999</v>
      </c>
      <c r="R1563" s="458" t="s">
        <v>664</v>
      </c>
    </row>
    <row r="1564" spans="1:18">
      <c r="A1564" s="454"/>
      <c r="B1564" s="454" t="str">
        <v>Door Frames</v>
      </c>
      <c r="C1564" s="456"/>
      <c r="D1564" s="456"/>
      <c r="E1564" s="456"/>
      <c r="F1564" s="456"/>
      <c r="G1564" s="456">
        <f t="shared" si="269"/>
        <v>0</v>
      </c>
      <c r="H1564" s="456" t="str">
        <v>Sq M</v>
      </c>
      <c r="I1564" s="456" t="str">
        <v>N.A.</v>
      </c>
      <c r="J1564" s="456">
        <v>0</v>
      </c>
      <c r="K1564" s="456">
        <v>0</v>
      </c>
      <c r="L1564" s="456">
        <f t="shared" si="270"/>
        <v>0</v>
      </c>
      <c r="O1564" s="455">
        <f t="shared" si="273"/>
        <v>0</v>
      </c>
      <c r="P1564" s="455">
        <f t="shared" si="274"/>
        <v>0</v>
      </c>
      <c r="R1564" s="458" t="s">
        <v>407</v>
      </c>
    </row>
    <row r="1565" spans="1:18">
      <c r="A1565" s="454"/>
      <c r="B1565" s="454" t="str">
        <v>Window Frames - Internal</v>
      </c>
      <c r="C1565" s="456"/>
      <c r="D1565" s="456"/>
      <c r="E1565" s="456">
        <f>Windows!F134*2+Windows!G134*2</f>
        <v>6.3</v>
      </c>
      <c r="F1565" s="456"/>
      <c r="G1565" s="456">
        <f t="shared" si="269"/>
        <v>6.3</v>
      </c>
      <c r="H1565" s="456" t="str">
        <v>RM</v>
      </c>
      <c r="I1565" s="456" t="str">
        <v>Granite Window Frame</v>
      </c>
      <c r="J1565" s="456">
        <v>180</v>
      </c>
      <c r="K1565" s="456">
        <v>655.92719999999997</v>
      </c>
      <c r="L1565" s="456">
        <f t="shared" si="270"/>
        <v>4132.3413599999994</v>
      </c>
      <c r="O1565" s="455">
        <f t="shared" si="273"/>
        <v>189</v>
      </c>
      <c r="P1565" s="455">
        <f t="shared" si="274"/>
        <v>123970.24079999999</v>
      </c>
      <c r="R1565" s="458" t="s">
        <v>408</v>
      </c>
    </row>
    <row r="1566" spans="1:18">
      <c r="A1566" s="454"/>
      <c r="B1566" s="454" t="str">
        <v>Window Frames - External</v>
      </c>
      <c r="C1566" s="456"/>
      <c r="D1566" s="456"/>
      <c r="E1566" s="456">
        <f>E1565</f>
        <v>6.3</v>
      </c>
      <c r="F1566" s="456"/>
      <c r="G1566" s="456">
        <f t="shared" si="269"/>
        <v>6.3</v>
      </c>
      <c r="H1566" s="456" t="str">
        <v>RM</v>
      </c>
      <c r="I1566" s="456" t="str">
        <v>Marble Window Frames with Sill</v>
      </c>
      <c r="J1566" s="456">
        <v>60</v>
      </c>
      <c r="K1566" s="456">
        <v>399.04239999999999</v>
      </c>
      <c r="L1566" s="456">
        <f t="shared" si="270"/>
        <v>2513.9671199999998</v>
      </c>
      <c r="O1566" s="455">
        <f t="shared" si="273"/>
        <v>189</v>
      </c>
      <c r="P1566" s="455">
        <f t="shared" si="274"/>
        <v>75419.013599999991</v>
      </c>
      <c r="R1566" s="458" t="s">
        <v>409</v>
      </c>
    </row>
    <row r="1567" spans="1:18">
      <c r="A1567" s="454"/>
      <c r="B1567" s="454" t="str">
        <v>Kitchen Platform</v>
      </c>
      <c r="C1567" s="456"/>
      <c r="D1567" s="456"/>
      <c r="E1567" s="456">
        <v>3.52</v>
      </c>
      <c r="F1567" s="456"/>
      <c r="G1567" s="456">
        <f t="shared" si="269"/>
        <v>3.52</v>
      </c>
      <c r="H1567" s="456" t="str">
        <v>RM</v>
      </c>
      <c r="I1567" s="456" t="str">
        <v>Kitchen 2' Granite Main Counter</v>
      </c>
      <c r="J1567" s="456">
        <v>180</v>
      </c>
      <c r="K1567" s="456">
        <v>7312.7984000000006</v>
      </c>
      <c r="L1567" s="456">
        <f t="shared" si="270"/>
        <v>25741.050368000004</v>
      </c>
      <c r="O1567" s="455">
        <f t="shared" si="273"/>
        <v>105.6</v>
      </c>
      <c r="P1567" s="455">
        <f t="shared" si="274"/>
        <v>772231.51104000013</v>
      </c>
      <c r="R1567" s="458" t="s">
        <v>747</v>
      </c>
    </row>
    <row r="1568" spans="1:18">
      <c r="A1568" s="454"/>
      <c r="B1568" s="454" t="str">
        <v>Service Platform</v>
      </c>
      <c r="C1568" s="456"/>
      <c r="D1568" s="456"/>
      <c r="E1568" s="456">
        <f>E1567-0.9</f>
        <v>2.62</v>
      </c>
      <c r="F1568" s="456"/>
      <c r="G1568" s="456">
        <f t="shared" si="269"/>
        <v>2.62</v>
      </c>
      <c r="H1568" s="456" t="str">
        <v>RM</v>
      </c>
      <c r="I1568" s="456" t="str">
        <v>Kitchen 1'6" Granite Main Counter</v>
      </c>
      <c r="J1568" s="456">
        <v>180</v>
      </c>
      <c r="K1568" s="456">
        <v>7312.7984000000006</v>
      </c>
      <c r="L1568" s="456">
        <f t="shared" si="270"/>
        <v>19159.531808000003</v>
      </c>
      <c r="O1568" s="455">
        <f t="shared" si="273"/>
        <v>78.600000000000009</v>
      </c>
      <c r="P1568" s="455">
        <f t="shared" si="274"/>
        <v>574785.95424000011</v>
      </c>
      <c r="R1568" s="458" t="s">
        <v>666</v>
      </c>
    </row>
    <row r="1569" spans="1:18" s="479" customFormat="1" ht="13.5" customHeight="1">
      <c r="A1569" s="475" t="s">
        <v>628</v>
      </c>
      <c r="B1569" s="476" t="str">
        <f>'Flat Sizes'!B130</f>
        <v>Utility</v>
      </c>
      <c r="C1569" s="477">
        <f>'Flat Sizes'!D130</f>
        <v>2.82</v>
      </c>
      <c r="D1569" s="477">
        <f>'Flat Sizes'!G130</f>
        <v>7.05</v>
      </c>
      <c r="E1569" s="477"/>
      <c r="F1569" s="454"/>
      <c r="G1569" s="477"/>
      <c r="H1569" s="477"/>
      <c r="I1569" s="477"/>
      <c r="J1569" s="477"/>
      <c r="K1569" s="477"/>
      <c r="L1569" s="477"/>
      <c r="M1569" s="459">
        <f>SUM(L1570:L1578)/C1569/10.764</f>
        <v>1152.1714560750177</v>
      </c>
      <c r="N1569" s="472"/>
      <c r="O1569" s="455"/>
      <c r="P1569" s="455"/>
      <c r="Q1569" s="478"/>
    </row>
    <row r="1570" spans="1:18">
      <c r="A1570" s="454"/>
      <c r="B1570" s="454" t="str" cm="1">
        <f t="array" ref="B1570:B1578">'Rate List - Flats'!B120:B128</f>
        <v>Flooring</v>
      </c>
      <c r="C1570" s="456"/>
      <c r="D1570" s="456"/>
      <c r="E1570" s="456">
        <f>C1569</f>
        <v>2.82</v>
      </c>
      <c r="F1570" s="456"/>
      <c r="G1570" s="456">
        <f t="shared" si="269"/>
        <v>2.82</v>
      </c>
      <c r="H1570" s="456" t="str" cm="1">
        <f t="array" ref="H1570:H1578">'Rate List - Flats'!H120:H128</f>
        <v>Sq M</v>
      </c>
      <c r="I1570" s="456" t="str" cm="1">
        <f t="array" ref="I1570:I1578">'Rate List - Flats'!C120:C128</f>
        <v>2'x2' Vitrified tiles</v>
      </c>
      <c r="J1570" s="456" cm="1">
        <f t="array" ref="J1570:J1578">'Rate List - Flats'!E120:E128</f>
        <v>45</v>
      </c>
      <c r="K1570" s="456" cm="1">
        <f t="array" ref="K1570:K1578">'Rate List - Flats'!G120:G128</f>
        <v>1340.1179999999999</v>
      </c>
      <c r="L1570" s="456">
        <f t="shared" si="270"/>
        <v>3779.1327599999995</v>
      </c>
      <c r="O1570" s="455">
        <f t="shared" ref="O1570:O1578" si="275">IF(I1570="N.A",0,G1570*$N$1462)</f>
        <v>84.6</v>
      </c>
      <c r="P1570" s="455">
        <f t="shared" ref="P1570:P1578" si="276">L1570*$N$1462</f>
        <v>113373.98279999998</v>
      </c>
      <c r="R1570" s="458" t="s">
        <v>748</v>
      </c>
    </row>
    <row r="1571" spans="1:18">
      <c r="A1571" s="454"/>
      <c r="B1571" s="454" t="str">
        <v>Skirting</v>
      </c>
      <c r="C1571" s="456"/>
      <c r="D1571" s="456"/>
      <c r="E1571" s="456">
        <f>D1569</f>
        <v>7.05</v>
      </c>
      <c r="F1571" s="456"/>
      <c r="G1571" s="456">
        <f t="shared" si="269"/>
        <v>7.05</v>
      </c>
      <c r="H1571" s="456" t="str">
        <v xml:space="preserve">RM </v>
      </c>
      <c r="I1571" s="456" t="str">
        <v xml:space="preserve">2'x2' Vitrified tiles </v>
      </c>
      <c r="J1571" s="456">
        <v>45</v>
      </c>
      <c r="K1571" s="456">
        <v>391.96</v>
      </c>
      <c r="L1571" s="456">
        <f t="shared" si="270"/>
        <v>2763.3179999999998</v>
      </c>
      <c r="O1571" s="455">
        <f t="shared" si="275"/>
        <v>211.5</v>
      </c>
      <c r="P1571" s="455">
        <f t="shared" si="276"/>
        <v>82899.539999999994</v>
      </c>
      <c r="R1571" s="458" t="s">
        <v>749</v>
      </c>
    </row>
    <row r="1572" spans="1:18">
      <c r="A1572" s="454"/>
      <c r="B1572" s="454" t="str">
        <v>Dado</v>
      </c>
      <c r="C1572" s="456"/>
      <c r="D1572" s="456"/>
      <c r="E1572" s="456"/>
      <c r="F1572" s="456"/>
      <c r="G1572" s="456">
        <f t="shared" si="269"/>
        <v>0</v>
      </c>
      <c r="H1572" s="456" t="str">
        <v>Sq M</v>
      </c>
      <c r="I1572" s="456" t="str">
        <v>N.A</v>
      </c>
      <c r="J1572" s="456">
        <v>0</v>
      </c>
      <c r="K1572" s="456">
        <v>0</v>
      </c>
      <c r="L1572" s="456">
        <f t="shared" si="270"/>
        <v>0</v>
      </c>
      <c r="O1572" s="455">
        <f t="shared" si="275"/>
        <v>0</v>
      </c>
      <c r="P1572" s="455">
        <f t="shared" si="276"/>
        <v>0</v>
      </c>
      <c r="R1572" s="458" t="s">
        <v>750</v>
      </c>
    </row>
    <row r="1573" spans="1:18">
      <c r="A1573" s="454"/>
      <c r="B1573" s="454" t="str">
        <v>Wall finishes plaster</v>
      </c>
      <c r="C1573" s="456"/>
      <c r="D1573" s="456"/>
      <c r="E1573" s="456">
        <f>D1569*(D1-0.15)</f>
        <v>20.797499999999999</v>
      </c>
      <c r="F1573" s="456">
        <f>-Windows!K135*2.15</f>
        <v>-2.15</v>
      </c>
      <c r="G1573" s="456">
        <f t="shared" si="269"/>
        <v>18.647500000000001</v>
      </c>
      <c r="H1573" s="456" t="str">
        <v>Sq M</v>
      </c>
      <c r="I1573" s="456" t="str">
        <v>External Plaster  - 15 mm</v>
      </c>
      <c r="J1573" s="456">
        <v>85</v>
      </c>
      <c r="K1573" s="456">
        <v>914.93999999999994</v>
      </c>
      <c r="L1573" s="456">
        <f t="shared" si="270"/>
        <v>17061.343649999999</v>
      </c>
      <c r="O1573" s="455">
        <f t="shared" si="275"/>
        <v>559.42500000000007</v>
      </c>
      <c r="P1573" s="455">
        <f t="shared" si="276"/>
        <v>511840.30949999997</v>
      </c>
      <c r="R1573" s="458" t="s">
        <v>751</v>
      </c>
    </row>
    <row r="1574" spans="1:18">
      <c r="A1574" s="454"/>
      <c r="B1574" s="454" t="str">
        <v>Ceiling plaster</v>
      </c>
      <c r="C1574" s="456"/>
      <c r="D1574" s="456"/>
      <c r="E1574" s="456">
        <f>E1570</f>
        <v>2.82</v>
      </c>
      <c r="F1574" s="456"/>
      <c r="G1574" s="456">
        <f t="shared" si="269"/>
        <v>2.82</v>
      </c>
      <c r="H1574" s="456" t="str">
        <v>Sq M</v>
      </c>
      <c r="I1574" s="456" t="str">
        <v>Gypsum Plaster</v>
      </c>
      <c r="J1574" s="456">
        <v>32</v>
      </c>
      <c r="K1574" s="456">
        <v>344.44799999999998</v>
      </c>
      <c r="L1574" s="456">
        <f t="shared" si="270"/>
        <v>971.34335999999985</v>
      </c>
      <c r="O1574" s="455">
        <f t="shared" si="275"/>
        <v>84.6</v>
      </c>
      <c r="P1574" s="455">
        <f t="shared" si="276"/>
        <v>29140.300799999997</v>
      </c>
      <c r="R1574" s="458" t="s">
        <v>662</v>
      </c>
    </row>
    <row r="1575" spans="1:18">
      <c r="A1575" s="454"/>
      <c r="B1575" s="454" t="str">
        <v>False ceiling</v>
      </c>
      <c r="C1575" s="456"/>
      <c r="D1575" s="456"/>
      <c r="E1575" s="456"/>
      <c r="F1575" s="456"/>
      <c r="G1575" s="456">
        <f t="shared" si="269"/>
        <v>0</v>
      </c>
      <c r="H1575" s="456" t="str">
        <v>Sq M</v>
      </c>
      <c r="I1575" s="456" t="str">
        <v>N.A.</v>
      </c>
      <c r="J1575" s="456">
        <v>0</v>
      </c>
      <c r="K1575" s="456">
        <v>0</v>
      </c>
      <c r="L1575" s="456">
        <f t="shared" si="270"/>
        <v>0</v>
      </c>
      <c r="O1575" s="455">
        <f t="shared" si="275"/>
        <v>0</v>
      </c>
      <c r="P1575" s="455">
        <f t="shared" si="276"/>
        <v>0</v>
      </c>
      <c r="R1575" s="458" t="s">
        <v>414</v>
      </c>
    </row>
    <row r="1576" spans="1:18">
      <c r="A1576" s="454"/>
      <c r="B1576" s="454" t="str">
        <v>Wall finishes Paint</v>
      </c>
      <c r="C1576" s="456"/>
      <c r="D1576" s="456"/>
      <c r="E1576" s="456">
        <f>E1573</f>
        <v>20.797499999999999</v>
      </c>
      <c r="F1576" s="456">
        <f>F1573</f>
        <v>-2.15</v>
      </c>
      <c r="G1576" s="456">
        <f t="shared" si="269"/>
        <v>18.647500000000001</v>
      </c>
      <c r="H1576" s="456" t="str">
        <v>Sq M</v>
      </c>
      <c r="I1576" s="456" t="str">
        <v>External Grade Paint</v>
      </c>
      <c r="J1576" s="456">
        <v>45</v>
      </c>
      <c r="K1576" s="456">
        <v>484.38</v>
      </c>
      <c r="L1576" s="456">
        <f t="shared" si="270"/>
        <v>9032.4760500000011</v>
      </c>
      <c r="O1576" s="455">
        <f t="shared" si="275"/>
        <v>559.42500000000007</v>
      </c>
      <c r="P1576" s="455">
        <f t="shared" si="276"/>
        <v>270974.28150000004</v>
      </c>
      <c r="R1576" s="458" t="s">
        <v>663</v>
      </c>
    </row>
    <row r="1577" spans="1:18">
      <c r="A1577" s="454"/>
      <c r="B1577" s="454" t="str">
        <v>Ceiling Paint</v>
      </c>
      <c r="C1577" s="456"/>
      <c r="D1577" s="456"/>
      <c r="E1577" s="456">
        <f>E1574</f>
        <v>2.82</v>
      </c>
      <c r="F1577" s="456"/>
      <c r="G1577" s="456">
        <f t="shared" si="269"/>
        <v>2.82</v>
      </c>
      <c r="H1577" s="456" t="str">
        <v>Sq M</v>
      </c>
      <c r="I1577" s="456" t="str">
        <v>External Grade Paint</v>
      </c>
      <c r="J1577" s="456">
        <v>45</v>
      </c>
      <c r="K1577" s="456">
        <v>484.38</v>
      </c>
      <c r="L1577" s="456">
        <f t="shared" si="270"/>
        <v>1365.9515999999999</v>
      </c>
      <c r="O1577" s="455">
        <f t="shared" si="275"/>
        <v>84.6</v>
      </c>
      <c r="P1577" s="455">
        <f t="shared" si="276"/>
        <v>40978.547999999995</v>
      </c>
      <c r="R1577" s="458" t="s">
        <v>664</v>
      </c>
    </row>
    <row r="1578" spans="1:18">
      <c r="A1578" s="454"/>
      <c r="B1578" s="454" t="str">
        <v>Others</v>
      </c>
      <c r="C1578" s="456"/>
      <c r="D1578" s="456"/>
      <c r="E1578" s="456"/>
      <c r="F1578" s="456"/>
      <c r="G1578" s="456">
        <f t="shared" si="269"/>
        <v>0</v>
      </c>
      <c r="H1578" s="456" t="str">
        <v>-</v>
      </c>
      <c r="I1578" s="456" t="str">
        <v>N.A.</v>
      </c>
      <c r="J1578" s="456">
        <v>0</v>
      </c>
      <c r="K1578" s="456">
        <v>0</v>
      </c>
      <c r="L1578" s="456">
        <f t="shared" si="270"/>
        <v>0</v>
      </c>
      <c r="O1578" s="455">
        <f t="shared" si="275"/>
        <v>0</v>
      </c>
      <c r="P1578" s="455">
        <f t="shared" si="276"/>
        <v>0</v>
      </c>
    </row>
    <row r="1579" spans="1:18" s="479" customFormat="1" ht="13.5" customHeight="1">
      <c r="A1579" s="475" t="s">
        <v>628</v>
      </c>
      <c r="B1579" s="476" t="str">
        <f>'Flat Sizes'!B131</f>
        <v>Balcony</v>
      </c>
      <c r="C1579" s="477">
        <f>'Flat Sizes'!D131</f>
        <v>2.8</v>
      </c>
      <c r="D1579" s="477">
        <f>'Flat Sizes'!G131</f>
        <v>7.01</v>
      </c>
      <c r="E1579" s="477"/>
      <c r="F1579" s="454"/>
      <c r="G1579" s="477"/>
      <c r="H1579" s="477"/>
      <c r="I1579" s="477"/>
      <c r="J1579" s="477"/>
      <c r="K1579" s="477"/>
      <c r="L1579" s="477"/>
      <c r="M1579" s="459">
        <f>SUM(L1580:L1588)/C1579/10.764</f>
        <v>888.43640972554022</v>
      </c>
      <c r="N1579" s="472"/>
      <c r="O1579" s="455"/>
      <c r="P1579" s="455"/>
      <c r="Q1579" s="478"/>
    </row>
    <row r="1580" spans="1:18">
      <c r="A1580" s="454"/>
      <c r="B1580" s="454" t="str" cm="1">
        <f t="array" ref="B1580:B1588">'Rate List - Flats'!B120:B128</f>
        <v>Flooring</v>
      </c>
      <c r="C1580" s="456"/>
      <c r="D1580" s="456"/>
      <c r="E1580" s="456">
        <f>C1579</f>
        <v>2.8</v>
      </c>
      <c r="F1580" s="456"/>
      <c r="G1580" s="456">
        <f t="shared" si="269"/>
        <v>2.8</v>
      </c>
      <c r="H1580" s="456" t="str" cm="1">
        <f t="array" ref="H1580:H1588">'Rate List - Flats'!H120:H128</f>
        <v>Sq M</v>
      </c>
      <c r="I1580" s="456" t="str" cm="1">
        <f t="array" ref="I1580:I1588">'Rate List - Flats'!C120:C128</f>
        <v>2'x2' Vitrified tiles</v>
      </c>
      <c r="J1580" s="456" cm="1">
        <f t="array" ref="J1580:J1588">'Rate List - Flats'!E120:E128</f>
        <v>45</v>
      </c>
      <c r="K1580" s="456" cm="1">
        <f t="array" ref="K1580:K1588">'Rate List - Flats'!G120:G128</f>
        <v>1340.1179999999999</v>
      </c>
      <c r="L1580" s="456">
        <f t="shared" si="270"/>
        <v>3752.3303999999994</v>
      </c>
      <c r="O1580" s="455">
        <f t="shared" ref="O1580:O1588" si="277">IF(I1580="N.A",0,G1580*$N$1462)</f>
        <v>84</v>
      </c>
      <c r="P1580" s="455">
        <f t="shared" ref="P1580:P1588" si="278">L1580*$N$1462</f>
        <v>112569.91199999998</v>
      </c>
      <c r="R1580" s="458" t="s">
        <v>752</v>
      </c>
    </row>
    <row r="1581" spans="1:18">
      <c r="A1581" s="454"/>
      <c r="B1581" s="454" t="str">
        <v>Skirting</v>
      </c>
      <c r="C1581" s="456"/>
      <c r="D1581" s="456"/>
      <c r="E1581" s="456">
        <f>D1579</f>
        <v>7.01</v>
      </c>
      <c r="F1581" s="456"/>
      <c r="G1581" s="456">
        <f t="shared" si="269"/>
        <v>7.01</v>
      </c>
      <c r="H1581" s="456" t="str">
        <v xml:space="preserve">RM </v>
      </c>
      <c r="I1581" s="456" t="str">
        <v xml:space="preserve">2'x2' Vitrified tiles </v>
      </c>
      <c r="J1581" s="456">
        <v>45</v>
      </c>
      <c r="K1581" s="456">
        <v>391.96</v>
      </c>
      <c r="L1581" s="456">
        <f t="shared" si="270"/>
        <v>2747.6396</v>
      </c>
      <c r="O1581" s="455">
        <f t="shared" si="277"/>
        <v>210.29999999999998</v>
      </c>
      <c r="P1581" s="455">
        <f t="shared" si="278"/>
        <v>82429.187999999995</v>
      </c>
      <c r="R1581" s="458" t="s">
        <v>753</v>
      </c>
    </row>
    <row r="1582" spans="1:18">
      <c r="A1582" s="454"/>
      <c r="B1582" s="454" t="str">
        <v>Dado</v>
      </c>
      <c r="C1582" s="456"/>
      <c r="D1582" s="456"/>
      <c r="E1582" s="456"/>
      <c r="F1582" s="456"/>
      <c r="G1582" s="456">
        <f t="shared" si="269"/>
        <v>0</v>
      </c>
      <c r="H1582" s="456" t="str">
        <v>Sq M</v>
      </c>
      <c r="I1582" s="456" t="str">
        <v>N.A</v>
      </c>
      <c r="J1582" s="456">
        <v>0</v>
      </c>
      <c r="K1582" s="456">
        <v>0</v>
      </c>
      <c r="L1582" s="456">
        <f t="shared" si="270"/>
        <v>0</v>
      </c>
      <c r="O1582" s="455">
        <f t="shared" si="277"/>
        <v>0</v>
      </c>
      <c r="P1582" s="455">
        <f t="shared" si="278"/>
        <v>0</v>
      </c>
      <c r="R1582" s="458" t="s">
        <v>754</v>
      </c>
    </row>
    <row r="1583" spans="1:18">
      <c r="A1583" s="454"/>
      <c r="B1583" s="454" t="str">
        <v>Wall finishes plaster</v>
      </c>
      <c r="C1583" s="456"/>
      <c r="D1583" s="456"/>
      <c r="E1583" s="456">
        <f>D1579*(D1-0.15)</f>
        <v>20.679500000000001</v>
      </c>
      <c r="F1583" s="456">
        <f>-Windows!K136*2.15</f>
        <v>-7.8474999999999993</v>
      </c>
      <c r="G1583" s="456">
        <f t="shared" si="269"/>
        <v>12.832000000000001</v>
      </c>
      <c r="H1583" s="456" t="str">
        <v>Sq M</v>
      </c>
      <c r="I1583" s="456" t="str">
        <v>External Plaster  - 15 mm</v>
      </c>
      <c r="J1583" s="456">
        <v>85</v>
      </c>
      <c r="K1583" s="456">
        <v>914.93999999999994</v>
      </c>
      <c r="L1583" s="456">
        <f t="shared" si="270"/>
        <v>11740.51008</v>
      </c>
      <c r="O1583" s="455">
        <f t="shared" si="277"/>
        <v>384.96000000000004</v>
      </c>
      <c r="P1583" s="455">
        <f t="shared" si="278"/>
        <v>352215.30239999999</v>
      </c>
      <c r="R1583" s="458" t="s">
        <v>751</v>
      </c>
    </row>
    <row r="1584" spans="1:18">
      <c r="A1584" s="454"/>
      <c r="B1584" s="454" t="str">
        <v>Ceiling plaster</v>
      </c>
      <c r="C1584" s="456"/>
      <c r="D1584" s="456"/>
      <c r="E1584" s="456">
        <f>E1580</f>
        <v>2.8</v>
      </c>
      <c r="F1584" s="456"/>
      <c r="G1584" s="456">
        <f t="shared" si="269"/>
        <v>2.8</v>
      </c>
      <c r="H1584" s="456" t="str">
        <v>Sq M</v>
      </c>
      <c r="I1584" s="456" t="str">
        <v>Gypsum Plaster</v>
      </c>
      <c r="J1584" s="456">
        <v>32</v>
      </c>
      <c r="K1584" s="456">
        <v>344.44799999999998</v>
      </c>
      <c r="L1584" s="456">
        <f t="shared" si="270"/>
        <v>964.45439999999985</v>
      </c>
      <c r="O1584" s="455">
        <f t="shared" si="277"/>
        <v>84</v>
      </c>
      <c r="P1584" s="455">
        <f t="shared" si="278"/>
        <v>28933.631999999994</v>
      </c>
      <c r="R1584" s="458" t="s">
        <v>662</v>
      </c>
    </row>
    <row r="1585" spans="1:18">
      <c r="A1585" s="454"/>
      <c r="B1585" s="454" t="str">
        <v>False ceiling</v>
      </c>
      <c r="C1585" s="456"/>
      <c r="D1585" s="456"/>
      <c r="E1585" s="456"/>
      <c r="F1585" s="456"/>
      <c r="G1585" s="456">
        <f t="shared" si="269"/>
        <v>0</v>
      </c>
      <c r="H1585" s="456" t="str">
        <v>Sq M</v>
      </c>
      <c r="I1585" s="456" t="str">
        <v>N.A.</v>
      </c>
      <c r="J1585" s="456">
        <v>0</v>
      </c>
      <c r="K1585" s="456">
        <v>0</v>
      </c>
      <c r="L1585" s="456">
        <f t="shared" si="270"/>
        <v>0</v>
      </c>
      <c r="O1585" s="455">
        <f t="shared" si="277"/>
        <v>0</v>
      </c>
      <c r="P1585" s="455">
        <f t="shared" si="278"/>
        <v>0</v>
      </c>
      <c r="R1585" s="458" t="s">
        <v>414</v>
      </c>
    </row>
    <row r="1586" spans="1:18">
      <c r="A1586" s="454"/>
      <c r="B1586" s="454" t="str">
        <v>Wall finishes Paint</v>
      </c>
      <c r="C1586" s="456"/>
      <c r="D1586" s="456"/>
      <c r="E1586" s="456">
        <f>E1583</f>
        <v>20.679500000000001</v>
      </c>
      <c r="F1586" s="456">
        <f>F1583</f>
        <v>-7.8474999999999993</v>
      </c>
      <c r="G1586" s="456">
        <f t="shared" si="269"/>
        <v>12.832000000000001</v>
      </c>
      <c r="H1586" s="456" t="str">
        <v>Sq M</v>
      </c>
      <c r="I1586" s="456" t="str">
        <v>External Grade Paint</v>
      </c>
      <c r="J1586" s="456">
        <v>45</v>
      </c>
      <c r="K1586" s="456">
        <v>484.38</v>
      </c>
      <c r="L1586" s="456">
        <f t="shared" si="270"/>
        <v>6215.5641599999999</v>
      </c>
      <c r="O1586" s="455">
        <f t="shared" si="277"/>
        <v>384.96000000000004</v>
      </c>
      <c r="P1586" s="455">
        <f t="shared" si="278"/>
        <v>186466.92480000001</v>
      </c>
      <c r="R1586" s="458" t="s">
        <v>663</v>
      </c>
    </row>
    <row r="1587" spans="1:18">
      <c r="A1587" s="454"/>
      <c r="B1587" s="454" t="str">
        <v>Ceiling Paint</v>
      </c>
      <c r="C1587" s="456"/>
      <c r="D1587" s="456"/>
      <c r="E1587" s="456">
        <f>E1584</f>
        <v>2.8</v>
      </c>
      <c r="F1587" s="456"/>
      <c r="G1587" s="456">
        <f t="shared" si="269"/>
        <v>2.8</v>
      </c>
      <c r="H1587" s="456" t="str">
        <v>Sq M</v>
      </c>
      <c r="I1587" s="456" t="str">
        <v>External Grade Paint</v>
      </c>
      <c r="J1587" s="456">
        <v>45</v>
      </c>
      <c r="K1587" s="456">
        <v>484.38</v>
      </c>
      <c r="L1587" s="456">
        <f t="shared" si="270"/>
        <v>1356.2639999999999</v>
      </c>
      <c r="O1587" s="455">
        <f t="shared" si="277"/>
        <v>84</v>
      </c>
      <c r="P1587" s="455">
        <f t="shared" si="278"/>
        <v>40687.919999999998</v>
      </c>
      <c r="R1587" s="458" t="s">
        <v>664</v>
      </c>
    </row>
    <row r="1588" spans="1:18">
      <c r="A1588" s="454"/>
      <c r="B1588" s="454" t="str">
        <v>Others</v>
      </c>
      <c r="C1588" s="456"/>
      <c r="D1588" s="456"/>
      <c r="E1588" s="456"/>
      <c r="F1588" s="456"/>
      <c r="G1588" s="524">
        <f t="shared" si="269"/>
        <v>0</v>
      </c>
      <c r="H1588" s="456" t="str">
        <v>-</v>
      </c>
      <c r="I1588" s="456" t="str">
        <v>N.A.</v>
      </c>
      <c r="J1588" s="456">
        <v>0</v>
      </c>
      <c r="K1588" s="456">
        <v>0</v>
      </c>
      <c r="L1588" s="456">
        <f t="shared" si="270"/>
        <v>0</v>
      </c>
      <c r="O1588" s="455">
        <f t="shared" si="277"/>
        <v>0</v>
      </c>
      <c r="P1588" s="455">
        <f t="shared" si="278"/>
        <v>0</v>
      </c>
    </row>
    <row r="1589" spans="1:18" ht="13.8" thickBot="1">
      <c r="A1589" s="454"/>
      <c r="B1589" s="454"/>
      <c r="C1589" s="456"/>
      <c r="D1589" s="456"/>
      <c r="E1589" s="456"/>
      <c r="F1589" s="456"/>
      <c r="G1589" s="525">
        <f>SUM(G1463:G1588)</f>
        <v>1132.5410000000002</v>
      </c>
      <c r="H1589" s="456"/>
      <c r="I1589" s="456"/>
      <c r="J1589" s="456"/>
      <c r="K1589" s="456"/>
      <c r="L1589" s="525">
        <f>SUM(L1463:L1588)</f>
        <v>630922.4580632</v>
      </c>
      <c r="O1589" s="525">
        <f>SUM(O1463:O1588)</f>
        <v>33976.229999999981</v>
      </c>
      <c r="P1589" s="525">
        <f>SUM(P1463:P1588)</f>
        <v>18927673.741896</v>
      </c>
    </row>
    <row r="1590" spans="1:18">
      <c r="A1590" s="528"/>
      <c r="B1590" s="529" t="s">
        <v>744</v>
      </c>
      <c r="C1590" s="522"/>
      <c r="D1590" s="522"/>
      <c r="E1590" s="522"/>
      <c r="F1590" s="522"/>
      <c r="G1590" s="530"/>
      <c r="H1590" s="522"/>
      <c r="I1590" s="522"/>
      <c r="J1590" s="522"/>
      <c r="K1590" s="522"/>
      <c r="L1590" s="522"/>
    </row>
    <row r="1591" spans="1:18">
      <c r="A1591" s="528"/>
      <c r="B1591" s="528" t="s">
        <v>355</v>
      </c>
      <c r="C1591" s="522"/>
      <c r="D1591" s="522"/>
      <c r="E1591" s="522"/>
      <c r="F1591" s="522"/>
      <c r="G1591" s="522">
        <f>SUMIF($B$1463:$B$1588,B1591,$G$1463:$G$1588)</f>
        <v>95.079999999999984</v>
      </c>
      <c r="H1591" s="522"/>
      <c r="I1591" s="522"/>
      <c r="J1591" s="522"/>
      <c r="K1591" s="522"/>
      <c r="L1591" s="522">
        <f>SUMIF($B$1463:$B$1588,B1591,$L$1463:$L$1588)</f>
        <v>128070.23346</v>
      </c>
      <c r="O1591" s="455">
        <f t="shared" ref="O1591:O1606" si="279">IF(I1591="N.A",0,G1591*$N$1462)</f>
        <v>2852.3999999999996</v>
      </c>
      <c r="P1591" s="455">
        <f t="shared" ref="P1591:P1606" si="280">L1591*$N$1462</f>
        <v>3842107.0038000001</v>
      </c>
    </row>
    <row r="1592" spans="1:18">
      <c r="A1592" s="528"/>
      <c r="B1592" s="528" t="s">
        <v>695</v>
      </c>
      <c r="C1592" s="522"/>
      <c r="D1592" s="522"/>
      <c r="E1592" s="522"/>
      <c r="F1592" s="522"/>
      <c r="G1592" s="522">
        <f t="shared" ref="G1592:G1606" si="281">SUMIF($B$1463:$B$1588,B1592,$G$1463:$G$1588)</f>
        <v>84.84</v>
      </c>
      <c r="H1592" s="522"/>
      <c r="I1592" s="522"/>
      <c r="J1592" s="522"/>
      <c r="K1592" s="522"/>
      <c r="L1592" s="522">
        <f t="shared" ref="L1592:L1606" si="282">SUMIF($B$1463:$B$1588,B1592,$L$1463:$L$1588)</f>
        <v>33253.886399999996</v>
      </c>
      <c r="O1592" s="455">
        <f t="shared" si="279"/>
        <v>2545.2000000000003</v>
      </c>
      <c r="P1592" s="455">
        <f t="shared" si="280"/>
        <v>997616.59199999983</v>
      </c>
    </row>
    <row r="1593" spans="1:18">
      <c r="A1593" s="528"/>
      <c r="B1593" s="528" t="s">
        <v>698</v>
      </c>
      <c r="C1593" s="522"/>
      <c r="D1593" s="522"/>
      <c r="E1593" s="522"/>
      <c r="F1593" s="522"/>
      <c r="G1593" s="522">
        <f t="shared" si="281"/>
        <v>62.415000000000006</v>
      </c>
      <c r="H1593" s="522"/>
      <c r="I1593" s="522"/>
      <c r="J1593" s="522"/>
      <c r="K1593" s="522"/>
      <c r="L1593" s="522">
        <f t="shared" si="282"/>
        <v>91584.229230000012</v>
      </c>
      <c r="O1593" s="455">
        <f t="shared" si="279"/>
        <v>1872.4500000000003</v>
      </c>
      <c r="P1593" s="455">
        <f t="shared" si="280"/>
        <v>2747526.8769000005</v>
      </c>
    </row>
    <row r="1594" spans="1:18">
      <c r="A1594" s="528"/>
      <c r="B1594" s="528" t="s">
        <v>700</v>
      </c>
      <c r="C1594" s="522"/>
      <c r="D1594" s="522"/>
      <c r="E1594" s="522"/>
      <c r="F1594" s="522"/>
      <c r="G1594" s="522">
        <f t="shared" si="281"/>
        <v>254.60999999999999</v>
      </c>
      <c r="H1594" s="522"/>
      <c r="I1594" s="522"/>
      <c r="J1594" s="522"/>
      <c r="K1594" s="522"/>
      <c r="L1594" s="522">
        <f t="shared" si="282"/>
        <v>106194.577788</v>
      </c>
      <c r="O1594" s="455">
        <f t="shared" si="279"/>
        <v>7638.2999999999993</v>
      </c>
      <c r="P1594" s="455">
        <f t="shared" si="280"/>
        <v>3185837.3336399999</v>
      </c>
    </row>
    <row r="1595" spans="1:18">
      <c r="A1595" s="528"/>
      <c r="B1595" s="528" t="s">
        <v>702</v>
      </c>
      <c r="C1595" s="522"/>
      <c r="D1595" s="522"/>
      <c r="E1595" s="522"/>
      <c r="F1595" s="522"/>
      <c r="G1595" s="522">
        <f t="shared" si="281"/>
        <v>95.079999999999984</v>
      </c>
      <c r="H1595" s="522"/>
      <c r="I1595" s="522"/>
      <c r="J1595" s="522"/>
      <c r="K1595" s="522"/>
      <c r="L1595" s="522">
        <f t="shared" si="282"/>
        <v>32750.115839999999</v>
      </c>
      <c r="O1595" s="455">
        <f t="shared" si="279"/>
        <v>2852.3999999999996</v>
      </c>
      <c r="P1595" s="455">
        <f t="shared" si="280"/>
        <v>982503.47519999999</v>
      </c>
    </row>
    <row r="1596" spans="1:18">
      <c r="A1596" s="528"/>
      <c r="B1596" s="528" t="s">
        <v>703</v>
      </c>
      <c r="C1596" s="522"/>
      <c r="D1596" s="522"/>
      <c r="E1596" s="522"/>
      <c r="F1596" s="522"/>
      <c r="G1596" s="522">
        <f t="shared" si="281"/>
        <v>0</v>
      </c>
      <c r="H1596" s="522"/>
      <c r="I1596" s="522"/>
      <c r="J1596" s="522"/>
      <c r="K1596" s="522"/>
      <c r="L1596" s="522">
        <f t="shared" si="282"/>
        <v>0</v>
      </c>
      <c r="O1596" s="455">
        <f t="shared" si="279"/>
        <v>0</v>
      </c>
      <c r="P1596" s="455">
        <f t="shared" si="280"/>
        <v>0</v>
      </c>
    </row>
    <row r="1597" spans="1:18">
      <c r="A1597" s="528"/>
      <c r="B1597" s="528" t="s">
        <v>704</v>
      </c>
      <c r="C1597" s="522"/>
      <c r="D1597" s="522"/>
      <c r="E1597" s="522"/>
      <c r="F1597" s="522"/>
      <c r="G1597" s="522">
        <f t="shared" si="281"/>
        <v>262.69</v>
      </c>
      <c r="H1597" s="522"/>
      <c r="I1597" s="522"/>
      <c r="J1597" s="522"/>
      <c r="K1597" s="522"/>
      <c r="L1597" s="522">
        <f t="shared" si="282"/>
        <v>65023.036649999987</v>
      </c>
      <c r="O1597" s="455">
        <f t="shared" si="279"/>
        <v>7880.7</v>
      </c>
      <c r="P1597" s="455">
        <f t="shared" si="280"/>
        <v>1950691.0994999995</v>
      </c>
    </row>
    <row r="1598" spans="1:18">
      <c r="A1598" s="528"/>
      <c r="B1598" s="528" t="s">
        <v>706</v>
      </c>
      <c r="C1598" s="522"/>
      <c r="D1598" s="522"/>
      <c r="E1598" s="522"/>
      <c r="F1598" s="522"/>
      <c r="G1598" s="522">
        <f t="shared" si="281"/>
        <v>95.079999999999984</v>
      </c>
      <c r="H1598" s="522"/>
      <c r="I1598" s="522"/>
      <c r="J1598" s="522"/>
      <c r="K1598" s="522"/>
      <c r="L1598" s="522">
        <f t="shared" si="282"/>
        <v>21981.164400000001</v>
      </c>
      <c r="O1598" s="455">
        <f t="shared" si="279"/>
        <v>2852.3999999999996</v>
      </c>
      <c r="P1598" s="455">
        <f t="shared" si="280"/>
        <v>659434.93200000003</v>
      </c>
    </row>
    <row r="1599" spans="1:18">
      <c r="A1599" s="528"/>
      <c r="B1599" s="528" t="s">
        <v>713</v>
      </c>
      <c r="C1599" s="522"/>
      <c r="D1599" s="522"/>
      <c r="E1599" s="522"/>
      <c r="F1599" s="522"/>
      <c r="G1599" s="522">
        <f t="shared" si="281"/>
        <v>34.200000000000003</v>
      </c>
      <c r="H1599" s="522"/>
      <c r="I1599" s="522"/>
      <c r="J1599" s="522"/>
      <c r="K1599" s="522"/>
      <c r="L1599" s="522">
        <f t="shared" si="282"/>
        <v>22432.71024</v>
      </c>
      <c r="O1599" s="455">
        <f t="shared" si="279"/>
        <v>1026</v>
      </c>
      <c r="P1599" s="455">
        <f t="shared" si="280"/>
        <v>672981.30720000004</v>
      </c>
    </row>
    <row r="1600" spans="1:18">
      <c r="A1600" s="528"/>
      <c r="B1600" s="528" t="s">
        <v>715</v>
      </c>
      <c r="C1600" s="522"/>
      <c r="D1600" s="522"/>
      <c r="E1600" s="522"/>
      <c r="F1600" s="522"/>
      <c r="G1600" s="522">
        <f t="shared" si="281"/>
        <v>67.900000000000006</v>
      </c>
      <c r="H1600" s="522"/>
      <c r="I1600" s="522"/>
      <c r="J1600" s="522"/>
      <c r="K1600" s="522"/>
      <c r="L1600" s="522">
        <f t="shared" si="282"/>
        <v>44537.456879999998</v>
      </c>
      <c r="O1600" s="455">
        <f t="shared" si="279"/>
        <v>2037.0000000000002</v>
      </c>
      <c r="P1600" s="455">
        <f t="shared" si="280"/>
        <v>1336123.7064</v>
      </c>
    </row>
    <row r="1601" spans="1:22">
      <c r="A1601" s="528"/>
      <c r="B1601" s="528" t="s">
        <v>716</v>
      </c>
      <c r="C1601" s="522"/>
      <c r="D1601" s="522"/>
      <c r="E1601" s="522"/>
      <c r="F1601" s="522"/>
      <c r="G1601" s="522">
        <f t="shared" si="281"/>
        <v>67.900000000000006</v>
      </c>
      <c r="H1601" s="522"/>
      <c r="I1601" s="522"/>
      <c r="J1601" s="522"/>
      <c r="K1601" s="522"/>
      <c r="L1601" s="522">
        <f t="shared" si="282"/>
        <v>27094.978959999997</v>
      </c>
      <c r="O1601" s="455">
        <f t="shared" si="279"/>
        <v>2037.0000000000002</v>
      </c>
      <c r="P1601" s="455">
        <f t="shared" si="280"/>
        <v>812849.36879999994</v>
      </c>
    </row>
    <row r="1602" spans="1:22">
      <c r="A1602" s="528"/>
      <c r="B1602" s="528" t="s">
        <v>707</v>
      </c>
      <c r="C1602" s="522"/>
      <c r="D1602" s="522"/>
      <c r="E1602" s="522"/>
      <c r="F1602" s="522"/>
      <c r="G1602" s="522">
        <f t="shared" si="281"/>
        <v>0</v>
      </c>
      <c r="H1602" s="522"/>
      <c r="I1602" s="522"/>
      <c r="J1602" s="522"/>
      <c r="K1602" s="522"/>
      <c r="L1602" s="522">
        <f t="shared" si="282"/>
        <v>0</v>
      </c>
      <c r="O1602" s="455">
        <f t="shared" si="279"/>
        <v>0</v>
      </c>
      <c r="P1602" s="455">
        <f t="shared" si="280"/>
        <v>0</v>
      </c>
    </row>
    <row r="1603" spans="1:22">
      <c r="A1603" s="528"/>
      <c r="B1603" s="528" t="s">
        <v>718</v>
      </c>
      <c r="C1603" s="522"/>
      <c r="D1603" s="522"/>
      <c r="E1603" s="522"/>
      <c r="F1603" s="522"/>
      <c r="G1603" s="522">
        <f t="shared" si="281"/>
        <v>1.08</v>
      </c>
      <c r="H1603" s="522"/>
      <c r="I1603" s="522"/>
      <c r="J1603" s="522"/>
      <c r="K1603" s="522"/>
      <c r="L1603" s="522">
        <f t="shared" si="282"/>
        <v>6836.04576</v>
      </c>
      <c r="O1603" s="455">
        <f t="shared" si="279"/>
        <v>32.400000000000006</v>
      </c>
      <c r="P1603" s="455">
        <f t="shared" si="280"/>
        <v>205081.37280000001</v>
      </c>
    </row>
    <row r="1604" spans="1:22">
      <c r="A1604" s="528"/>
      <c r="B1604" s="528" t="s">
        <v>755</v>
      </c>
      <c r="C1604" s="522"/>
      <c r="D1604" s="522"/>
      <c r="E1604" s="522"/>
      <c r="F1604" s="522"/>
      <c r="G1604" s="522">
        <f t="shared" si="281"/>
        <v>5.5260000000000007</v>
      </c>
      <c r="H1604" s="522"/>
      <c r="I1604" s="522"/>
      <c r="J1604" s="522"/>
      <c r="K1604" s="522"/>
      <c r="L1604" s="522">
        <f t="shared" si="282"/>
        <v>6263.4402792000001</v>
      </c>
      <c r="O1604" s="455">
        <f t="shared" si="279"/>
        <v>165.78000000000003</v>
      </c>
      <c r="P1604" s="455">
        <f t="shared" si="280"/>
        <v>187903.208376</v>
      </c>
    </row>
    <row r="1605" spans="1:22">
      <c r="A1605" s="528"/>
      <c r="B1605" s="528" t="s">
        <v>747</v>
      </c>
      <c r="C1605" s="522"/>
      <c r="D1605" s="522"/>
      <c r="E1605" s="522"/>
      <c r="F1605" s="522"/>
      <c r="G1605" s="522">
        <f t="shared" si="281"/>
        <v>3.52</v>
      </c>
      <c r="H1605" s="522"/>
      <c r="I1605" s="522"/>
      <c r="J1605" s="522"/>
      <c r="K1605" s="522"/>
      <c r="L1605" s="522">
        <f t="shared" si="282"/>
        <v>25741.050368000004</v>
      </c>
      <c r="O1605" s="455">
        <f t="shared" si="279"/>
        <v>105.6</v>
      </c>
      <c r="P1605" s="455">
        <f t="shared" si="280"/>
        <v>772231.51104000013</v>
      </c>
    </row>
    <row r="1606" spans="1:22">
      <c r="A1606" s="528"/>
      <c r="B1606" s="528" t="s">
        <v>666</v>
      </c>
      <c r="C1606" s="522"/>
      <c r="D1606" s="522"/>
      <c r="E1606" s="522"/>
      <c r="F1606" s="522"/>
      <c r="G1606" s="522">
        <f t="shared" si="281"/>
        <v>2.62</v>
      </c>
      <c r="H1606" s="522"/>
      <c r="I1606" s="522"/>
      <c r="J1606" s="522"/>
      <c r="K1606" s="537"/>
      <c r="L1606" s="537">
        <f t="shared" si="282"/>
        <v>19159.531808000003</v>
      </c>
      <c r="O1606" s="455">
        <f t="shared" si="279"/>
        <v>78.600000000000009</v>
      </c>
      <c r="P1606" s="455">
        <f t="shared" si="280"/>
        <v>574785.95424000011</v>
      </c>
    </row>
    <row r="1607" spans="1:22" ht="13.8" thickBot="1">
      <c r="A1607" s="528"/>
      <c r="B1607" s="528"/>
      <c r="C1607" s="522"/>
      <c r="D1607" s="522"/>
      <c r="E1607" s="522"/>
      <c r="F1607" s="522"/>
      <c r="G1607" s="523">
        <f>SUM(G1591:G1606)</f>
        <v>1132.5409999999999</v>
      </c>
      <c r="H1607" s="522"/>
      <c r="I1607" s="522"/>
      <c r="J1607" s="522"/>
      <c r="K1607" s="525" t="s">
        <v>232</v>
      </c>
      <c r="L1607" s="525">
        <f>SUM(L1591:L1606)</f>
        <v>630922.4580632</v>
      </c>
      <c r="O1607" s="525">
        <f>SUM(O1591:O1606)</f>
        <v>33976.229999999996</v>
      </c>
      <c r="P1607" s="525">
        <f>SUM(P1591:P1606)</f>
        <v>18927673.741896</v>
      </c>
    </row>
    <row r="1608" spans="1:22">
      <c r="A1608" s="528"/>
      <c r="B1608" s="528" t="s">
        <v>386</v>
      </c>
      <c r="C1608" s="522"/>
      <c r="D1608" s="522"/>
      <c r="E1608" s="522"/>
      <c r="F1608" s="522"/>
      <c r="G1608" s="522">
        <f>Doors!E112</f>
        <v>8</v>
      </c>
      <c r="H1608" s="522"/>
      <c r="I1608" s="522"/>
      <c r="J1608" s="522"/>
      <c r="K1608" s="530"/>
      <c r="L1608" s="530">
        <f>Doors!J112</f>
        <v>140500</v>
      </c>
    </row>
    <row r="1609" spans="1:22">
      <c r="A1609" s="528"/>
      <c r="B1609" s="528" t="s">
        <v>391</v>
      </c>
      <c r="C1609" s="522"/>
      <c r="D1609" s="522"/>
      <c r="E1609" s="522"/>
      <c r="F1609" s="522"/>
      <c r="G1609" s="522">
        <f>Windows!H137</f>
        <v>31.342499999999998</v>
      </c>
      <c r="H1609" s="522"/>
      <c r="I1609" s="522"/>
      <c r="J1609" s="522"/>
      <c r="K1609" s="537"/>
      <c r="L1609" s="537">
        <f>Windows!N137</f>
        <v>229728.86849999998</v>
      </c>
    </row>
    <row r="1610" spans="1:22">
      <c r="A1610" s="528"/>
      <c r="B1610" s="528"/>
      <c r="C1610" s="522"/>
      <c r="D1610" s="522"/>
      <c r="E1610" s="522"/>
      <c r="F1610" s="522"/>
      <c r="G1610" s="522"/>
      <c r="H1610" s="522"/>
      <c r="I1610" s="522"/>
      <c r="J1610" s="522"/>
      <c r="K1610" s="539" t="s">
        <v>232</v>
      </c>
      <c r="L1610" s="539">
        <f>SUM(L1608:L1609)</f>
        <v>370228.86849999998</v>
      </c>
    </row>
    <row r="1611" spans="1:22" ht="13.8" thickBot="1">
      <c r="A1611" s="528"/>
      <c r="B1611" s="528"/>
      <c r="C1611" s="522"/>
      <c r="D1611" s="522"/>
      <c r="E1611" s="522"/>
      <c r="F1611" s="522"/>
      <c r="G1611" s="522"/>
      <c r="H1611" s="522"/>
      <c r="I1611" s="522"/>
      <c r="J1611" s="522"/>
      <c r="K1611" s="525" t="s">
        <v>745</v>
      </c>
      <c r="L1611" s="525">
        <f>L1607+L1610</f>
        <v>1001151.3265632</v>
      </c>
    </row>
    <row r="1612" spans="1:22" s="474" customFormat="1" ht="13.5" customHeight="1">
      <c r="A1612" s="465" t="s">
        <v>628</v>
      </c>
      <c r="B1612" s="466" t="str">
        <f>'Flat Sizes'!B133</f>
        <v>Flat 9,
2BHK</v>
      </c>
      <c r="C1612" s="456"/>
      <c r="D1612" s="456"/>
      <c r="E1612" s="456"/>
      <c r="F1612" s="456"/>
      <c r="G1612" s="456"/>
      <c r="H1612" s="456"/>
      <c r="I1612" s="456"/>
      <c r="J1612" s="456"/>
      <c r="K1612" s="456"/>
      <c r="L1612" s="546"/>
      <c r="M1612" s="471"/>
      <c r="N1612" s="472">
        <f>'Flat Sizes'!H133</f>
        <v>28</v>
      </c>
      <c r="O1612" s="459"/>
      <c r="P1612" s="459"/>
      <c r="Q1612" s="473"/>
      <c r="S1612" s="473"/>
      <c r="T1612" s="473"/>
      <c r="U1612" s="473"/>
      <c r="V1612" s="473"/>
    </row>
    <row r="1613" spans="1:22" s="479" customFormat="1" ht="13.5" customHeight="1">
      <c r="A1613" s="475" t="s">
        <v>628</v>
      </c>
      <c r="B1613" s="476" t="str">
        <f>'Flat Sizes'!B134</f>
        <v>Living, Dining &amp; Passage</v>
      </c>
      <c r="C1613" s="477">
        <f>'Flat Sizes'!D134</f>
        <v>25.39</v>
      </c>
      <c r="D1613" s="477">
        <f>'Flat Sizes'!G134</f>
        <v>22.55</v>
      </c>
      <c r="E1613" s="477"/>
      <c r="F1613" s="454"/>
      <c r="G1613" s="477"/>
      <c r="H1613" s="477"/>
      <c r="I1613" s="477"/>
      <c r="J1613" s="477"/>
      <c r="K1613" s="477"/>
      <c r="L1613" s="477"/>
      <c r="M1613" s="459">
        <f>SUM(L1614:L1625)/C1613/10.764</f>
        <v>349.5967228588168</v>
      </c>
      <c r="N1613" s="472"/>
      <c r="O1613" s="455"/>
      <c r="P1613" s="455"/>
      <c r="Q1613" s="478"/>
    </row>
    <row r="1614" spans="1:22">
      <c r="A1614" s="454"/>
      <c r="B1614" s="454" t="str" cm="1">
        <f t="array" ref="B1614:B1625">'Rate List - Flats'!B6:B17</f>
        <v>Flooring</v>
      </c>
      <c r="C1614" s="456"/>
      <c r="D1614" s="456"/>
      <c r="E1614" s="456">
        <f>C1613</f>
        <v>25.39</v>
      </c>
      <c r="F1614" s="456"/>
      <c r="G1614" s="456">
        <f t="shared" ref="G1614:G1679" si="283">E1614+F1614</f>
        <v>25.39</v>
      </c>
      <c r="H1614" s="456" t="str" cm="1">
        <f t="array" ref="H1614:H1625">'Rate List - Flats'!H6:H17</f>
        <v>Sq M</v>
      </c>
      <c r="I1614" s="456" t="str" cm="1">
        <f t="array" ref="I1614:I1625">'Rate List - Flats'!C6:C17</f>
        <v>2'x2' Vitrified tiles</v>
      </c>
      <c r="J1614" s="456" cm="1">
        <f t="array" ref="J1614:J1625">'Rate List - Flats'!E6:E17</f>
        <v>45</v>
      </c>
      <c r="K1614" s="456" cm="1">
        <f t="array" ref="K1614:K1625">'Rate List - Flats'!G6:G17</f>
        <v>1340.1179999999999</v>
      </c>
      <c r="L1614" s="456">
        <f t="shared" ref="L1614:L1679" si="284">G1614*K1614</f>
        <v>34025.596019999997</v>
      </c>
      <c r="O1614" s="455">
        <f>IF(I1614="N.A",0,G1614*$N$1612)</f>
        <v>710.92000000000007</v>
      </c>
      <c r="P1614" s="455">
        <f>L1614*$N$1612</f>
        <v>952716.68855999992</v>
      </c>
      <c r="R1614" s="480" t="s">
        <v>659</v>
      </c>
    </row>
    <row r="1615" spans="1:22">
      <c r="A1615" s="454"/>
      <c r="B1615" s="454" t="str">
        <v>Skirting</v>
      </c>
      <c r="C1615" s="456"/>
      <c r="D1615" s="456"/>
      <c r="E1615" s="456">
        <f>D1613</f>
        <v>22.55</v>
      </c>
      <c r="F1615" s="456">
        <f>-(Doors!F114+Doors!F115+Doors!F117+Doors!F119)</f>
        <v>-3.9</v>
      </c>
      <c r="G1615" s="456">
        <f t="shared" si="283"/>
        <v>18.650000000000002</v>
      </c>
      <c r="H1615" s="456" t="str">
        <v>RM</v>
      </c>
      <c r="I1615" s="456" t="str">
        <v xml:space="preserve">2'x2' Vitrified tiles </v>
      </c>
      <c r="J1615" s="456">
        <v>45</v>
      </c>
      <c r="K1615" s="456">
        <v>391.96</v>
      </c>
      <c r="L1615" s="456">
        <f t="shared" si="284"/>
        <v>7310.0540000000001</v>
      </c>
      <c r="O1615" s="455">
        <f t="shared" ref="O1615:O1625" si="285">IF(I1615="N.A",0,G1615*$N$1612)</f>
        <v>522.20000000000005</v>
      </c>
      <c r="P1615" s="455">
        <f t="shared" ref="P1615:P1625" si="286">L1615*$N$1612</f>
        <v>204681.51199999999</v>
      </c>
      <c r="R1615" s="480" t="s">
        <v>660</v>
      </c>
    </row>
    <row r="1616" spans="1:22">
      <c r="A1616" s="454"/>
      <c r="B1616" s="454" t="str">
        <v>Dado</v>
      </c>
      <c r="C1616" s="456"/>
      <c r="D1616" s="456"/>
      <c r="E1616" s="456"/>
      <c r="F1616" s="456"/>
      <c r="G1616" s="456">
        <f t="shared" si="283"/>
        <v>0</v>
      </c>
      <c r="H1616" s="456" t="str">
        <v>Sq M</v>
      </c>
      <c r="I1616" s="456" t="str">
        <v>N.A.</v>
      </c>
      <c r="J1616" s="456">
        <v>0</v>
      </c>
      <c r="K1616" s="456">
        <v>0</v>
      </c>
      <c r="L1616" s="456">
        <f t="shared" si="284"/>
        <v>0</v>
      </c>
      <c r="O1616" s="455">
        <f t="shared" si="285"/>
        <v>0</v>
      </c>
      <c r="P1616" s="455">
        <f t="shared" si="286"/>
        <v>0</v>
      </c>
      <c r="R1616" s="480"/>
    </row>
    <row r="1617" spans="1:18">
      <c r="A1617" s="454"/>
      <c r="B1617" s="454" t="str">
        <v>Wall finishes plaster</v>
      </c>
      <c r="C1617" s="456"/>
      <c r="D1617" s="456"/>
      <c r="E1617" s="456">
        <f>D1613*(D1-0.15)</f>
        <v>66.522500000000008</v>
      </c>
      <c r="F1617" s="456">
        <f>-(Doors!H114+Doors!H115+Doors!H117+Doors!H119+Windows!H139)</f>
        <v>-14.855</v>
      </c>
      <c r="G1617" s="456">
        <f t="shared" si="283"/>
        <v>51.667500000000004</v>
      </c>
      <c r="H1617" s="456" t="str">
        <v>Sq M</v>
      </c>
      <c r="I1617" s="456" t="str">
        <v>Gypsum Plaster</v>
      </c>
      <c r="J1617" s="456">
        <v>32</v>
      </c>
      <c r="K1617" s="456">
        <v>344.44799999999998</v>
      </c>
      <c r="L1617" s="456">
        <f t="shared" si="284"/>
        <v>17796.767039999999</v>
      </c>
      <c r="O1617" s="455">
        <f t="shared" si="285"/>
        <v>1446.69</v>
      </c>
      <c r="P1617" s="455">
        <f t="shared" si="286"/>
        <v>498309.47711999994</v>
      </c>
      <c r="R1617" s="480" t="s">
        <v>661</v>
      </c>
    </row>
    <row r="1618" spans="1:18">
      <c r="A1618" s="454"/>
      <c r="B1618" s="454" t="str">
        <v>Ceiling plaster</v>
      </c>
      <c r="C1618" s="456"/>
      <c r="D1618" s="456"/>
      <c r="E1618" s="456">
        <f>E1614</f>
        <v>25.39</v>
      </c>
      <c r="F1618" s="456"/>
      <c r="G1618" s="456">
        <f t="shared" si="283"/>
        <v>25.39</v>
      </c>
      <c r="H1618" s="456" t="str">
        <v>Sq M</v>
      </c>
      <c r="I1618" s="456" t="str">
        <v>Gypsum Plaster</v>
      </c>
      <c r="J1618" s="456">
        <v>32</v>
      </c>
      <c r="K1618" s="456">
        <v>344.44799999999998</v>
      </c>
      <c r="L1618" s="456">
        <f t="shared" si="284"/>
        <v>8745.5347199999997</v>
      </c>
      <c r="O1618" s="455">
        <f t="shared" si="285"/>
        <v>710.92000000000007</v>
      </c>
      <c r="P1618" s="455">
        <f t="shared" si="286"/>
        <v>244874.97216</v>
      </c>
      <c r="R1618" s="480" t="s">
        <v>662</v>
      </c>
    </row>
    <row r="1619" spans="1:18">
      <c r="A1619" s="454"/>
      <c r="B1619" s="454" t="str">
        <v>False ceiling</v>
      </c>
      <c r="C1619" s="456"/>
      <c r="D1619" s="456"/>
      <c r="E1619" s="456"/>
      <c r="F1619" s="456"/>
      <c r="G1619" s="456">
        <f t="shared" si="283"/>
        <v>0</v>
      </c>
      <c r="H1619" s="456" t="str">
        <v>Sq M</v>
      </c>
      <c r="I1619" s="456" t="str">
        <v>N.A.</v>
      </c>
      <c r="J1619" s="456">
        <v>0</v>
      </c>
      <c r="K1619" s="456">
        <v>0</v>
      </c>
      <c r="L1619" s="456">
        <f t="shared" si="284"/>
        <v>0</v>
      </c>
      <c r="O1619" s="455">
        <f t="shared" si="285"/>
        <v>0</v>
      </c>
      <c r="P1619" s="455">
        <f t="shared" si="286"/>
        <v>0</v>
      </c>
      <c r="R1619" s="480"/>
    </row>
    <row r="1620" spans="1:18">
      <c r="A1620" s="454"/>
      <c r="B1620" s="454" t="str">
        <v>Wall finishes Paint</v>
      </c>
      <c r="C1620" s="456"/>
      <c r="D1620" s="456"/>
      <c r="E1620" s="456">
        <f>E1617</f>
        <v>66.522500000000008</v>
      </c>
      <c r="F1620" s="456">
        <f>F1617</f>
        <v>-14.855</v>
      </c>
      <c r="G1620" s="456">
        <f t="shared" si="283"/>
        <v>51.667500000000004</v>
      </c>
      <c r="H1620" s="456" t="str">
        <v>Sq M</v>
      </c>
      <c r="I1620" s="456" t="str">
        <v>Plastic paint</v>
      </c>
      <c r="J1620" s="456">
        <v>20</v>
      </c>
      <c r="K1620" s="456">
        <v>215.27999999999997</v>
      </c>
      <c r="L1620" s="456">
        <f t="shared" si="284"/>
        <v>11122.9794</v>
      </c>
      <c r="O1620" s="455">
        <f t="shared" si="285"/>
        <v>1446.69</v>
      </c>
      <c r="P1620" s="455">
        <f t="shared" si="286"/>
        <v>311443.42320000002</v>
      </c>
      <c r="R1620" s="480" t="s">
        <v>663</v>
      </c>
    </row>
    <row r="1621" spans="1:18">
      <c r="A1621" s="454"/>
      <c r="B1621" s="454" t="str">
        <v>Ceiling Paint</v>
      </c>
      <c r="C1621" s="456"/>
      <c r="D1621" s="456"/>
      <c r="E1621" s="456">
        <f>E1618</f>
        <v>25.39</v>
      </c>
      <c r="F1621" s="456"/>
      <c r="G1621" s="456">
        <f t="shared" si="283"/>
        <v>25.39</v>
      </c>
      <c r="H1621" s="456" t="str">
        <v>Sq M</v>
      </c>
      <c r="I1621" s="456" t="str">
        <v>Plastic paint</v>
      </c>
      <c r="J1621" s="456">
        <v>20</v>
      </c>
      <c r="K1621" s="456">
        <v>215.27999999999997</v>
      </c>
      <c r="L1621" s="456">
        <f t="shared" si="284"/>
        <v>5465.9591999999993</v>
      </c>
      <c r="O1621" s="455">
        <f t="shared" si="285"/>
        <v>710.92000000000007</v>
      </c>
      <c r="P1621" s="455">
        <f t="shared" si="286"/>
        <v>153046.85759999999</v>
      </c>
      <c r="R1621" s="480" t="s">
        <v>664</v>
      </c>
    </row>
    <row r="1622" spans="1:18">
      <c r="A1622" s="454"/>
      <c r="B1622" s="454" t="str">
        <v>Door Frames</v>
      </c>
      <c r="C1622" s="456"/>
      <c r="D1622" s="456"/>
      <c r="E1622" s="456"/>
      <c r="F1622" s="456"/>
      <c r="G1622" s="456">
        <f t="shared" si="283"/>
        <v>0</v>
      </c>
      <c r="H1622" s="456" t="str">
        <v>RM</v>
      </c>
      <c r="I1622" s="456" t="str">
        <v>N.A.</v>
      </c>
      <c r="J1622" s="456">
        <v>0</v>
      </c>
      <c r="K1622" s="456">
        <v>0</v>
      </c>
      <c r="L1622" s="456">
        <f t="shared" si="284"/>
        <v>0</v>
      </c>
      <c r="O1622" s="455">
        <f t="shared" si="285"/>
        <v>0</v>
      </c>
      <c r="P1622" s="455">
        <f t="shared" si="286"/>
        <v>0</v>
      </c>
      <c r="R1622" s="480" t="s">
        <v>742</v>
      </c>
    </row>
    <row r="1623" spans="1:18">
      <c r="A1623" s="454"/>
      <c r="B1623" s="454" t="str">
        <v>Window Frames - Internal</v>
      </c>
      <c r="C1623" s="456"/>
      <c r="D1623" s="456"/>
      <c r="E1623" s="456">
        <f>Windows!F139*2+Windows!G139*2</f>
        <v>10.5</v>
      </c>
      <c r="F1623" s="456"/>
      <c r="G1623" s="456">
        <f t="shared" si="283"/>
        <v>10.5</v>
      </c>
      <c r="H1623" s="456" t="str">
        <v>RM</v>
      </c>
      <c r="I1623" s="456" t="str">
        <v>Granite Window Frame</v>
      </c>
      <c r="J1623" s="456">
        <v>180</v>
      </c>
      <c r="K1623" s="456">
        <v>655.92719999999997</v>
      </c>
      <c r="L1623" s="456">
        <f t="shared" si="284"/>
        <v>6887.2356</v>
      </c>
      <c r="O1623" s="455">
        <f t="shared" si="285"/>
        <v>294</v>
      </c>
      <c r="P1623" s="455">
        <f t="shared" si="286"/>
        <v>192842.5968</v>
      </c>
      <c r="R1623" s="480" t="s">
        <v>743</v>
      </c>
    </row>
    <row r="1624" spans="1:18">
      <c r="A1624" s="454"/>
      <c r="B1624" s="454" t="str">
        <v>Window Frames - External</v>
      </c>
      <c r="C1624" s="456"/>
      <c r="D1624" s="456"/>
      <c r="E1624" s="456">
        <f>E1623</f>
        <v>10.5</v>
      </c>
      <c r="F1624" s="456"/>
      <c r="G1624" s="456">
        <f t="shared" si="283"/>
        <v>10.5</v>
      </c>
      <c r="H1624" s="456" t="str">
        <v>RM</v>
      </c>
      <c r="I1624" s="456" t="str">
        <v>Marble Window Frames with Sill</v>
      </c>
      <c r="J1624" s="456">
        <v>60</v>
      </c>
      <c r="K1624" s="456">
        <v>399.04239999999999</v>
      </c>
      <c r="L1624" s="456">
        <f t="shared" si="284"/>
        <v>4189.9452000000001</v>
      </c>
      <c r="O1624" s="455">
        <f t="shared" si="285"/>
        <v>294</v>
      </c>
      <c r="P1624" s="455">
        <f t="shared" si="286"/>
        <v>117318.4656</v>
      </c>
      <c r="R1624" s="480" t="s">
        <v>409</v>
      </c>
    </row>
    <row r="1625" spans="1:18">
      <c r="A1625" s="454"/>
      <c r="B1625" s="454" t="str">
        <v>Others</v>
      </c>
      <c r="C1625" s="456"/>
      <c r="D1625" s="456"/>
      <c r="E1625" s="456"/>
      <c r="F1625" s="456"/>
      <c r="G1625" s="456">
        <f t="shared" si="283"/>
        <v>0</v>
      </c>
      <c r="H1625" s="456" t="str">
        <v>-</v>
      </c>
      <c r="I1625" s="456" t="str">
        <v>N.A.</v>
      </c>
      <c r="J1625" s="456" t="str">
        <v>-</v>
      </c>
      <c r="K1625" s="456" t="str">
        <v>-</v>
      </c>
      <c r="L1625" s="456"/>
      <c r="O1625" s="455">
        <f t="shared" si="285"/>
        <v>0</v>
      </c>
      <c r="P1625" s="455">
        <f t="shared" si="286"/>
        <v>0</v>
      </c>
    </row>
    <row r="1626" spans="1:18" s="479" customFormat="1" ht="13.5" customHeight="1">
      <c r="A1626" s="475" t="s">
        <v>628</v>
      </c>
      <c r="B1626" s="476" t="str">
        <f>'Flat Sizes'!B135</f>
        <v>M. Bedroom</v>
      </c>
      <c r="C1626" s="477">
        <f>'Flat Sizes'!D135</f>
        <v>15.45</v>
      </c>
      <c r="D1626" s="477">
        <f>'Flat Sizes'!G135</f>
        <v>19.329999999999998</v>
      </c>
      <c r="E1626" s="477"/>
      <c r="F1626" s="454"/>
      <c r="G1626" s="477"/>
      <c r="H1626" s="477"/>
      <c r="I1626" s="477"/>
      <c r="J1626" s="477"/>
      <c r="K1626" s="477"/>
      <c r="L1626" s="477"/>
      <c r="M1626" s="459">
        <f>SUM(L1627:L1638)/C1626/10.764</f>
        <v>442.33464940668813</v>
      </c>
      <c r="N1626" s="472"/>
      <c r="O1626" s="455"/>
      <c r="P1626" s="455"/>
      <c r="Q1626" s="478"/>
    </row>
    <row r="1627" spans="1:18">
      <c r="A1627" s="454"/>
      <c r="B1627" s="454" t="str" cm="1">
        <f t="array" ref="B1627:B1638">'Rate List - Flats'!B34:B45</f>
        <v>Flooring</v>
      </c>
      <c r="C1627" s="456"/>
      <c r="D1627" s="456"/>
      <c r="E1627" s="456">
        <f>C1626</f>
        <v>15.45</v>
      </c>
      <c r="F1627" s="456"/>
      <c r="G1627" s="456">
        <f t="shared" si="283"/>
        <v>15.45</v>
      </c>
      <c r="H1627" s="456" t="str" cm="1">
        <f t="array" ref="H1627:H1638">'Rate List - Flats'!H34:H45</f>
        <v>Sq M</v>
      </c>
      <c r="I1627" s="456" t="str" cm="1">
        <f t="array" ref="I1627:I1638">'Rate List - Flats'!C34:C45</f>
        <v>2'x2' Vitrified tiles</v>
      </c>
      <c r="J1627" s="456" cm="1">
        <f t="array" ref="J1627:J1638">'Rate List - Flats'!E34:E45</f>
        <v>45</v>
      </c>
      <c r="K1627" s="456" cm="1">
        <f t="array" ref="K1627:K1638">'Rate List - Flats'!G34:G45</f>
        <v>1340.1179999999999</v>
      </c>
      <c r="L1627" s="456">
        <f t="shared" si="284"/>
        <v>20704.823099999998</v>
      </c>
      <c r="O1627" s="455">
        <f t="shared" ref="O1627:O1638" si="287">IF(I1627="N.A",0,G1627*$N$1612)</f>
        <v>432.59999999999997</v>
      </c>
      <c r="P1627" s="455">
        <f t="shared" ref="P1627:P1638" si="288">L1627*$N$1612</f>
        <v>579735.04679999989</v>
      </c>
      <c r="R1627" s="480" t="s">
        <v>659</v>
      </c>
    </row>
    <row r="1628" spans="1:18">
      <c r="A1628" s="454"/>
      <c r="B1628" s="454" t="str">
        <v>Skirting</v>
      </c>
      <c r="C1628" s="456"/>
      <c r="D1628" s="456"/>
      <c r="E1628" s="456">
        <f>D1626</f>
        <v>19.329999999999998</v>
      </c>
      <c r="F1628" s="456">
        <f>-(Doors!F115+Doors!F116)</f>
        <v>-1.65</v>
      </c>
      <c r="G1628" s="456">
        <f t="shared" si="283"/>
        <v>17.68</v>
      </c>
      <c r="H1628" s="456" t="str">
        <v>RM</v>
      </c>
      <c r="I1628" s="456" t="str">
        <v xml:space="preserve">2'x2' Vitrified tiles </v>
      </c>
      <c r="J1628" s="456">
        <v>45</v>
      </c>
      <c r="K1628" s="456">
        <v>391.96</v>
      </c>
      <c r="L1628" s="456">
        <f t="shared" si="284"/>
        <v>6929.8527999999997</v>
      </c>
      <c r="O1628" s="455">
        <f t="shared" si="287"/>
        <v>495.03999999999996</v>
      </c>
      <c r="P1628" s="455">
        <f t="shared" si="288"/>
        <v>194035.87839999999</v>
      </c>
      <c r="R1628" s="480" t="s">
        <v>660</v>
      </c>
    </row>
    <row r="1629" spans="1:18">
      <c r="A1629" s="454"/>
      <c r="B1629" s="454" t="str">
        <v>Dado</v>
      </c>
      <c r="C1629" s="456"/>
      <c r="D1629" s="456"/>
      <c r="E1629" s="456"/>
      <c r="F1629" s="456"/>
      <c r="G1629" s="456">
        <f t="shared" si="283"/>
        <v>0</v>
      </c>
      <c r="H1629" s="456" t="str">
        <v>Sq M</v>
      </c>
      <c r="I1629" s="456" t="str">
        <v>N.A.</v>
      </c>
      <c r="J1629" s="456">
        <v>0</v>
      </c>
      <c r="K1629" s="456">
        <v>0</v>
      </c>
      <c r="L1629" s="456">
        <f t="shared" si="284"/>
        <v>0</v>
      </c>
      <c r="O1629" s="455">
        <f t="shared" si="287"/>
        <v>0</v>
      </c>
      <c r="P1629" s="455">
        <f t="shared" si="288"/>
        <v>0</v>
      </c>
      <c r="R1629" s="480"/>
    </row>
    <row r="1630" spans="1:18">
      <c r="A1630" s="454"/>
      <c r="B1630" s="454" t="str">
        <v>Wall finishes plaster</v>
      </c>
      <c r="C1630" s="456"/>
      <c r="D1630" s="456"/>
      <c r="E1630" s="456">
        <f>D1626*(D1-0.15)</f>
        <v>57.023499999999999</v>
      </c>
      <c r="F1630" s="456">
        <f>-(Doors!H115+Doors!H116+Windows!H140)</f>
        <v>-10.022499999999999</v>
      </c>
      <c r="G1630" s="456">
        <f t="shared" si="283"/>
        <v>47.000999999999998</v>
      </c>
      <c r="H1630" s="456" t="str">
        <v>Sq M</v>
      </c>
      <c r="I1630" s="456" t="str">
        <v>Gypsum Plaster</v>
      </c>
      <c r="J1630" s="456">
        <v>32</v>
      </c>
      <c r="K1630" s="456">
        <v>344.44799999999998</v>
      </c>
      <c r="L1630" s="456">
        <f t="shared" si="284"/>
        <v>16189.400447999999</v>
      </c>
      <c r="O1630" s="455">
        <f t="shared" si="287"/>
        <v>1316.028</v>
      </c>
      <c r="P1630" s="455">
        <f t="shared" si="288"/>
        <v>453303.21254399995</v>
      </c>
      <c r="R1630" s="480" t="s">
        <v>661</v>
      </c>
    </row>
    <row r="1631" spans="1:18">
      <c r="A1631" s="454"/>
      <c r="B1631" s="454" t="str">
        <v>Ceiling plaster</v>
      </c>
      <c r="C1631" s="456"/>
      <c r="D1631" s="456"/>
      <c r="E1631" s="456">
        <f>E1627</f>
        <v>15.45</v>
      </c>
      <c r="F1631" s="456"/>
      <c r="G1631" s="456">
        <f t="shared" si="283"/>
        <v>15.45</v>
      </c>
      <c r="H1631" s="456" t="str">
        <v>Sq M</v>
      </c>
      <c r="I1631" s="456" t="str">
        <v>Gypsum Plaster</v>
      </c>
      <c r="J1631" s="456">
        <v>32</v>
      </c>
      <c r="K1631" s="456">
        <v>344.44799999999998</v>
      </c>
      <c r="L1631" s="456">
        <f t="shared" si="284"/>
        <v>5321.7215999999999</v>
      </c>
      <c r="O1631" s="455">
        <f t="shared" si="287"/>
        <v>432.59999999999997</v>
      </c>
      <c r="P1631" s="455">
        <f t="shared" si="288"/>
        <v>149008.20480000001</v>
      </c>
      <c r="R1631" s="480" t="s">
        <v>662</v>
      </c>
    </row>
    <row r="1632" spans="1:18">
      <c r="A1632" s="454"/>
      <c r="B1632" s="454" t="str">
        <v>False ceiling</v>
      </c>
      <c r="C1632" s="456"/>
      <c r="D1632" s="456"/>
      <c r="E1632" s="456"/>
      <c r="F1632" s="456"/>
      <c r="G1632" s="456">
        <f t="shared" si="283"/>
        <v>0</v>
      </c>
      <c r="H1632" s="456" t="str">
        <v>Sq M</v>
      </c>
      <c r="I1632" s="456" t="str">
        <v>N.A.</v>
      </c>
      <c r="J1632" s="456">
        <v>0</v>
      </c>
      <c r="K1632" s="456">
        <v>0</v>
      </c>
      <c r="L1632" s="456">
        <f t="shared" si="284"/>
        <v>0</v>
      </c>
      <c r="O1632" s="455">
        <f t="shared" si="287"/>
        <v>0</v>
      </c>
      <c r="P1632" s="455">
        <f t="shared" si="288"/>
        <v>0</v>
      </c>
      <c r="R1632" s="480"/>
    </row>
    <row r="1633" spans="1:18">
      <c r="A1633" s="454"/>
      <c r="B1633" s="454" t="str">
        <v>Wall finishes Paint</v>
      </c>
      <c r="C1633" s="456"/>
      <c r="D1633" s="456"/>
      <c r="E1633" s="456">
        <f>E1630</f>
        <v>57.023499999999999</v>
      </c>
      <c r="F1633" s="456">
        <f>F1630</f>
        <v>-10.022499999999999</v>
      </c>
      <c r="G1633" s="456">
        <f t="shared" si="283"/>
        <v>47.000999999999998</v>
      </c>
      <c r="H1633" s="456" t="str">
        <v>Sq M</v>
      </c>
      <c r="I1633" s="456" t="str">
        <v>Plastic paint</v>
      </c>
      <c r="J1633" s="456">
        <v>20</v>
      </c>
      <c r="K1633" s="456">
        <v>215.27999999999997</v>
      </c>
      <c r="L1633" s="456">
        <f t="shared" si="284"/>
        <v>10118.375279999998</v>
      </c>
      <c r="O1633" s="455">
        <f t="shared" si="287"/>
        <v>1316.028</v>
      </c>
      <c r="P1633" s="455">
        <f t="shared" si="288"/>
        <v>283314.50783999998</v>
      </c>
      <c r="R1633" s="480" t="s">
        <v>663</v>
      </c>
    </row>
    <row r="1634" spans="1:18">
      <c r="A1634" s="454"/>
      <c r="B1634" s="454" t="str">
        <v>Ceiling Paint</v>
      </c>
      <c r="C1634" s="456"/>
      <c r="D1634" s="456"/>
      <c r="E1634" s="456">
        <f>E1631</f>
        <v>15.45</v>
      </c>
      <c r="F1634" s="456"/>
      <c r="G1634" s="456">
        <f t="shared" si="283"/>
        <v>15.45</v>
      </c>
      <c r="H1634" s="456" t="str">
        <v>Sq M</v>
      </c>
      <c r="I1634" s="456" t="str">
        <v>Plastic paint</v>
      </c>
      <c r="J1634" s="456">
        <v>20</v>
      </c>
      <c r="K1634" s="456">
        <v>215.27999999999997</v>
      </c>
      <c r="L1634" s="456">
        <f t="shared" si="284"/>
        <v>3326.0759999999996</v>
      </c>
      <c r="O1634" s="455">
        <f t="shared" si="287"/>
        <v>432.59999999999997</v>
      </c>
      <c r="P1634" s="455">
        <f t="shared" si="288"/>
        <v>93130.127999999982</v>
      </c>
      <c r="R1634" s="480" t="s">
        <v>664</v>
      </c>
    </row>
    <row r="1635" spans="1:18">
      <c r="A1635" s="454"/>
      <c r="B1635" s="454" t="str">
        <v>Door Frames</v>
      </c>
      <c r="C1635" s="456"/>
      <c r="D1635" s="456"/>
      <c r="E1635" s="456"/>
      <c r="F1635" s="456"/>
      <c r="G1635" s="456">
        <f t="shared" si="283"/>
        <v>0</v>
      </c>
      <c r="H1635" s="456" t="str">
        <v>RM</v>
      </c>
      <c r="I1635" s="456" t="str">
        <v>N.A.</v>
      </c>
      <c r="J1635" s="456">
        <v>0</v>
      </c>
      <c r="K1635" s="456">
        <v>0</v>
      </c>
      <c r="L1635" s="456">
        <f t="shared" si="284"/>
        <v>0</v>
      </c>
      <c r="O1635" s="455">
        <f t="shared" si="287"/>
        <v>0</v>
      </c>
      <c r="P1635" s="455">
        <f t="shared" si="288"/>
        <v>0</v>
      </c>
      <c r="R1635" s="480"/>
    </row>
    <row r="1636" spans="1:18">
      <c r="A1636" s="454"/>
      <c r="B1636" s="454" t="str">
        <v>Window Frames - Internal</v>
      </c>
      <c r="C1636" s="456"/>
      <c r="D1636" s="456"/>
      <c r="E1636" s="456">
        <f>Windows!F140*2+Windows!G140*2</f>
        <v>10.399999999999999</v>
      </c>
      <c r="F1636" s="456"/>
      <c r="G1636" s="456">
        <f t="shared" si="283"/>
        <v>10.399999999999999</v>
      </c>
      <c r="H1636" s="456" t="str">
        <v>RM</v>
      </c>
      <c r="I1636" s="456" t="str">
        <v>Granite Window Frame</v>
      </c>
      <c r="J1636" s="456">
        <v>180</v>
      </c>
      <c r="K1636" s="456">
        <v>655.92719999999997</v>
      </c>
      <c r="L1636" s="456">
        <f t="shared" si="284"/>
        <v>6821.6428799999985</v>
      </c>
      <c r="O1636" s="455">
        <f t="shared" si="287"/>
        <v>291.19999999999993</v>
      </c>
      <c r="P1636" s="455">
        <f t="shared" si="288"/>
        <v>191006.00063999995</v>
      </c>
      <c r="R1636" s="480" t="s">
        <v>743</v>
      </c>
    </row>
    <row r="1637" spans="1:18">
      <c r="A1637" s="454"/>
      <c r="B1637" s="454" t="str">
        <v>Window Frames - External</v>
      </c>
      <c r="C1637" s="456"/>
      <c r="D1637" s="456"/>
      <c r="E1637" s="456">
        <f>E1636</f>
        <v>10.399999999999999</v>
      </c>
      <c r="F1637" s="456"/>
      <c r="G1637" s="456">
        <f t="shared" si="283"/>
        <v>10.399999999999999</v>
      </c>
      <c r="H1637" s="456" t="str">
        <v>RM</v>
      </c>
      <c r="I1637" s="456" t="str">
        <v>Marble Window Frames with Sill</v>
      </c>
      <c r="J1637" s="456">
        <v>60</v>
      </c>
      <c r="K1637" s="456">
        <v>399.04239999999999</v>
      </c>
      <c r="L1637" s="456">
        <f t="shared" si="284"/>
        <v>4150.0409599999994</v>
      </c>
      <c r="O1637" s="455">
        <f t="shared" si="287"/>
        <v>291.19999999999993</v>
      </c>
      <c r="P1637" s="455">
        <f t="shared" si="288"/>
        <v>116201.14687999999</v>
      </c>
      <c r="R1637" s="480" t="s">
        <v>409</v>
      </c>
    </row>
    <row r="1638" spans="1:18">
      <c r="A1638" s="454"/>
      <c r="B1638" s="454" t="str">
        <v>Others</v>
      </c>
      <c r="C1638" s="456"/>
      <c r="D1638" s="456"/>
      <c r="E1638" s="456"/>
      <c r="F1638" s="456"/>
      <c r="G1638" s="456">
        <f t="shared" si="283"/>
        <v>0</v>
      </c>
      <c r="H1638" s="456" t="str">
        <v>-</v>
      </c>
      <c r="I1638" s="456" t="str">
        <v>N.A.</v>
      </c>
      <c r="J1638" s="456">
        <v>0</v>
      </c>
      <c r="K1638" s="456">
        <v>0</v>
      </c>
      <c r="L1638" s="456">
        <f t="shared" si="284"/>
        <v>0</v>
      </c>
      <c r="O1638" s="455">
        <f t="shared" si="287"/>
        <v>0</v>
      </c>
      <c r="P1638" s="455">
        <f t="shared" si="288"/>
        <v>0</v>
      </c>
    </row>
    <row r="1639" spans="1:18" s="479" customFormat="1" ht="13.5" customHeight="1">
      <c r="A1639" s="475" t="s">
        <v>628</v>
      </c>
      <c r="B1639" s="476" t="str">
        <f>'Flat Sizes'!B136</f>
        <v>M. Toilet</v>
      </c>
      <c r="C1639" s="477">
        <f>'Flat Sizes'!D136</f>
        <v>3.39</v>
      </c>
      <c r="D1639" s="477">
        <f>'Flat Sizes'!G136</f>
        <v>7.94</v>
      </c>
      <c r="E1639" s="477"/>
      <c r="F1639" s="454"/>
      <c r="G1639" s="477"/>
      <c r="H1639" s="477"/>
      <c r="I1639" s="477"/>
      <c r="J1639" s="477"/>
      <c r="K1639" s="477"/>
      <c r="L1639" s="477"/>
      <c r="M1639" s="459">
        <f>SUM(L1640:L1651)/C1639/10.764</f>
        <v>1303.4692944031731</v>
      </c>
      <c r="N1639" s="472"/>
      <c r="O1639" s="455"/>
      <c r="P1639" s="455"/>
      <c r="Q1639" s="478"/>
    </row>
    <row r="1640" spans="1:18">
      <c r="A1640" s="454"/>
      <c r="B1640" s="454" t="str" cm="1">
        <f t="array" ref="B1640:B1651">'Rate List - Flats'!B62:B73</f>
        <v>Flooring</v>
      </c>
      <c r="C1640" s="456"/>
      <c r="D1640" s="456"/>
      <c r="E1640" s="456">
        <f>C1639</f>
        <v>3.39</v>
      </c>
      <c r="F1640" s="456"/>
      <c r="G1640" s="456">
        <f t="shared" si="283"/>
        <v>3.39</v>
      </c>
      <c r="H1640" s="456" t="str" cm="1">
        <f t="array" ref="H1640:H1651">'Rate List - Flats'!H62:H73</f>
        <v>Sq M</v>
      </c>
      <c r="I1640" s="456" t="str" cm="1">
        <f t="array" ref="I1640:I1651">'Rate List - Flats'!C62:C73</f>
        <v>Ceramic tiles/vitrified anti-skid tiles</v>
      </c>
      <c r="J1640" s="456" cm="1">
        <f t="array" ref="J1640:J1651">'Rate List - Flats'!E62:E73</f>
        <v>50</v>
      </c>
      <c r="K1640" s="456" cm="1">
        <f t="array" ref="K1640:K1651">'Rate List - Flats'!G62:G73</f>
        <v>1399.32</v>
      </c>
      <c r="L1640" s="456">
        <f t="shared" si="284"/>
        <v>4743.6948000000002</v>
      </c>
      <c r="O1640" s="455">
        <f t="shared" ref="O1640:O1651" si="289">IF(I1640="N.A",0,G1640*$N$1612)</f>
        <v>94.92</v>
      </c>
      <c r="P1640" s="455">
        <f t="shared" ref="P1640:P1651" si="290">L1640*$N$1612</f>
        <v>132823.45440000002</v>
      </c>
      <c r="R1640" s="480" t="s">
        <v>667</v>
      </c>
    </row>
    <row r="1641" spans="1:18">
      <c r="A1641" s="454"/>
      <c r="B1641" s="454" t="str">
        <v>Skirting</v>
      </c>
      <c r="C1641" s="456"/>
      <c r="D1641" s="456"/>
      <c r="E1641" s="456"/>
      <c r="F1641" s="456"/>
      <c r="G1641" s="456">
        <f t="shared" si="283"/>
        <v>0</v>
      </c>
      <c r="H1641" s="456" t="str">
        <v xml:space="preserve">RM </v>
      </c>
      <c r="I1641" s="456" t="str">
        <v>N.A.</v>
      </c>
      <c r="J1641" s="456">
        <v>0</v>
      </c>
      <c r="K1641" s="456">
        <v>0</v>
      </c>
      <c r="L1641" s="456">
        <f t="shared" si="284"/>
        <v>0</v>
      </c>
      <c r="O1641" s="455">
        <f t="shared" si="289"/>
        <v>0</v>
      </c>
      <c r="P1641" s="455">
        <f t="shared" si="290"/>
        <v>0</v>
      </c>
      <c r="R1641" s="480"/>
    </row>
    <row r="1642" spans="1:18">
      <c r="A1642" s="454"/>
      <c r="B1642" s="454" t="str">
        <v>Dado</v>
      </c>
      <c r="C1642" s="456"/>
      <c r="D1642" s="456">
        <f>D1-0.7</f>
        <v>2.4000000000000004</v>
      </c>
      <c r="E1642" s="456">
        <f>D1639*D1642</f>
        <v>19.056000000000004</v>
      </c>
      <c r="F1642" s="456">
        <f>-(Doors!H116+Windows!H141)</f>
        <v>-2.0250000000000004</v>
      </c>
      <c r="G1642" s="456">
        <f t="shared" si="283"/>
        <v>17.031000000000006</v>
      </c>
      <c r="H1642" s="456" t="str">
        <v>Sq M</v>
      </c>
      <c r="I1642" s="456" t="str">
        <v>Vitrified tiles</v>
      </c>
      <c r="J1642" s="456">
        <v>50</v>
      </c>
      <c r="K1642" s="456">
        <v>1480.05</v>
      </c>
      <c r="L1642" s="456">
        <f t="shared" si="284"/>
        <v>25206.731550000008</v>
      </c>
      <c r="O1642" s="455">
        <f t="shared" si="289"/>
        <v>476.86800000000017</v>
      </c>
      <c r="P1642" s="455">
        <f t="shared" si="290"/>
        <v>705788.48340000026</v>
      </c>
      <c r="R1642" s="480" t="s">
        <v>668</v>
      </c>
    </row>
    <row r="1643" spans="1:18">
      <c r="A1643" s="454"/>
      <c r="B1643" s="454" t="str">
        <v>Wall finishes plaster</v>
      </c>
      <c r="C1643" s="456"/>
      <c r="D1643" s="456">
        <f>D1-D1642</f>
        <v>0.69999999999999973</v>
      </c>
      <c r="E1643" s="456">
        <f>D1639*D1643</f>
        <v>5.5579999999999981</v>
      </c>
      <c r="F1643" s="456"/>
      <c r="G1643" s="456">
        <f t="shared" si="283"/>
        <v>5.5579999999999981</v>
      </c>
      <c r="H1643" s="456" t="str">
        <v>Sq M</v>
      </c>
      <c r="I1643" s="456" t="str">
        <v>Gypsum Plaster</v>
      </c>
      <c r="J1643" s="456">
        <v>32</v>
      </c>
      <c r="K1643" s="456">
        <v>344.44799999999998</v>
      </c>
      <c r="L1643" s="456">
        <f t="shared" si="284"/>
        <v>1914.4419839999991</v>
      </c>
      <c r="O1643" s="455">
        <f t="shared" si="289"/>
        <v>155.62399999999994</v>
      </c>
      <c r="P1643" s="455">
        <f t="shared" si="290"/>
        <v>53604.375551999976</v>
      </c>
      <c r="R1643" s="480" t="s">
        <v>661</v>
      </c>
    </row>
    <row r="1644" spans="1:18">
      <c r="A1644" s="454"/>
      <c r="B1644" s="454" t="str">
        <v>Ceiling plaster</v>
      </c>
      <c r="C1644" s="456"/>
      <c r="D1644" s="456"/>
      <c r="E1644" s="456">
        <f>E1640</f>
        <v>3.39</v>
      </c>
      <c r="F1644" s="456"/>
      <c r="G1644" s="456">
        <f t="shared" si="283"/>
        <v>3.39</v>
      </c>
      <c r="H1644" s="456" t="str">
        <v>Sq M</v>
      </c>
      <c r="I1644" s="456" t="str">
        <v>Gypsum Plaster</v>
      </c>
      <c r="J1644" s="456">
        <v>32</v>
      </c>
      <c r="K1644" s="456">
        <v>344.44799999999998</v>
      </c>
      <c r="L1644" s="456">
        <f t="shared" si="284"/>
        <v>1167.6787199999999</v>
      </c>
      <c r="O1644" s="455">
        <f t="shared" si="289"/>
        <v>94.92</v>
      </c>
      <c r="P1644" s="455">
        <f t="shared" si="290"/>
        <v>32695.004159999997</v>
      </c>
      <c r="R1644" s="480" t="s">
        <v>662</v>
      </c>
    </row>
    <row r="1645" spans="1:18">
      <c r="A1645" s="454"/>
      <c r="B1645" s="454" t="str">
        <v>False ceiling</v>
      </c>
      <c r="C1645" s="456"/>
      <c r="D1645" s="456"/>
      <c r="E1645" s="456"/>
      <c r="F1645" s="456"/>
      <c r="G1645" s="456">
        <f t="shared" si="283"/>
        <v>0</v>
      </c>
      <c r="H1645" s="456" t="str">
        <v>Sq M</v>
      </c>
      <c r="I1645" s="456" t="str">
        <v>N.A.</v>
      </c>
      <c r="J1645" s="456">
        <v>0</v>
      </c>
      <c r="K1645" s="456">
        <v>0</v>
      </c>
      <c r="L1645" s="456">
        <f t="shared" si="284"/>
        <v>0</v>
      </c>
      <c r="O1645" s="455">
        <f t="shared" si="289"/>
        <v>0</v>
      </c>
      <c r="P1645" s="455">
        <f t="shared" si="290"/>
        <v>0</v>
      </c>
      <c r="R1645" s="480"/>
    </row>
    <row r="1646" spans="1:18">
      <c r="A1646" s="454"/>
      <c r="B1646" s="454" t="str">
        <v>Wall finishes Paint</v>
      </c>
      <c r="C1646" s="456"/>
      <c r="D1646" s="456"/>
      <c r="E1646" s="456">
        <f>E1643</f>
        <v>5.5579999999999981</v>
      </c>
      <c r="F1646" s="456"/>
      <c r="G1646" s="456">
        <f t="shared" si="283"/>
        <v>5.5579999999999981</v>
      </c>
      <c r="H1646" s="456" t="str">
        <v>Sq M</v>
      </c>
      <c r="I1646" s="456" t="str">
        <v>Plastic paint</v>
      </c>
      <c r="J1646" s="456">
        <v>20</v>
      </c>
      <c r="K1646" s="456">
        <v>215.27999999999997</v>
      </c>
      <c r="L1646" s="456">
        <f t="shared" si="284"/>
        <v>1196.5262399999995</v>
      </c>
      <c r="O1646" s="455">
        <f t="shared" si="289"/>
        <v>155.62399999999994</v>
      </c>
      <c r="P1646" s="455">
        <f t="shared" si="290"/>
        <v>33502.734719999986</v>
      </c>
      <c r="R1646" s="480" t="s">
        <v>663</v>
      </c>
    </row>
    <row r="1647" spans="1:18">
      <c r="A1647" s="454"/>
      <c r="B1647" s="454" t="str">
        <v>Ceiling Paint</v>
      </c>
      <c r="C1647" s="456"/>
      <c r="D1647" s="456"/>
      <c r="E1647" s="456">
        <f>E1644</f>
        <v>3.39</v>
      </c>
      <c r="F1647" s="456"/>
      <c r="G1647" s="456">
        <f t="shared" si="283"/>
        <v>3.39</v>
      </c>
      <c r="H1647" s="456" t="str">
        <v>Sq M</v>
      </c>
      <c r="I1647" s="456" t="str">
        <v>Plastic paint</v>
      </c>
      <c r="J1647" s="456">
        <v>20</v>
      </c>
      <c r="K1647" s="456">
        <v>215.27999999999997</v>
      </c>
      <c r="L1647" s="456">
        <f t="shared" si="284"/>
        <v>729.79919999999993</v>
      </c>
      <c r="O1647" s="455">
        <f t="shared" si="289"/>
        <v>94.92</v>
      </c>
      <c r="P1647" s="455">
        <f t="shared" si="290"/>
        <v>20434.3776</v>
      </c>
      <c r="R1647" s="480" t="s">
        <v>664</v>
      </c>
    </row>
    <row r="1648" spans="1:18">
      <c r="A1648" s="454"/>
      <c r="B1648" s="454" t="str">
        <v>Door Frames</v>
      </c>
      <c r="C1648" s="456"/>
      <c r="D1648" s="456"/>
      <c r="E1648" s="456">
        <f>Doors!F116*4+Doors!G116*4</f>
        <v>11.4</v>
      </c>
      <c r="F1648" s="456"/>
      <c r="G1648" s="456">
        <f t="shared" si="283"/>
        <v>11.4</v>
      </c>
      <c r="H1648" s="456" t="str">
        <v>RM</v>
      </c>
      <c r="I1648" s="456" t="str">
        <v>Granite Frames</v>
      </c>
      <c r="J1648" s="456">
        <v>180</v>
      </c>
      <c r="K1648" s="456">
        <v>655.92719999999997</v>
      </c>
      <c r="L1648" s="456">
        <f t="shared" si="284"/>
        <v>7477.5700799999995</v>
      </c>
      <c r="O1648" s="455">
        <f t="shared" si="289"/>
        <v>319.2</v>
      </c>
      <c r="P1648" s="455">
        <f t="shared" si="290"/>
        <v>209371.96223999999</v>
      </c>
      <c r="R1648" s="480" t="s">
        <v>669</v>
      </c>
    </row>
    <row r="1649" spans="1:18">
      <c r="A1649" s="454"/>
      <c r="B1649" s="454" t="str">
        <v>Window Frames - Internal</v>
      </c>
      <c r="C1649" s="456"/>
      <c r="D1649" s="456"/>
      <c r="E1649" s="456">
        <f>Windows!F141*2+Windows!G141*2</f>
        <v>2.7</v>
      </c>
      <c r="F1649" s="456"/>
      <c r="G1649" s="456">
        <f t="shared" si="283"/>
        <v>2.7</v>
      </c>
      <c r="H1649" s="456" t="str">
        <v>RM</v>
      </c>
      <c r="I1649" s="456" t="str">
        <v>Granite Window Frame</v>
      </c>
      <c r="J1649" s="456">
        <v>180</v>
      </c>
      <c r="K1649" s="456">
        <v>655.92719999999997</v>
      </c>
      <c r="L1649" s="456">
        <f t="shared" si="284"/>
        <v>1771.00344</v>
      </c>
      <c r="O1649" s="455">
        <f t="shared" si="289"/>
        <v>75.600000000000009</v>
      </c>
      <c r="P1649" s="455">
        <f t="shared" si="290"/>
        <v>49588.096319999997</v>
      </c>
      <c r="R1649" s="480" t="s">
        <v>743</v>
      </c>
    </row>
    <row r="1650" spans="1:18">
      <c r="A1650" s="454"/>
      <c r="B1650" s="454" t="str">
        <v>Window Frames - External</v>
      </c>
      <c r="C1650" s="456"/>
      <c r="D1650" s="456"/>
      <c r="E1650" s="456">
        <f>E1649</f>
        <v>2.7</v>
      </c>
      <c r="F1650" s="456"/>
      <c r="G1650" s="456">
        <f t="shared" si="283"/>
        <v>2.7</v>
      </c>
      <c r="H1650" s="456" t="str">
        <v>RM</v>
      </c>
      <c r="I1650" s="456" t="str">
        <v>Marble Window Frames with Sill</v>
      </c>
      <c r="J1650" s="456">
        <v>60</v>
      </c>
      <c r="K1650" s="456">
        <v>399.04239999999999</v>
      </c>
      <c r="L1650" s="456">
        <f t="shared" si="284"/>
        <v>1077.4144800000001</v>
      </c>
      <c r="O1650" s="455">
        <f t="shared" si="289"/>
        <v>75.600000000000009</v>
      </c>
      <c r="P1650" s="455">
        <f t="shared" si="290"/>
        <v>30167.605440000003</v>
      </c>
      <c r="R1650" s="480" t="s">
        <v>409</v>
      </c>
    </row>
    <row r="1651" spans="1:18">
      <c r="A1651" s="454"/>
      <c r="B1651" s="454" t="str">
        <v>Others - Counter</v>
      </c>
      <c r="C1651" s="456"/>
      <c r="D1651" s="456"/>
      <c r="E1651" s="456">
        <f>0.6*0.6</f>
        <v>0.36</v>
      </c>
      <c r="F1651" s="456"/>
      <c r="G1651" s="456">
        <f t="shared" si="283"/>
        <v>0.36</v>
      </c>
      <c r="H1651" s="456" t="str">
        <v>Sq M</v>
      </c>
      <c r="I1651" s="456" t="str">
        <v>Basin Counter 1'6" - Granite Basin Counter</v>
      </c>
      <c r="J1651" s="456">
        <v>180</v>
      </c>
      <c r="K1651" s="456">
        <v>6329.6720000000005</v>
      </c>
      <c r="L1651" s="456">
        <f t="shared" si="284"/>
        <v>2278.68192</v>
      </c>
      <c r="O1651" s="455">
        <f t="shared" si="289"/>
        <v>10.08</v>
      </c>
      <c r="P1651" s="455">
        <f t="shared" si="290"/>
        <v>63803.093760000003</v>
      </c>
      <c r="R1651" s="480" t="s">
        <v>670</v>
      </c>
    </row>
    <row r="1652" spans="1:18" s="479" customFormat="1" ht="13.5" customHeight="1">
      <c r="A1652" s="475" t="s">
        <v>628</v>
      </c>
      <c r="B1652" s="476" t="str">
        <f>'Flat Sizes'!B137</f>
        <v>C. Bedroom</v>
      </c>
      <c r="C1652" s="477">
        <f>'Flat Sizes'!D137</f>
        <v>10.63</v>
      </c>
      <c r="D1652" s="477">
        <f>'Flat Sizes'!G137</f>
        <v>13.55</v>
      </c>
      <c r="E1652" s="477"/>
      <c r="F1652" s="454"/>
      <c r="G1652" s="477"/>
      <c r="H1652" s="477"/>
      <c r="I1652" s="477"/>
      <c r="J1652" s="477"/>
      <c r="K1652" s="477"/>
      <c r="L1652" s="477"/>
      <c r="M1652" s="459">
        <f>SUM(L1653:L1664)/C1652/10.764</f>
        <v>467.36741037422041</v>
      </c>
      <c r="N1652" s="472"/>
      <c r="O1652" s="455"/>
      <c r="P1652" s="455"/>
      <c r="Q1652" s="478"/>
    </row>
    <row r="1653" spans="1:18">
      <c r="A1653" s="454"/>
      <c r="B1653" s="454" t="str" cm="1">
        <f t="array" ref="B1653:B1664">'Rate List - Flats'!B48:B59</f>
        <v>Flooring</v>
      </c>
      <c r="C1653" s="456"/>
      <c r="D1653" s="456"/>
      <c r="E1653" s="456">
        <f>C1652</f>
        <v>10.63</v>
      </c>
      <c r="F1653" s="456"/>
      <c r="G1653" s="456">
        <f t="shared" si="283"/>
        <v>10.63</v>
      </c>
      <c r="H1653" s="456" t="str" cm="1">
        <f t="array" ref="H1653:H1664">'Rate List - Flats'!H48:H59</f>
        <v>Sq M</v>
      </c>
      <c r="I1653" s="456" t="str" cm="1">
        <f t="array" ref="I1653:I1664">'Rate List - Flats'!C48:C59</f>
        <v>2'x2' Vitrified tiles</v>
      </c>
      <c r="J1653" s="456" cm="1">
        <f t="array" ref="J1653:J1664">'Rate List - Flats'!E48:E59</f>
        <v>45</v>
      </c>
      <c r="K1653" s="456" cm="1">
        <f t="array" ref="K1653:K1664">'Rate List - Flats'!G48:G59</f>
        <v>1340.1179999999999</v>
      </c>
      <c r="L1653" s="456">
        <f t="shared" si="284"/>
        <v>14245.45434</v>
      </c>
      <c r="O1653" s="455">
        <f t="shared" ref="O1653:O1664" si="291">IF(I1653="N.A",0,G1653*$N$1612)</f>
        <v>297.64000000000004</v>
      </c>
      <c r="P1653" s="455">
        <f t="shared" ref="P1653:P1664" si="292">L1653*$N$1612</f>
        <v>398872.72152000002</v>
      </c>
      <c r="R1653" s="480" t="s">
        <v>659</v>
      </c>
    </row>
    <row r="1654" spans="1:18">
      <c r="A1654" s="454"/>
      <c r="B1654" s="454" t="str">
        <v>Skirting</v>
      </c>
      <c r="C1654" s="456"/>
      <c r="D1654" s="456"/>
      <c r="E1654" s="456">
        <f>D1652</f>
        <v>13.55</v>
      </c>
      <c r="F1654" s="456">
        <f>-(Doors!F117+Doors!F118)</f>
        <v>-1.65</v>
      </c>
      <c r="G1654" s="456">
        <f t="shared" si="283"/>
        <v>11.9</v>
      </c>
      <c r="H1654" s="456" t="str">
        <v>RM</v>
      </c>
      <c r="I1654" s="456" t="str">
        <v xml:space="preserve">2'x2' Vitrified tiles </v>
      </c>
      <c r="J1654" s="456">
        <v>45</v>
      </c>
      <c r="K1654" s="456">
        <v>391.96</v>
      </c>
      <c r="L1654" s="456">
        <f t="shared" si="284"/>
        <v>4664.3239999999996</v>
      </c>
      <c r="O1654" s="455">
        <f t="shared" si="291"/>
        <v>333.2</v>
      </c>
      <c r="P1654" s="455">
        <f t="shared" si="292"/>
        <v>130601.07199999999</v>
      </c>
      <c r="R1654" s="480" t="s">
        <v>660</v>
      </c>
    </row>
    <row r="1655" spans="1:18">
      <c r="A1655" s="454"/>
      <c r="B1655" s="454" t="str">
        <v>Dado</v>
      </c>
      <c r="C1655" s="456"/>
      <c r="D1655" s="456"/>
      <c r="E1655" s="456"/>
      <c r="F1655" s="456"/>
      <c r="G1655" s="456">
        <f t="shared" si="283"/>
        <v>0</v>
      </c>
      <c r="H1655" s="456" t="str">
        <v>Sq M</v>
      </c>
      <c r="I1655" s="456" t="str">
        <v>N.A.</v>
      </c>
      <c r="J1655" s="456">
        <v>0</v>
      </c>
      <c r="K1655" s="456">
        <v>0</v>
      </c>
      <c r="L1655" s="456">
        <f t="shared" si="284"/>
        <v>0</v>
      </c>
      <c r="O1655" s="455">
        <f t="shared" si="291"/>
        <v>0</v>
      </c>
      <c r="P1655" s="455">
        <f t="shared" si="292"/>
        <v>0</v>
      </c>
      <c r="R1655" s="480"/>
    </row>
    <row r="1656" spans="1:18">
      <c r="A1656" s="454"/>
      <c r="B1656" s="454" t="str">
        <v>Wall finishes plaster</v>
      </c>
      <c r="C1656" s="456"/>
      <c r="D1656" s="456"/>
      <c r="E1656" s="456">
        <f>D1652*(D1-0.15)</f>
        <v>39.972500000000004</v>
      </c>
      <c r="F1656" s="456">
        <f>-(Doors!H117+Windows!H142)</f>
        <v>-8.4474999999999998</v>
      </c>
      <c r="G1656" s="456">
        <f t="shared" si="283"/>
        <v>31.525000000000006</v>
      </c>
      <c r="H1656" s="456" t="str">
        <v>Sq M</v>
      </c>
      <c r="I1656" s="456" t="str">
        <v>Gypsum Plaster</v>
      </c>
      <c r="J1656" s="456">
        <v>32</v>
      </c>
      <c r="K1656" s="456">
        <v>344.44799999999998</v>
      </c>
      <c r="L1656" s="456">
        <f t="shared" si="284"/>
        <v>10858.723200000002</v>
      </c>
      <c r="O1656" s="455">
        <f t="shared" si="291"/>
        <v>882.70000000000016</v>
      </c>
      <c r="P1656" s="455">
        <f t="shared" si="292"/>
        <v>304044.24960000004</v>
      </c>
      <c r="R1656" s="480" t="s">
        <v>661</v>
      </c>
    </row>
    <row r="1657" spans="1:18">
      <c r="A1657" s="454"/>
      <c r="B1657" s="454" t="str">
        <v>Ceiling plaster</v>
      </c>
      <c r="C1657" s="456"/>
      <c r="D1657" s="456"/>
      <c r="E1657" s="456">
        <f>E1653</f>
        <v>10.63</v>
      </c>
      <c r="F1657" s="456"/>
      <c r="G1657" s="456">
        <f t="shared" si="283"/>
        <v>10.63</v>
      </c>
      <c r="H1657" s="456" t="str">
        <v>Sq M</v>
      </c>
      <c r="I1657" s="456" t="str">
        <v>Gypsum Plaster</v>
      </c>
      <c r="J1657" s="456">
        <v>32</v>
      </c>
      <c r="K1657" s="456">
        <v>344.44799999999998</v>
      </c>
      <c r="L1657" s="456">
        <f t="shared" si="284"/>
        <v>3661.4822399999998</v>
      </c>
      <c r="O1657" s="455">
        <f t="shared" si="291"/>
        <v>297.64000000000004</v>
      </c>
      <c r="P1657" s="455">
        <f t="shared" si="292"/>
        <v>102521.50271999999</v>
      </c>
      <c r="R1657" s="480" t="s">
        <v>662</v>
      </c>
    </row>
    <row r="1658" spans="1:18">
      <c r="A1658" s="454"/>
      <c r="B1658" s="454" t="str">
        <v>False ceiling</v>
      </c>
      <c r="C1658" s="456"/>
      <c r="D1658" s="456"/>
      <c r="E1658" s="456"/>
      <c r="F1658" s="456"/>
      <c r="G1658" s="456">
        <f t="shared" si="283"/>
        <v>0</v>
      </c>
      <c r="H1658" s="456" t="str">
        <v>Sq M</v>
      </c>
      <c r="I1658" s="456" t="str">
        <v>N.A.</v>
      </c>
      <c r="J1658" s="456">
        <v>0</v>
      </c>
      <c r="K1658" s="456">
        <v>0</v>
      </c>
      <c r="L1658" s="456">
        <f t="shared" si="284"/>
        <v>0</v>
      </c>
      <c r="O1658" s="455">
        <f t="shared" si="291"/>
        <v>0</v>
      </c>
      <c r="P1658" s="455">
        <f t="shared" si="292"/>
        <v>0</v>
      </c>
      <c r="R1658" s="480"/>
    </row>
    <row r="1659" spans="1:18">
      <c r="A1659" s="454"/>
      <c r="B1659" s="454" t="str">
        <v>Wall finishes Paint</v>
      </c>
      <c r="C1659" s="456"/>
      <c r="D1659" s="456"/>
      <c r="E1659" s="456">
        <f>E1656</f>
        <v>39.972500000000004</v>
      </c>
      <c r="F1659" s="456">
        <f>F1656</f>
        <v>-8.4474999999999998</v>
      </c>
      <c r="G1659" s="456">
        <f t="shared" si="283"/>
        <v>31.525000000000006</v>
      </c>
      <c r="H1659" s="456" t="str">
        <v>Sq M</v>
      </c>
      <c r="I1659" s="456" t="str">
        <v>Plastic paint</v>
      </c>
      <c r="J1659" s="456">
        <v>20</v>
      </c>
      <c r="K1659" s="456">
        <v>215.27999999999997</v>
      </c>
      <c r="L1659" s="456">
        <f t="shared" si="284"/>
        <v>6786.7020000000002</v>
      </c>
      <c r="O1659" s="455">
        <f t="shared" si="291"/>
        <v>882.70000000000016</v>
      </c>
      <c r="P1659" s="455">
        <f t="shared" si="292"/>
        <v>190027.65600000002</v>
      </c>
      <c r="R1659" s="480" t="s">
        <v>663</v>
      </c>
    </row>
    <row r="1660" spans="1:18">
      <c r="A1660" s="454"/>
      <c r="B1660" s="454" t="str">
        <v>Ceiling Paint</v>
      </c>
      <c r="C1660" s="456"/>
      <c r="D1660" s="456"/>
      <c r="E1660" s="456">
        <f>E1657</f>
        <v>10.63</v>
      </c>
      <c r="F1660" s="456"/>
      <c r="G1660" s="456">
        <f t="shared" si="283"/>
        <v>10.63</v>
      </c>
      <c r="H1660" s="456" t="str">
        <v>Sq M</v>
      </c>
      <c r="I1660" s="456" t="str">
        <v>Plastic paint</v>
      </c>
      <c r="J1660" s="456">
        <v>20</v>
      </c>
      <c r="K1660" s="456">
        <v>215.27999999999997</v>
      </c>
      <c r="L1660" s="456">
        <f t="shared" si="284"/>
        <v>2288.4263999999998</v>
      </c>
      <c r="O1660" s="455">
        <f t="shared" si="291"/>
        <v>297.64000000000004</v>
      </c>
      <c r="P1660" s="455">
        <f t="shared" si="292"/>
        <v>64075.939199999993</v>
      </c>
      <c r="R1660" s="480" t="s">
        <v>664</v>
      </c>
    </row>
    <row r="1661" spans="1:18">
      <c r="A1661" s="454"/>
      <c r="B1661" s="454" t="str">
        <v>Door Frames</v>
      </c>
      <c r="C1661" s="456"/>
      <c r="D1661" s="456"/>
      <c r="E1661" s="456"/>
      <c r="F1661" s="456"/>
      <c r="G1661" s="456">
        <f t="shared" si="283"/>
        <v>0</v>
      </c>
      <c r="H1661" s="456" t="str">
        <v>RM</v>
      </c>
      <c r="I1661" s="456" t="str">
        <v>N.A.</v>
      </c>
      <c r="J1661" s="456">
        <v>0</v>
      </c>
      <c r="K1661" s="456">
        <v>0</v>
      </c>
      <c r="L1661" s="456">
        <f t="shared" si="284"/>
        <v>0</v>
      </c>
      <c r="O1661" s="455">
        <f t="shared" si="291"/>
        <v>0</v>
      </c>
      <c r="P1661" s="455">
        <f t="shared" si="292"/>
        <v>0</v>
      </c>
      <c r="R1661" s="480"/>
    </row>
    <row r="1662" spans="1:18">
      <c r="A1662" s="454"/>
      <c r="B1662" s="454" t="str">
        <v>Window Frames - Internal</v>
      </c>
      <c r="C1662" s="456"/>
      <c r="D1662" s="456"/>
      <c r="E1662" s="456">
        <f>Windows!F142*2+Windows!G142*2</f>
        <v>10.399999999999999</v>
      </c>
      <c r="F1662" s="456"/>
      <c r="G1662" s="456">
        <f t="shared" si="283"/>
        <v>10.399999999999999</v>
      </c>
      <c r="H1662" s="456" t="str">
        <v>RM</v>
      </c>
      <c r="I1662" s="456" t="str">
        <v>Granite Window Frame</v>
      </c>
      <c r="J1662" s="456">
        <v>180</v>
      </c>
      <c r="K1662" s="456">
        <v>655.92719999999997</v>
      </c>
      <c r="L1662" s="456">
        <f t="shared" si="284"/>
        <v>6821.6428799999985</v>
      </c>
      <c r="O1662" s="455">
        <f t="shared" si="291"/>
        <v>291.19999999999993</v>
      </c>
      <c r="P1662" s="455">
        <f t="shared" si="292"/>
        <v>191006.00063999995</v>
      </c>
      <c r="R1662" s="480" t="s">
        <v>743</v>
      </c>
    </row>
    <row r="1663" spans="1:18">
      <c r="A1663" s="454"/>
      <c r="B1663" s="454" t="str">
        <v>Window Frames - External</v>
      </c>
      <c r="C1663" s="456"/>
      <c r="D1663" s="456"/>
      <c r="E1663" s="456">
        <f>E1662</f>
        <v>10.399999999999999</v>
      </c>
      <c r="F1663" s="456"/>
      <c r="G1663" s="456">
        <f t="shared" si="283"/>
        <v>10.399999999999999</v>
      </c>
      <c r="H1663" s="456" t="str">
        <v>RM</v>
      </c>
      <c r="I1663" s="456" t="str">
        <v>Marble Window Frames with Sill</v>
      </c>
      <c r="J1663" s="456">
        <v>60</v>
      </c>
      <c r="K1663" s="456">
        <v>399.04239999999999</v>
      </c>
      <c r="L1663" s="456">
        <f t="shared" si="284"/>
        <v>4150.0409599999994</v>
      </c>
      <c r="O1663" s="455">
        <f t="shared" si="291"/>
        <v>291.19999999999993</v>
      </c>
      <c r="P1663" s="455">
        <f t="shared" si="292"/>
        <v>116201.14687999999</v>
      </c>
      <c r="R1663" s="480" t="s">
        <v>409</v>
      </c>
    </row>
    <row r="1664" spans="1:18">
      <c r="A1664" s="454"/>
      <c r="B1664" s="454" t="str">
        <v>Others</v>
      </c>
      <c r="C1664" s="456"/>
      <c r="D1664" s="456"/>
      <c r="E1664" s="456"/>
      <c r="F1664" s="456"/>
      <c r="G1664" s="456">
        <f t="shared" si="283"/>
        <v>0</v>
      </c>
      <c r="H1664" s="456" t="str">
        <v>-</v>
      </c>
      <c r="I1664" s="456" t="str">
        <v>N.A.</v>
      </c>
      <c r="J1664" s="456">
        <v>0</v>
      </c>
      <c r="K1664" s="456">
        <v>0</v>
      </c>
      <c r="L1664" s="456">
        <f t="shared" si="284"/>
        <v>0</v>
      </c>
      <c r="O1664" s="455">
        <f t="shared" si="291"/>
        <v>0</v>
      </c>
      <c r="P1664" s="455">
        <f t="shared" si="292"/>
        <v>0</v>
      </c>
    </row>
    <row r="1665" spans="1:18" s="479" customFormat="1" ht="13.5" customHeight="1">
      <c r="A1665" s="475" t="s">
        <v>628</v>
      </c>
      <c r="B1665" s="476" t="str">
        <f>'Flat Sizes'!B138</f>
        <v>C. Toilet</v>
      </c>
      <c r="C1665" s="477">
        <f>'Flat Sizes'!D138</f>
        <v>3.47</v>
      </c>
      <c r="D1665" s="477">
        <f>'Flat Sizes'!G138</f>
        <v>7.94</v>
      </c>
      <c r="E1665" s="477"/>
      <c r="F1665" s="454"/>
      <c r="G1665" s="477"/>
      <c r="H1665" s="477"/>
      <c r="I1665" s="477"/>
      <c r="J1665" s="477"/>
      <c r="K1665" s="477"/>
      <c r="L1665" s="477"/>
      <c r="M1665" s="459">
        <f>SUM(L1666:L1677)/C1665/10.764</f>
        <v>1328.5237896735516</v>
      </c>
      <c r="N1665" s="472"/>
      <c r="O1665" s="455"/>
      <c r="P1665" s="455"/>
      <c r="Q1665" s="478"/>
    </row>
    <row r="1666" spans="1:18">
      <c r="A1666" s="454"/>
      <c r="B1666" s="454" t="str" cm="1">
        <f t="array" ref="B1666:B1677">'Rate List - Flats'!B76:B87</f>
        <v>Flooring</v>
      </c>
      <c r="C1666" s="456"/>
      <c r="D1666" s="456"/>
      <c r="E1666" s="456">
        <f>C1665</f>
        <v>3.47</v>
      </c>
      <c r="F1666" s="456"/>
      <c r="G1666" s="456">
        <f t="shared" si="283"/>
        <v>3.47</v>
      </c>
      <c r="H1666" s="456" t="str" cm="1">
        <f t="array" ref="H1666:H1677">'Rate List - Flats'!H76:H87</f>
        <v>Sq M</v>
      </c>
      <c r="I1666" s="456" t="str" cm="1">
        <f t="array" ref="I1666:I1677">'Rate List - Flats'!C76:C87</f>
        <v>ceramic tiles/vitrified anti-skid tiles</v>
      </c>
      <c r="J1666" s="456" cm="1">
        <f t="array" ref="J1666:J1677">'Rate List - Flats'!E76:E87</f>
        <v>50</v>
      </c>
      <c r="K1666" s="456" cm="1">
        <f t="array" ref="K1666:K1677">'Rate List - Flats'!G76:G87</f>
        <v>1399.32</v>
      </c>
      <c r="L1666" s="456">
        <f t="shared" si="284"/>
        <v>4855.6404000000002</v>
      </c>
      <c r="O1666" s="455">
        <f t="shared" ref="O1666:O1677" si="293">IF(I1666="N.A",0,G1666*$N$1612)</f>
        <v>97.160000000000011</v>
      </c>
      <c r="P1666" s="455">
        <f t="shared" ref="P1666:P1677" si="294">L1666*$N$1612</f>
        <v>135957.93119999999</v>
      </c>
      <c r="R1666" s="480" t="s">
        <v>667</v>
      </c>
    </row>
    <row r="1667" spans="1:18">
      <c r="A1667" s="454"/>
      <c r="B1667" s="454" t="str">
        <v>Skirting</v>
      </c>
      <c r="C1667" s="456"/>
      <c r="D1667" s="456"/>
      <c r="E1667" s="456"/>
      <c r="F1667" s="456"/>
      <c r="G1667" s="456">
        <f t="shared" si="283"/>
        <v>0</v>
      </c>
      <c r="H1667" s="456" t="str">
        <v xml:space="preserve">RM </v>
      </c>
      <c r="I1667" s="456" t="str">
        <v>N.A.</v>
      </c>
      <c r="J1667" s="456">
        <v>0</v>
      </c>
      <c r="K1667" s="456">
        <v>0</v>
      </c>
      <c r="L1667" s="456">
        <f t="shared" si="284"/>
        <v>0</v>
      </c>
      <c r="O1667" s="455">
        <f t="shared" si="293"/>
        <v>0</v>
      </c>
      <c r="P1667" s="455">
        <f t="shared" si="294"/>
        <v>0</v>
      </c>
      <c r="R1667" s="480"/>
    </row>
    <row r="1668" spans="1:18">
      <c r="A1668" s="454"/>
      <c r="B1668" s="454" t="str">
        <v>Dado</v>
      </c>
      <c r="C1668" s="456"/>
      <c r="D1668" s="456">
        <f>D1-0.7</f>
        <v>2.4000000000000004</v>
      </c>
      <c r="E1668" s="456">
        <f>D1665*D1668</f>
        <v>19.056000000000004</v>
      </c>
      <c r="F1668" s="456">
        <f>-(Doors!H118+Windows!H143)</f>
        <v>-2.0250000000000004</v>
      </c>
      <c r="G1668" s="456">
        <f t="shared" si="283"/>
        <v>17.031000000000006</v>
      </c>
      <c r="H1668" s="456" t="str">
        <v>Sq M</v>
      </c>
      <c r="I1668" s="456" t="str">
        <v>Vitrified tiles</v>
      </c>
      <c r="J1668" s="456">
        <v>50</v>
      </c>
      <c r="K1668" s="456">
        <v>1480.05</v>
      </c>
      <c r="L1668" s="456">
        <f t="shared" si="284"/>
        <v>25206.731550000008</v>
      </c>
      <c r="O1668" s="455">
        <f t="shared" si="293"/>
        <v>476.86800000000017</v>
      </c>
      <c r="P1668" s="455">
        <f t="shared" si="294"/>
        <v>705788.48340000026</v>
      </c>
      <c r="R1668" s="480" t="s">
        <v>668</v>
      </c>
    </row>
    <row r="1669" spans="1:18">
      <c r="A1669" s="454"/>
      <c r="B1669" s="454" t="str">
        <v>Wall finishes plaster</v>
      </c>
      <c r="C1669" s="456"/>
      <c r="D1669" s="456">
        <f>D1-D1668</f>
        <v>0.69999999999999973</v>
      </c>
      <c r="E1669" s="456">
        <f>D1*D1669</f>
        <v>2.169999999999999</v>
      </c>
      <c r="F1669" s="456"/>
      <c r="G1669" s="456">
        <f t="shared" si="283"/>
        <v>2.169999999999999</v>
      </c>
      <c r="H1669" s="456" t="str">
        <v>Sq M</v>
      </c>
      <c r="I1669" s="456" t="str">
        <v>Gypsum Plaster</v>
      </c>
      <c r="J1669" s="456">
        <v>32</v>
      </c>
      <c r="K1669" s="456">
        <v>344.44799999999998</v>
      </c>
      <c r="L1669" s="456">
        <f t="shared" si="284"/>
        <v>747.45215999999959</v>
      </c>
      <c r="O1669" s="455">
        <f t="shared" si="293"/>
        <v>60.759999999999977</v>
      </c>
      <c r="P1669" s="455">
        <f t="shared" si="294"/>
        <v>20928.660479999988</v>
      </c>
      <c r="R1669" s="480" t="s">
        <v>661</v>
      </c>
    </row>
    <row r="1670" spans="1:18">
      <c r="A1670" s="454"/>
      <c r="B1670" s="454" t="str">
        <v>Ceiling plaster</v>
      </c>
      <c r="C1670" s="456"/>
      <c r="D1670" s="456"/>
      <c r="E1670" s="456">
        <f>E1666</f>
        <v>3.47</v>
      </c>
      <c r="F1670" s="456"/>
      <c r="G1670" s="456">
        <f t="shared" si="283"/>
        <v>3.47</v>
      </c>
      <c r="H1670" s="456" t="str">
        <v>Sq M</v>
      </c>
      <c r="I1670" s="456" t="str">
        <v>Gypsum Plaster</v>
      </c>
      <c r="J1670" s="456">
        <v>32</v>
      </c>
      <c r="K1670" s="456">
        <v>344.44799999999998</v>
      </c>
      <c r="L1670" s="456">
        <f t="shared" si="284"/>
        <v>1195.2345600000001</v>
      </c>
      <c r="O1670" s="455">
        <f t="shared" si="293"/>
        <v>97.160000000000011</v>
      </c>
      <c r="P1670" s="455">
        <f t="shared" si="294"/>
        <v>33466.56768</v>
      </c>
      <c r="R1670" s="480" t="s">
        <v>662</v>
      </c>
    </row>
    <row r="1671" spans="1:18">
      <c r="A1671" s="454"/>
      <c r="B1671" s="454" t="str">
        <v>False ceiling</v>
      </c>
      <c r="C1671" s="456"/>
      <c r="D1671" s="456"/>
      <c r="E1671" s="456"/>
      <c r="F1671" s="456"/>
      <c r="G1671" s="456">
        <f t="shared" si="283"/>
        <v>0</v>
      </c>
      <c r="H1671" s="456" t="str">
        <v>Sq M</v>
      </c>
      <c r="I1671" s="456" t="str">
        <v>N.A.</v>
      </c>
      <c r="J1671" s="456">
        <v>0</v>
      </c>
      <c r="K1671" s="456">
        <v>0</v>
      </c>
      <c r="L1671" s="456">
        <f t="shared" si="284"/>
        <v>0</v>
      </c>
      <c r="O1671" s="455">
        <f t="shared" si="293"/>
        <v>0</v>
      </c>
      <c r="P1671" s="455">
        <f t="shared" si="294"/>
        <v>0</v>
      </c>
      <c r="R1671" s="480"/>
    </row>
    <row r="1672" spans="1:18">
      <c r="A1672" s="454"/>
      <c r="B1672" s="454" t="str">
        <v>Wall finishes Paint</v>
      </c>
      <c r="C1672" s="456"/>
      <c r="D1672" s="456"/>
      <c r="E1672" s="456">
        <f>E1669</f>
        <v>2.169999999999999</v>
      </c>
      <c r="F1672" s="456"/>
      <c r="G1672" s="456">
        <f t="shared" si="283"/>
        <v>2.169999999999999</v>
      </c>
      <c r="H1672" s="456" t="str">
        <v>Sq M</v>
      </c>
      <c r="I1672" s="456" t="str">
        <v>Plastic paint</v>
      </c>
      <c r="J1672" s="456">
        <v>20</v>
      </c>
      <c r="K1672" s="456">
        <v>215.27999999999997</v>
      </c>
      <c r="L1672" s="456">
        <f t="shared" si="284"/>
        <v>467.15759999999972</v>
      </c>
      <c r="O1672" s="455">
        <f t="shared" si="293"/>
        <v>60.759999999999977</v>
      </c>
      <c r="P1672" s="455">
        <f t="shared" si="294"/>
        <v>13080.412799999993</v>
      </c>
      <c r="R1672" s="480" t="s">
        <v>663</v>
      </c>
    </row>
    <row r="1673" spans="1:18">
      <c r="A1673" s="454"/>
      <c r="B1673" s="454" t="str">
        <v>Ceiling Paint</v>
      </c>
      <c r="C1673" s="456"/>
      <c r="D1673" s="456"/>
      <c r="E1673" s="456">
        <f>E1670</f>
        <v>3.47</v>
      </c>
      <c r="F1673" s="456"/>
      <c r="G1673" s="456">
        <f t="shared" si="283"/>
        <v>3.47</v>
      </c>
      <c r="H1673" s="456" t="str">
        <v>Sq M</v>
      </c>
      <c r="I1673" s="456" t="str">
        <v>Plastic paint</v>
      </c>
      <c r="J1673" s="456">
        <v>20</v>
      </c>
      <c r="K1673" s="456">
        <v>215.27999999999997</v>
      </c>
      <c r="L1673" s="456">
        <f t="shared" si="284"/>
        <v>747.02159999999992</v>
      </c>
      <c r="O1673" s="455">
        <f t="shared" si="293"/>
        <v>97.160000000000011</v>
      </c>
      <c r="P1673" s="455">
        <f t="shared" si="294"/>
        <v>20916.604799999997</v>
      </c>
      <c r="R1673" s="480" t="s">
        <v>664</v>
      </c>
    </row>
    <row r="1674" spans="1:18">
      <c r="A1674" s="454"/>
      <c r="B1674" s="454" t="str">
        <v>Door Frames</v>
      </c>
      <c r="C1674" s="456"/>
      <c r="D1674" s="456"/>
      <c r="E1674" s="456">
        <f>Doors!F118*4+Doors!G118*4</f>
        <v>11.4</v>
      </c>
      <c r="F1674" s="456"/>
      <c r="G1674" s="456">
        <f t="shared" si="283"/>
        <v>11.4</v>
      </c>
      <c r="H1674" s="456" t="str">
        <v>RM</v>
      </c>
      <c r="I1674" s="456" t="str">
        <v>Granite Frames</v>
      </c>
      <c r="J1674" s="456">
        <v>180</v>
      </c>
      <c r="K1674" s="456">
        <v>655.92719999999997</v>
      </c>
      <c r="L1674" s="456">
        <f t="shared" si="284"/>
        <v>7477.5700799999995</v>
      </c>
      <c r="O1674" s="455">
        <f t="shared" si="293"/>
        <v>319.2</v>
      </c>
      <c r="P1674" s="455">
        <f t="shared" si="294"/>
        <v>209371.96223999999</v>
      </c>
      <c r="R1674" s="480" t="s">
        <v>669</v>
      </c>
    </row>
    <row r="1675" spans="1:18">
      <c r="A1675" s="454"/>
      <c r="B1675" s="454" t="str">
        <v>Window Frames - Internal</v>
      </c>
      <c r="C1675" s="456"/>
      <c r="D1675" s="456"/>
      <c r="E1675" s="456">
        <f>Windows!F144*2+Windows!G144*2</f>
        <v>6.3</v>
      </c>
      <c r="F1675" s="456"/>
      <c r="G1675" s="456">
        <f t="shared" si="283"/>
        <v>6.3</v>
      </c>
      <c r="H1675" s="456" t="str">
        <v>RM</v>
      </c>
      <c r="I1675" s="456" t="str">
        <v>Granite Window Frame</v>
      </c>
      <c r="J1675" s="456">
        <v>180</v>
      </c>
      <c r="K1675" s="456">
        <v>655.92719999999997</v>
      </c>
      <c r="L1675" s="456">
        <f t="shared" si="284"/>
        <v>4132.3413599999994</v>
      </c>
      <c r="O1675" s="455">
        <f t="shared" si="293"/>
        <v>176.4</v>
      </c>
      <c r="P1675" s="455">
        <f t="shared" si="294"/>
        <v>115705.55807999999</v>
      </c>
      <c r="R1675" s="480" t="s">
        <v>743</v>
      </c>
    </row>
    <row r="1676" spans="1:18">
      <c r="A1676" s="454"/>
      <c r="B1676" s="454" t="str">
        <v>Window Frames - External</v>
      </c>
      <c r="C1676" s="456"/>
      <c r="D1676" s="456"/>
      <c r="E1676" s="456">
        <f>E1675</f>
        <v>6.3</v>
      </c>
      <c r="F1676" s="456"/>
      <c r="G1676" s="456">
        <f t="shared" si="283"/>
        <v>6.3</v>
      </c>
      <c r="H1676" s="456" t="str">
        <v>RM</v>
      </c>
      <c r="I1676" s="456" t="str">
        <v>Marble Window Frames with Sill</v>
      </c>
      <c r="J1676" s="456">
        <v>60</v>
      </c>
      <c r="K1676" s="456">
        <v>399.04239999999999</v>
      </c>
      <c r="L1676" s="456">
        <f t="shared" si="284"/>
        <v>2513.9671199999998</v>
      </c>
      <c r="O1676" s="455">
        <f t="shared" si="293"/>
        <v>176.4</v>
      </c>
      <c r="P1676" s="455">
        <f t="shared" si="294"/>
        <v>70391.079359999989</v>
      </c>
      <c r="R1676" s="480" t="s">
        <v>409</v>
      </c>
    </row>
    <row r="1677" spans="1:18">
      <c r="A1677" s="454"/>
      <c r="B1677" s="454" t="str">
        <v>Others - Counter</v>
      </c>
      <c r="C1677" s="456"/>
      <c r="D1677" s="456"/>
      <c r="E1677" s="456">
        <f>0.6*0.6</f>
        <v>0.36</v>
      </c>
      <c r="F1677" s="456"/>
      <c r="G1677" s="456">
        <f t="shared" si="283"/>
        <v>0.36</v>
      </c>
      <c r="H1677" s="456" t="str">
        <v>Sq M</v>
      </c>
      <c r="I1677" s="456" t="str">
        <v>Basin Counter 1'6" - Granite Basin Counter</v>
      </c>
      <c r="J1677" s="456">
        <v>180</v>
      </c>
      <c r="K1677" s="456">
        <v>6329.6720000000005</v>
      </c>
      <c r="L1677" s="456">
        <f t="shared" si="284"/>
        <v>2278.68192</v>
      </c>
      <c r="O1677" s="455">
        <f t="shared" si="293"/>
        <v>10.08</v>
      </c>
      <c r="P1677" s="455">
        <f t="shared" si="294"/>
        <v>63803.093760000003</v>
      </c>
      <c r="R1677" s="480" t="s">
        <v>670</v>
      </c>
    </row>
    <row r="1678" spans="1:18" s="479" customFormat="1" ht="13.5" customHeight="1">
      <c r="A1678" s="475" t="s">
        <v>628</v>
      </c>
      <c r="B1678" s="476" t="str">
        <f>'Flat Sizes'!B139</f>
        <v>Kitchen</v>
      </c>
      <c r="C1678" s="477">
        <f>'Flat Sizes'!D139</f>
        <v>6.93</v>
      </c>
      <c r="D1678" s="477">
        <f>'Flat Sizes'!G139</f>
        <v>11.08</v>
      </c>
      <c r="E1678" s="477"/>
      <c r="F1678" s="454"/>
      <c r="G1678" s="477"/>
      <c r="H1678" s="477"/>
      <c r="I1678" s="477"/>
      <c r="J1678" s="477"/>
      <c r="K1678" s="477"/>
      <c r="L1678" s="477"/>
      <c r="M1678" s="459">
        <f>SUM(L1679:L1692)/C1678/10.764</f>
        <v>1233.9972278821556</v>
      </c>
      <c r="N1678" s="472"/>
      <c r="O1678" s="455"/>
      <c r="P1678" s="455"/>
      <c r="Q1678" s="478"/>
    </row>
    <row r="1679" spans="1:18">
      <c r="A1679" s="454"/>
      <c r="B1679" s="454" t="str" cm="1">
        <f t="array" ref="B1679:B1692">'Rate List - Flats'!B90:B103</f>
        <v>Flooring</v>
      </c>
      <c r="C1679" s="456"/>
      <c r="D1679" s="456"/>
      <c r="E1679" s="456">
        <f>C1678</f>
        <v>6.93</v>
      </c>
      <c r="F1679" s="456"/>
      <c r="G1679" s="456">
        <f t="shared" si="283"/>
        <v>6.93</v>
      </c>
      <c r="H1679" s="456" t="str" cm="1">
        <f t="array" ref="H1679:H1692">'Rate List - Flats'!H90:H103</f>
        <v>Sq M</v>
      </c>
      <c r="I1679" s="456" t="str" cm="1">
        <f t="array" ref="I1679:I1692">'Rate List - Flats'!C90:C103</f>
        <v>ceramic tiles/vitrified anti-skid tiles</v>
      </c>
      <c r="J1679" s="456" cm="1">
        <f t="array" ref="J1679:J1692">'Rate List - Flats'!E90:E103</f>
        <v>45</v>
      </c>
      <c r="K1679" s="456" cm="1">
        <f t="array" ref="K1679:K1692">'Rate List - Flats'!G90:G103</f>
        <v>1340.1179999999999</v>
      </c>
      <c r="L1679" s="456">
        <f t="shared" si="284"/>
        <v>9287.0177399999993</v>
      </c>
      <c r="O1679" s="455">
        <f t="shared" ref="O1679:O1692" si="295">IF(I1679="N.A",0,G1679*$N$1612)</f>
        <v>194.04</v>
      </c>
      <c r="P1679" s="455">
        <f t="shared" ref="P1679:P1692" si="296">L1679*$N$1612</f>
        <v>260036.49672</v>
      </c>
      <c r="R1679" s="458" t="s">
        <v>659</v>
      </c>
    </row>
    <row r="1680" spans="1:18">
      <c r="A1680" s="454"/>
      <c r="B1680" s="454" t="str">
        <v>Skirting</v>
      </c>
      <c r="C1680" s="456"/>
      <c r="D1680" s="456"/>
      <c r="E1680" s="456"/>
      <c r="F1680" s="456"/>
      <c r="G1680" s="456">
        <f t="shared" ref="G1680:G1712" si="297">E1680+F1680</f>
        <v>0</v>
      </c>
      <c r="H1680" s="456" t="str">
        <v xml:space="preserve">RM </v>
      </c>
      <c r="I1680" s="456" t="str">
        <v>N.A.</v>
      </c>
      <c r="J1680" s="456">
        <v>0</v>
      </c>
      <c r="K1680" s="456">
        <v>0</v>
      </c>
      <c r="L1680" s="456">
        <f t="shared" ref="L1680:L1712" si="298">G1680*K1680</f>
        <v>0</v>
      </c>
      <c r="O1680" s="455">
        <f t="shared" si="295"/>
        <v>0</v>
      </c>
      <c r="P1680" s="455">
        <f t="shared" si="296"/>
        <v>0</v>
      </c>
      <c r="R1680" s="458" t="s">
        <v>660</v>
      </c>
    </row>
    <row r="1681" spans="1:18">
      <c r="A1681" s="454"/>
      <c r="B1681" s="454" t="str">
        <v>Dado</v>
      </c>
      <c r="C1681" s="456"/>
      <c r="D1681" s="456">
        <f>D1-0.9-0.7</f>
        <v>1.5000000000000002</v>
      </c>
      <c r="E1681" s="456">
        <f>D1681*(E1691+E1692)</f>
        <v>9.2100000000000026</v>
      </c>
      <c r="F1681" s="456"/>
      <c r="G1681" s="456">
        <f t="shared" si="297"/>
        <v>9.2100000000000026</v>
      </c>
      <c r="H1681" s="456" t="str">
        <v>Sq M</v>
      </c>
      <c r="I1681" s="456" t="str">
        <v>Vitrified tiles</v>
      </c>
      <c r="J1681" s="456">
        <v>45</v>
      </c>
      <c r="K1681" s="456">
        <v>1393.9379999999999</v>
      </c>
      <c r="L1681" s="456">
        <f t="shared" si="298"/>
        <v>12838.168980000002</v>
      </c>
      <c r="O1681" s="455">
        <f t="shared" si="295"/>
        <v>257.88000000000005</v>
      </c>
      <c r="P1681" s="455">
        <f t="shared" si="296"/>
        <v>359468.73144000006</v>
      </c>
      <c r="R1681" s="458" t="s">
        <v>665</v>
      </c>
    </row>
    <row r="1682" spans="1:18">
      <c r="A1682" s="454"/>
      <c r="B1682" s="454" t="str">
        <v>Dado Below Kitchen Platform</v>
      </c>
      <c r="C1682" s="456"/>
      <c r="D1682" s="456">
        <v>0.9</v>
      </c>
      <c r="E1682" s="456">
        <f>(E1691+E1692)*D1682</f>
        <v>5.5260000000000007</v>
      </c>
      <c r="F1682" s="456"/>
      <c r="G1682" s="456">
        <f t="shared" si="297"/>
        <v>5.5260000000000007</v>
      </c>
      <c r="H1682" s="456" t="str">
        <v>Sq M</v>
      </c>
      <c r="I1682" s="456" t="str">
        <v>dado under platform</v>
      </c>
      <c r="J1682" s="456">
        <v>23</v>
      </c>
      <c r="K1682" s="456">
        <v>1133.4491999999998</v>
      </c>
      <c r="L1682" s="456">
        <f t="shared" si="298"/>
        <v>6263.4402792000001</v>
      </c>
      <c r="O1682" s="455">
        <f t="shared" si="295"/>
        <v>154.72800000000001</v>
      </c>
      <c r="P1682" s="455">
        <f t="shared" si="296"/>
        <v>175376.32781759999</v>
      </c>
      <c r="R1682" s="458" t="s">
        <v>746</v>
      </c>
    </row>
    <row r="1683" spans="1:18">
      <c r="A1683" s="454"/>
      <c r="B1683" s="454" t="str">
        <v>Wall finishes plaster</v>
      </c>
      <c r="C1683" s="456"/>
      <c r="D1683" s="456">
        <f>D1-0.15</f>
        <v>2.95</v>
      </c>
      <c r="E1683" s="456">
        <f>(D1678*D1683)-(E1681+E1682)</f>
        <v>17.949999999999996</v>
      </c>
      <c r="F1683" s="456">
        <f>-(Doors!H119+Windows!H144)</f>
        <v>-4.04</v>
      </c>
      <c r="G1683" s="456">
        <f t="shared" si="297"/>
        <v>13.909999999999997</v>
      </c>
      <c r="H1683" s="456" t="str">
        <v>Sq M</v>
      </c>
      <c r="I1683" s="456" t="str">
        <v>Gypsum Plaster</v>
      </c>
      <c r="J1683" s="456">
        <v>32</v>
      </c>
      <c r="K1683" s="456">
        <v>376.73999999999995</v>
      </c>
      <c r="L1683" s="456">
        <f t="shared" si="298"/>
        <v>5240.4533999999976</v>
      </c>
      <c r="O1683" s="455">
        <f t="shared" si="295"/>
        <v>389.4799999999999</v>
      </c>
      <c r="P1683" s="455">
        <f t="shared" si="296"/>
        <v>146732.69519999993</v>
      </c>
      <c r="R1683" s="458" t="s">
        <v>661</v>
      </c>
    </row>
    <row r="1684" spans="1:18">
      <c r="A1684" s="454"/>
      <c r="B1684" s="454" t="str">
        <v>Ceiling plaster</v>
      </c>
      <c r="C1684" s="456"/>
      <c r="D1684" s="456"/>
      <c r="E1684" s="456">
        <f>E1679</f>
        <v>6.93</v>
      </c>
      <c r="F1684" s="456"/>
      <c r="G1684" s="456">
        <f t="shared" si="297"/>
        <v>6.93</v>
      </c>
      <c r="H1684" s="456" t="str">
        <v>Sq M</v>
      </c>
      <c r="I1684" s="456" t="str">
        <v>Gypsum Plaster</v>
      </c>
      <c r="J1684" s="456">
        <v>32</v>
      </c>
      <c r="K1684" s="456">
        <v>344.44799999999998</v>
      </c>
      <c r="L1684" s="456">
        <f t="shared" si="298"/>
        <v>2387.0246399999996</v>
      </c>
      <c r="O1684" s="455">
        <f t="shared" si="295"/>
        <v>194.04</v>
      </c>
      <c r="P1684" s="455">
        <f t="shared" si="296"/>
        <v>66836.68991999999</v>
      </c>
      <c r="R1684" s="458" t="s">
        <v>662</v>
      </c>
    </row>
    <row r="1685" spans="1:18">
      <c r="A1685" s="454"/>
      <c r="B1685" s="454" t="str">
        <v>False ceiling</v>
      </c>
      <c r="C1685" s="456"/>
      <c r="D1685" s="456"/>
      <c r="E1685" s="456"/>
      <c r="F1685" s="456"/>
      <c r="G1685" s="456">
        <f t="shared" si="297"/>
        <v>0</v>
      </c>
      <c r="H1685" s="456" t="str">
        <v>Sq M</v>
      </c>
      <c r="I1685" s="456" t="str">
        <v>N.A.</v>
      </c>
      <c r="J1685" s="456">
        <v>0</v>
      </c>
      <c r="K1685" s="456">
        <v>0</v>
      </c>
      <c r="L1685" s="456">
        <f t="shared" si="298"/>
        <v>0</v>
      </c>
      <c r="O1685" s="455">
        <f t="shared" si="295"/>
        <v>0</v>
      </c>
      <c r="P1685" s="455">
        <f t="shared" si="296"/>
        <v>0</v>
      </c>
      <c r="R1685" s="458"/>
    </row>
    <row r="1686" spans="1:18">
      <c r="A1686" s="454"/>
      <c r="B1686" s="454" t="str">
        <v>Wall finishes Paint</v>
      </c>
      <c r="C1686" s="456"/>
      <c r="D1686" s="456"/>
      <c r="E1686" s="456">
        <f>E1683</f>
        <v>17.949999999999996</v>
      </c>
      <c r="F1686" s="456">
        <f>F1683</f>
        <v>-4.04</v>
      </c>
      <c r="G1686" s="456">
        <f t="shared" si="297"/>
        <v>13.909999999999997</v>
      </c>
      <c r="H1686" s="456" t="str">
        <v>Sq M</v>
      </c>
      <c r="I1686" s="456" t="str">
        <v>Plastic paint</v>
      </c>
      <c r="J1686" s="456">
        <v>20</v>
      </c>
      <c r="K1686" s="456">
        <v>215.27999999999997</v>
      </c>
      <c r="L1686" s="456">
        <f t="shared" si="298"/>
        <v>2994.5447999999988</v>
      </c>
      <c r="O1686" s="455">
        <f t="shared" si="295"/>
        <v>389.4799999999999</v>
      </c>
      <c r="P1686" s="455">
        <f t="shared" si="296"/>
        <v>83847.254399999962</v>
      </c>
      <c r="R1686" s="458" t="s">
        <v>663</v>
      </c>
    </row>
    <row r="1687" spans="1:18">
      <c r="A1687" s="454"/>
      <c r="B1687" s="454" t="str">
        <v>Ceiling Paint</v>
      </c>
      <c r="C1687" s="456"/>
      <c r="D1687" s="456"/>
      <c r="E1687" s="456">
        <f>E1684</f>
        <v>6.93</v>
      </c>
      <c r="F1687" s="456"/>
      <c r="G1687" s="456">
        <f t="shared" si="297"/>
        <v>6.93</v>
      </c>
      <c r="H1687" s="456" t="str">
        <v>Sq M</v>
      </c>
      <c r="I1687" s="456" t="str">
        <v>Plastic paint</v>
      </c>
      <c r="J1687" s="456">
        <v>20</v>
      </c>
      <c r="K1687" s="456">
        <v>215.27999999999997</v>
      </c>
      <c r="L1687" s="456">
        <f t="shared" si="298"/>
        <v>1491.8903999999998</v>
      </c>
      <c r="O1687" s="455">
        <f t="shared" si="295"/>
        <v>194.04</v>
      </c>
      <c r="P1687" s="455">
        <f t="shared" si="296"/>
        <v>41772.931199999992</v>
      </c>
      <c r="R1687" s="458" t="s">
        <v>664</v>
      </c>
    </row>
    <row r="1688" spans="1:18">
      <c r="A1688" s="454"/>
      <c r="B1688" s="454" t="str">
        <v>Door Frames</v>
      </c>
      <c r="C1688" s="456"/>
      <c r="D1688" s="456"/>
      <c r="E1688" s="456"/>
      <c r="F1688" s="456"/>
      <c r="G1688" s="456">
        <f t="shared" si="297"/>
        <v>0</v>
      </c>
      <c r="H1688" s="456" t="str">
        <v>Sq M</v>
      </c>
      <c r="I1688" s="456" t="str">
        <v>N.A.</v>
      </c>
      <c r="J1688" s="456">
        <v>0</v>
      </c>
      <c r="K1688" s="456">
        <v>0</v>
      </c>
      <c r="L1688" s="456">
        <f t="shared" si="298"/>
        <v>0</v>
      </c>
      <c r="O1688" s="455">
        <f t="shared" si="295"/>
        <v>0</v>
      </c>
      <c r="P1688" s="455">
        <f t="shared" si="296"/>
        <v>0</v>
      </c>
      <c r="R1688" s="458" t="s">
        <v>407</v>
      </c>
    </row>
    <row r="1689" spans="1:18">
      <c r="A1689" s="454"/>
      <c r="B1689" s="454" t="str">
        <v>Window Frames - Internal</v>
      </c>
      <c r="C1689" s="456"/>
      <c r="D1689" s="456"/>
      <c r="E1689" s="456">
        <f>Windows!F144*2+Windows!G144*2</f>
        <v>6.3</v>
      </c>
      <c r="F1689" s="456"/>
      <c r="G1689" s="456">
        <f t="shared" si="297"/>
        <v>6.3</v>
      </c>
      <c r="H1689" s="456" t="str">
        <v>RM</v>
      </c>
      <c r="I1689" s="456" t="str">
        <v>Granite Window Frame</v>
      </c>
      <c r="J1689" s="456">
        <v>180</v>
      </c>
      <c r="K1689" s="456">
        <v>655.92719999999997</v>
      </c>
      <c r="L1689" s="456">
        <f t="shared" si="298"/>
        <v>4132.3413599999994</v>
      </c>
      <c r="O1689" s="455">
        <f t="shared" si="295"/>
        <v>176.4</v>
      </c>
      <c r="P1689" s="455">
        <f t="shared" si="296"/>
        <v>115705.55807999999</v>
      </c>
      <c r="R1689" s="458" t="s">
        <v>408</v>
      </c>
    </row>
    <row r="1690" spans="1:18">
      <c r="A1690" s="454"/>
      <c r="B1690" s="454" t="str">
        <v>Window Frames - External</v>
      </c>
      <c r="C1690" s="456"/>
      <c r="D1690" s="456"/>
      <c r="E1690" s="456">
        <f>E1689</f>
        <v>6.3</v>
      </c>
      <c r="F1690" s="456"/>
      <c r="G1690" s="456">
        <f t="shared" si="297"/>
        <v>6.3</v>
      </c>
      <c r="H1690" s="456" t="str">
        <v>RM</v>
      </c>
      <c r="I1690" s="456" t="str">
        <v>Marble Window Frames with Sill</v>
      </c>
      <c r="J1690" s="456">
        <v>60</v>
      </c>
      <c r="K1690" s="456">
        <v>399.04239999999999</v>
      </c>
      <c r="L1690" s="456">
        <f t="shared" si="298"/>
        <v>2513.9671199999998</v>
      </c>
      <c r="O1690" s="455">
        <f t="shared" si="295"/>
        <v>176.4</v>
      </c>
      <c r="P1690" s="455">
        <f t="shared" si="296"/>
        <v>70391.079359999989</v>
      </c>
      <c r="R1690" s="458" t="s">
        <v>409</v>
      </c>
    </row>
    <row r="1691" spans="1:18">
      <c r="A1691" s="454"/>
      <c r="B1691" s="454" t="str">
        <v>Kitchen Platform</v>
      </c>
      <c r="C1691" s="456"/>
      <c r="D1691" s="456"/>
      <c r="E1691" s="456">
        <v>3.52</v>
      </c>
      <c r="F1691" s="456"/>
      <c r="G1691" s="456">
        <f t="shared" si="297"/>
        <v>3.52</v>
      </c>
      <c r="H1691" s="456" t="str">
        <v>RM</v>
      </c>
      <c r="I1691" s="456" t="str">
        <v>Kitchen 2' Granite Main Counter</v>
      </c>
      <c r="J1691" s="456">
        <v>180</v>
      </c>
      <c r="K1691" s="456">
        <v>7312.7984000000006</v>
      </c>
      <c r="L1691" s="456">
        <f t="shared" si="298"/>
        <v>25741.050368000004</v>
      </c>
      <c r="O1691" s="455">
        <f t="shared" si="295"/>
        <v>98.56</v>
      </c>
      <c r="P1691" s="455">
        <f t="shared" si="296"/>
        <v>720749.41030400014</v>
      </c>
      <c r="R1691" s="458" t="s">
        <v>747</v>
      </c>
    </row>
    <row r="1692" spans="1:18">
      <c r="A1692" s="454"/>
      <c r="B1692" s="454" t="str">
        <v>Service Platform</v>
      </c>
      <c r="C1692" s="456"/>
      <c r="D1692" s="456"/>
      <c r="E1692" s="456">
        <f>E1691-0.9</f>
        <v>2.62</v>
      </c>
      <c r="F1692" s="456"/>
      <c r="G1692" s="456">
        <f t="shared" si="297"/>
        <v>2.62</v>
      </c>
      <c r="H1692" s="456" t="str">
        <v>RM</v>
      </c>
      <c r="I1692" s="456" t="str">
        <v>Kitchen 1'6" Granite Main Counter</v>
      </c>
      <c r="J1692" s="456">
        <v>180</v>
      </c>
      <c r="K1692" s="456">
        <v>7312.7984000000006</v>
      </c>
      <c r="L1692" s="456">
        <f t="shared" si="298"/>
        <v>19159.531808000003</v>
      </c>
      <c r="O1692" s="455">
        <f t="shared" si="295"/>
        <v>73.36</v>
      </c>
      <c r="P1692" s="455">
        <f t="shared" si="296"/>
        <v>536466.89062400011</v>
      </c>
      <c r="R1692" s="458" t="s">
        <v>666</v>
      </c>
    </row>
    <row r="1693" spans="1:18" s="479" customFormat="1" ht="13.5" customHeight="1">
      <c r="A1693" s="475" t="s">
        <v>628</v>
      </c>
      <c r="B1693" s="476" t="str">
        <f>'Flat Sizes'!B140</f>
        <v>Utility</v>
      </c>
      <c r="C1693" s="477">
        <f>'Flat Sizes'!D140</f>
        <v>2.27</v>
      </c>
      <c r="D1693" s="477">
        <f>'Flat Sizes'!G140</f>
        <v>6.1</v>
      </c>
      <c r="E1693" s="477"/>
      <c r="F1693" s="454"/>
      <c r="G1693" s="477"/>
      <c r="H1693" s="477"/>
      <c r="I1693" s="477"/>
      <c r="J1693" s="477"/>
      <c r="K1693" s="477"/>
      <c r="L1693" s="477"/>
      <c r="M1693" s="459">
        <f>SUM(L1694:L1702)/C1693/10.764</f>
        <v>1206.7754327117477</v>
      </c>
      <c r="N1693" s="472"/>
      <c r="O1693" s="455"/>
      <c r="P1693" s="455"/>
      <c r="Q1693" s="478"/>
    </row>
    <row r="1694" spans="1:18">
      <c r="A1694" s="454"/>
      <c r="B1694" s="454" t="str" cm="1">
        <f t="array" ref="B1694:B1702">'Rate List - Flats'!B120:B128</f>
        <v>Flooring</v>
      </c>
      <c r="C1694" s="456"/>
      <c r="D1694" s="456"/>
      <c r="E1694" s="456">
        <f>C1693</f>
        <v>2.27</v>
      </c>
      <c r="F1694" s="456"/>
      <c r="G1694" s="456">
        <f t="shared" si="297"/>
        <v>2.27</v>
      </c>
      <c r="H1694" s="456" t="str" cm="1">
        <f t="array" ref="H1694:H1702">'Rate List - Flats'!H120:H128</f>
        <v>Sq M</v>
      </c>
      <c r="I1694" s="456" t="str" cm="1">
        <f t="array" ref="I1694:I1702">'Rate List - Flats'!C120:C128</f>
        <v>2'x2' Vitrified tiles</v>
      </c>
      <c r="J1694" s="456" cm="1">
        <f t="array" ref="J1694:J1702">'Rate List - Flats'!E120:E128</f>
        <v>45</v>
      </c>
      <c r="K1694" s="456" cm="1">
        <f t="array" ref="K1694:K1702">'Rate List - Flats'!G120:G128</f>
        <v>1340.1179999999999</v>
      </c>
      <c r="L1694" s="456">
        <f t="shared" si="298"/>
        <v>3042.0678600000001</v>
      </c>
      <c r="O1694" s="455">
        <f t="shared" ref="O1694:O1702" si="299">IF(I1694="N.A",0,G1694*$N$1612)</f>
        <v>63.56</v>
      </c>
      <c r="P1694" s="455">
        <f t="shared" ref="P1694:P1702" si="300">L1694*$N$1612</f>
        <v>85177.900080000007</v>
      </c>
      <c r="R1694" s="458" t="s">
        <v>748</v>
      </c>
    </row>
    <row r="1695" spans="1:18">
      <c r="A1695" s="454"/>
      <c r="B1695" s="454" t="str">
        <v>Skirting</v>
      </c>
      <c r="C1695" s="456"/>
      <c r="D1695" s="456"/>
      <c r="E1695" s="456">
        <f>D1693</f>
        <v>6.1</v>
      </c>
      <c r="F1695" s="456"/>
      <c r="G1695" s="456">
        <f t="shared" si="297"/>
        <v>6.1</v>
      </c>
      <c r="H1695" s="456" t="str">
        <v xml:space="preserve">RM </v>
      </c>
      <c r="I1695" s="456" t="str">
        <v xml:space="preserve">2'x2' Vitrified tiles </v>
      </c>
      <c r="J1695" s="456">
        <v>45</v>
      </c>
      <c r="K1695" s="456">
        <v>391.96</v>
      </c>
      <c r="L1695" s="456">
        <f t="shared" si="298"/>
        <v>2390.9559999999997</v>
      </c>
      <c r="O1695" s="455">
        <f t="shared" si="299"/>
        <v>170.79999999999998</v>
      </c>
      <c r="P1695" s="455">
        <f t="shared" si="300"/>
        <v>66946.767999999996</v>
      </c>
      <c r="R1695" s="458" t="s">
        <v>749</v>
      </c>
    </row>
    <row r="1696" spans="1:18">
      <c r="A1696" s="454"/>
      <c r="B1696" s="454" t="str">
        <v>Dado</v>
      </c>
      <c r="C1696" s="456"/>
      <c r="D1696" s="456"/>
      <c r="E1696" s="456"/>
      <c r="F1696" s="456"/>
      <c r="G1696" s="456">
        <f t="shared" si="297"/>
        <v>0</v>
      </c>
      <c r="H1696" s="456" t="str">
        <v>Sq M</v>
      </c>
      <c r="I1696" s="456" t="str">
        <v>N.A</v>
      </c>
      <c r="J1696" s="456">
        <v>0</v>
      </c>
      <c r="K1696" s="456">
        <v>0</v>
      </c>
      <c r="L1696" s="456">
        <f t="shared" si="298"/>
        <v>0</v>
      </c>
      <c r="O1696" s="455">
        <f t="shared" si="299"/>
        <v>0</v>
      </c>
      <c r="P1696" s="455">
        <f t="shared" si="300"/>
        <v>0</v>
      </c>
      <c r="R1696" s="458" t="s">
        <v>750</v>
      </c>
    </row>
    <row r="1697" spans="1:18">
      <c r="A1697" s="454"/>
      <c r="B1697" s="454" t="str">
        <v>Wall finishes plaster</v>
      </c>
      <c r="C1697" s="456"/>
      <c r="D1697" s="456"/>
      <c r="E1697" s="456">
        <f>D1693*(D1-0.15)</f>
        <v>17.995000000000001</v>
      </c>
      <c r="F1697" s="456">
        <f>-(Windows!K145*2.15)</f>
        <v>-2.15</v>
      </c>
      <c r="G1697" s="456">
        <f t="shared" si="297"/>
        <v>15.845000000000001</v>
      </c>
      <c r="H1697" s="456" t="str">
        <v>Sq M</v>
      </c>
      <c r="I1697" s="456" t="str">
        <v>External Plaster  - 15 mm</v>
      </c>
      <c r="J1697" s="456">
        <v>85</v>
      </c>
      <c r="K1697" s="456">
        <v>914.93999999999994</v>
      </c>
      <c r="L1697" s="456">
        <f t="shared" si="298"/>
        <v>14497.2243</v>
      </c>
      <c r="O1697" s="455">
        <f t="shared" si="299"/>
        <v>443.66</v>
      </c>
      <c r="P1697" s="455">
        <f t="shared" si="300"/>
        <v>405922.28039999999</v>
      </c>
      <c r="R1697" s="458" t="s">
        <v>751</v>
      </c>
    </row>
    <row r="1698" spans="1:18">
      <c r="A1698" s="454"/>
      <c r="B1698" s="454" t="str">
        <v>Ceiling plaster</v>
      </c>
      <c r="C1698" s="456"/>
      <c r="D1698" s="456"/>
      <c r="E1698" s="456">
        <f>E1694</f>
        <v>2.27</v>
      </c>
      <c r="F1698" s="456"/>
      <c r="G1698" s="456">
        <f t="shared" si="297"/>
        <v>2.27</v>
      </c>
      <c r="H1698" s="456" t="str">
        <v>Sq M</v>
      </c>
      <c r="I1698" s="456" t="str">
        <v>Gypsum Plaster</v>
      </c>
      <c r="J1698" s="456">
        <v>32</v>
      </c>
      <c r="K1698" s="456">
        <v>344.44799999999998</v>
      </c>
      <c r="L1698" s="456">
        <f t="shared" si="298"/>
        <v>781.89695999999992</v>
      </c>
      <c r="O1698" s="455">
        <f t="shared" si="299"/>
        <v>63.56</v>
      </c>
      <c r="P1698" s="455">
        <f t="shared" si="300"/>
        <v>21893.114879999997</v>
      </c>
      <c r="R1698" s="458" t="s">
        <v>662</v>
      </c>
    </row>
    <row r="1699" spans="1:18">
      <c r="A1699" s="454"/>
      <c r="B1699" s="454" t="str">
        <v>False ceiling</v>
      </c>
      <c r="C1699" s="456"/>
      <c r="D1699" s="456"/>
      <c r="E1699" s="456"/>
      <c r="F1699" s="456"/>
      <c r="G1699" s="456">
        <f t="shared" si="297"/>
        <v>0</v>
      </c>
      <c r="H1699" s="456" t="str">
        <v>Sq M</v>
      </c>
      <c r="I1699" s="456" t="str">
        <v>N.A.</v>
      </c>
      <c r="J1699" s="456">
        <v>0</v>
      </c>
      <c r="K1699" s="456">
        <v>0</v>
      </c>
      <c r="L1699" s="456">
        <f t="shared" si="298"/>
        <v>0</v>
      </c>
      <c r="O1699" s="455">
        <f t="shared" si="299"/>
        <v>0</v>
      </c>
      <c r="P1699" s="455">
        <f t="shared" si="300"/>
        <v>0</v>
      </c>
      <c r="R1699" s="458" t="s">
        <v>414</v>
      </c>
    </row>
    <row r="1700" spans="1:18">
      <c r="A1700" s="454"/>
      <c r="B1700" s="454" t="str">
        <v>Wall finishes Paint</v>
      </c>
      <c r="C1700" s="456"/>
      <c r="D1700" s="456"/>
      <c r="E1700" s="456">
        <f>E1697</f>
        <v>17.995000000000001</v>
      </c>
      <c r="F1700" s="456">
        <f>F1697</f>
        <v>-2.15</v>
      </c>
      <c r="G1700" s="456">
        <f t="shared" si="297"/>
        <v>15.845000000000001</v>
      </c>
      <c r="H1700" s="456" t="str">
        <v>Sq M</v>
      </c>
      <c r="I1700" s="456" t="str">
        <v>External Grade Paint</v>
      </c>
      <c r="J1700" s="456">
        <v>45</v>
      </c>
      <c r="K1700" s="456">
        <v>484.38</v>
      </c>
      <c r="L1700" s="456">
        <f t="shared" si="298"/>
        <v>7675.0011000000004</v>
      </c>
      <c r="O1700" s="455">
        <f t="shared" si="299"/>
        <v>443.66</v>
      </c>
      <c r="P1700" s="455">
        <f t="shared" si="300"/>
        <v>214900.03080000001</v>
      </c>
      <c r="R1700" s="458" t="s">
        <v>663</v>
      </c>
    </row>
    <row r="1701" spans="1:18">
      <c r="A1701" s="454"/>
      <c r="B1701" s="454" t="str">
        <v>Ceiling Paint</v>
      </c>
      <c r="C1701" s="456"/>
      <c r="D1701" s="456"/>
      <c r="E1701" s="456">
        <f>E1698</f>
        <v>2.27</v>
      </c>
      <c r="F1701" s="456"/>
      <c r="G1701" s="456">
        <f t="shared" si="297"/>
        <v>2.27</v>
      </c>
      <c r="H1701" s="456" t="str">
        <v>Sq M</v>
      </c>
      <c r="I1701" s="456" t="str">
        <v>External Grade Paint</v>
      </c>
      <c r="J1701" s="456">
        <v>45</v>
      </c>
      <c r="K1701" s="456">
        <v>484.38</v>
      </c>
      <c r="L1701" s="456">
        <f t="shared" si="298"/>
        <v>1099.5426</v>
      </c>
      <c r="O1701" s="455">
        <f t="shared" si="299"/>
        <v>63.56</v>
      </c>
      <c r="P1701" s="455">
        <f t="shared" si="300"/>
        <v>30787.192800000001</v>
      </c>
      <c r="R1701" s="458" t="s">
        <v>664</v>
      </c>
    </row>
    <row r="1702" spans="1:18">
      <c r="A1702" s="454"/>
      <c r="B1702" s="454" t="str">
        <v>Others</v>
      </c>
      <c r="C1702" s="456"/>
      <c r="D1702" s="456"/>
      <c r="E1702" s="456"/>
      <c r="F1702" s="456"/>
      <c r="G1702" s="456">
        <f t="shared" si="297"/>
        <v>0</v>
      </c>
      <c r="H1702" s="456" t="str">
        <v>-</v>
      </c>
      <c r="I1702" s="456" t="str">
        <v>N.A.</v>
      </c>
      <c r="J1702" s="456">
        <v>0</v>
      </c>
      <c r="K1702" s="456">
        <v>0</v>
      </c>
      <c r="L1702" s="456">
        <f t="shared" si="298"/>
        <v>0</v>
      </c>
      <c r="O1702" s="455">
        <f t="shared" si="299"/>
        <v>0</v>
      </c>
      <c r="P1702" s="455">
        <f t="shared" si="300"/>
        <v>0</v>
      </c>
    </row>
    <row r="1703" spans="1:18" s="479" customFormat="1" ht="13.5" customHeight="1">
      <c r="A1703" s="475" t="s">
        <v>628</v>
      </c>
      <c r="B1703" s="476" t="str">
        <f>'Flat Sizes'!B141</f>
        <v>Balcony</v>
      </c>
      <c r="C1703" s="477">
        <f>'Flat Sizes'!D141</f>
        <v>2.6</v>
      </c>
      <c r="D1703" s="477">
        <f>'Flat Sizes'!G141</f>
        <v>6.7</v>
      </c>
      <c r="E1703" s="477"/>
      <c r="F1703" s="454"/>
      <c r="G1703" s="477"/>
      <c r="H1703" s="477"/>
      <c r="I1703" s="477"/>
      <c r="J1703" s="477"/>
      <c r="K1703" s="477"/>
      <c r="L1703" s="477"/>
      <c r="M1703" s="459">
        <f>SUM(L1704:L1712)/C1703/10.764</f>
        <v>907.33600606008633</v>
      </c>
      <c r="N1703" s="472"/>
      <c r="O1703" s="455"/>
      <c r="P1703" s="455"/>
      <c r="Q1703" s="478"/>
    </row>
    <row r="1704" spans="1:18">
      <c r="A1704" s="454"/>
      <c r="B1704" s="454" t="str" cm="1">
        <f t="array" ref="B1704:B1712">'Rate List - Flats'!B120:B128</f>
        <v>Flooring</v>
      </c>
      <c r="C1704" s="456"/>
      <c r="D1704" s="456"/>
      <c r="E1704" s="456">
        <f>C1703</f>
        <v>2.6</v>
      </c>
      <c r="F1704" s="456"/>
      <c r="G1704" s="456">
        <f t="shared" si="297"/>
        <v>2.6</v>
      </c>
      <c r="H1704" s="456" t="str" cm="1">
        <f t="array" ref="H1704:H1712">'Rate List - Flats'!H120:H128</f>
        <v>Sq M</v>
      </c>
      <c r="I1704" s="456" t="str" cm="1">
        <f t="array" ref="I1704:I1712">'Rate List - Flats'!C120:C128</f>
        <v>2'x2' Vitrified tiles</v>
      </c>
      <c r="J1704" s="456" cm="1">
        <f t="array" ref="J1704:J1712">'Rate List - Flats'!E120:E128</f>
        <v>45</v>
      </c>
      <c r="K1704" s="456" cm="1">
        <f t="array" ref="K1704:K1712">'Rate List - Flats'!G120:G128</f>
        <v>1340.1179999999999</v>
      </c>
      <c r="L1704" s="456">
        <f t="shared" si="298"/>
        <v>3484.3067999999998</v>
      </c>
      <c r="O1704" s="455">
        <f t="shared" ref="O1704:O1712" si="301">IF(I1704="N.A",0,G1704*$N$1612)</f>
        <v>72.8</v>
      </c>
      <c r="P1704" s="455">
        <f t="shared" ref="P1704:P1712" si="302">L1704*$N$1612</f>
        <v>97560.590400000001</v>
      </c>
      <c r="R1704" s="458" t="s">
        <v>752</v>
      </c>
    </row>
    <row r="1705" spans="1:18">
      <c r="A1705" s="454"/>
      <c r="B1705" s="454" t="str">
        <v>Skirting</v>
      </c>
      <c r="C1705" s="456"/>
      <c r="D1705" s="456"/>
      <c r="E1705" s="456">
        <f>D1703</f>
        <v>6.7</v>
      </c>
      <c r="F1705" s="456"/>
      <c r="G1705" s="456">
        <f t="shared" si="297"/>
        <v>6.7</v>
      </c>
      <c r="H1705" s="456" t="str">
        <v xml:space="preserve">RM </v>
      </c>
      <c r="I1705" s="456" t="str">
        <v xml:space="preserve">2'x2' Vitrified tiles </v>
      </c>
      <c r="J1705" s="456">
        <v>45</v>
      </c>
      <c r="K1705" s="456">
        <v>391.96</v>
      </c>
      <c r="L1705" s="456">
        <f t="shared" si="298"/>
        <v>2626.1320000000001</v>
      </c>
      <c r="O1705" s="455">
        <f t="shared" si="301"/>
        <v>187.6</v>
      </c>
      <c r="P1705" s="455">
        <f t="shared" si="302"/>
        <v>73531.695999999996</v>
      </c>
      <c r="R1705" s="458" t="s">
        <v>753</v>
      </c>
    </row>
    <row r="1706" spans="1:18">
      <c r="A1706" s="454"/>
      <c r="B1706" s="454" t="str">
        <v>Dado</v>
      </c>
      <c r="C1706" s="456"/>
      <c r="D1706" s="456"/>
      <c r="E1706" s="456"/>
      <c r="F1706" s="456"/>
      <c r="G1706" s="456">
        <f t="shared" si="297"/>
        <v>0</v>
      </c>
      <c r="H1706" s="456" t="str">
        <v>Sq M</v>
      </c>
      <c r="I1706" s="456" t="str">
        <v>N.A</v>
      </c>
      <c r="J1706" s="456">
        <v>0</v>
      </c>
      <c r="K1706" s="456">
        <v>0</v>
      </c>
      <c r="L1706" s="456">
        <f t="shared" si="298"/>
        <v>0</v>
      </c>
      <c r="O1706" s="455">
        <f t="shared" si="301"/>
        <v>0</v>
      </c>
      <c r="P1706" s="455">
        <f t="shared" si="302"/>
        <v>0</v>
      </c>
      <c r="R1706" s="458" t="s">
        <v>754</v>
      </c>
    </row>
    <row r="1707" spans="1:18">
      <c r="A1707" s="454"/>
      <c r="B1707" s="454" t="str">
        <v>Wall finishes plaster</v>
      </c>
      <c r="C1707" s="456"/>
      <c r="D1707" s="456"/>
      <c r="E1707" s="456">
        <f>D1703*(D1-0.15)</f>
        <v>19.765000000000001</v>
      </c>
      <c r="F1707" s="456">
        <f>-Windows!K146*2.15</f>
        <v>-7.5249999999999995</v>
      </c>
      <c r="G1707" s="456">
        <f t="shared" si="297"/>
        <v>12.240000000000002</v>
      </c>
      <c r="H1707" s="456" t="str">
        <v>Sq M</v>
      </c>
      <c r="I1707" s="456" t="str">
        <v>External Plaster  - 15 mm</v>
      </c>
      <c r="J1707" s="456">
        <v>85</v>
      </c>
      <c r="K1707" s="456">
        <v>914.93999999999994</v>
      </c>
      <c r="L1707" s="456">
        <f t="shared" si="298"/>
        <v>11198.865600000001</v>
      </c>
      <c r="O1707" s="455">
        <f t="shared" si="301"/>
        <v>342.72</v>
      </c>
      <c r="P1707" s="455">
        <f t="shared" si="302"/>
        <v>313568.23680000001</v>
      </c>
      <c r="R1707" s="458" t="s">
        <v>751</v>
      </c>
    </row>
    <row r="1708" spans="1:18">
      <c r="A1708" s="454"/>
      <c r="B1708" s="454" t="str">
        <v>Ceiling plaster</v>
      </c>
      <c r="C1708" s="456"/>
      <c r="D1708" s="456"/>
      <c r="E1708" s="456">
        <f>E1704</f>
        <v>2.6</v>
      </c>
      <c r="F1708" s="456"/>
      <c r="G1708" s="456">
        <f t="shared" si="297"/>
        <v>2.6</v>
      </c>
      <c r="H1708" s="456" t="str">
        <v>Sq M</v>
      </c>
      <c r="I1708" s="456" t="str">
        <v>Gypsum Plaster</v>
      </c>
      <c r="J1708" s="456">
        <v>32</v>
      </c>
      <c r="K1708" s="456">
        <v>344.44799999999998</v>
      </c>
      <c r="L1708" s="456">
        <f t="shared" si="298"/>
        <v>895.56479999999999</v>
      </c>
      <c r="O1708" s="455">
        <f t="shared" si="301"/>
        <v>72.8</v>
      </c>
      <c r="P1708" s="455">
        <f t="shared" si="302"/>
        <v>25075.814399999999</v>
      </c>
      <c r="R1708" s="458" t="s">
        <v>662</v>
      </c>
    </row>
    <row r="1709" spans="1:18">
      <c r="A1709" s="454"/>
      <c r="B1709" s="454" t="str">
        <v>False ceiling</v>
      </c>
      <c r="C1709" s="456"/>
      <c r="D1709" s="456"/>
      <c r="E1709" s="456"/>
      <c r="F1709" s="456"/>
      <c r="G1709" s="456">
        <f t="shared" si="297"/>
        <v>0</v>
      </c>
      <c r="H1709" s="456" t="str">
        <v>Sq M</v>
      </c>
      <c r="I1709" s="456" t="str">
        <v>N.A.</v>
      </c>
      <c r="J1709" s="456">
        <v>0</v>
      </c>
      <c r="K1709" s="456">
        <v>0</v>
      </c>
      <c r="L1709" s="456">
        <f t="shared" si="298"/>
        <v>0</v>
      </c>
      <c r="O1709" s="455">
        <f t="shared" si="301"/>
        <v>0</v>
      </c>
      <c r="P1709" s="455">
        <f t="shared" si="302"/>
        <v>0</v>
      </c>
      <c r="R1709" s="458" t="s">
        <v>414</v>
      </c>
    </row>
    <row r="1710" spans="1:18">
      <c r="A1710" s="454"/>
      <c r="B1710" s="454" t="str">
        <v>Wall finishes Paint</v>
      </c>
      <c r="C1710" s="456"/>
      <c r="D1710" s="456"/>
      <c r="E1710" s="456">
        <f>E1707</f>
        <v>19.765000000000001</v>
      </c>
      <c r="F1710" s="456">
        <f>F1707</f>
        <v>-7.5249999999999995</v>
      </c>
      <c r="G1710" s="456">
        <f t="shared" si="297"/>
        <v>12.240000000000002</v>
      </c>
      <c r="H1710" s="456" t="str">
        <v>Sq M</v>
      </c>
      <c r="I1710" s="456" t="str">
        <v>External Grade Paint</v>
      </c>
      <c r="J1710" s="456">
        <v>45</v>
      </c>
      <c r="K1710" s="456">
        <v>484.38</v>
      </c>
      <c r="L1710" s="456">
        <f t="shared" si="298"/>
        <v>5928.811200000001</v>
      </c>
      <c r="O1710" s="455">
        <f t="shared" si="301"/>
        <v>342.72</v>
      </c>
      <c r="P1710" s="455">
        <f t="shared" si="302"/>
        <v>166006.71360000002</v>
      </c>
      <c r="R1710" s="458" t="s">
        <v>663</v>
      </c>
    </row>
    <row r="1711" spans="1:18">
      <c r="A1711" s="454"/>
      <c r="B1711" s="454" t="str">
        <v>Ceiling Paint</v>
      </c>
      <c r="C1711" s="456"/>
      <c r="D1711" s="456"/>
      <c r="E1711" s="456">
        <f>E1708</f>
        <v>2.6</v>
      </c>
      <c r="F1711" s="456"/>
      <c r="G1711" s="456">
        <f t="shared" si="297"/>
        <v>2.6</v>
      </c>
      <c r="H1711" s="456" t="str">
        <v>Sq M</v>
      </c>
      <c r="I1711" s="456" t="str">
        <v>External Grade Paint</v>
      </c>
      <c r="J1711" s="456">
        <v>45</v>
      </c>
      <c r="K1711" s="456">
        <v>484.38</v>
      </c>
      <c r="L1711" s="456">
        <f t="shared" si="298"/>
        <v>1259.3879999999999</v>
      </c>
      <c r="O1711" s="455">
        <f t="shared" si="301"/>
        <v>72.8</v>
      </c>
      <c r="P1711" s="455">
        <f t="shared" si="302"/>
        <v>35262.864000000001</v>
      </c>
      <c r="R1711" s="458" t="s">
        <v>664</v>
      </c>
    </row>
    <row r="1712" spans="1:18">
      <c r="A1712" s="454"/>
      <c r="B1712" s="454" t="str">
        <v>Others</v>
      </c>
      <c r="C1712" s="456"/>
      <c r="D1712" s="456"/>
      <c r="E1712" s="456"/>
      <c r="F1712" s="456"/>
      <c r="G1712" s="524">
        <f t="shared" si="297"/>
        <v>0</v>
      </c>
      <c r="H1712" s="456" t="str">
        <v>-</v>
      </c>
      <c r="I1712" s="456" t="str">
        <v>N.A.</v>
      </c>
      <c r="J1712" s="456">
        <v>0</v>
      </c>
      <c r="K1712" s="456">
        <v>0</v>
      </c>
      <c r="L1712" s="456">
        <f t="shared" si="298"/>
        <v>0</v>
      </c>
      <c r="O1712" s="455">
        <f t="shared" si="301"/>
        <v>0</v>
      </c>
      <c r="P1712" s="455">
        <f t="shared" si="302"/>
        <v>0</v>
      </c>
    </row>
    <row r="1713" spans="1:16" ht="13.8" thickBot="1">
      <c r="A1713" s="454"/>
      <c r="B1713" s="454"/>
      <c r="C1713" s="456"/>
      <c r="D1713" s="456"/>
      <c r="E1713" s="456"/>
      <c r="F1713" s="456"/>
      <c r="G1713" s="525">
        <f>SUM(G1613:G1712)</f>
        <v>802.91099999999949</v>
      </c>
      <c r="H1713" s="456"/>
      <c r="I1713" s="456"/>
      <c r="J1713" s="456"/>
      <c r="K1713" s="456"/>
      <c r="L1713" s="525">
        <f>SUM(L1613:L1712)</f>
        <v>466697.32914719987</v>
      </c>
      <c r="O1713" s="525">
        <f>SUM(O1613:O1712)</f>
        <v>22481.508000000016</v>
      </c>
      <c r="P1713" s="525">
        <f>SUM(P1613:P1712)</f>
        <v>13067525.216121601</v>
      </c>
    </row>
    <row r="1714" spans="1:16">
      <c r="A1714" s="528"/>
      <c r="B1714" s="529" t="s">
        <v>744</v>
      </c>
      <c r="C1714" s="522"/>
      <c r="D1714" s="522"/>
      <c r="E1714" s="522"/>
      <c r="F1714" s="522"/>
      <c r="G1714" s="530"/>
      <c r="H1714" s="522"/>
      <c r="I1714" s="522"/>
      <c r="J1714" s="522"/>
      <c r="K1714" s="522"/>
      <c r="L1714" s="522"/>
    </row>
    <row r="1715" spans="1:16">
      <c r="A1715" s="528"/>
      <c r="B1715" s="528" t="s">
        <v>355</v>
      </c>
      <c r="C1715" s="522"/>
      <c r="D1715" s="522"/>
      <c r="E1715" s="522"/>
      <c r="F1715" s="522"/>
      <c r="G1715" s="522">
        <f>SUMIF($B$1613:$B$1712,B1715,$G$1613:$G$1712)</f>
        <v>70.13</v>
      </c>
      <c r="H1715" s="522"/>
      <c r="I1715" s="522"/>
      <c r="J1715" s="522"/>
      <c r="K1715" s="522"/>
      <c r="L1715" s="522">
        <f>SUMIF($B$1613:$B$1712,B1715,$L$1613:$L$1712)</f>
        <v>94388.601059999986</v>
      </c>
      <c r="O1715" s="455">
        <f t="shared" ref="O1715:O1730" si="303">IF(I1715="N.A",0,G1715*$N$1612)</f>
        <v>1963.6399999999999</v>
      </c>
      <c r="P1715" s="455">
        <f t="shared" ref="P1715:P1730" si="304">L1715*$N$1612</f>
        <v>2642880.8296799995</v>
      </c>
    </row>
    <row r="1716" spans="1:16">
      <c r="A1716" s="528"/>
      <c r="B1716" s="528" t="s">
        <v>695</v>
      </c>
      <c r="C1716" s="522"/>
      <c r="D1716" s="522"/>
      <c r="E1716" s="522"/>
      <c r="F1716" s="522"/>
      <c r="G1716" s="522">
        <f t="shared" ref="G1716:G1730" si="305">SUMIF($B$1613:$B$1712,B1716,$G$1613:$G$1712)</f>
        <v>61.03</v>
      </c>
      <c r="H1716" s="522"/>
      <c r="I1716" s="522"/>
      <c r="J1716" s="522"/>
      <c r="K1716" s="522"/>
      <c r="L1716" s="522">
        <f t="shared" ref="L1716:L1730" si="306">SUMIF($B$1613:$B$1712,B1716,$L$1613:$L$1712)</f>
        <v>23921.318800000001</v>
      </c>
      <c r="O1716" s="455">
        <f t="shared" si="303"/>
        <v>1708.8400000000001</v>
      </c>
      <c r="P1716" s="455">
        <f t="shared" si="304"/>
        <v>669796.9264</v>
      </c>
    </row>
    <row r="1717" spans="1:16">
      <c r="A1717" s="528"/>
      <c r="B1717" s="528" t="s">
        <v>698</v>
      </c>
      <c r="C1717" s="522"/>
      <c r="D1717" s="522"/>
      <c r="E1717" s="522"/>
      <c r="F1717" s="522"/>
      <c r="G1717" s="522">
        <f t="shared" si="305"/>
        <v>43.272000000000013</v>
      </c>
      <c r="H1717" s="522"/>
      <c r="I1717" s="522"/>
      <c r="J1717" s="522"/>
      <c r="K1717" s="522"/>
      <c r="L1717" s="522">
        <f t="shared" si="306"/>
        <v>63251.632080000018</v>
      </c>
      <c r="O1717" s="455">
        <f t="shared" si="303"/>
        <v>1211.6160000000004</v>
      </c>
      <c r="P1717" s="455">
        <f t="shared" si="304"/>
        <v>1771045.6982400005</v>
      </c>
    </row>
    <row r="1718" spans="1:16">
      <c r="A1718" s="528"/>
      <c r="B1718" s="528" t="s">
        <v>700</v>
      </c>
      <c r="C1718" s="522"/>
      <c r="D1718" s="522"/>
      <c r="E1718" s="522"/>
      <c r="F1718" s="522"/>
      <c r="G1718" s="522">
        <f t="shared" si="305"/>
        <v>179.91649999999998</v>
      </c>
      <c r="H1718" s="522"/>
      <c r="I1718" s="522"/>
      <c r="J1718" s="522"/>
      <c r="K1718" s="522"/>
      <c r="L1718" s="522">
        <f t="shared" si="306"/>
        <v>78443.328131999995</v>
      </c>
      <c r="O1718" s="455">
        <f t="shared" si="303"/>
        <v>5037.6619999999994</v>
      </c>
      <c r="P1718" s="455">
        <f t="shared" si="304"/>
        <v>2196413.1876959996</v>
      </c>
    </row>
    <row r="1719" spans="1:16">
      <c r="A1719" s="528"/>
      <c r="B1719" s="528" t="s">
        <v>702</v>
      </c>
      <c r="C1719" s="522"/>
      <c r="D1719" s="522"/>
      <c r="E1719" s="522"/>
      <c r="F1719" s="522"/>
      <c r="G1719" s="522">
        <f t="shared" si="305"/>
        <v>70.13</v>
      </c>
      <c r="H1719" s="522"/>
      <c r="I1719" s="522"/>
      <c r="J1719" s="522"/>
      <c r="K1719" s="522"/>
      <c r="L1719" s="522">
        <f t="shared" si="306"/>
        <v>24156.13824</v>
      </c>
      <c r="O1719" s="455">
        <f t="shared" si="303"/>
        <v>1963.6399999999999</v>
      </c>
      <c r="P1719" s="455">
        <f t="shared" si="304"/>
        <v>676371.87072000001</v>
      </c>
    </row>
    <row r="1720" spans="1:16">
      <c r="A1720" s="528"/>
      <c r="B1720" s="528" t="s">
        <v>703</v>
      </c>
      <c r="C1720" s="522"/>
      <c r="D1720" s="522"/>
      <c r="E1720" s="522"/>
      <c r="F1720" s="522"/>
      <c r="G1720" s="522">
        <f t="shared" si="305"/>
        <v>0</v>
      </c>
      <c r="H1720" s="522"/>
      <c r="I1720" s="522"/>
      <c r="J1720" s="522"/>
      <c r="K1720" s="522"/>
      <c r="L1720" s="522">
        <f t="shared" si="306"/>
        <v>0</v>
      </c>
      <c r="O1720" s="455">
        <f t="shared" si="303"/>
        <v>0</v>
      </c>
      <c r="P1720" s="455">
        <f t="shared" si="304"/>
        <v>0</v>
      </c>
    </row>
    <row r="1721" spans="1:16">
      <c r="A1721" s="528"/>
      <c r="B1721" s="528" t="s">
        <v>704</v>
      </c>
      <c r="C1721" s="522"/>
      <c r="D1721" s="522"/>
      <c r="E1721" s="522"/>
      <c r="F1721" s="522"/>
      <c r="G1721" s="522">
        <f t="shared" si="305"/>
        <v>179.91649999999998</v>
      </c>
      <c r="H1721" s="522"/>
      <c r="I1721" s="522"/>
      <c r="J1721" s="522"/>
      <c r="K1721" s="522"/>
      <c r="L1721" s="522">
        <f t="shared" si="306"/>
        <v>46290.09762</v>
      </c>
      <c r="O1721" s="455">
        <f t="shared" si="303"/>
        <v>5037.6619999999994</v>
      </c>
      <c r="P1721" s="455">
        <f t="shared" si="304"/>
        <v>1296122.73336</v>
      </c>
    </row>
    <row r="1722" spans="1:16">
      <c r="A1722" s="528"/>
      <c r="B1722" s="528" t="s">
        <v>706</v>
      </c>
      <c r="C1722" s="522"/>
      <c r="D1722" s="522"/>
      <c r="E1722" s="522"/>
      <c r="F1722" s="522"/>
      <c r="G1722" s="522">
        <f t="shared" si="305"/>
        <v>70.13</v>
      </c>
      <c r="H1722" s="522"/>
      <c r="I1722" s="522"/>
      <c r="J1722" s="522"/>
      <c r="K1722" s="522"/>
      <c r="L1722" s="522">
        <f t="shared" si="306"/>
        <v>16408.1034</v>
      </c>
      <c r="O1722" s="455">
        <f t="shared" si="303"/>
        <v>1963.6399999999999</v>
      </c>
      <c r="P1722" s="455">
        <f t="shared" si="304"/>
        <v>459426.89520000003</v>
      </c>
    </row>
    <row r="1723" spans="1:16">
      <c r="A1723" s="528"/>
      <c r="B1723" s="528" t="s">
        <v>713</v>
      </c>
      <c r="C1723" s="522"/>
      <c r="D1723" s="522"/>
      <c r="E1723" s="522"/>
      <c r="F1723" s="522"/>
      <c r="G1723" s="522">
        <f t="shared" si="305"/>
        <v>22.8</v>
      </c>
      <c r="H1723" s="522"/>
      <c r="I1723" s="522"/>
      <c r="J1723" s="522"/>
      <c r="K1723" s="522"/>
      <c r="L1723" s="522">
        <f t="shared" si="306"/>
        <v>14955.140159999999</v>
      </c>
      <c r="O1723" s="455">
        <f t="shared" si="303"/>
        <v>638.4</v>
      </c>
      <c r="P1723" s="455">
        <f t="shared" si="304"/>
        <v>418743.92447999999</v>
      </c>
    </row>
    <row r="1724" spans="1:16">
      <c r="A1724" s="528"/>
      <c r="B1724" s="528" t="s">
        <v>715</v>
      </c>
      <c r="C1724" s="522"/>
      <c r="D1724" s="522"/>
      <c r="E1724" s="522"/>
      <c r="F1724" s="522"/>
      <c r="G1724" s="522">
        <f t="shared" si="305"/>
        <v>46.599999999999994</v>
      </c>
      <c r="H1724" s="522"/>
      <c r="I1724" s="522"/>
      <c r="J1724" s="522"/>
      <c r="K1724" s="522"/>
      <c r="L1724" s="522">
        <f t="shared" si="306"/>
        <v>30566.207519999996</v>
      </c>
      <c r="O1724" s="455">
        <f t="shared" si="303"/>
        <v>1304.7999999999997</v>
      </c>
      <c r="P1724" s="455">
        <f t="shared" si="304"/>
        <v>855853.8105599999</v>
      </c>
    </row>
    <row r="1725" spans="1:16">
      <c r="A1725" s="528"/>
      <c r="B1725" s="528" t="s">
        <v>716</v>
      </c>
      <c r="C1725" s="522"/>
      <c r="D1725" s="522"/>
      <c r="E1725" s="522"/>
      <c r="F1725" s="522"/>
      <c r="G1725" s="522">
        <f t="shared" si="305"/>
        <v>46.599999999999994</v>
      </c>
      <c r="H1725" s="522"/>
      <c r="I1725" s="522"/>
      <c r="J1725" s="522"/>
      <c r="K1725" s="522"/>
      <c r="L1725" s="522">
        <f t="shared" si="306"/>
        <v>18595.375839999997</v>
      </c>
      <c r="O1725" s="455">
        <f t="shared" si="303"/>
        <v>1304.7999999999997</v>
      </c>
      <c r="P1725" s="455">
        <f t="shared" si="304"/>
        <v>520670.52351999993</v>
      </c>
    </row>
    <row r="1726" spans="1:16">
      <c r="A1726" s="528"/>
      <c r="B1726" s="528" t="s">
        <v>707</v>
      </c>
      <c r="C1726" s="522"/>
      <c r="D1726" s="522"/>
      <c r="E1726" s="522"/>
      <c r="F1726" s="522"/>
      <c r="G1726" s="522">
        <f t="shared" si="305"/>
        <v>0</v>
      </c>
      <c r="H1726" s="522"/>
      <c r="I1726" s="522"/>
      <c r="J1726" s="522"/>
      <c r="K1726" s="522"/>
      <c r="L1726" s="522">
        <f t="shared" si="306"/>
        <v>0</v>
      </c>
      <c r="O1726" s="455">
        <f t="shared" si="303"/>
        <v>0</v>
      </c>
      <c r="P1726" s="455">
        <f t="shared" si="304"/>
        <v>0</v>
      </c>
    </row>
    <row r="1727" spans="1:16">
      <c r="A1727" s="528"/>
      <c r="B1727" s="528" t="s">
        <v>718</v>
      </c>
      <c r="C1727" s="522"/>
      <c r="D1727" s="522"/>
      <c r="E1727" s="522"/>
      <c r="F1727" s="522"/>
      <c r="G1727" s="522">
        <f t="shared" si="305"/>
        <v>0.72</v>
      </c>
      <c r="H1727" s="522"/>
      <c r="I1727" s="522"/>
      <c r="J1727" s="522"/>
      <c r="K1727" s="522"/>
      <c r="L1727" s="522">
        <f t="shared" si="306"/>
        <v>4557.36384</v>
      </c>
      <c r="O1727" s="455">
        <f t="shared" si="303"/>
        <v>20.16</v>
      </c>
      <c r="P1727" s="455">
        <f t="shared" si="304"/>
        <v>127606.18752000001</v>
      </c>
    </row>
    <row r="1728" spans="1:16">
      <c r="A1728" s="528"/>
      <c r="B1728" s="528" t="s">
        <v>755</v>
      </c>
      <c r="C1728" s="522"/>
      <c r="D1728" s="522"/>
      <c r="E1728" s="522"/>
      <c r="F1728" s="522"/>
      <c r="G1728" s="522">
        <f t="shared" si="305"/>
        <v>5.5260000000000007</v>
      </c>
      <c r="H1728" s="522"/>
      <c r="I1728" s="522"/>
      <c r="J1728" s="522"/>
      <c r="K1728" s="522"/>
      <c r="L1728" s="522">
        <f t="shared" si="306"/>
        <v>6263.4402792000001</v>
      </c>
      <c r="O1728" s="455">
        <f t="shared" si="303"/>
        <v>154.72800000000001</v>
      </c>
      <c r="P1728" s="455">
        <f t="shared" si="304"/>
        <v>175376.32781759999</v>
      </c>
    </row>
    <row r="1729" spans="1:22">
      <c r="A1729" s="528"/>
      <c r="B1729" s="528" t="s">
        <v>747</v>
      </c>
      <c r="C1729" s="522"/>
      <c r="D1729" s="522"/>
      <c r="E1729" s="522"/>
      <c r="F1729" s="522"/>
      <c r="G1729" s="522">
        <f t="shared" si="305"/>
        <v>3.52</v>
      </c>
      <c r="H1729" s="522"/>
      <c r="I1729" s="522"/>
      <c r="J1729" s="522"/>
      <c r="K1729" s="522"/>
      <c r="L1729" s="522">
        <f t="shared" si="306"/>
        <v>25741.050368000004</v>
      </c>
      <c r="O1729" s="455">
        <f t="shared" si="303"/>
        <v>98.56</v>
      </c>
      <c r="P1729" s="455">
        <f t="shared" si="304"/>
        <v>720749.41030400014</v>
      </c>
    </row>
    <row r="1730" spans="1:22">
      <c r="A1730" s="528"/>
      <c r="B1730" s="528" t="s">
        <v>666</v>
      </c>
      <c r="C1730" s="522"/>
      <c r="D1730" s="522"/>
      <c r="E1730" s="522"/>
      <c r="F1730" s="522"/>
      <c r="G1730" s="537">
        <f t="shared" si="305"/>
        <v>2.62</v>
      </c>
      <c r="H1730" s="522"/>
      <c r="I1730" s="522"/>
      <c r="J1730" s="522"/>
      <c r="K1730" s="537"/>
      <c r="L1730" s="522">
        <f t="shared" si="306"/>
        <v>19159.531808000003</v>
      </c>
      <c r="O1730" s="455">
        <f t="shared" si="303"/>
        <v>73.36</v>
      </c>
      <c r="P1730" s="455">
        <f t="shared" si="304"/>
        <v>536466.89062400011</v>
      </c>
    </row>
    <row r="1731" spans="1:22" ht="13.8" thickBot="1">
      <c r="A1731" s="528"/>
      <c r="B1731" s="528"/>
      <c r="C1731" s="522"/>
      <c r="D1731" s="522"/>
      <c r="E1731" s="522"/>
      <c r="F1731" s="522"/>
      <c r="G1731" s="525">
        <f>SUM(G1715:G1730)</f>
        <v>802.91099999999994</v>
      </c>
      <c r="H1731" s="522"/>
      <c r="I1731" s="522"/>
      <c r="J1731" s="522"/>
      <c r="K1731" s="525" t="s">
        <v>232</v>
      </c>
      <c r="L1731" s="525">
        <f>SUM(L1715:L1730)</f>
        <v>466697.32914719998</v>
      </c>
      <c r="O1731" s="536">
        <f>SUM(O1715:O1730)</f>
        <v>22481.507999999998</v>
      </c>
      <c r="P1731" s="536">
        <f>SUM(P1715:P1730)</f>
        <v>13067525.216121599</v>
      </c>
    </row>
    <row r="1732" spans="1:22">
      <c r="A1732" s="528"/>
      <c r="B1732" s="528" t="s">
        <v>386</v>
      </c>
      <c r="C1732" s="522"/>
      <c r="D1732" s="522"/>
      <c r="E1732" s="522"/>
      <c r="F1732" s="522"/>
      <c r="G1732" s="530">
        <f>Doors!E120</f>
        <v>6</v>
      </c>
      <c r="H1732" s="522"/>
      <c r="I1732" s="522"/>
      <c r="J1732" s="522"/>
      <c r="K1732" s="530"/>
      <c r="L1732" s="522">
        <f>Doors!J120</f>
        <v>112000</v>
      </c>
    </row>
    <row r="1733" spans="1:22">
      <c r="A1733" s="528"/>
      <c r="B1733" s="528" t="s">
        <v>391</v>
      </c>
      <c r="C1733" s="522"/>
      <c r="D1733" s="522"/>
      <c r="E1733" s="522"/>
      <c r="F1733" s="522"/>
      <c r="G1733" s="522">
        <f>Windows!H147</f>
        <v>22.829999999999995</v>
      </c>
      <c r="H1733" s="522"/>
      <c r="I1733" s="522"/>
      <c r="J1733" s="522"/>
      <c r="K1733" s="522"/>
      <c r="L1733" s="522">
        <f>Windows!N147</f>
        <v>177908.166</v>
      </c>
    </row>
    <row r="1734" spans="1:22" ht="13.8" thickBot="1">
      <c r="A1734" s="528"/>
      <c r="B1734" s="528"/>
      <c r="C1734" s="522"/>
      <c r="D1734" s="522"/>
      <c r="E1734" s="522"/>
      <c r="F1734" s="522"/>
      <c r="G1734" s="522"/>
      <c r="H1734" s="522"/>
      <c r="I1734" s="522"/>
      <c r="J1734" s="522"/>
      <c r="K1734" s="525" t="s">
        <v>232</v>
      </c>
      <c r="L1734" s="525">
        <f>SUM(L1732:L1733)</f>
        <v>289908.16599999997</v>
      </c>
    </row>
    <row r="1735" spans="1:22" ht="13.8" thickBot="1">
      <c r="A1735" s="528"/>
      <c r="B1735" s="528"/>
      <c r="C1735" s="522"/>
      <c r="D1735" s="522"/>
      <c r="E1735" s="522"/>
      <c r="F1735" s="522"/>
      <c r="G1735" s="522"/>
      <c r="H1735" s="522"/>
      <c r="I1735" s="522"/>
      <c r="J1735" s="522"/>
      <c r="K1735" s="525" t="s">
        <v>758</v>
      </c>
      <c r="L1735" s="525">
        <f>L1731+L1734</f>
        <v>756605.49514719995</v>
      </c>
    </row>
    <row r="1736" spans="1:22" s="474" customFormat="1" ht="13.5" customHeight="1">
      <c r="A1736" s="465" t="s">
        <v>628</v>
      </c>
      <c r="B1736" s="466" t="str">
        <f>'Flat Sizes'!B143</f>
        <v>Flat 10,
2BHK</v>
      </c>
      <c r="C1736" s="456"/>
      <c r="D1736" s="456"/>
      <c r="E1736" s="456"/>
      <c r="F1736" s="456"/>
      <c r="G1736" s="456"/>
      <c r="H1736" s="456"/>
      <c r="I1736" s="456"/>
      <c r="J1736" s="456"/>
      <c r="K1736" s="456"/>
      <c r="L1736" s="546"/>
      <c r="M1736" s="471"/>
      <c r="N1736" s="472">
        <f>'Flat Sizes'!H143</f>
        <v>28</v>
      </c>
      <c r="O1736" s="459"/>
      <c r="P1736" s="459"/>
      <c r="Q1736" s="473"/>
      <c r="S1736" s="473"/>
      <c r="T1736" s="473"/>
      <c r="U1736" s="473"/>
      <c r="V1736" s="473"/>
    </row>
    <row r="1737" spans="1:22" s="479" customFormat="1" ht="13.5" customHeight="1">
      <c r="A1737" s="475" t="s">
        <v>628</v>
      </c>
      <c r="B1737" s="476" t="str">
        <f>'Flat Sizes'!B144</f>
        <v>Living, Dining &amp; Passage</v>
      </c>
      <c r="C1737" s="477">
        <f>'Flat Sizes'!D144</f>
        <v>25.48</v>
      </c>
      <c r="D1737" s="477">
        <f>'Flat Sizes'!G144</f>
        <v>22.71</v>
      </c>
      <c r="E1737" s="477"/>
      <c r="F1737" s="454"/>
      <c r="G1737" s="477"/>
      <c r="H1737" s="477"/>
      <c r="I1737" s="477"/>
      <c r="J1737" s="477"/>
      <c r="K1737" s="477"/>
      <c r="L1737" s="477"/>
      <c r="M1737" s="459">
        <f>SUM(L1738:L1749)/C1737/10.764</f>
        <v>350.17723818624444</v>
      </c>
      <c r="N1737" s="472"/>
      <c r="O1737" s="455"/>
      <c r="P1737" s="455"/>
      <c r="Q1737" s="478"/>
    </row>
    <row r="1738" spans="1:22">
      <c r="A1738" s="454"/>
      <c r="B1738" s="454" t="str" cm="1">
        <f t="array" ref="B1738:B1749">'Rate List - Flats'!B6:B17</f>
        <v>Flooring</v>
      </c>
      <c r="C1738" s="456"/>
      <c r="D1738" s="456"/>
      <c r="E1738" s="456">
        <f>C1737</f>
        <v>25.48</v>
      </c>
      <c r="F1738" s="456"/>
      <c r="G1738" s="456">
        <f t="shared" ref="G1738:G1803" si="307">E1738+F1738</f>
        <v>25.48</v>
      </c>
      <c r="H1738" s="456" t="str" cm="1">
        <f t="array" ref="H1738:H1749">'Rate List - Flats'!H6:H17</f>
        <v>Sq M</v>
      </c>
      <c r="I1738" s="456" t="str" cm="1">
        <f t="array" ref="I1738:I1749">'Rate List - Flats'!C6:C17</f>
        <v>2'x2' Vitrified tiles</v>
      </c>
      <c r="J1738" s="456" cm="1">
        <f t="array" ref="J1738:J1749">'Rate List - Flats'!E6:E17</f>
        <v>45</v>
      </c>
      <c r="K1738" s="456" cm="1">
        <f t="array" ref="K1738:K1749">'Rate List - Flats'!G6:G17</f>
        <v>1340.1179999999999</v>
      </c>
      <c r="L1738" s="456">
        <f t="shared" ref="L1738:L1803" si="308">G1738*K1738</f>
        <v>34146.206639999997</v>
      </c>
      <c r="O1738" s="455">
        <f>IF(I1738="N.A",0,G1738*$N$1736)</f>
        <v>713.44</v>
      </c>
      <c r="P1738" s="455">
        <f>L1738*$N$1736</f>
        <v>956093.78591999994</v>
      </c>
      <c r="R1738" s="480" t="s">
        <v>659</v>
      </c>
    </row>
    <row r="1739" spans="1:22">
      <c r="A1739" s="454"/>
      <c r="B1739" s="454" t="str">
        <v>Skirting</v>
      </c>
      <c r="C1739" s="456"/>
      <c r="D1739" s="456"/>
      <c r="E1739" s="456">
        <f>D1737</f>
        <v>22.71</v>
      </c>
      <c r="F1739" s="456">
        <f>-(Doors!F122+Doors!F123+Doors!F125+Doors!F127)</f>
        <v>-3.9</v>
      </c>
      <c r="G1739" s="456">
        <f t="shared" si="307"/>
        <v>18.810000000000002</v>
      </c>
      <c r="H1739" s="456" t="str">
        <v>RM</v>
      </c>
      <c r="I1739" s="456" t="str">
        <v xml:space="preserve">2'x2' Vitrified tiles </v>
      </c>
      <c r="J1739" s="456">
        <v>45</v>
      </c>
      <c r="K1739" s="456">
        <v>391.96</v>
      </c>
      <c r="L1739" s="456">
        <f t="shared" si="308"/>
        <v>7372.7676000000001</v>
      </c>
      <c r="O1739" s="455">
        <f t="shared" ref="O1739:O1749" si="309">IF(I1739="N.A",0,G1739*$N$1736)</f>
        <v>526.68000000000006</v>
      </c>
      <c r="P1739" s="455">
        <f t="shared" ref="P1739:P1749" si="310">L1739*$N$1736</f>
        <v>206437.49280000001</v>
      </c>
      <c r="R1739" s="480" t="s">
        <v>660</v>
      </c>
    </row>
    <row r="1740" spans="1:22">
      <c r="A1740" s="454"/>
      <c r="B1740" s="454" t="str">
        <v>Dado</v>
      </c>
      <c r="C1740" s="456"/>
      <c r="D1740" s="456"/>
      <c r="E1740" s="456"/>
      <c r="F1740" s="456"/>
      <c r="G1740" s="456">
        <f t="shared" si="307"/>
        <v>0</v>
      </c>
      <c r="H1740" s="456" t="str">
        <v>Sq M</v>
      </c>
      <c r="I1740" s="456" t="str">
        <v>N.A.</v>
      </c>
      <c r="J1740" s="456">
        <v>0</v>
      </c>
      <c r="K1740" s="456">
        <v>0</v>
      </c>
      <c r="L1740" s="456">
        <f t="shared" si="308"/>
        <v>0</v>
      </c>
      <c r="O1740" s="455">
        <f t="shared" si="309"/>
        <v>0</v>
      </c>
      <c r="P1740" s="455">
        <f t="shared" si="310"/>
        <v>0</v>
      </c>
      <c r="R1740" s="480"/>
    </row>
    <row r="1741" spans="1:22">
      <c r="A1741" s="454"/>
      <c r="B1741" s="454" t="str">
        <v>Wall finishes plaster</v>
      </c>
      <c r="C1741" s="456"/>
      <c r="D1741" s="456"/>
      <c r="E1741" s="456">
        <f>D1737*(D1-0.15)</f>
        <v>66.994500000000002</v>
      </c>
      <c r="F1741" s="456">
        <f>-(Doors!H122+Doors!H123+Doors!H125+Doors!H127+Windows!H149)</f>
        <v>-14.855</v>
      </c>
      <c r="G1741" s="456">
        <f t="shared" si="307"/>
        <v>52.139499999999998</v>
      </c>
      <c r="H1741" s="456" t="str">
        <v>Sq M</v>
      </c>
      <c r="I1741" s="456" t="str">
        <v>Gypsum Plaster</v>
      </c>
      <c r="J1741" s="456">
        <v>32</v>
      </c>
      <c r="K1741" s="456">
        <v>344.44799999999998</v>
      </c>
      <c r="L1741" s="456">
        <f t="shared" si="308"/>
        <v>17959.346495999998</v>
      </c>
      <c r="O1741" s="455">
        <f t="shared" si="309"/>
        <v>1459.9059999999999</v>
      </c>
      <c r="P1741" s="455">
        <f t="shared" si="310"/>
        <v>502861.70188799995</v>
      </c>
      <c r="R1741" s="480" t="s">
        <v>661</v>
      </c>
    </row>
    <row r="1742" spans="1:22">
      <c r="A1742" s="454"/>
      <c r="B1742" s="454" t="str">
        <v>Ceiling plaster</v>
      </c>
      <c r="C1742" s="456"/>
      <c r="D1742" s="456"/>
      <c r="E1742" s="456">
        <f>E1738</f>
        <v>25.48</v>
      </c>
      <c r="F1742" s="456"/>
      <c r="G1742" s="456">
        <f t="shared" si="307"/>
        <v>25.48</v>
      </c>
      <c r="H1742" s="456" t="str">
        <v>Sq M</v>
      </c>
      <c r="I1742" s="456" t="str">
        <v>Gypsum Plaster</v>
      </c>
      <c r="J1742" s="456">
        <v>32</v>
      </c>
      <c r="K1742" s="456">
        <v>344.44799999999998</v>
      </c>
      <c r="L1742" s="456">
        <f t="shared" si="308"/>
        <v>8776.5350399999988</v>
      </c>
      <c r="O1742" s="455">
        <f t="shared" si="309"/>
        <v>713.44</v>
      </c>
      <c r="P1742" s="455">
        <f t="shared" si="310"/>
        <v>245742.98111999995</v>
      </c>
      <c r="R1742" s="480" t="s">
        <v>662</v>
      </c>
    </row>
    <row r="1743" spans="1:22">
      <c r="A1743" s="454"/>
      <c r="B1743" s="454" t="str">
        <v>False ceiling</v>
      </c>
      <c r="C1743" s="456"/>
      <c r="D1743" s="456"/>
      <c r="E1743" s="456"/>
      <c r="F1743" s="456"/>
      <c r="G1743" s="456">
        <f t="shared" si="307"/>
        <v>0</v>
      </c>
      <c r="H1743" s="456" t="str">
        <v>Sq M</v>
      </c>
      <c r="I1743" s="456" t="str">
        <v>N.A.</v>
      </c>
      <c r="J1743" s="456">
        <v>0</v>
      </c>
      <c r="K1743" s="456">
        <v>0</v>
      </c>
      <c r="L1743" s="456">
        <f t="shared" si="308"/>
        <v>0</v>
      </c>
      <c r="O1743" s="455">
        <f t="shared" si="309"/>
        <v>0</v>
      </c>
      <c r="P1743" s="455">
        <f t="shared" si="310"/>
        <v>0</v>
      </c>
      <c r="R1743" s="480"/>
    </row>
    <row r="1744" spans="1:22">
      <c r="A1744" s="454"/>
      <c r="B1744" s="454" t="str">
        <v>Wall finishes Paint</v>
      </c>
      <c r="C1744" s="456"/>
      <c r="D1744" s="456"/>
      <c r="E1744" s="456">
        <f>E1741</f>
        <v>66.994500000000002</v>
      </c>
      <c r="F1744" s="456">
        <f>F1741</f>
        <v>-14.855</v>
      </c>
      <c r="G1744" s="456">
        <f t="shared" si="307"/>
        <v>52.139499999999998</v>
      </c>
      <c r="H1744" s="456" t="str">
        <v>Sq M</v>
      </c>
      <c r="I1744" s="456" t="str">
        <v>Plastic paint</v>
      </c>
      <c r="J1744" s="456">
        <v>20</v>
      </c>
      <c r="K1744" s="456">
        <v>215.27999999999997</v>
      </c>
      <c r="L1744" s="456">
        <f t="shared" si="308"/>
        <v>11224.591559999999</v>
      </c>
      <c r="O1744" s="455">
        <f t="shared" si="309"/>
        <v>1459.9059999999999</v>
      </c>
      <c r="P1744" s="455">
        <f t="shared" si="310"/>
        <v>314288.56367999996</v>
      </c>
      <c r="R1744" s="480" t="s">
        <v>663</v>
      </c>
    </row>
    <row r="1745" spans="1:18">
      <c r="A1745" s="454"/>
      <c r="B1745" s="454" t="str">
        <v>Ceiling Paint</v>
      </c>
      <c r="C1745" s="456"/>
      <c r="D1745" s="456"/>
      <c r="E1745" s="456">
        <f>E1742</f>
        <v>25.48</v>
      </c>
      <c r="F1745" s="456"/>
      <c r="G1745" s="456">
        <f t="shared" si="307"/>
        <v>25.48</v>
      </c>
      <c r="H1745" s="456" t="str">
        <v>Sq M</v>
      </c>
      <c r="I1745" s="456" t="str">
        <v>Plastic paint</v>
      </c>
      <c r="J1745" s="456">
        <v>20</v>
      </c>
      <c r="K1745" s="456">
        <v>215.27999999999997</v>
      </c>
      <c r="L1745" s="456">
        <f t="shared" si="308"/>
        <v>5485.3343999999997</v>
      </c>
      <c r="O1745" s="455">
        <f t="shared" si="309"/>
        <v>713.44</v>
      </c>
      <c r="P1745" s="455">
        <f t="shared" si="310"/>
        <v>153589.36319999999</v>
      </c>
      <c r="R1745" s="480" t="s">
        <v>664</v>
      </c>
    </row>
    <row r="1746" spans="1:18">
      <c r="A1746" s="454"/>
      <c r="B1746" s="454" t="str">
        <v>Door Frames</v>
      </c>
      <c r="C1746" s="456"/>
      <c r="D1746" s="456"/>
      <c r="E1746" s="456"/>
      <c r="F1746" s="456"/>
      <c r="G1746" s="456">
        <f t="shared" si="307"/>
        <v>0</v>
      </c>
      <c r="H1746" s="456" t="str">
        <v>RM</v>
      </c>
      <c r="I1746" s="456" t="str">
        <v>N.A.</v>
      </c>
      <c r="J1746" s="456">
        <v>0</v>
      </c>
      <c r="K1746" s="456">
        <v>0</v>
      </c>
      <c r="L1746" s="456">
        <f t="shared" si="308"/>
        <v>0</v>
      </c>
      <c r="O1746" s="455">
        <f t="shared" si="309"/>
        <v>0</v>
      </c>
      <c r="P1746" s="455">
        <f t="shared" si="310"/>
        <v>0</v>
      </c>
      <c r="R1746" s="480" t="s">
        <v>742</v>
      </c>
    </row>
    <row r="1747" spans="1:18">
      <c r="A1747" s="454"/>
      <c r="B1747" s="454" t="str">
        <v>Window Frames - Internal</v>
      </c>
      <c r="C1747" s="456"/>
      <c r="D1747" s="456"/>
      <c r="E1747" s="456">
        <f>Windows!F149*2+Windows!G149*2</f>
        <v>10.5</v>
      </c>
      <c r="F1747" s="456"/>
      <c r="G1747" s="456">
        <f t="shared" si="307"/>
        <v>10.5</v>
      </c>
      <c r="H1747" s="456" t="str">
        <v>RM</v>
      </c>
      <c r="I1747" s="456" t="str">
        <v>Granite Window Frame</v>
      </c>
      <c r="J1747" s="456">
        <v>180</v>
      </c>
      <c r="K1747" s="456">
        <v>655.92719999999997</v>
      </c>
      <c r="L1747" s="456">
        <f t="shared" si="308"/>
        <v>6887.2356</v>
      </c>
      <c r="O1747" s="455">
        <f t="shared" si="309"/>
        <v>294</v>
      </c>
      <c r="P1747" s="455">
        <f t="shared" si="310"/>
        <v>192842.5968</v>
      </c>
      <c r="R1747" s="480" t="s">
        <v>743</v>
      </c>
    </row>
    <row r="1748" spans="1:18">
      <c r="A1748" s="454"/>
      <c r="B1748" s="454" t="str">
        <v>Window Frames - External</v>
      </c>
      <c r="C1748" s="456"/>
      <c r="D1748" s="456"/>
      <c r="E1748" s="456">
        <f>E1747</f>
        <v>10.5</v>
      </c>
      <c r="F1748" s="456"/>
      <c r="G1748" s="456">
        <f t="shared" si="307"/>
        <v>10.5</v>
      </c>
      <c r="H1748" s="456" t="str">
        <v>RM</v>
      </c>
      <c r="I1748" s="456" t="str">
        <v>Marble Window Frames with Sill</v>
      </c>
      <c r="J1748" s="456">
        <v>60</v>
      </c>
      <c r="K1748" s="456">
        <v>399.04239999999999</v>
      </c>
      <c r="L1748" s="456">
        <f t="shared" si="308"/>
        <v>4189.9452000000001</v>
      </c>
      <c r="O1748" s="455">
        <f t="shared" si="309"/>
        <v>294</v>
      </c>
      <c r="P1748" s="455">
        <f t="shared" si="310"/>
        <v>117318.4656</v>
      </c>
      <c r="R1748" s="480" t="s">
        <v>409</v>
      </c>
    </row>
    <row r="1749" spans="1:18">
      <c r="A1749" s="454"/>
      <c r="B1749" s="454" t="str">
        <v>Others</v>
      </c>
      <c r="C1749" s="456"/>
      <c r="D1749" s="456"/>
      <c r="E1749" s="456"/>
      <c r="F1749" s="456"/>
      <c r="G1749" s="456">
        <f t="shared" si="307"/>
        <v>0</v>
      </c>
      <c r="H1749" s="456" t="str">
        <v>-</v>
      </c>
      <c r="I1749" s="456" t="str">
        <v>N.A.</v>
      </c>
      <c r="J1749" s="456" t="str">
        <v>-</v>
      </c>
      <c r="K1749" s="456" t="str">
        <v>-</v>
      </c>
      <c r="L1749" s="456"/>
      <c r="O1749" s="455">
        <f t="shared" si="309"/>
        <v>0</v>
      </c>
      <c r="P1749" s="455">
        <f t="shared" si="310"/>
        <v>0</v>
      </c>
    </row>
    <row r="1750" spans="1:18" s="479" customFormat="1" ht="13.5" customHeight="1">
      <c r="A1750" s="475" t="s">
        <v>628</v>
      </c>
      <c r="B1750" s="476" t="str">
        <f>'Flat Sizes'!B145</f>
        <v>M. Bedroom</v>
      </c>
      <c r="C1750" s="477">
        <f>'Flat Sizes'!D145</f>
        <v>15.79</v>
      </c>
      <c r="D1750" s="477">
        <f>'Flat Sizes'!G145</f>
        <v>19.489999999999998</v>
      </c>
      <c r="E1750" s="477"/>
      <c r="F1750" s="454"/>
      <c r="G1750" s="477"/>
      <c r="H1750" s="477"/>
      <c r="I1750" s="477"/>
      <c r="J1750" s="477"/>
      <c r="K1750" s="477"/>
      <c r="L1750" s="477"/>
      <c r="M1750" s="459">
        <f>SUM(L1751:L1762)/C1750/10.764</f>
        <v>438.53391823517933</v>
      </c>
      <c r="N1750" s="472"/>
      <c r="O1750" s="455"/>
      <c r="P1750" s="455"/>
      <c r="Q1750" s="478"/>
    </row>
    <row r="1751" spans="1:18">
      <c r="A1751" s="454"/>
      <c r="B1751" s="454" t="str" cm="1">
        <f t="array" ref="B1751:B1762">'Rate List - Flats'!B34:B45</f>
        <v>Flooring</v>
      </c>
      <c r="C1751" s="456"/>
      <c r="D1751" s="456"/>
      <c r="E1751" s="456">
        <f>C1750</f>
        <v>15.79</v>
      </c>
      <c r="F1751" s="456"/>
      <c r="G1751" s="456">
        <f t="shared" si="307"/>
        <v>15.79</v>
      </c>
      <c r="H1751" s="456" t="str" cm="1">
        <f t="array" ref="H1751:H1762">'Rate List - Flats'!H34:H45</f>
        <v>Sq M</v>
      </c>
      <c r="I1751" s="456" t="str" cm="1">
        <f t="array" ref="I1751:I1762">'Rate List - Flats'!C34:C45</f>
        <v>2'x2' Vitrified tiles</v>
      </c>
      <c r="J1751" s="456" cm="1">
        <f t="array" ref="J1751:J1762">'Rate List - Flats'!E34:E45</f>
        <v>45</v>
      </c>
      <c r="K1751" s="456" cm="1">
        <f t="array" ref="K1751:K1762">'Rate List - Flats'!G34:G45</f>
        <v>1340.1179999999999</v>
      </c>
      <c r="L1751" s="456">
        <f t="shared" si="308"/>
        <v>21160.463219999998</v>
      </c>
      <c r="O1751" s="455">
        <f t="shared" ref="O1751:O1762" si="311">IF(I1751="N.A",0,G1751*$N$1736)</f>
        <v>442.12</v>
      </c>
      <c r="P1751" s="455">
        <f t="shared" ref="P1751:P1762" si="312">L1751*$N$1736</f>
        <v>592492.97015999991</v>
      </c>
      <c r="R1751" s="480" t="s">
        <v>659</v>
      </c>
    </row>
    <row r="1752" spans="1:18">
      <c r="A1752" s="454"/>
      <c r="B1752" s="454" t="str">
        <v>Skirting</v>
      </c>
      <c r="C1752" s="456"/>
      <c r="D1752" s="456"/>
      <c r="E1752" s="456">
        <f>D1750</f>
        <v>19.489999999999998</v>
      </c>
      <c r="F1752" s="456">
        <f>-(Doors!F123+Doors!F124)</f>
        <v>-1.65</v>
      </c>
      <c r="G1752" s="456">
        <f t="shared" si="307"/>
        <v>17.84</v>
      </c>
      <c r="H1752" s="456" t="str">
        <v>RM</v>
      </c>
      <c r="I1752" s="456" t="str">
        <v xml:space="preserve">2'x2' Vitrified tiles </v>
      </c>
      <c r="J1752" s="456">
        <v>45</v>
      </c>
      <c r="K1752" s="456">
        <v>391.96</v>
      </c>
      <c r="L1752" s="456">
        <f t="shared" si="308"/>
        <v>6992.5663999999997</v>
      </c>
      <c r="O1752" s="455">
        <f t="shared" si="311"/>
        <v>499.52</v>
      </c>
      <c r="P1752" s="455">
        <f t="shared" si="312"/>
        <v>195791.85920000001</v>
      </c>
      <c r="R1752" s="480" t="s">
        <v>660</v>
      </c>
    </row>
    <row r="1753" spans="1:18">
      <c r="A1753" s="454"/>
      <c r="B1753" s="454" t="str">
        <v>Dado</v>
      </c>
      <c r="C1753" s="456"/>
      <c r="D1753" s="456"/>
      <c r="E1753" s="456"/>
      <c r="F1753" s="456"/>
      <c r="G1753" s="456">
        <f t="shared" si="307"/>
        <v>0</v>
      </c>
      <c r="H1753" s="456" t="str">
        <v>Sq M</v>
      </c>
      <c r="I1753" s="456" t="str">
        <v>N.A.</v>
      </c>
      <c r="J1753" s="456">
        <v>0</v>
      </c>
      <c r="K1753" s="456">
        <v>0</v>
      </c>
      <c r="L1753" s="456">
        <f t="shared" si="308"/>
        <v>0</v>
      </c>
      <c r="O1753" s="455">
        <f t="shared" si="311"/>
        <v>0</v>
      </c>
      <c r="P1753" s="455">
        <f t="shared" si="312"/>
        <v>0</v>
      </c>
      <c r="R1753" s="480"/>
    </row>
    <row r="1754" spans="1:18">
      <c r="A1754" s="454"/>
      <c r="B1754" s="454" t="str">
        <v>Wall finishes plaster</v>
      </c>
      <c r="C1754" s="456"/>
      <c r="D1754" s="456"/>
      <c r="E1754" s="456">
        <f>D1750*(D1-0.15)</f>
        <v>57.4955</v>
      </c>
      <c r="F1754" s="456">
        <f>-(Doors!H123+Doors!H124+Windows!H150)</f>
        <v>-10.022499999999999</v>
      </c>
      <c r="G1754" s="456">
        <f t="shared" si="307"/>
        <v>47.472999999999999</v>
      </c>
      <c r="H1754" s="456" t="str">
        <v>Sq M</v>
      </c>
      <c r="I1754" s="456" t="str">
        <v>Gypsum Plaster</v>
      </c>
      <c r="J1754" s="456">
        <v>32</v>
      </c>
      <c r="K1754" s="456">
        <v>344.44799999999998</v>
      </c>
      <c r="L1754" s="456">
        <f t="shared" si="308"/>
        <v>16351.979903999998</v>
      </c>
      <c r="O1754" s="455">
        <f t="shared" si="311"/>
        <v>1329.2439999999999</v>
      </c>
      <c r="P1754" s="455">
        <f t="shared" si="312"/>
        <v>457855.43731199997</v>
      </c>
      <c r="R1754" s="480" t="s">
        <v>661</v>
      </c>
    </row>
    <row r="1755" spans="1:18">
      <c r="A1755" s="454"/>
      <c r="B1755" s="454" t="str">
        <v>Ceiling plaster</v>
      </c>
      <c r="C1755" s="456"/>
      <c r="D1755" s="456"/>
      <c r="E1755" s="456">
        <f>E1751</f>
        <v>15.79</v>
      </c>
      <c r="F1755" s="456"/>
      <c r="G1755" s="456">
        <f t="shared" si="307"/>
        <v>15.79</v>
      </c>
      <c r="H1755" s="456" t="str">
        <v>Sq M</v>
      </c>
      <c r="I1755" s="456" t="str">
        <v>Gypsum Plaster</v>
      </c>
      <c r="J1755" s="456">
        <v>32</v>
      </c>
      <c r="K1755" s="456">
        <v>344.44799999999998</v>
      </c>
      <c r="L1755" s="456">
        <f t="shared" si="308"/>
        <v>5438.8339199999991</v>
      </c>
      <c r="O1755" s="455">
        <f t="shared" si="311"/>
        <v>442.12</v>
      </c>
      <c r="P1755" s="455">
        <f t="shared" si="312"/>
        <v>152287.34975999998</v>
      </c>
      <c r="R1755" s="480" t="s">
        <v>662</v>
      </c>
    </row>
    <row r="1756" spans="1:18">
      <c r="A1756" s="454"/>
      <c r="B1756" s="454" t="str">
        <v>False ceiling</v>
      </c>
      <c r="C1756" s="456"/>
      <c r="D1756" s="456"/>
      <c r="E1756" s="456"/>
      <c r="F1756" s="456"/>
      <c r="G1756" s="456">
        <f t="shared" si="307"/>
        <v>0</v>
      </c>
      <c r="H1756" s="456" t="str">
        <v>Sq M</v>
      </c>
      <c r="I1756" s="456" t="str">
        <v>N.A.</v>
      </c>
      <c r="J1756" s="456">
        <v>0</v>
      </c>
      <c r="K1756" s="456">
        <v>0</v>
      </c>
      <c r="L1756" s="456">
        <f t="shared" si="308"/>
        <v>0</v>
      </c>
      <c r="O1756" s="455">
        <f t="shared" si="311"/>
        <v>0</v>
      </c>
      <c r="P1756" s="455">
        <f t="shared" si="312"/>
        <v>0</v>
      </c>
      <c r="R1756" s="480"/>
    </row>
    <row r="1757" spans="1:18">
      <c r="A1757" s="454"/>
      <c r="B1757" s="454" t="str">
        <v>Wall finishes Paint</v>
      </c>
      <c r="C1757" s="456"/>
      <c r="D1757" s="456"/>
      <c r="E1757" s="456">
        <f>E1754</f>
        <v>57.4955</v>
      </c>
      <c r="F1757" s="456">
        <f>F1754</f>
        <v>-10.022499999999999</v>
      </c>
      <c r="G1757" s="456">
        <f t="shared" si="307"/>
        <v>47.472999999999999</v>
      </c>
      <c r="H1757" s="456" t="str">
        <v>Sq M</v>
      </c>
      <c r="I1757" s="456" t="str">
        <v>Plastic paint</v>
      </c>
      <c r="J1757" s="456">
        <v>20</v>
      </c>
      <c r="K1757" s="456">
        <v>215.27999999999997</v>
      </c>
      <c r="L1757" s="456">
        <f t="shared" si="308"/>
        <v>10219.987439999999</v>
      </c>
      <c r="O1757" s="455">
        <f t="shared" si="311"/>
        <v>1329.2439999999999</v>
      </c>
      <c r="P1757" s="455">
        <f t="shared" si="312"/>
        <v>286159.64831999998</v>
      </c>
      <c r="R1757" s="480" t="s">
        <v>663</v>
      </c>
    </row>
    <row r="1758" spans="1:18">
      <c r="A1758" s="454"/>
      <c r="B1758" s="454" t="str">
        <v>Ceiling Paint</v>
      </c>
      <c r="C1758" s="456"/>
      <c r="D1758" s="456"/>
      <c r="E1758" s="456">
        <f>E1755</f>
        <v>15.79</v>
      </c>
      <c r="F1758" s="456"/>
      <c r="G1758" s="456">
        <f t="shared" si="307"/>
        <v>15.79</v>
      </c>
      <c r="H1758" s="456" t="str">
        <v>Sq M</v>
      </c>
      <c r="I1758" s="456" t="str">
        <v>Plastic paint</v>
      </c>
      <c r="J1758" s="456">
        <v>20</v>
      </c>
      <c r="K1758" s="456">
        <v>215.27999999999997</v>
      </c>
      <c r="L1758" s="456">
        <f t="shared" si="308"/>
        <v>3399.2711999999992</v>
      </c>
      <c r="O1758" s="455">
        <f t="shared" si="311"/>
        <v>442.12</v>
      </c>
      <c r="P1758" s="455">
        <f t="shared" si="312"/>
        <v>95179.593599999978</v>
      </c>
      <c r="R1758" s="480" t="s">
        <v>664</v>
      </c>
    </row>
    <row r="1759" spans="1:18">
      <c r="A1759" s="454"/>
      <c r="B1759" s="454" t="str">
        <v>Door Frames</v>
      </c>
      <c r="C1759" s="456"/>
      <c r="D1759" s="456"/>
      <c r="E1759" s="456"/>
      <c r="F1759" s="456"/>
      <c r="G1759" s="456">
        <f t="shared" si="307"/>
        <v>0</v>
      </c>
      <c r="H1759" s="456" t="str">
        <v>RM</v>
      </c>
      <c r="I1759" s="456" t="str">
        <v>N.A.</v>
      </c>
      <c r="J1759" s="456">
        <v>0</v>
      </c>
      <c r="K1759" s="456">
        <v>0</v>
      </c>
      <c r="L1759" s="456">
        <f t="shared" si="308"/>
        <v>0</v>
      </c>
      <c r="O1759" s="455">
        <f t="shared" si="311"/>
        <v>0</v>
      </c>
      <c r="P1759" s="455">
        <f t="shared" si="312"/>
        <v>0</v>
      </c>
      <c r="R1759" s="480"/>
    </row>
    <row r="1760" spans="1:18">
      <c r="A1760" s="454"/>
      <c r="B1760" s="454" t="str">
        <v>Window Frames - Internal</v>
      </c>
      <c r="C1760" s="456"/>
      <c r="D1760" s="456"/>
      <c r="E1760" s="456">
        <f>Windows!F150*2+Windows!G150*2</f>
        <v>10.399999999999999</v>
      </c>
      <c r="F1760" s="456"/>
      <c r="G1760" s="456">
        <f t="shared" si="307"/>
        <v>10.399999999999999</v>
      </c>
      <c r="H1760" s="456" t="str">
        <v>RM</v>
      </c>
      <c r="I1760" s="456" t="str">
        <v>Granite Window Frame</v>
      </c>
      <c r="J1760" s="456">
        <v>180</v>
      </c>
      <c r="K1760" s="456">
        <v>655.92719999999997</v>
      </c>
      <c r="L1760" s="456">
        <f t="shared" si="308"/>
        <v>6821.6428799999985</v>
      </c>
      <c r="O1760" s="455">
        <f t="shared" si="311"/>
        <v>291.19999999999993</v>
      </c>
      <c r="P1760" s="455">
        <f t="shared" si="312"/>
        <v>191006.00063999995</v>
      </c>
      <c r="R1760" s="480" t="s">
        <v>743</v>
      </c>
    </row>
    <row r="1761" spans="1:18">
      <c r="A1761" s="454"/>
      <c r="B1761" s="454" t="str">
        <v>Window Frames - External</v>
      </c>
      <c r="C1761" s="456"/>
      <c r="D1761" s="456"/>
      <c r="E1761" s="456">
        <f>E1760</f>
        <v>10.399999999999999</v>
      </c>
      <c r="F1761" s="456"/>
      <c r="G1761" s="456">
        <f t="shared" si="307"/>
        <v>10.399999999999999</v>
      </c>
      <c r="H1761" s="456" t="str">
        <v>RM</v>
      </c>
      <c r="I1761" s="456" t="str">
        <v>Marble Window Frames with Sill</v>
      </c>
      <c r="J1761" s="456">
        <v>60</v>
      </c>
      <c r="K1761" s="456">
        <v>399.04239999999999</v>
      </c>
      <c r="L1761" s="456">
        <f t="shared" si="308"/>
        <v>4150.0409599999994</v>
      </c>
      <c r="O1761" s="455">
        <f t="shared" si="311"/>
        <v>291.19999999999993</v>
      </c>
      <c r="P1761" s="455">
        <f t="shared" si="312"/>
        <v>116201.14687999999</v>
      </c>
      <c r="R1761" s="480" t="s">
        <v>409</v>
      </c>
    </row>
    <row r="1762" spans="1:18">
      <c r="A1762" s="454"/>
      <c r="B1762" s="454" t="str">
        <v>Others</v>
      </c>
      <c r="C1762" s="456"/>
      <c r="D1762" s="456"/>
      <c r="E1762" s="456"/>
      <c r="F1762" s="456"/>
      <c r="G1762" s="456">
        <f t="shared" si="307"/>
        <v>0</v>
      </c>
      <c r="H1762" s="456" t="str">
        <v>-</v>
      </c>
      <c r="I1762" s="456" t="str">
        <v>N.A.</v>
      </c>
      <c r="J1762" s="456">
        <v>0</v>
      </c>
      <c r="K1762" s="456">
        <v>0</v>
      </c>
      <c r="L1762" s="456">
        <f t="shared" si="308"/>
        <v>0</v>
      </c>
      <c r="O1762" s="455">
        <f t="shared" si="311"/>
        <v>0</v>
      </c>
      <c r="P1762" s="455">
        <f t="shared" si="312"/>
        <v>0</v>
      </c>
    </row>
    <row r="1763" spans="1:18" s="479" customFormat="1" ht="13.5" customHeight="1">
      <c r="A1763" s="475" t="s">
        <v>628</v>
      </c>
      <c r="B1763" s="476" t="str">
        <f>'Flat Sizes'!B146</f>
        <v>M. Toilet</v>
      </c>
      <c r="C1763" s="477">
        <f>'Flat Sizes'!D146</f>
        <v>3.46</v>
      </c>
      <c r="D1763" s="477">
        <f>'Flat Sizes'!G146</f>
        <v>7.92</v>
      </c>
      <c r="E1763" s="477"/>
      <c r="F1763" s="454"/>
      <c r="G1763" s="477"/>
      <c r="H1763" s="477"/>
      <c r="I1763" s="477"/>
      <c r="J1763" s="477"/>
      <c r="K1763" s="477"/>
      <c r="L1763" s="477"/>
      <c r="M1763" s="459">
        <f>SUM(L1764:L1775)/C1763/10.764</f>
        <v>1278.6626901811435</v>
      </c>
      <c r="N1763" s="472"/>
      <c r="O1763" s="455"/>
      <c r="P1763" s="455"/>
      <c r="Q1763" s="478"/>
    </row>
    <row r="1764" spans="1:18">
      <c r="A1764" s="454"/>
      <c r="B1764" s="454" t="str" cm="1">
        <f t="array" ref="B1764:B1775">'Rate List - Flats'!B62:B73</f>
        <v>Flooring</v>
      </c>
      <c r="C1764" s="456"/>
      <c r="D1764" s="456"/>
      <c r="E1764" s="456">
        <f>C1763</f>
        <v>3.46</v>
      </c>
      <c r="F1764" s="456"/>
      <c r="G1764" s="456">
        <f t="shared" si="307"/>
        <v>3.46</v>
      </c>
      <c r="H1764" s="456" t="str" cm="1">
        <f t="array" ref="H1764:H1775">'Rate List - Flats'!H62:H73</f>
        <v>Sq M</v>
      </c>
      <c r="I1764" s="456" t="str" cm="1">
        <f t="array" ref="I1764:I1775">'Rate List - Flats'!C62:C73</f>
        <v>Ceramic tiles/vitrified anti-skid tiles</v>
      </c>
      <c r="J1764" s="456" cm="1">
        <f t="array" ref="J1764:J1775">'Rate List - Flats'!E62:E73</f>
        <v>50</v>
      </c>
      <c r="K1764" s="456" cm="1">
        <f t="array" ref="K1764:K1775">'Rate List - Flats'!G62:G73</f>
        <v>1399.32</v>
      </c>
      <c r="L1764" s="456">
        <f t="shared" si="308"/>
        <v>4841.6471999999994</v>
      </c>
      <c r="O1764" s="455">
        <f t="shared" ref="O1764:O1775" si="313">IF(I1764="N.A",0,G1764*$N$1736)</f>
        <v>96.88</v>
      </c>
      <c r="P1764" s="455">
        <f t="shared" ref="P1764:P1775" si="314">L1764*$N$1736</f>
        <v>135566.12159999998</v>
      </c>
      <c r="R1764" s="480" t="s">
        <v>667</v>
      </c>
    </row>
    <row r="1765" spans="1:18">
      <c r="A1765" s="454"/>
      <c r="B1765" s="454" t="str">
        <v>Skirting</v>
      </c>
      <c r="C1765" s="456"/>
      <c r="D1765" s="456"/>
      <c r="E1765" s="456"/>
      <c r="F1765" s="456"/>
      <c r="G1765" s="456">
        <f t="shared" si="307"/>
        <v>0</v>
      </c>
      <c r="H1765" s="456" t="str">
        <v xml:space="preserve">RM </v>
      </c>
      <c r="I1765" s="456" t="str">
        <v>N.A.</v>
      </c>
      <c r="J1765" s="456">
        <v>0</v>
      </c>
      <c r="K1765" s="456">
        <v>0</v>
      </c>
      <c r="L1765" s="456">
        <f t="shared" si="308"/>
        <v>0</v>
      </c>
      <c r="O1765" s="455">
        <f t="shared" si="313"/>
        <v>0</v>
      </c>
      <c r="P1765" s="455">
        <f t="shared" si="314"/>
        <v>0</v>
      </c>
      <c r="R1765" s="480"/>
    </row>
    <row r="1766" spans="1:18">
      <c r="A1766" s="454"/>
      <c r="B1766" s="454" t="str">
        <v>Dado</v>
      </c>
      <c r="C1766" s="456"/>
      <c r="D1766" s="456">
        <f>D1-0.7</f>
        <v>2.4000000000000004</v>
      </c>
      <c r="E1766" s="456">
        <f>D1763*D1766</f>
        <v>19.008000000000003</v>
      </c>
      <c r="F1766" s="456">
        <f>-(Doors!H124+Windows!H151)</f>
        <v>-2.0250000000000004</v>
      </c>
      <c r="G1766" s="456">
        <f t="shared" si="307"/>
        <v>16.983000000000004</v>
      </c>
      <c r="H1766" s="456" t="str">
        <v>Sq M</v>
      </c>
      <c r="I1766" s="456" t="str">
        <v>Vitrified tiles</v>
      </c>
      <c r="J1766" s="456">
        <v>50</v>
      </c>
      <c r="K1766" s="456">
        <v>1480.05</v>
      </c>
      <c r="L1766" s="456">
        <f t="shared" si="308"/>
        <v>25135.689150000006</v>
      </c>
      <c r="O1766" s="455">
        <f t="shared" si="313"/>
        <v>475.52400000000011</v>
      </c>
      <c r="P1766" s="455">
        <f t="shared" si="314"/>
        <v>703799.29620000022</v>
      </c>
      <c r="R1766" s="480" t="s">
        <v>668</v>
      </c>
    </row>
    <row r="1767" spans="1:18">
      <c r="A1767" s="454"/>
      <c r="B1767" s="454" t="str">
        <v>Wall finishes plaster</v>
      </c>
      <c r="C1767" s="456"/>
      <c r="D1767" s="456">
        <f>D1-D1766</f>
        <v>0.69999999999999973</v>
      </c>
      <c r="E1767" s="456">
        <f>D1763*D1767</f>
        <v>5.5439999999999978</v>
      </c>
      <c r="F1767" s="456"/>
      <c r="G1767" s="456">
        <f t="shared" si="307"/>
        <v>5.5439999999999978</v>
      </c>
      <c r="H1767" s="456" t="str">
        <v>Sq M</v>
      </c>
      <c r="I1767" s="456" t="str">
        <v>Gypsum Plaster</v>
      </c>
      <c r="J1767" s="456">
        <v>32</v>
      </c>
      <c r="K1767" s="456">
        <v>344.44799999999998</v>
      </c>
      <c r="L1767" s="456">
        <f t="shared" si="308"/>
        <v>1909.619711999999</v>
      </c>
      <c r="O1767" s="455">
        <f t="shared" si="313"/>
        <v>155.23199999999994</v>
      </c>
      <c r="P1767" s="455">
        <f t="shared" si="314"/>
        <v>53469.35193599997</v>
      </c>
      <c r="R1767" s="480" t="s">
        <v>661</v>
      </c>
    </row>
    <row r="1768" spans="1:18">
      <c r="A1768" s="454"/>
      <c r="B1768" s="454" t="str">
        <v>Ceiling plaster</v>
      </c>
      <c r="C1768" s="456"/>
      <c r="D1768" s="456"/>
      <c r="E1768" s="456">
        <f>E1764</f>
        <v>3.46</v>
      </c>
      <c r="F1768" s="456"/>
      <c r="G1768" s="456">
        <f t="shared" si="307"/>
        <v>3.46</v>
      </c>
      <c r="H1768" s="456" t="str">
        <v>Sq M</v>
      </c>
      <c r="I1768" s="456" t="str">
        <v>Gypsum Plaster</v>
      </c>
      <c r="J1768" s="456">
        <v>32</v>
      </c>
      <c r="K1768" s="456">
        <v>344.44799999999998</v>
      </c>
      <c r="L1768" s="456">
        <f t="shared" si="308"/>
        <v>1191.79008</v>
      </c>
      <c r="O1768" s="455">
        <f t="shared" si="313"/>
        <v>96.88</v>
      </c>
      <c r="P1768" s="455">
        <f t="shared" si="314"/>
        <v>33370.122239999997</v>
      </c>
      <c r="R1768" s="480" t="s">
        <v>662</v>
      </c>
    </row>
    <row r="1769" spans="1:18">
      <c r="A1769" s="454"/>
      <c r="B1769" s="454" t="str">
        <v>False ceiling</v>
      </c>
      <c r="C1769" s="456"/>
      <c r="D1769" s="456"/>
      <c r="E1769" s="456"/>
      <c r="F1769" s="456"/>
      <c r="G1769" s="456">
        <f t="shared" si="307"/>
        <v>0</v>
      </c>
      <c r="H1769" s="456" t="str">
        <v>Sq M</v>
      </c>
      <c r="I1769" s="456" t="str">
        <v>N.A.</v>
      </c>
      <c r="J1769" s="456">
        <v>0</v>
      </c>
      <c r="K1769" s="456">
        <v>0</v>
      </c>
      <c r="L1769" s="456">
        <f t="shared" si="308"/>
        <v>0</v>
      </c>
      <c r="O1769" s="455">
        <f t="shared" si="313"/>
        <v>0</v>
      </c>
      <c r="P1769" s="455">
        <f t="shared" si="314"/>
        <v>0</v>
      </c>
      <c r="R1769" s="480"/>
    </row>
    <row r="1770" spans="1:18">
      <c r="A1770" s="454"/>
      <c r="B1770" s="454" t="str">
        <v>Wall finishes Paint</v>
      </c>
      <c r="C1770" s="456"/>
      <c r="D1770" s="456"/>
      <c r="E1770" s="456">
        <f>E1767</f>
        <v>5.5439999999999978</v>
      </c>
      <c r="F1770" s="456"/>
      <c r="G1770" s="456">
        <f t="shared" si="307"/>
        <v>5.5439999999999978</v>
      </c>
      <c r="H1770" s="456" t="str">
        <v>Sq M</v>
      </c>
      <c r="I1770" s="456" t="str">
        <v>Plastic paint</v>
      </c>
      <c r="J1770" s="456">
        <v>20</v>
      </c>
      <c r="K1770" s="456">
        <v>215.27999999999997</v>
      </c>
      <c r="L1770" s="456">
        <f t="shared" si="308"/>
        <v>1193.5123199999994</v>
      </c>
      <c r="O1770" s="455">
        <f t="shared" si="313"/>
        <v>155.23199999999994</v>
      </c>
      <c r="P1770" s="455">
        <f t="shared" si="314"/>
        <v>33418.34495999998</v>
      </c>
      <c r="R1770" s="480" t="s">
        <v>663</v>
      </c>
    </row>
    <row r="1771" spans="1:18">
      <c r="A1771" s="454"/>
      <c r="B1771" s="454" t="str">
        <v>Ceiling Paint</v>
      </c>
      <c r="C1771" s="456"/>
      <c r="D1771" s="456"/>
      <c r="E1771" s="456">
        <f>E1768</f>
        <v>3.46</v>
      </c>
      <c r="F1771" s="456"/>
      <c r="G1771" s="456">
        <f t="shared" si="307"/>
        <v>3.46</v>
      </c>
      <c r="H1771" s="456" t="str">
        <v>Sq M</v>
      </c>
      <c r="I1771" s="456" t="str">
        <v>Plastic paint</v>
      </c>
      <c r="J1771" s="456">
        <v>20</v>
      </c>
      <c r="K1771" s="456">
        <v>215.27999999999997</v>
      </c>
      <c r="L1771" s="456">
        <f t="shared" si="308"/>
        <v>744.86879999999985</v>
      </c>
      <c r="O1771" s="455">
        <f t="shared" si="313"/>
        <v>96.88</v>
      </c>
      <c r="P1771" s="455">
        <f t="shared" si="314"/>
        <v>20856.326399999994</v>
      </c>
      <c r="R1771" s="480" t="s">
        <v>664</v>
      </c>
    </row>
    <row r="1772" spans="1:18">
      <c r="A1772" s="454"/>
      <c r="B1772" s="454" t="str">
        <v>Door Frames</v>
      </c>
      <c r="C1772" s="456"/>
      <c r="D1772" s="456"/>
      <c r="E1772" s="456">
        <f>Doors!F124*4+Doors!G124*4</f>
        <v>11.4</v>
      </c>
      <c r="F1772" s="456"/>
      <c r="G1772" s="456">
        <f t="shared" si="307"/>
        <v>11.4</v>
      </c>
      <c r="H1772" s="456" t="str">
        <v>RM</v>
      </c>
      <c r="I1772" s="456" t="str">
        <v>Granite Frames</v>
      </c>
      <c r="J1772" s="456">
        <v>180</v>
      </c>
      <c r="K1772" s="456">
        <v>655.92719999999997</v>
      </c>
      <c r="L1772" s="456">
        <f t="shared" si="308"/>
        <v>7477.5700799999995</v>
      </c>
      <c r="O1772" s="455">
        <f t="shared" si="313"/>
        <v>319.2</v>
      </c>
      <c r="P1772" s="455">
        <f t="shared" si="314"/>
        <v>209371.96223999999</v>
      </c>
      <c r="R1772" s="480" t="s">
        <v>669</v>
      </c>
    </row>
    <row r="1773" spans="1:18">
      <c r="A1773" s="454"/>
      <c r="B1773" s="454" t="str">
        <v>Window Frames - Internal</v>
      </c>
      <c r="C1773" s="456"/>
      <c r="D1773" s="456"/>
      <c r="E1773" s="456">
        <f>Windows!F151*2+Windows!G151*2</f>
        <v>2.7</v>
      </c>
      <c r="F1773" s="456"/>
      <c r="G1773" s="456">
        <f t="shared" si="307"/>
        <v>2.7</v>
      </c>
      <c r="H1773" s="456" t="str">
        <v>RM</v>
      </c>
      <c r="I1773" s="456" t="str">
        <v>Granite Window Frame</v>
      </c>
      <c r="J1773" s="456">
        <v>180</v>
      </c>
      <c r="K1773" s="456">
        <v>655.92719999999997</v>
      </c>
      <c r="L1773" s="456">
        <f t="shared" si="308"/>
        <v>1771.00344</v>
      </c>
      <c r="O1773" s="455">
        <f t="shared" si="313"/>
        <v>75.600000000000009</v>
      </c>
      <c r="P1773" s="455">
        <f t="shared" si="314"/>
        <v>49588.096319999997</v>
      </c>
      <c r="R1773" s="480" t="s">
        <v>743</v>
      </c>
    </row>
    <row r="1774" spans="1:18">
      <c r="A1774" s="454"/>
      <c r="B1774" s="454" t="str">
        <v>Window Frames - External</v>
      </c>
      <c r="C1774" s="456"/>
      <c r="D1774" s="456"/>
      <c r="E1774" s="456">
        <f>E1773</f>
        <v>2.7</v>
      </c>
      <c r="F1774" s="456"/>
      <c r="G1774" s="456">
        <f t="shared" si="307"/>
        <v>2.7</v>
      </c>
      <c r="H1774" s="456" t="str">
        <v>RM</v>
      </c>
      <c r="I1774" s="456" t="str">
        <v>Marble Window Frames with Sill</v>
      </c>
      <c r="J1774" s="456">
        <v>60</v>
      </c>
      <c r="K1774" s="456">
        <v>399.04239999999999</v>
      </c>
      <c r="L1774" s="456">
        <f t="shared" si="308"/>
        <v>1077.4144800000001</v>
      </c>
      <c r="O1774" s="455">
        <f t="shared" si="313"/>
        <v>75.600000000000009</v>
      </c>
      <c r="P1774" s="455">
        <f t="shared" si="314"/>
        <v>30167.605440000003</v>
      </c>
      <c r="R1774" s="480" t="s">
        <v>409</v>
      </c>
    </row>
    <row r="1775" spans="1:18">
      <c r="A1775" s="454"/>
      <c r="B1775" s="454" t="str">
        <v>Others - Counter</v>
      </c>
      <c r="C1775" s="456"/>
      <c r="D1775" s="456"/>
      <c r="E1775" s="456">
        <f>0.6*0.6</f>
        <v>0.36</v>
      </c>
      <c r="F1775" s="456"/>
      <c r="G1775" s="456">
        <f t="shared" si="307"/>
        <v>0.36</v>
      </c>
      <c r="H1775" s="456" t="str">
        <v>Sq M</v>
      </c>
      <c r="I1775" s="456" t="str">
        <v>Basin Counter 1'6" - Granite Basin Counter</v>
      </c>
      <c r="J1775" s="456">
        <v>180</v>
      </c>
      <c r="K1775" s="456">
        <v>6329.6720000000005</v>
      </c>
      <c r="L1775" s="456">
        <f t="shared" si="308"/>
        <v>2278.68192</v>
      </c>
      <c r="O1775" s="455">
        <f t="shared" si="313"/>
        <v>10.08</v>
      </c>
      <c r="P1775" s="455">
        <f t="shared" si="314"/>
        <v>63803.093760000003</v>
      </c>
      <c r="R1775" s="480" t="s">
        <v>670</v>
      </c>
    </row>
    <row r="1776" spans="1:18" s="479" customFormat="1" ht="13.5" customHeight="1">
      <c r="A1776" s="475" t="s">
        <v>628</v>
      </c>
      <c r="B1776" s="476" t="str">
        <f>'Flat Sizes'!B147</f>
        <v>C. Bedroom</v>
      </c>
      <c r="C1776" s="477">
        <f>'Flat Sizes'!D147</f>
        <v>10.67</v>
      </c>
      <c r="D1776" s="477">
        <f>'Flat Sizes'!G147</f>
        <v>13.55</v>
      </c>
      <c r="E1776" s="477"/>
      <c r="F1776" s="454"/>
      <c r="G1776" s="477"/>
      <c r="H1776" s="477"/>
      <c r="I1776" s="477"/>
      <c r="J1776" s="477"/>
      <c r="K1776" s="477"/>
      <c r="L1776" s="477"/>
      <c r="M1776" s="459">
        <f>SUM(L1777:L1788)/C1776/10.764</f>
        <v>496.04175935126187</v>
      </c>
      <c r="N1776" s="472"/>
      <c r="O1776" s="455"/>
      <c r="P1776" s="455"/>
      <c r="Q1776" s="478"/>
    </row>
    <row r="1777" spans="1:18">
      <c r="A1777" s="454"/>
      <c r="B1777" s="454" t="str" cm="1">
        <f t="array" ref="B1777:B1788">'Rate List - Flats'!B48:B59</f>
        <v>Flooring</v>
      </c>
      <c r="C1777" s="456"/>
      <c r="D1777" s="456"/>
      <c r="E1777" s="456">
        <f>C1776</f>
        <v>10.67</v>
      </c>
      <c r="F1777" s="456"/>
      <c r="G1777" s="456">
        <f t="shared" si="307"/>
        <v>10.67</v>
      </c>
      <c r="H1777" s="456" t="str" cm="1">
        <f t="array" ref="H1777:H1788">'Rate List - Flats'!H48:H59</f>
        <v>Sq M</v>
      </c>
      <c r="I1777" s="456" t="str" cm="1">
        <f t="array" ref="I1777:I1788">'Rate List - Flats'!C48:C59</f>
        <v>2'x2' Vitrified tiles</v>
      </c>
      <c r="J1777" s="456" cm="1">
        <f t="array" ref="J1777:J1788">'Rate List - Flats'!E48:E59</f>
        <v>45</v>
      </c>
      <c r="K1777" s="456" cm="1">
        <f t="array" ref="K1777:K1788">'Rate List - Flats'!G48:G59</f>
        <v>1340.1179999999999</v>
      </c>
      <c r="L1777" s="456">
        <f t="shared" si="308"/>
        <v>14299.05906</v>
      </c>
      <c r="O1777" s="455">
        <f t="shared" ref="O1777:O1787" si="315">IF(I1777="N.A",0,G1777*$N$1736)</f>
        <v>298.76</v>
      </c>
      <c r="P1777" s="455">
        <f t="shared" ref="P1777:P1787" si="316">L1777*$N$1736</f>
        <v>400373.65367999999</v>
      </c>
      <c r="R1777" s="480" t="s">
        <v>659</v>
      </c>
    </row>
    <row r="1778" spans="1:18">
      <c r="A1778" s="454"/>
      <c r="B1778" s="454" t="str">
        <v>Skirting</v>
      </c>
      <c r="C1778" s="456"/>
      <c r="D1778" s="456"/>
      <c r="E1778" s="456">
        <f>D1776</f>
        <v>13.55</v>
      </c>
      <c r="F1778" s="456">
        <f>-(Doors!F125+Doors!F126)</f>
        <v>-1.65</v>
      </c>
      <c r="G1778" s="456">
        <f t="shared" si="307"/>
        <v>11.9</v>
      </c>
      <c r="H1778" s="456" t="str">
        <v>RM</v>
      </c>
      <c r="I1778" s="456" t="str">
        <v xml:space="preserve">2'x2' Vitrified tiles </v>
      </c>
      <c r="J1778" s="456">
        <v>45</v>
      </c>
      <c r="K1778" s="456">
        <v>391.96</v>
      </c>
      <c r="L1778" s="456">
        <f t="shared" si="308"/>
        <v>4664.3239999999996</v>
      </c>
      <c r="O1778" s="455">
        <f t="shared" si="315"/>
        <v>333.2</v>
      </c>
      <c r="P1778" s="455">
        <f t="shared" si="316"/>
        <v>130601.07199999999</v>
      </c>
      <c r="R1778" s="480" t="s">
        <v>660</v>
      </c>
    </row>
    <row r="1779" spans="1:18">
      <c r="A1779" s="454"/>
      <c r="B1779" s="454" t="str">
        <v>Dado</v>
      </c>
      <c r="C1779" s="456"/>
      <c r="D1779" s="456"/>
      <c r="E1779" s="456"/>
      <c r="F1779" s="456"/>
      <c r="G1779" s="456">
        <f t="shared" si="307"/>
        <v>0</v>
      </c>
      <c r="H1779" s="456" t="str">
        <v>Sq M</v>
      </c>
      <c r="I1779" s="456" t="str">
        <v>N.A.</v>
      </c>
      <c r="J1779" s="456">
        <v>0</v>
      </c>
      <c r="K1779" s="456">
        <v>0</v>
      </c>
      <c r="L1779" s="456">
        <f t="shared" si="308"/>
        <v>0</v>
      </c>
      <c r="O1779" s="455">
        <f t="shared" si="315"/>
        <v>0</v>
      </c>
      <c r="P1779" s="455">
        <f t="shared" si="316"/>
        <v>0</v>
      </c>
      <c r="R1779" s="480"/>
    </row>
    <row r="1780" spans="1:18">
      <c r="A1780" s="454"/>
      <c r="B1780" s="454" t="str">
        <v>Wall finishes plaster</v>
      </c>
      <c r="C1780" s="456"/>
      <c r="D1780" s="456"/>
      <c r="E1780" s="456">
        <f>D1776*(D1-0.15)</f>
        <v>39.972500000000004</v>
      </c>
      <c r="F1780" s="456">
        <f>-(Doors!H125+Windows!H153)</f>
        <v>-2.34</v>
      </c>
      <c r="G1780" s="456">
        <f t="shared" si="307"/>
        <v>37.632500000000007</v>
      </c>
      <c r="H1780" s="456" t="str">
        <v>Sq M</v>
      </c>
      <c r="I1780" s="456" t="str">
        <v>Gypsum Plaster</v>
      </c>
      <c r="J1780" s="456">
        <v>32</v>
      </c>
      <c r="K1780" s="456">
        <v>344.44799999999998</v>
      </c>
      <c r="L1780" s="456">
        <f t="shared" si="308"/>
        <v>12962.439360000002</v>
      </c>
      <c r="O1780" s="455">
        <f t="shared" si="315"/>
        <v>1053.7100000000003</v>
      </c>
      <c r="P1780" s="455">
        <f t="shared" si="316"/>
        <v>362948.30208000005</v>
      </c>
      <c r="R1780" s="480" t="s">
        <v>661</v>
      </c>
    </row>
    <row r="1781" spans="1:18">
      <c r="A1781" s="454"/>
      <c r="B1781" s="454" t="str">
        <v>Ceiling plaster</v>
      </c>
      <c r="C1781" s="456"/>
      <c r="D1781" s="456"/>
      <c r="E1781" s="456">
        <f>E1777</f>
        <v>10.67</v>
      </c>
      <c r="F1781" s="456"/>
      <c r="G1781" s="456">
        <f t="shared" si="307"/>
        <v>10.67</v>
      </c>
      <c r="H1781" s="456" t="str">
        <v>Sq M</v>
      </c>
      <c r="I1781" s="456" t="str">
        <v>Gypsum Plaster</v>
      </c>
      <c r="J1781" s="456">
        <v>32</v>
      </c>
      <c r="K1781" s="456">
        <v>344.44799999999998</v>
      </c>
      <c r="L1781" s="456">
        <f t="shared" si="308"/>
        <v>3675.2601599999998</v>
      </c>
      <c r="O1781" s="455">
        <f t="shared" si="315"/>
        <v>298.76</v>
      </c>
      <c r="P1781" s="455">
        <f t="shared" si="316"/>
        <v>102907.28448</v>
      </c>
      <c r="R1781" s="480" t="s">
        <v>662</v>
      </c>
    </row>
    <row r="1782" spans="1:18">
      <c r="A1782" s="454"/>
      <c r="B1782" s="454" t="str">
        <v>False ceiling</v>
      </c>
      <c r="C1782" s="456"/>
      <c r="D1782" s="456"/>
      <c r="E1782" s="456"/>
      <c r="F1782" s="456"/>
      <c r="G1782" s="456">
        <f t="shared" si="307"/>
        <v>0</v>
      </c>
      <c r="H1782" s="456" t="str">
        <v>Sq M</v>
      </c>
      <c r="I1782" s="456" t="str">
        <v>N.A.</v>
      </c>
      <c r="J1782" s="456">
        <v>0</v>
      </c>
      <c r="K1782" s="456">
        <v>0</v>
      </c>
      <c r="L1782" s="456">
        <f t="shared" si="308"/>
        <v>0</v>
      </c>
      <c r="O1782" s="455">
        <f t="shared" si="315"/>
        <v>0</v>
      </c>
      <c r="P1782" s="455">
        <f t="shared" si="316"/>
        <v>0</v>
      </c>
      <c r="R1782" s="480"/>
    </row>
    <row r="1783" spans="1:18">
      <c r="A1783" s="454"/>
      <c r="B1783" s="454" t="str">
        <v>Wall finishes Paint</v>
      </c>
      <c r="C1783" s="456"/>
      <c r="D1783" s="456"/>
      <c r="E1783" s="456">
        <f>E1780</f>
        <v>39.972500000000004</v>
      </c>
      <c r="F1783" s="456">
        <f>F1780</f>
        <v>-2.34</v>
      </c>
      <c r="G1783" s="456">
        <f t="shared" si="307"/>
        <v>37.632500000000007</v>
      </c>
      <c r="H1783" s="456" t="str">
        <v>Sq M</v>
      </c>
      <c r="I1783" s="456" t="str">
        <v>Plastic paint</v>
      </c>
      <c r="J1783" s="456">
        <v>20</v>
      </c>
      <c r="K1783" s="456">
        <v>215.27999999999997</v>
      </c>
      <c r="L1783" s="456">
        <f t="shared" si="308"/>
        <v>8101.5246000000006</v>
      </c>
      <c r="O1783" s="455">
        <f t="shared" si="315"/>
        <v>1053.7100000000003</v>
      </c>
      <c r="P1783" s="455">
        <f t="shared" si="316"/>
        <v>226842.6888</v>
      </c>
      <c r="R1783" s="480" t="s">
        <v>663</v>
      </c>
    </row>
    <row r="1784" spans="1:18">
      <c r="A1784" s="454"/>
      <c r="B1784" s="454" t="str">
        <v>Ceiling Paint</v>
      </c>
      <c r="C1784" s="456"/>
      <c r="D1784" s="456"/>
      <c r="E1784" s="456">
        <f>E1781</f>
        <v>10.67</v>
      </c>
      <c r="F1784" s="456"/>
      <c r="G1784" s="456">
        <f t="shared" si="307"/>
        <v>10.67</v>
      </c>
      <c r="H1784" s="456" t="str">
        <v>Sq M</v>
      </c>
      <c r="I1784" s="456" t="str">
        <v>Plastic paint</v>
      </c>
      <c r="J1784" s="456">
        <v>20</v>
      </c>
      <c r="K1784" s="456">
        <v>215.27999999999997</v>
      </c>
      <c r="L1784" s="456">
        <f t="shared" si="308"/>
        <v>2297.0375999999997</v>
      </c>
      <c r="O1784" s="455">
        <f t="shared" si="315"/>
        <v>298.76</v>
      </c>
      <c r="P1784" s="455">
        <f t="shared" si="316"/>
        <v>64317.05279999999</v>
      </c>
      <c r="R1784" s="480" t="s">
        <v>664</v>
      </c>
    </row>
    <row r="1785" spans="1:18">
      <c r="A1785" s="454"/>
      <c r="B1785" s="454" t="str">
        <v>Door Frames</v>
      </c>
      <c r="C1785" s="456"/>
      <c r="D1785" s="456"/>
      <c r="E1785" s="456"/>
      <c r="F1785" s="456"/>
      <c r="G1785" s="456">
        <f t="shared" si="307"/>
        <v>0</v>
      </c>
      <c r="H1785" s="456" t="str">
        <v>RM</v>
      </c>
      <c r="I1785" s="456" t="str">
        <v>N.A.</v>
      </c>
      <c r="J1785" s="456">
        <v>0</v>
      </c>
      <c r="K1785" s="456">
        <v>0</v>
      </c>
      <c r="L1785" s="456">
        <f t="shared" si="308"/>
        <v>0</v>
      </c>
      <c r="O1785" s="455">
        <f t="shared" si="315"/>
        <v>0</v>
      </c>
      <c r="P1785" s="455">
        <f t="shared" si="316"/>
        <v>0</v>
      </c>
      <c r="R1785" s="480"/>
    </row>
    <row r="1786" spans="1:18">
      <c r="A1786" s="454"/>
      <c r="B1786" s="454" t="str">
        <v>Window Frames - Internal</v>
      </c>
      <c r="C1786" s="456"/>
      <c r="D1786" s="456"/>
      <c r="E1786" s="456">
        <f>Windows!F152*2+Windows!G152*2</f>
        <v>10.399999999999999</v>
      </c>
      <c r="F1786" s="456"/>
      <c r="G1786" s="456">
        <f t="shared" si="307"/>
        <v>10.399999999999999</v>
      </c>
      <c r="H1786" s="456" t="str">
        <v>RM</v>
      </c>
      <c r="I1786" s="456" t="str">
        <v>Granite Window Frame</v>
      </c>
      <c r="J1786" s="456">
        <v>180</v>
      </c>
      <c r="K1786" s="456">
        <v>655.92719999999997</v>
      </c>
      <c r="L1786" s="456">
        <f t="shared" si="308"/>
        <v>6821.6428799999985</v>
      </c>
      <c r="O1786" s="455">
        <f t="shared" si="315"/>
        <v>291.19999999999993</v>
      </c>
      <c r="P1786" s="455">
        <f t="shared" si="316"/>
        <v>191006.00063999995</v>
      </c>
      <c r="R1786" s="480" t="s">
        <v>743</v>
      </c>
    </row>
    <row r="1787" spans="1:18">
      <c r="A1787" s="454"/>
      <c r="B1787" s="454" t="str">
        <v>Window Frames - External</v>
      </c>
      <c r="C1787" s="456"/>
      <c r="D1787" s="456"/>
      <c r="E1787" s="456">
        <f>E1786</f>
        <v>10.399999999999999</v>
      </c>
      <c r="F1787" s="456"/>
      <c r="G1787" s="456">
        <f t="shared" si="307"/>
        <v>10.399999999999999</v>
      </c>
      <c r="H1787" s="456" t="str">
        <v>RM</v>
      </c>
      <c r="I1787" s="456" t="str">
        <v>Marble Window Frames with Sill</v>
      </c>
      <c r="J1787" s="456">
        <v>60</v>
      </c>
      <c r="K1787" s="456">
        <v>399.04239999999999</v>
      </c>
      <c r="L1787" s="456">
        <f t="shared" si="308"/>
        <v>4150.0409599999994</v>
      </c>
      <c r="O1787" s="455">
        <f t="shared" si="315"/>
        <v>291.19999999999993</v>
      </c>
      <c r="P1787" s="455">
        <f t="shared" si="316"/>
        <v>116201.14687999999</v>
      </c>
      <c r="R1787" s="480" t="s">
        <v>409</v>
      </c>
    </row>
    <row r="1788" spans="1:18">
      <c r="A1788" s="454"/>
      <c r="B1788" s="454" t="str">
        <v>Others</v>
      </c>
      <c r="C1788" s="456"/>
      <c r="D1788" s="456"/>
      <c r="E1788" s="456"/>
      <c r="F1788" s="456"/>
      <c r="G1788" s="456">
        <f t="shared" si="307"/>
        <v>0</v>
      </c>
      <c r="H1788" s="456" t="str">
        <v>-</v>
      </c>
      <c r="I1788" s="456" t="str">
        <v>N.A.</v>
      </c>
      <c r="J1788" s="456">
        <v>0</v>
      </c>
      <c r="K1788" s="456">
        <v>0</v>
      </c>
      <c r="L1788" s="456">
        <f t="shared" si="308"/>
        <v>0</v>
      </c>
      <c r="O1788" s="455"/>
      <c r="P1788" s="455"/>
    </row>
    <row r="1789" spans="1:18" s="479" customFormat="1" ht="13.5" customHeight="1">
      <c r="A1789" s="475" t="s">
        <v>628</v>
      </c>
      <c r="B1789" s="476" t="str">
        <f>'Flat Sizes'!B148</f>
        <v>C. Toilet</v>
      </c>
      <c r="C1789" s="477">
        <f>'Flat Sizes'!D148</f>
        <v>3.35</v>
      </c>
      <c r="D1789" s="477">
        <f>'Flat Sizes'!G148</f>
        <v>7.75</v>
      </c>
      <c r="E1789" s="477"/>
      <c r="F1789" s="454"/>
      <c r="G1789" s="477"/>
      <c r="H1789" s="477"/>
      <c r="I1789" s="477"/>
      <c r="J1789" s="477"/>
      <c r="K1789" s="477"/>
      <c r="L1789" s="477"/>
      <c r="M1789" s="459">
        <f>SUM(L1790:L1801)/C1789/10.764</f>
        <v>1296.0790770229123</v>
      </c>
      <c r="N1789" s="472"/>
      <c r="O1789" s="455"/>
      <c r="P1789" s="455"/>
      <c r="Q1789" s="478"/>
    </row>
    <row r="1790" spans="1:18">
      <c r="A1790" s="454"/>
      <c r="B1790" s="454" t="str" cm="1">
        <f t="array" ref="B1790:B1801">'Rate List - Flats'!B76:B87</f>
        <v>Flooring</v>
      </c>
      <c r="C1790" s="456"/>
      <c r="D1790" s="456"/>
      <c r="E1790" s="456">
        <f>C1789</f>
        <v>3.35</v>
      </c>
      <c r="F1790" s="456"/>
      <c r="G1790" s="456">
        <f t="shared" si="307"/>
        <v>3.35</v>
      </c>
      <c r="H1790" s="456" t="str" cm="1">
        <f t="array" ref="H1790:H1801">'Rate List - Flats'!H76:H87</f>
        <v>Sq M</v>
      </c>
      <c r="I1790" s="456" t="str" cm="1">
        <f t="array" ref="I1790:I1801">'Rate List - Flats'!C76:C87</f>
        <v>ceramic tiles/vitrified anti-skid tiles</v>
      </c>
      <c r="J1790" s="456" cm="1">
        <f t="array" ref="J1790:J1801">'Rate List - Flats'!E76:E87</f>
        <v>50</v>
      </c>
      <c r="K1790" s="456" cm="1">
        <f t="array" ref="K1790:K1801">'Rate List - Flats'!G76:G87</f>
        <v>1399.32</v>
      </c>
      <c r="L1790" s="456">
        <f t="shared" si="308"/>
        <v>4687.7219999999998</v>
      </c>
      <c r="O1790" s="455">
        <f t="shared" ref="O1790:O1801" si="317">IF(I1790="N.A",0,G1790*$N$1736)</f>
        <v>93.8</v>
      </c>
      <c r="P1790" s="455">
        <f t="shared" ref="P1790:P1801" si="318">L1790*$N$1736</f>
        <v>131256.21599999999</v>
      </c>
      <c r="R1790" s="480" t="s">
        <v>667</v>
      </c>
    </row>
    <row r="1791" spans="1:18">
      <c r="A1791" s="454"/>
      <c r="B1791" s="454" t="str">
        <v>Skirting</v>
      </c>
      <c r="C1791" s="456"/>
      <c r="D1791" s="456"/>
      <c r="E1791" s="456"/>
      <c r="F1791" s="456"/>
      <c r="G1791" s="456">
        <f t="shared" si="307"/>
        <v>0</v>
      </c>
      <c r="H1791" s="456" t="str">
        <v xml:space="preserve">RM </v>
      </c>
      <c r="I1791" s="456" t="str">
        <v>N.A.</v>
      </c>
      <c r="J1791" s="456">
        <v>0</v>
      </c>
      <c r="K1791" s="456">
        <v>0</v>
      </c>
      <c r="L1791" s="456">
        <f t="shared" si="308"/>
        <v>0</v>
      </c>
      <c r="O1791" s="455">
        <f t="shared" si="317"/>
        <v>0</v>
      </c>
      <c r="P1791" s="455">
        <f t="shared" si="318"/>
        <v>0</v>
      </c>
      <c r="R1791" s="480"/>
    </row>
    <row r="1792" spans="1:18">
      <c r="A1792" s="454"/>
      <c r="B1792" s="454" t="str">
        <v>Dado</v>
      </c>
      <c r="C1792" s="456"/>
      <c r="D1792" s="456">
        <f>D1-0.7</f>
        <v>2.4000000000000004</v>
      </c>
      <c r="E1792" s="456">
        <f>D1792*D1789</f>
        <v>18.600000000000001</v>
      </c>
      <c r="F1792" s="456">
        <f>-(Doors!H126+Windows!H153)</f>
        <v>-2.0250000000000004</v>
      </c>
      <c r="G1792" s="456">
        <f t="shared" si="307"/>
        <v>16.575000000000003</v>
      </c>
      <c r="H1792" s="456" t="str">
        <v>Sq M</v>
      </c>
      <c r="I1792" s="456" t="str">
        <v>Vitrified tiles</v>
      </c>
      <c r="J1792" s="456">
        <v>50</v>
      </c>
      <c r="K1792" s="456">
        <v>1480.05</v>
      </c>
      <c r="L1792" s="456">
        <f t="shared" si="308"/>
        <v>24531.828750000004</v>
      </c>
      <c r="O1792" s="455">
        <f t="shared" si="317"/>
        <v>464.10000000000008</v>
      </c>
      <c r="P1792" s="455">
        <f t="shared" si="318"/>
        <v>686891.20500000007</v>
      </c>
      <c r="R1792" s="480" t="s">
        <v>668</v>
      </c>
    </row>
    <row r="1793" spans="1:18">
      <c r="A1793" s="454"/>
      <c r="B1793" s="454" t="str">
        <v>Wall finishes plaster</v>
      </c>
      <c r="C1793" s="456"/>
      <c r="D1793" s="456">
        <f>D1-D1792</f>
        <v>0.69999999999999973</v>
      </c>
      <c r="E1793" s="456">
        <f>D1789*D1793</f>
        <v>5.424999999999998</v>
      </c>
      <c r="F1793" s="456"/>
      <c r="G1793" s="456">
        <f t="shared" si="307"/>
        <v>5.424999999999998</v>
      </c>
      <c r="H1793" s="456" t="str">
        <v>Sq M</v>
      </c>
      <c r="I1793" s="456" t="str">
        <v>Gypsum Plaster</v>
      </c>
      <c r="J1793" s="456">
        <v>32</v>
      </c>
      <c r="K1793" s="456">
        <v>344.44799999999998</v>
      </c>
      <c r="L1793" s="456">
        <f t="shared" si="308"/>
        <v>1868.6303999999993</v>
      </c>
      <c r="O1793" s="455">
        <f t="shared" si="317"/>
        <v>151.89999999999995</v>
      </c>
      <c r="P1793" s="455">
        <f t="shared" si="318"/>
        <v>52321.651199999978</v>
      </c>
      <c r="R1793" s="480" t="s">
        <v>661</v>
      </c>
    </row>
    <row r="1794" spans="1:18">
      <c r="A1794" s="454"/>
      <c r="B1794" s="454" t="str">
        <v>Ceiling plaster</v>
      </c>
      <c r="C1794" s="456"/>
      <c r="D1794" s="456"/>
      <c r="E1794" s="456">
        <f>E1790</f>
        <v>3.35</v>
      </c>
      <c r="F1794" s="456"/>
      <c r="G1794" s="456">
        <f t="shared" si="307"/>
        <v>3.35</v>
      </c>
      <c r="H1794" s="456" t="str">
        <v>Sq M</v>
      </c>
      <c r="I1794" s="456" t="str">
        <v>Gypsum Plaster</v>
      </c>
      <c r="J1794" s="456">
        <v>32</v>
      </c>
      <c r="K1794" s="456">
        <v>344.44799999999998</v>
      </c>
      <c r="L1794" s="456">
        <f t="shared" si="308"/>
        <v>1153.9007999999999</v>
      </c>
      <c r="O1794" s="455">
        <f t="shared" si="317"/>
        <v>93.8</v>
      </c>
      <c r="P1794" s="455">
        <f t="shared" si="318"/>
        <v>32309.222399999999</v>
      </c>
      <c r="R1794" s="480" t="s">
        <v>662</v>
      </c>
    </row>
    <row r="1795" spans="1:18">
      <c r="A1795" s="454"/>
      <c r="B1795" s="454" t="str">
        <v>False ceiling</v>
      </c>
      <c r="C1795" s="456"/>
      <c r="D1795" s="456"/>
      <c r="E1795" s="456"/>
      <c r="F1795" s="456"/>
      <c r="G1795" s="456">
        <f t="shared" si="307"/>
        <v>0</v>
      </c>
      <c r="H1795" s="456" t="str">
        <v>Sq M</v>
      </c>
      <c r="I1795" s="456" t="str">
        <v>N.A.</v>
      </c>
      <c r="J1795" s="456">
        <v>0</v>
      </c>
      <c r="K1795" s="456">
        <v>0</v>
      </c>
      <c r="L1795" s="456">
        <f t="shared" si="308"/>
        <v>0</v>
      </c>
      <c r="O1795" s="455">
        <f t="shared" si="317"/>
        <v>0</v>
      </c>
      <c r="P1795" s="455">
        <f t="shared" si="318"/>
        <v>0</v>
      </c>
      <c r="R1795" s="480"/>
    </row>
    <row r="1796" spans="1:18">
      <c r="A1796" s="454"/>
      <c r="B1796" s="454" t="str">
        <v>Wall finishes Paint</v>
      </c>
      <c r="C1796" s="456"/>
      <c r="D1796" s="456"/>
      <c r="E1796" s="456">
        <f>E1793</f>
        <v>5.424999999999998</v>
      </c>
      <c r="F1796" s="456"/>
      <c r="G1796" s="456">
        <f t="shared" si="307"/>
        <v>5.424999999999998</v>
      </c>
      <c r="H1796" s="456" t="str">
        <v>Sq M</v>
      </c>
      <c r="I1796" s="456" t="str">
        <v>Plastic paint</v>
      </c>
      <c r="J1796" s="456">
        <v>20</v>
      </c>
      <c r="K1796" s="456">
        <v>215.27999999999997</v>
      </c>
      <c r="L1796" s="456">
        <f t="shared" si="308"/>
        <v>1167.8939999999993</v>
      </c>
      <c r="O1796" s="455">
        <f t="shared" si="317"/>
        <v>151.89999999999995</v>
      </c>
      <c r="P1796" s="455">
        <f t="shared" si="318"/>
        <v>32701.031999999981</v>
      </c>
      <c r="R1796" s="480" t="s">
        <v>663</v>
      </c>
    </row>
    <row r="1797" spans="1:18">
      <c r="A1797" s="454"/>
      <c r="B1797" s="454" t="str">
        <v>Ceiling Paint</v>
      </c>
      <c r="C1797" s="456"/>
      <c r="D1797" s="456"/>
      <c r="E1797" s="456">
        <f>E1794</f>
        <v>3.35</v>
      </c>
      <c r="F1797" s="456"/>
      <c r="G1797" s="456">
        <f t="shared" si="307"/>
        <v>3.35</v>
      </c>
      <c r="H1797" s="456" t="str">
        <v>Sq M</v>
      </c>
      <c r="I1797" s="456" t="str">
        <v>Plastic paint</v>
      </c>
      <c r="J1797" s="456">
        <v>20</v>
      </c>
      <c r="K1797" s="456">
        <v>215.27999999999997</v>
      </c>
      <c r="L1797" s="456">
        <f t="shared" si="308"/>
        <v>721.18799999999987</v>
      </c>
      <c r="O1797" s="455">
        <f t="shared" si="317"/>
        <v>93.8</v>
      </c>
      <c r="P1797" s="455">
        <f t="shared" si="318"/>
        <v>20193.263999999996</v>
      </c>
      <c r="R1797" s="480" t="s">
        <v>664</v>
      </c>
    </row>
    <row r="1798" spans="1:18">
      <c r="A1798" s="454"/>
      <c r="B1798" s="454" t="str">
        <v>Door Frames</v>
      </c>
      <c r="C1798" s="456"/>
      <c r="D1798" s="456"/>
      <c r="E1798" s="456">
        <f>Doors!F126*4+Doors!G126*4</f>
        <v>11.4</v>
      </c>
      <c r="F1798" s="456"/>
      <c r="G1798" s="456">
        <f t="shared" si="307"/>
        <v>11.4</v>
      </c>
      <c r="H1798" s="456" t="str">
        <v>RM</v>
      </c>
      <c r="I1798" s="456" t="str">
        <v>Granite Frames</v>
      </c>
      <c r="J1798" s="456">
        <v>180</v>
      </c>
      <c r="K1798" s="456">
        <v>655.92719999999997</v>
      </c>
      <c r="L1798" s="456">
        <f t="shared" si="308"/>
        <v>7477.5700799999995</v>
      </c>
      <c r="O1798" s="455">
        <f t="shared" si="317"/>
        <v>319.2</v>
      </c>
      <c r="P1798" s="455">
        <f t="shared" si="318"/>
        <v>209371.96223999999</v>
      </c>
      <c r="R1798" s="480" t="s">
        <v>669</v>
      </c>
    </row>
    <row r="1799" spans="1:18">
      <c r="A1799" s="454"/>
      <c r="B1799" s="454" t="str">
        <v>Window Frames - Internal</v>
      </c>
      <c r="C1799" s="456"/>
      <c r="D1799" s="456"/>
      <c r="E1799" s="456">
        <f>Windows!F153*2+Windows!G153*2</f>
        <v>2.7</v>
      </c>
      <c r="F1799" s="456"/>
      <c r="G1799" s="456">
        <f t="shared" si="307"/>
        <v>2.7</v>
      </c>
      <c r="H1799" s="456" t="str">
        <v>RM</v>
      </c>
      <c r="I1799" s="456" t="str">
        <v>Granite Window Frame</v>
      </c>
      <c r="J1799" s="456">
        <v>180</v>
      </c>
      <c r="K1799" s="456">
        <v>655.92719999999997</v>
      </c>
      <c r="L1799" s="456">
        <f t="shared" si="308"/>
        <v>1771.00344</v>
      </c>
      <c r="O1799" s="455">
        <f t="shared" si="317"/>
        <v>75.600000000000009</v>
      </c>
      <c r="P1799" s="455">
        <f t="shared" si="318"/>
        <v>49588.096319999997</v>
      </c>
      <c r="R1799" s="480" t="s">
        <v>743</v>
      </c>
    </row>
    <row r="1800" spans="1:18">
      <c r="A1800" s="454"/>
      <c r="B1800" s="454" t="str">
        <v>Window Frames - External</v>
      </c>
      <c r="C1800" s="456"/>
      <c r="D1800" s="456"/>
      <c r="E1800" s="456">
        <f>E1799</f>
        <v>2.7</v>
      </c>
      <c r="F1800" s="456"/>
      <c r="G1800" s="456">
        <f t="shared" si="307"/>
        <v>2.7</v>
      </c>
      <c r="H1800" s="456" t="str">
        <v>RM</v>
      </c>
      <c r="I1800" s="456" t="str">
        <v>Marble Window Frames with Sill</v>
      </c>
      <c r="J1800" s="456">
        <v>60</v>
      </c>
      <c r="K1800" s="456">
        <v>399.04239999999999</v>
      </c>
      <c r="L1800" s="456">
        <f t="shared" si="308"/>
        <v>1077.4144800000001</v>
      </c>
      <c r="O1800" s="455">
        <f t="shared" si="317"/>
        <v>75.600000000000009</v>
      </c>
      <c r="P1800" s="455">
        <f t="shared" si="318"/>
        <v>30167.605440000003</v>
      </c>
      <c r="R1800" s="480" t="s">
        <v>409</v>
      </c>
    </row>
    <row r="1801" spans="1:18">
      <c r="A1801" s="454"/>
      <c r="B1801" s="454" t="str">
        <v>Others - Counter</v>
      </c>
      <c r="C1801" s="456"/>
      <c r="D1801" s="456"/>
      <c r="E1801" s="456">
        <f>0.6*0.6</f>
        <v>0.36</v>
      </c>
      <c r="F1801" s="456"/>
      <c r="G1801" s="456">
        <f t="shared" si="307"/>
        <v>0.36</v>
      </c>
      <c r="H1801" s="456" t="str">
        <v>Sq M</v>
      </c>
      <c r="I1801" s="456" t="str">
        <v>Basin Counter 1'6" - Granite Basin Counter</v>
      </c>
      <c r="J1801" s="456">
        <v>180</v>
      </c>
      <c r="K1801" s="456">
        <v>6329.6720000000005</v>
      </c>
      <c r="L1801" s="456">
        <f t="shared" si="308"/>
        <v>2278.68192</v>
      </c>
      <c r="O1801" s="455">
        <f t="shared" si="317"/>
        <v>10.08</v>
      </c>
      <c r="P1801" s="455">
        <f t="shared" si="318"/>
        <v>63803.093760000003</v>
      </c>
      <c r="R1801" s="480" t="s">
        <v>670</v>
      </c>
    </row>
    <row r="1802" spans="1:18" s="479" customFormat="1" ht="13.5" customHeight="1">
      <c r="A1802" s="475" t="s">
        <v>628</v>
      </c>
      <c r="B1802" s="476" t="str">
        <f>'Flat Sizes'!B149</f>
        <v>Kitchen</v>
      </c>
      <c r="C1802" s="477">
        <f>'Flat Sizes'!D149</f>
        <v>6.41</v>
      </c>
      <c r="D1802" s="477">
        <f>'Flat Sizes'!G149</f>
        <v>10.98</v>
      </c>
      <c r="E1802" s="477"/>
      <c r="F1802" s="454"/>
      <c r="G1802" s="477"/>
      <c r="H1802" s="477"/>
      <c r="I1802" s="477"/>
      <c r="J1802" s="477"/>
      <c r="K1802" s="477"/>
      <c r="L1802" s="477"/>
      <c r="M1802" s="459">
        <f>SUM(L1803:L1816)/C1802/10.764</f>
        <v>1317.2536332641714</v>
      </c>
      <c r="N1802" s="472"/>
      <c r="O1802" s="455"/>
      <c r="P1802" s="455"/>
      <c r="Q1802" s="478"/>
    </row>
    <row r="1803" spans="1:18">
      <c r="A1803" s="454"/>
      <c r="B1803" s="454" t="str" cm="1">
        <f t="array" ref="B1803:B1816">'Rate List - Flats'!B90:B103</f>
        <v>Flooring</v>
      </c>
      <c r="C1803" s="456"/>
      <c r="D1803" s="456"/>
      <c r="E1803" s="456">
        <f>C1802</f>
        <v>6.41</v>
      </c>
      <c r="F1803" s="456"/>
      <c r="G1803" s="456">
        <f t="shared" si="307"/>
        <v>6.41</v>
      </c>
      <c r="H1803" s="456" t="str" cm="1">
        <f t="array" ref="H1803:H1816">'Rate List - Flats'!H90:H103</f>
        <v>Sq M</v>
      </c>
      <c r="I1803" s="456" t="str" cm="1">
        <f t="array" ref="I1803:I1816">'Rate List - Flats'!C90:C103</f>
        <v>ceramic tiles/vitrified anti-skid tiles</v>
      </c>
      <c r="J1803" s="456" cm="1">
        <f t="array" ref="J1803:J1816">'Rate List - Flats'!E90:E103</f>
        <v>45</v>
      </c>
      <c r="K1803" s="456" cm="1">
        <f t="array" ref="K1803:K1816">'Rate List - Flats'!G90:G103</f>
        <v>1340.1179999999999</v>
      </c>
      <c r="L1803" s="456">
        <f t="shared" si="308"/>
        <v>8590.1563800000004</v>
      </c>
      <c r="O1803" s="455">
        <f t="shared" ref="O1803:O1816" si="319">IF(I1803="N.A",0,G1803*$N$1736)</f>
        <v>179.48000000000002</v>
      </c>
      <c r="P1803" s="455">
        <f t="shared" ref="P1803:P1816" si="320">L1803*$N$1736</f>
        <v>240524.37864000001</v>
      </c>
      <c r="R1803" s="458" t="s">
        <v>659</v>
      </c>
    </row>
    <row r="1804" spans="1:18">
      <c r="A1804" s="454"/>
      <c r="B1804" s="454" t="str">
        <v>Skirting</v>
      </c>
      <c r="C1804" s="456"/>
      <c r="D1804" s="456"/>
      <c r="E1804" s="456"/>
      <c r="F1804" s="456"/>
      <c r="G1804" s="456">
        <f t="shared" ref="G1804:G1836" si="321">E1804+F1804</f>
        <v>0</v>
      </c>
      <c r="H1804" s="456" t="str">
        <v xml:space="preserve">RM </v>
      </c>
      <c r="I1804" s="456" t="str">
        <v>N.A.</v>
      </c>
      <c r="J1804" s="456">
        <v>0</v>
      </c>
      <c r="K1804" s="456">
        <v>0</v>
      </c>
      <c r="L1804" s="456">
        <f t="shared" ref="L1804:L1836" si="322">G1804*K1804</f>
        <v>0</v>
      </c>
      <c r="O1804" s="455">
        <f t="shared" si="319"/>
        <v>0</v>
      </c>
      <c r="P1804" s="455">
        <f t="shared" si="320"/>
        <v>0</v>
      </c>
      <c r="R1804" s="458" t="s">
        <v>660</v>
      </c>
    </row>
    <row r="1805" spans="1:18">
      <c r="A1805" s="454"/>
      <c r="B1805" s="454" t="str">
        <v>Dado</v>
      </c>
      <c r="C1805" s="456"/>
      <c r="D1805" s="456">
        <f>D1-0.7-0.9</f>
        <v>1.5000000000000004</v>
      </c>
      <c r="E1805" s="456">
        <f>D1805*(E1815+E1816)</f>
        <v>9.2100000000000044</v>
      </c>
      <c r="F1805" s="456"/>
      <c r="G1805" s="456">
        <f t="shared" si="321"/>
        <v>9.2100000000000044</v>
      </c>
      <c r="H1805" s="456" t="str">
        <v>Sq M</v>
      </c>
      <c r="I1805" s="456" t="str">
        <v>Vitrified tiles</v>
      </c>
      <c r="J1805" s="456">
        <v>45</v>
      </c>
      <c r="K1805" s="456">
        <v>1393.9379999999999</v>
      </c>
      <c r="L1805" s="456">
        <f t="shared" si="322"/>
        <v>12838.168980000006</v>
      </c>
      <c r="O1805" s="455">
        <f t="shared" si="319"/>
        <v>257.88000000000011</v>
      </c>
      <c r="P1805" s="455">
        <f t="shared" si="320"/>
        <v>359468.73144000018</v>
      </c>
      <c r="R1805" s="458" t="s">
        <v>665</v>
      </c>
    </row>
    <row r="1806" spans="1:18">
      <c r="A1806" s="454"/>
      <c r="B1806" s="454" t="str">
        <v>Dado Below Kitchen Platform</v>
      </c>
      <c r="C1806" s="456"/>
      <c r="D1806" s="456">
        <v>0.9</v>
      </c>
      <c r="E1806" s="456">
        <f>D1806*(E1815+E1816)</f>
        <v>5.5260000000000007</v>
      </c>
      <c r="F1806" s="456"/>
      <c r="G1806" s="456">
        <f t="shared" si="321"/>
        <v>5.5260000000000007</v>
      </c>
      <c r="H1806" s="456" t="str">
        <v>Sq M</v>
      </c>
      <c r="I1806" s="456" t="str">
        <v>dado under platform</v>
      </c>
      <c r="J1806" s="456">
        <v>23</v>
      </c>
      <c r="K1806" s="456">
        <v>1133.4491999999998</v>
      </c>
      <c r="L1806" s="456">
        <f t="shared" si="322"/>
        <v>6263.4402792000001</v>
      </c>
      <c r="O1806" s="455">
        <f t="shared" si="319"/>
        <v>154.72800000000001</v>
      </c>
      <c r="P1806" s="455">
        <f t="shared" si="320"/>
        <v>175376.32781759999</v>
      </c>
      <c r="R1806" s="458" t="s">
        <v>746</v>
      </c>
    </row>
    <row r="1807" spans="1:18">
      <c r="A1807" s="454"/>
      <c r="B1807" s="454" t="str">
        <v>Wall finishes plaster</v>
      </c>
      <c r="C1807" s="456"/>
      <c r="D1807" s="456">
        <f>D1-0.15</f>
        <v>2.95</v>
      </c>
      <c r="E1807" s="456">
        <f>D1807*D1802-(E1805+E1806)</f>
        <v>17.655000000000001</v>
      </c>
      <c r="F1807" s="456">
        <f>-(Doors!H127+Windows!H154)</f>
        <v>-4.04</v>
      </c>
      <c r="G1807" s="456">
        <f t="shared" si="321"/>
        <v>13.615000000000002</v>
      </c>
      <c r="H1807" s="456" t="str">
        <v>Sq M</v>
      </c>
      <c r="I1807" s="456" t="str">
        <v>Gypsum Plaster</v>
      </c>
      <c r="J1807" s="456">
        <v>32</v>
      </c>
      <c r="K1807" s="456">
        <v>376.73999999999995</v>
      </c>
      <c r="L1807" s="456">
        <f t="shared" si="322"/>
        <v>5129.3150999999998</v>
      </c>
      <c r="O1807" s="455">
        <f t="shared" si="319"/>
        <v>381.22</v>
      </c>
      <c r="P1807" s="455">
        <f t="shared" si="320"/>
        <v>143620.82279999999</v>
      </c>
      <c r="R1807" s="458" t="s">
        <v>661</v>
      </c>
    </row>
    <row r="1808" spans="1:18">
      <c r="A1808" s="454"/>
      <c r="B1808" s="454" t="str">
        <v>Ceiling plaster</v>
      </c>
      <c r="C1808" s="456"/>
      <c r="D1808" s="456"/>
      <c r="E1808" s="456">
        <f>E1803</f>
        <v>6.41</v>
      </c>
      <c r="F1808" s="456"/>
      <c r="G1808" s="456">
        <f t="shared" si="321"/>
        <v>6.41</v>
      </c>
      <c r="H1808" s="456" t="str">
        <v>Sq M</v>
      </c>
      <c r="I1808" s="456" t="str">
        <v>Gypsum Plaster</v>
      </c>
      <c r="J1808" s="456">
        <v>32</v>
      </c>
      <c r="K1808" s="456">
        <v>344.44799999999998</v>
      </c>
      <c r="L1808" s="456">
        <f t="shared" si="322"/>
        <v>2207.9116799999997</v>
      </c>
      <c r="O1808" s="455">
        <f t="shared" si="319"/>
        <v>179.48000000000002</v>
      </c>
      <c r="P1808" s="455">
        <f t="shared" si="320"/>
        <v>61821.527039999994</v>
      </c>
      <c r="R1808" s="458" t="s">
        <v>662</v>
      </c>
    </row>
    <row r="1809" spans="1:18">
      <c r="A1809" s="454"/>
      <c r="B1809" s="454" t="str">
        <v>False ceiling</v>
      </c>
      <c r="C1809" s="456"/>
      <c r="D1809" s="456"/>
      <c r="E1809" s="456"/>
      <c r="F1809" s="456"/>
      <c r="G1809" s="456">
        <f t="shared" si="321"/>
        <v>0</v>
      </c>
      <c r="H1809" s="456" t="str">
        <v>Sq M</v>
      </c>
      <c r="I1809" s="456" t="str">
        <v>N.A.</v>
      </c>
      <c r="J1809" s="456">
        <v>0</v>
      </c>
      <c r="K1809" s="456">
        <v>0</v>
      </c>
      <c r="L1809" s="456">
        <f t="shared" si="322"/>
        <v>0</v>
      </c>
      <c r="O1809" s="455">
        <f t="shared" si="319"/>
        <v>0</v>
      </c>
      <c r="P1809" s="455">
        <f t="shared" si="320"/>
        <v>0</v>
      </c>
      <c r="R1809" s="458"/>
    </row>
    <row r="1810" spans="1:18">
      <c r="A1810" s="454"/>
      <c r="B1810" s="454" t="str">
        <v>Wall finishes Paint</v>
      </c>
      <c r="C1810" s="456"/>
      <c r="D1810" s="456"/>
      <c r="E1810" s="456">
        <f>E1807</f>
        <v>17.655000000000001</v>
      </c>
      <c r="F1810" s="456">
        <f>F1807</f>
        <v>-4.04</v>
      </c>
      <c r="G1810" s="456">
        <f t="shared" si="321"/>
        <v>13.615000000000002</v>
      </c>
      <c r="H1810" s="456" t="str">
        <v>Sq M</v>
      </c>
      <c r="I1810" s="456" t="str">
        <v>Plastic paint</v>
      </c>
      <c r="J1810" s="456">
        <v>20</v>
      </c>
      <c r="K1810" s="456">
        <v>215.27999999999997</v>
      </c>
      <c r="L1810" s="456">
        <f t="shared" si="322"/>
        <v>2931.0372000000002</v>
      </c>
      <c r="O1810" s="455">
        <f t="shared" si="319"/>
        <v>381.22</v>
      </c>
      <c r="P1810" s="455">
        <f t="shared" si="320"/>
        <v>82069.041600000011</v>
      </c>
      <c r="R1810" s="458" t="s">
        <v>663</v>
      </c>
    </row>
    <row r="1811" spans="1:18">
      <c r="A1811" s="454"/>
      <c r="B1811" s="454" t="str">
        <v>Ceiling Paint</v>
      </c>
      <c r="C1811" s="456"/>
      <c r="D1811" s="456"/>
      <c r="E1811" s="456">
        <f>E1808</f>
        <v>6.41</v>
      </c>
      <c r="F1811" s="456"/>
      <c r="G1811" s="456">
        <f t="shared" si="321"/>
        <v>6.41</v>
      </c>
      <c r="H1811" s="456" t="str">
        <v>Sq M</v>
      </c>
      <c r="I1811" s="456" t="str">
        <v>Plastic paint</v>
      </c>
      <c r="J1811" s="456">
        <v>20</v>
      </c>
      <c r="K1811" s="456">
        <v>215.27999999999997</v>
      </c>
      <c r="L1811" s="456">
        <f t="shared" si="322"/>
        <v>1379.9447999999998</v>
      </c>
      <c r="O1811" s="455">
        <f t="shared" si="319"/>
        <v>179.48000000000002</v>
      </c>
      <c r="P1811" s="455">
        <f t="shared" si="320"/>
        <v>38638.454399999995</v>
      </c>
      <c r="R1811" s="458" t="s">
        <v>664</v>
      </c>
    </row>
    <row r="1812" spans="1:18">
      <c r="A1812" s="454"/>
      <c r="B1812" s="454" t="str">
        <v>Door Frames</v>
      </c>
      <c r="C1812" s="456"/>
      <c r="D1812" s="456"/>
      <c r="E1812" s="456"/>
      <c r="F1812" s="456"/>
      <c r="G1812" s="456">
        <f t="shared" si="321"/>
        <v>0</v>
      </c>
      <c r="H1812" s="456" t="str">
        <v>Sq M</v>
      </c>
      <c r="I1812" s="456" t="str">
        <v>N.A.</v>
      </c>
      <c r="J1812" s="456">
        <v>0</v>
      </c>
      <c r="K1812" s="456">
        <v>0</v>
      </c>
      <c r="L1812" s="456">
        <f t="shared" si="322"/>
        <v>0</v>
      </c>
      <c r="O1812" s="455">
        <f t="shared" si="319"/>
        <v>0</v>
      </c>
      <c r="P1812" s="455">
        <f t="shared" si="320"/>
        <v>0</v>
      </c>
      <c r="R1812" s="458" t="s">
        <v>407</v>
      </c>
    </row>
    <row r="1813" spans="1:18">
      <c r="A1813" s="454"/>
      <c r="B1813" s="454" t="str">
        <v>Window Frames - Internal</v>
      </c>
      <c r="C1813" s="456"/>
      <c r="D1813" s="456"/>
      <c r="E1813" s="456">
        <f>Windows!F154*2+Windows!G154*2</f>
        <v>6.3</v>
      </c>
      <c r="F1813" s="456"/>
      <c r="G1813" s="456">
        <f t="shared" si="321"/>
        <v>6.3</v>
      </c>
      <c r="H1813" s="456" t="str">
        <v>RM</v>
      </c>
      <c r="I1813" s="456" t="str">
        <v>Granite Window Frame</v>
      </c>
      <c r="J1813" s="456">
        <v>180</v>
      </c>
      <c r="K1813" s="456">
        <v>655.92719999999997</v>
      </c>
      <c r="L1813" s="456">
        <f t="shared" si="322"/>
        <v>4132.3413599999994</v>
      </c>
      <c r="O1813" s="455">
        <f t="shared" si="319"/>
        <v>176.4</v>
      </c>
      <c r="P1813" s="455">
        <f t="shared" si="320"/>
        <v>115705.55807999999</v>
      </c>
      <c r="R1813" s="458" t="s">
        <v>408</v>
      </c>
    </row>
    <row r="1814" spans="1:18">
      <c r="A1814" s="454"/>
      <c r="B1814" s="454" t="str">
        <v>Window Frames - External</v>
      </c>
      <c r="C1814" s="456"/>
      <c r="D1814" s="456"/>
      <c r="E1814" s="456">
        <f>E1813</f>
        <v>6.3</v>
      </c>
      <c r="F1814" s="456"/>
      <c r="G1814" s="456">
        <f t="shared" si="321"/>
        <v>6.3</v>
      </c>
      <c r="H1814" s="456" t="str">
        <v>RM</v>
      </c>
      <c r="I1814" s="456" t="str">
        <v>Marble Window Frames with Sill</v>
      </c>
      <c r="J1814" s="456">
        <v>60</v>
      </c>
      <c r="K1814" s="456">
        <v>399.04239999999999</v>
      </c>
      <c r="L1814" s="456">
        <f t="shared" si="322"/>
        <v>2513.9671199999998</v>
      </c>
      <c r="O1814" s="455">
        <f t="shared" si="319"/>
        <v>176.4</v>
      </c>
      <c r="P1814" s="455">
        <f t="shared" si="320"/>
        <v>70391.079359999989</v>
      </c>
      <c r="R1814" s="458" t="s">
        <v>409</v>
      </c>
    </row>
    <row r="1815" spans="1:18">
      <c r="A1815" s="454"/>
      <c r="B1815" s="454" t="str">
        <v>Kitchen Platform</v>
      </c>
      <c r="C1815" s="456"/>
      <c r="D1815" s="456"/>
      <c r="E1815" s="456">
        <v>3.52</v>
      </c>
      <c r="F1815" s="456"/>
      <c r="G1815" s="456">
        <f t="shared" si="321"/>
        <v>3.52</v>
      </c>
      <c r="H1815" s="456" t="str">
        <v>RM</v>
      </c>
      <c r="I1815" s="456" t="str">
        <v>Kitchen 2' Granite Main Counter</v>
      </c>
      <c r="J1815" s="456">
        <v>180</v>
      </c>
      <c r="K1815" s="456">
        <v>7312.7984000000006</v>
      </c>
      <c r="L1815" s="456">
        <f t="shared" si="322"/>
        <v>25741.050368000004</v>
      </c>
      <c r="O1815" s="455">
        <f t="shared" si="319"/>
        <v>98.56</v>
      </c>
      <c r="P1815" s="455">
        <f t="shared" si="320"/>
        <v>720749.41030400014</v>
      </c>
      <c r="R1815" s="458" t="s">
        <v>747</v>
      </c>
    </row>
    <row r="1816" spans="1:18">
      <c r="A1816" s="454"/>
      <c r="B1816" s="454" t="str">
        <v>Service Platform</v>
      </c>
      <c r="C1816" s="456"/>
      <c r="D1816" s="456"/>
      <c r="E1816" s="456">
        <f>E1815-0.9</f>
        <v>2.62</v>
      </c>
      <c r="F1816" s="456"/>
      <c r="G1816" s="456">
        <f t="shared" si="321"/>
        <v>2.62</v>
      </c>
      <c r="H1816" s="456" t="str">
        <v>RM</v>
      </c>
      <c r="I1816" s="456" t="str">
        <v>Kitchen 1'6" Granite Main Counter</v>
      </c>
      <c r="J1816" s="456">
        <v>180</v>
      </c>
      <c r="K1816" s="456">
        <v>7312.7984000000006</v>
      </c>
      <c r="L1816" s="456">
        <f t="shared" si="322"/>
        <v>19159.531808000003</v>
      </c>
      <c r="O1816" s="455">
        <f t="shared" si="319"/>
        <v>73.36</v>
      </c>
      <c r="P1816" s="455">
        <f t="shared" si="320"/>
        <v>536466.89062400011</v>
      </c>
      <c r="R1816" s="458" t="s">
        <v>666</v>
      </c>
    </row>
    <row r="1817" spans="1:18" s="479" customFormat="1" ht="13.5" customHeight="1">
      <c r="A1817" s="475" t="s">
        <v>628</v>
      </c>
      <c r="B1817" s="476" t="str">
        <f>'Flat Sizes'!B150</f>
        <v>Utility</v>
      </c>
      <c r="C1817" s="477">
        <f>'Flat Sizes'!D150</f>
        <v>2.61</v>
      </c>
      <c r="D1817" s="477">
        <f>'Flat Sizes'!G150</f>
        <v>6.71</v>
      </c>
      <c r="E1817" s="477"/>
      <c r="F1817" s="454"/>
      <c r="G1817" s="477"/>
      <c r="H1817" s="477"/>
      <c r="I1817" s="477"/>
      <c r="J1817" s="477"/>
      <c r="K1817" s="477"/>
      <c r="L1817" s="477"/>
      <c r="M1817" s="459">
        <f>SUM(L1818:L1826)/C1817/10.764</f>
        <v>1173.960825854879</v>
      </c>
      <c r="N1817" s="472"/>
      <c r="O1817" s="455"/>
      <c r="P1817" s="455"/>
      <c r="Q1817" s="478"/>
    </row>
    <row r="1818" spans="1:18">
      <c r="A1818" s="454"/>
      <c r="B1818" s="454" t="str" cm="1">
        <f t="array" ref="B1818:B1826">'Rate List - Flats'!B120:B128</f>
        <v>Flooring</v>
      </c>
      <c r="C1818" s="456"/>
      <c r="D1818" s="456"/>
      <c r="E1818" s="456">
        <f>C1817</f>
        <v>2.61</v>
      </c>
      <c r="F1818" s="456"/>
      <c r="G1818" s="456">
        <f t="shared" si="321"/>
        <v>2.61</v>
      </c>
      <c r="H1818" s="456" t="str" cm="1">
        <f t="array" ref="H1818:H1826">'Rate List - Flats'!H120:H128</f>
        <v>Sq M</v>
      </c>
      <c r="I1818" s="456" t="str" cm="1">
        <f t="array" ref="I1818:I1826">'Rate List - Flats'!C120:C128</f>
        <v>2'x2' Vitrified tiles</v>
      </c>
      <c r="J1818" s="456" cm="1">
        <f t="array" ref="J1818:J1826">'Rate List - Flats'!E120:E128</f>
        <v>45</v>
      </c>
      <c r="K1818" s="456" cm="1">
        <f t="array" ref="K1818:K1826">'Rate List - Flats'!G120:G128</f>
        <v>1340.1179999999999</v>
      </c>
      <c r="L1818" s="456">
        <f t="shared" si="322"/>
        <v>3497.7079799999997</v>
      </c>
      <c r="O1818" s="455">
        <f t="shared" ref="O1818:O1826" si="323">IF(I1818="N.A",0,G1818*$N$1736)</f>
        <v>73.08</v>
      </c>
      <c r="P1818" s="455">
        <f t="shared" ref="P1818:P1826" si="324">L1818*$N$1736</f>
        <v>97935.823439999993</v>
      </c>
      <c r="R1818" s="458" t="s">
        <v>748</v>
      </c>
    </row>
    <row r="1819" spans="1:18">
      <c r="A1819" s="454"/>
      <c r="B1819" s="454" t="str">
        <v>Skirting</v>
      </c>
      <c r="C1819" s="456"/>
      <c r="D1819" s="456"/>
      <c r="E1819" s="456">
        <f>D1817</f>
        <v>6.71</v>
      </c>
      <c r="F1819" s="456"/>
      <c r="G1819" s="456">
        <f t="shared" si="321"/>
        <v>6.71</v>
      </c>
      <c r="H1819" s="456" t="str">
        <v xml:space="preserve">RM </v>
      </c>
      <c r="I1819" s="456" t="str">
        <v xml:space="preserve">2'x2' Vitrified tiles </v>
      </c>
      <c r="J1819" s="456">
        <v>45</v>
      </c>
      <c r="K1819" s="456">
        <v>391.96</v>
      </c>
      <c r="L1819" s="456">
        <f t="shared" si="322"/>
        <v>2630.0515999999998</v>
      </c>
      <c r="O1819" s="455">
        <f t="shared" si="323"/>
        <v>187.88</v>
      </c>
      <c r="P1819" s="455">
        <f t="shared" si="324"/>
        <v>73641.444799999997</v>
      </c>
      <c r="R1819" s="458" t="s">
        <v>749</v>
      </c>
    </row>
    <row r="1820" spans="1:18">
      <c r="A1820" s="454"/>
      <c r="B1820" s="454" t="str">
        <v>Dado</v>
      </c>
      <c r="C1820" s="456"/>
      <c r="D1820" s="456"/>
      <c r="E1820" s="456"/>
      <c r="F1820" s="456"/>
      <c r="G1820" s="456">
        <f t="shared" si="321"/>
        <v>0</v>
      </c>
      <c r="H1820" s="456" t="str">
        <v>Sq M</v>
      </c>
      <c r="I1820" s="456" t="str">
        <v>N.A</v>
      </c>
      <c r="J1820" s="456">
        <v>0</v>
      </c>
      <c r="K1820" s="456">
        <v>0</v>
      </c>
      <c r="L1820" s="456">
        <f t="shared" si="322"/>
        <v>0</v>
      </c>
      <c r="O1820" s="455">
        <f t="shared" si="323"/>
        <v>0</v>
      </c>
      <c r="P1820" s="455">
        <f t="shared" si="324"/>
        <v>0</v>
      </c>
      <c r="R1820" s="458" t="s">
        <v>750</v>
      </c>
    </row>
    <row r="1821" spans="1:18">
      <c r="A1821" s="454"/>
      <c r="B1821" s="454" t="str">
        <v>Wall finishes plaster</v>
      </c>
      <c r="C1821" s="456"/>
      <c r="D1821" s="456"/>
      <c r="E1821" s="456">
        <f>D1817*(D1-0.15)</f>
        <v>19.794499999999999</v>
      </c>
      <c r="F1821" s="456">
        <f>-(Windows!K155*2.15)</f>
        <v>-2.15</v>
      </c>
      <c r="G1821" s="456">
        <f t="shared" si="321"/>
        <v>17.644500000000001</v>
      </c>
      <c r="H1821" s="456" t="str">
        <v>Sq M</v>
      </c>
      <c r="I1821" s="456" t="str">
        <v>External Plaster  - 15 mm</v>
      </c>
      <c r="J1821" s="456">
        <v>85</v>
      </c>
      <c r="K1821" s="456">
        <v>914.93999999999994</v>
      </c>
      <c r="L1821" s="456">
        <f t="shared" si="322"/>
        <v>16143.65883</v>
      </c>
      <c r="O1821" s="455">
        <f t="shared" si="323"/>
        <v>494.04600000000005</v>
      </c>
      <c r="P1821" s="455">
        <f t="shared" si="324"/>
        <v>452022.44724000001</v>
      </c>
      <c r="R1821" s="458" t="s">
        <v>751</v>
      </c>
    </row>
    <row r="1822" spans="1:18">
      <c r="A1822" s="454"/>
      <c r="B1822" s="454" t="str">
        <v>Ceiling plaster</v>
      </c>
      <c r="C1822" s="456"/>
      <c r="D1822" s="456"/>
      <c r="E1822" s="456">
        <f>E1818</f>
        <v>2.61</v>
      </c>
      <c r="F1822" s="456"/>
      <c r="G1822" s="456">
        <f t="shared" si="321"/>
        <v>2.61</v>
      </c>
      <c r="H1822" s="456" t="str">
        <v>Sq M</v>
      </c>
      <c r="I1822" s="456" t="str">
        <v>Gypsum Plaster</v>
      </c>
      <c r="J1822" s="456">
        <v>32</v>
      </c>
      <c r="K1822" s="456">
        <v>344.44799999999998</v>
      </c>
      <c r="L1822" s="456">
        <f t="shared" si="322"/>
        <v>899.00927999999988</v>
      </c>
      <c r="O1822" s="455">
        <f t="shared" si="323"/>
        <v>73.08</v>
      </c>
      <c r="P1822" s="455">
        <f t="shared" si="324"/>
        <v>25172.259839999995</v>
      </c>
      <c r="R1822" s="458" t="s">
        <v>662</v>
      </c>
    </row>
    <row r="1823" spans="1:18">
      <c r="A1823" s="454"/>
      <c r="B1823" s="454" t="str">
        <v>False ceiling</v>
      </c>
      <c r="C1823" s="456"/>
      <c r="D1823" s="456"/>
      <c r="E1823" s="456"/>
      <c r="F1823" s="456"/>
      <c r="G1823" s="456">
        <f t="shared" si="321"/>
        <v>0</v>
      </c>
      <c r="H1823" s="456" t="str">
        <v>Sq M</v>
      </c>
      <c r="I1823" s="456" t="str">
        <v>N.A.</v>
      </c>
      <c r="J1823" s="456">
        <v>0</v>
      </c>
      <c r="K1823" s="456">
        <v>0</v>
      </c>
      <c r="L1823" s="456">
        <f t="shared" si="322"/>
        <v>0</v>
      </c>
      <c r="O1823" s="455">
        <f t="shared" si="323"/>
        <v>0</v>
      </c>
      <c r="P1823" s="455">
        <f t="shared" si="324"/>
        <v>0</v>
      </c>
      <c r="R1823" s="458" t="s">
        <v>414</v>
      </c>
    </row>
    <row r="1824" spans="1:18">
      <c r="A1824" s="454"/>
      <c r="B1824" s="454" t="str">
        <v>Wall finishes Paint</v>
      </c>
      <c r="C1824" s="456"/>
      <c r="D1824" s="456"/>
      <c r="E1824" s="456">
        <f>E1821</f>
        <v>19.794499999999999</v>
      </c>
      <c r="F1824" s="456">
        <f>F1821</f>
        <v>-2.15</v>
      </c>
      <c r="G1824" s="456">
        <f t="shared" si="321"/>
        <v>17.644500000000001</v>
      </c>
      <c r="H1824" s="456" t="str">
        <v>Sq M</v>
      </c>
      <c r="I1824" s="456" t="str">
        <v>External Grade Paint</v>
      </c>
      <c r="J1824" s="456">
        <v>45</v>
      </c>
      <c r="K1824" s="456">
        <v>484.38</v>
      </c>
      <c r="L1824" s="456">
        <f t="shared" si="322"/>
        <v>8546.6429100000005</v>
      </c>
      <c r="O1824" s="455">
        <f t="shared" si="323"/>
        <v>494.04600000000005</v>
      </c>
      <c r="P1824" s="455">
        <f t="shared" si="324"/>
        <v>239306.00148000001</v>
      </c>
      <c r="R1824" s="458" t="s">
        <v>663</v>
      </c>
    </row>
    <row r="1825" spans="1:18">
      <c r="A1825" s="454"/>
      <c r="B1825" s="454" t="str">
        <v>Ceiling Paint</v>
      </c>
      <c r="C1825" s="456"/>
      <c r="D1825" s="456"/>
      <c r="E1825" s="456">
        <f>E1822</f>
        <v>2.61</v>
      </c>
      <c r="F1825" s="456"/>
      <c r="G1825" s="456">
        <f t="shared" si="321"/>
        <v>2.61</v>
      </c>
      <c r="H1825" s="456" t="str">
        <v>Sq M</v>
      </c>
      <c r="I1825" s="456" t="str">
        <v>External Grade Paint</v>
      </c>
      <c r="J1825" s="456">
        <v>45</v>
      </c>
      <c r="K1825" s="456">
        <v>484.38</v>
      </c>
      <c r="L1825" s="456">
        <f t="shared" si="322"/>
        <v>1264.2318</v>
      </c>
      <c r="O1825" s="455">
        <f t="shared" si="323"/>
        <v>73.08</v>
      </c>
      <c r="P1825" s="455">
        <f t="shared" si="324"/>
        <v>35398.490400000002</v>
      </c>
      <c r="R1825" s="458" t="s">
        <v>664</v>
      </c>
    </row>
    <row r="1826" spans="1:18">
      <c r="A1826" s="454"/>
      <c r="B1826" s="454" t="str">
        <v>Others</v>
      </c>
      <c r="C1826" s="456"/>
      <c r="D1826" s="456"/>
      <c r="E1826" s="456"/>
      <c r="F1826" s="456"/>
      <c r="G1826" s="456">
        <f t="shared" si="321"/>
        <v>0</v>
      </c>
      <c r="H1826" s="456" t="str">
        <v>-</v>
      </c>
      <c r="I1826" s="456" t="str">
        <v>N.A.</v>
      </c>
      <c r="J1826" s="456">
        <v>0</v>
      </c>
      <c r="K1826" s="456">
        <v>0</v>
      </c>
      <c r="L1826" s="456">
        <f t="shared" si="322"/>
        <v>0</v>
      </c>
      <c r="O1826" s="455">
        <f t="shared" si="323"/>
        <v>0</v>
      </c>
      <c r="P1826" s="455">
        <f t="shared" si="324"/>
        <v>0</v>
      </c>
    </row>
    <row r="1827" spans="1:18" s="479" customFormat="1" ht="13.5" customHeight="1">
      <c r="A1827" s="475" t="s">
        <v>628</v>
      </c>
      <c r="B1827" s="476" t="str">
        <f>'Flat Sizes'!B151</f>
        <v>Balcony</v>
      </c>
      <c r="C1827" s="477">
        <f>'Flat Sizes'!D151</f>
        <v>2.6</v>
      </c>
      <c r="D1827" s="477">
        <f>'Flat Sizes'!G151</f>
        <v>6.7</v>
      </c>
      <c r="E1827" s="477"/>
      <c r="F1827" s="454"/>
      <c r="G1827" s="477"/>
      <c r="H1827" s="477"/>
      <c r="I1827" s="477"/>
      <c r="J1827" s="477"/>
      <c r="K1827" s="477"/>
      <c r="L1827" s="477"/>
      <c r="M1827" s="459">
        <f>SUM(L1828:L1836)/C1827/10.764</f>
        <v>1054.6110060600863</v>
      </c>
      <c r="N1827" s="472"/>
      <c r="O1827" s="455"/>
      <c r="P1827" s="455"/>
      <c r="Q1827" s="478"/>
    </row>
    <row r="1828" spans="1:18">
      <c r="A1828" s="454"/>
      <c r="B1828" s="454" t="str" cm="1">
        <f t="array" ref="B1828:B1836">'Rate List - Flats'!B120:B128</f>
        <v>Flooring</v>
      </c>
      <c r="C1828" s="456"/>
      <c r="D1828" s="456"/>
      <c r="E1828" s="456">
        <f>C1827</f>
        <v>2.6</v>
      </c>
      <c r="F1828" s="456"/>
      <c r="G1828" s="456">
        <f t="shared" si="321"/>
        <v>2.6</v>
      </c>
      <c r="H1828" s="456" t="str" cm="1">
        <f t="array" ref="H1828:H1836">'Rate List - Flats'!H120:H128</f>
        <v>Sq M</v>
      </c>
      <c r="I1828" s="456" t="str" cm="1">
        <f t="array" ref="I1828:I1836">'Rate List - Flats'!C120:C128</f>
        <v>2'x2' Vitrified tiles</v>
      </c>
      <c r="J1828" s="456" cm="1">
        <f t="array" ref="J1828:J1836">'Rate List - Flats'!E120:E128</f>
        <v>45</v>
      </c>
      <c r="K1828" s="456" cm="1">
        <f t="array" ref="K1828:K1836">'Rate List - Flats'!G120:G128</f>
        <v>1340.1179999999999</v>
      </c>
      <c r="L1828" s="456">
        <f t="shared" si="322"/>
        <v>3484.3067999999998</v>
      </c>
      <c r="O1828" s="455">
        <f t="shared" ref="O1828:O1835" si="325">IF(I1828="N.A",0,G1828*$N$1736)</f>
        <v>72.8</v>
      </c>
      <c r="P1828" s="455">
        <f t="shared" ref="P1828:P1835" si="326">L1828*$N$1736</f>
        <v>97560.590400000001</v>
      </c>
      <c r="R1828" s="458" t="s">
        <v>752</v>
      </c>
    </row>
    <row r="1829" spans="1:18">
      <c r="A1829" s="454"/>
      <c r="B1829" s="454" t="str">
        <v>Skirting</v>
      </c>
      <c r="C1829" s="456"/>
      <c r="D1829" s="456"/>
      <c r="E1829" s="456">
        <f>D1827</f>
        <v>6.7</v>
      </c>
      <c r="F1829" s="456"/>
      <c r="G1829" s="456">
        <f t="shared" si="321"/>
        <v>6.7</v>
      </c>
      <c r="H1829" s="456" t="str">
        <v xml:space="preserve">RM </v>
      </c>
      <c r="I1829" s="456" t="str">
        <v xml:space="preserve">2'x2' Vitrified tiles </v>
      </c>
      <c r="J1829" s="456">
        <v>45</v>
      </c>
      <c r="K1829" s="456">
        <v>391.96</v>
      </c>
      <c r="L1829" s="456">
        <f t="shared" si="322"/>
        <v>2626.1320000000001</v>
      </c>
      <c r="O1829" s="455">
        <f t="shared" si="325"/>
        <v>187.6</v>
      </c>
      <c r="P1829" s="455">
        <f t="shared" si="326"/>
        <v>73531.695999999996</v>
      </c>
      <c r="R1829" s="458" t="s">
        <v>753</v>
      </c>
    </row>
    <row r="1830" spans="1:18">
      <c r="A1830" s="454"/>
      <c r="B1830" s="454" t="str">
        <v>Dado</v>
      </c>
      <c r="C1830" s="456"/>
      <c r="D1830" s="456"/>
      <c r="E1830" s="456"/>
      <c r="F1830" s="456"/>
      <c r="G1830" s="456">
        <f t="shared" si="321"/>
        <v>0</v>
      </c>
      <c r="H1830" s="456" t="str">
        <v>Sq M</v>
      </c>
      <c r="I1830" s="456" t="str">
        <v>N.A</v>
      </c>
      <c r="J1830" s="456">
        <v>0</v>
      </c>
      <c r="K1830" s="456">
        <v>0</v>
      </c>
      <c r="L1830" s="456">
        <f t="shared" si="322"/>
        <v>0</v>
      </c>
      <c r="O1830" s="455">
        <f t="shared" si="325"/>
        <v>0</v>
      </c>
      <c r="P1830" s="455">
        <f t="shared" si="326"/>
        <v>0</v>
      </c>
      <c r="R1830" s="458" t="s">
        <v>754</v>
      </c>
    </row>
    <row r="1831" spans="1:18">
      <c r="A1831" s="454"/>
      <c r="B1831" s="454" t="str">
        <v>Wall finishes plaster</v>
      </c>
      <c r="C1831" s="456"/>
      <c r="D1831" s="456"/>
      <c r="E1831" s="456">
        <f>D1827*(D1-0.15)</f>
        <v>19.765000000000001</v>
      </c>
      <c r="F1831" s="456">
        <f>-(Windows!K156*2.15)</f>
        <v>-4.5794999999999995</v>
      </c>
      <c r="G1831" s="456">
        <f t="shared" si="321"/>
        <v>15.185500000000001</v>
      </c>
      <c r="H1831" s="456" t="str">
        <v>Sq M</v>
      </c>
      <c r="I1831" s="456" t="str">
        <v>External Plaster  - 15 mm</v>
      </c>
      <c r="J1831" s="456">
        <v>85</v>
      </c>
      <c r="K1831" s="456">
        <v>914.93999999999994</v>
      </c>
      <c r="L1831" s="456">
        <f t="shared" si="322"/>
        <v>13893.82137</v>
      </c>
      <c r="O1831" s="455">
        <f t="shared" si="325"/>
        <v>425.19400000000002</v>
      </c>
      <c r="P1831" s="455">
        <f t="shared" si="326"/>
        <v>389026.99835999997</v>
      </c>
      <c r="R1831" s="458" t="s">
        <v>751</v>
      </c>
    </row>
    <row r="1832" spans="1:18">
      <c r="A1832" s="454"/>
      <c r="B1832" s="454" t="str">
        <v>Ceiling plaster</v>
      </c>
      <c r="C1832" s="456"/>
      <c r="D1832" s="456"/>
      <c r="E1832" s="456">
        <f>E1828</f>
        <v>2.6</v>
      </c>
      <c r="F1832" s="456"/>
      <c r="G1832" s="456">
        <f t="shared" si="321"/>
        <v>2.6</v>
      </c>
      <c r="H1832" s="456" t="str">
        <v>Sq M</v>
      </c>
      <c r="I1832" s="456" t="str">
        <v>Gypsum Plaster</v>
      </c>
      <c r="J1832" s="456">
        <v>32</v>
      </c>
      <c r="K1832" s="456">
        <v>344.44799999999998</v>
      </c>
      <c r="L1832" s="456">
        <f t="shared" si="322"/>
        <v>895.56479999999999</v>
      </c>
      <c r="O1832" s="455">
        <f t="shared" si="325"/>
        <v>72.8</v>
      </c>
      <c r="P1832" s="455">
        <f t="shared" si="326"/>
        <v>25075.814399999999</v>
      </c>
      <c r="R1832" s="458" t="s">
        <v>662</v>
      </c>
    </row>
    <row r="1833" spans="1:18">
      <c r="A1833" s="454"/>
      <c r="B1833" s="454" t="str">
        <v>False ceiling</v>
      </c>
      <c r="C1833" s="456"/>
      <c r="D1833" s="456"/>
      <c r="E1833" s="456"/>
      <c r="F1833" s="456"/>
      <c r="G1833" s="456">
        <f t="shared" si="321"/>
        <v>0</v>
      </c>
      <c r="H1833" s="456" t="str">
        <v>Sq M</v>
      </c>
      <c r="I1833" s="456" t="str">
        <v>N.A.</v>
      </c>
      <c r="J1833" s="456">
        <v>0</v>
      </c>
      <c r="K1833" s="456">
        <v>0</v>
      </c>
      <c r="L1833" s="456">
        <f t="shared" si="322"/>
        <v>0</v>
      </c>
      <c r="O1833" s="455">
        <f t="shared" si="325"/>
        <v>0</v>
      </c>
      <c r="P1833" s="455">
        <f t="shared" si="326"/>
        <v>0</v>
      </c>
      <c r="R1833" s="458" t="s">
        <v>414</v>
      </c>
    </row>
    <row r="1834" spans="1:18">
      <c r="A1834" s="454"/>
      <c r="B1834" s="454" t="str">
        <v>Wall finishes Paint</v>
      </c>
      <c r="C1834" s="456"/>
      <c r="D1834" s="456"/>
      <c r="E1834" s="456">
        <f>E1831</f>
        <v>19.765000000000001</v>
      </c>
      <c r="F1834" s="456">
        <f>F1831</f>
        <v>-4.5794999999999995</v>
      </c>
      <c r="G1834" s="456">
        <f t="shared" si="321"/>
        <v>15.185500000000001</v>
      </c>
      <c r="H1834" s="456" t="str">
        <v>Sq M</v>
      </c>
      <c r="I1834" s="456" t="str">
        <v>External Grade Paint</v>
      </c>
      <c r="J1834" s="456">
        <v>45</v>
      </c>
      <c r="K1834" s="456">
        <v>484.38</v>
      </c>
      <c r="L1834" s="456">
        <f t="shared" si="322"/>
        <v>7355.55249</v>
      </c>
      <c r="O1834" s="455">
        <f t="shared" si="325"/>
        <v>425.19400000000002</v>
      </c>
      <c r="P1834" s="455">
        <f t="shared" si="326"/>
        <v>205955.46971999999</v>
      </c>
      <c r="R1834" s="458" t="s">
        <v>663</v>
      </c>
    </row>
    <row r="1835" spans="1:18">
      <c r="A1835" s="454"/>
      <c r="B1835" s="454" t="str">
        <v>Ceiling Paint</v>
      </c>
      <c r="C1835" s="456"/>
      <c r="D1835" s="456"/>
      <c r="E1835" s="456">
        <f>E1832</f>
        <v>2.6</v>
      </c>
      <c r="F1835" s="456"/>
      <c r="G1835" s="456">
        <f t="shared" si="321"/>
        <v>2.6</v>
      </c>
      <c r="H1835" s="456" t="str">
        <v>Sq M</v>
      </c>
      <c r="I1835" s="456" t="str">
        <v>External Grade Paint</v>
      </c>
      <c r="J1835" s="456">
        <v>45</v>
      </c>
      <c r="K1835" s="456">
        <v>484.38</v>
      </c>
      <c r="L1835" s="456">
        <f t="shared" si="322"/>
        <v>1259.3879999999999</v>
      </c>
      <c r="O1835" s="455">
        <f t="shared" si="325"/>
        <v>72.8</v>
      </c>
      <c r="P1835" s="455">
        <f t="shared" si="326"/>
        <v>35262.864000000001</v>
      </c>
      <c r="R1835" s="458" t="s">
        <v>664</v>
      </c>
    </row>
    <row r="1836" spans="1:18">
      <c r="A1836" s="454"/>
      <c r="B1836" s="454" t="str">
        <v>Others</v>
      </c>
      <c r="C1836" s="456"/>
      <c r="D1836" s="456"/>
      <c r="E1836" s="456"/>
      <c r="F1836" s="456"/>
      <c r="G1836" s="524">
        <f t="shared" si="321"/>
        <v>0</v>
      </c>
      <c r="H1836" s="456" t="str">
        <v>-</v>
      </c>
      <c r="I1836" s="456" t="str">
        <v>N.A.</v>
      </c>
      <c r="J1836" s="456">
        <v>0</v>
      </c>
      <c r="K1836" s="456">
        <v>0</v>
      </c>
      <c r="L1836" s="456">
        <f t="shared" si="322"/>
        <v>0</v>
      </c>
    </row>
    <row r="1837" spans="1:18" ht="13.8" thickBot="1">
      <c r="A1837" s="454"/>
      <c r="B1837" s="454"/>
      <c r="C1837" s="456"/>
      <c r="D1837" s="456"/>
      <c r="E1837" s="456"/>
      <c r="F1837" s="456"/>
      <c r="G1837" s="525">
        <f>SUM(G1737:G1836)</f>
        <v>826.34199999999998</v>
      </c>
      <c r="H1837" s="456"/>
      <c r="I1837" s="456"/>
      <c r="J1837" s="456"/>
      <c r="K1837" s="456"/>
      <c r="L1837" s="525">
        <f>SUM(L1737:L1836)</f>
        <v>475288.64106720005</v>
      </c>
      <c r="O1837" s="525">
        <f>SUM(O1737:O1836)</f>
        <v>23137.576000000008</v>
      </c>
      <c r="P1837" s="525">
        <f>SUM(P1737:P1836)</f>
        <v>13308081.9498816</v>
      </c>
    </row>
    <row r="1838" spans="1:18">
      <c r="A1838" s="528"/>
      <c r="B1838" s="529" t="s">
        <v>744</v>
      </c>
      <c r="C1838" s="522"/>
      <c r="D1838" s="522"/>
      <c r="E1838" s="522"/>
      <c r="F1838" s="522"/>
      <c r="G1838" s="530"/>
      <c r="H1838" s="522"/>
      <c r="I1838" s="522"/>
      <c r="J1838" s="522"/>
      <c r="K1838" s="522"/>
      <c r="L1838" s="522"/>
    </row>
    <row r="1839" spans="1:18">
      <c r="A1839" s="528"/>
      <c r="B1839" s="528" t="s">
        <v>355</v>
      </c>
      <c r="C1839" s="522"/>
      <c r="D1839" s="522"/>
      <c r="E1839" s="522"/>
      <c r="F1839" s="522"/>
      <c r="G1839" s="522">
        <f>SUMIF($B$1737:$B$1836,B1839,$G$1737:$G$1836)</f>
        <v>70.36999999999999</v>
      </c>
      <c r="H1839" s="522"/>
      <c r="I1839" s="522"/>
      <c r="J1839" s="522"/>
      <c r="K1839" s="522"/>
      <c r="L1839" s="522">
        <f>SUMIF($B$1737:$B$1836,B1839,$L$1737:$L$1836)</f>
        <v>94707.269280000008</v>
      </c>
      <c r="O1839" s="455">
        <f t="shared" ref="O1839:O1854" si="327">IF(I1839="N.A",0,G1839*$N$1736)</f>
        <v>1970.3599999999997</v>
      </c>
      <c r="P1839" s="455">
        <f t="shared" ref="P1839:P1854" si="328">L1839*$N$1736</f>
        <v>2651803.5398400002</v>
      </c>
    </row>
    <row r="1840" spans="1:18">
      <c r="A1840" s="528"/>
      <c r="B1840" s="528" t="s">
        <v>695</v>
      </c>
      <c r="C1840" s="522"/>
      <c r="D1840" s="522"/>
      <c r="E1840" s="522"/>
      <c r="F1840" s="522"/>
      <c r="G1840" s="522">
        <f t="shared" ref="G1840:G1854" si="329">SUMIF($B$1737:$B$1836,B1840,$G$1737:$G$1836)</f>
        <v>61.960000000000008</v>
      </c>
      <c r="H1840" s="522"/>
      <c r="I1840" s="522"/>
      <c r="J1840" s="522"/>
      <c r="K1840" s="522"/>
      <c r="L1840" s="522">
        <f t="shared" ref="L1840:L1854" si="330">SUMIF($B$1737:$B$1836,B1840,$L$1737:$L$1836)</f>
        <v>24285.8416</v>
      </c>
      <c r="O1840" s="455">
        <f t="shared" si="327"/>
        <v>1734.88</v>
      </c>
      <c r="P1840" s="455">
        <f t="shared" si="328"/>
        <v>680003.56480000005</v>
      </c>
    </row>
    <row r="1841" spans="1:16">
      <c r="A1841" s="528"/>
      <c r="B1841" s="528" t="s">
        <v>698</v>
      </c>
      <c r="C1841" s="522"/>
      <c r="D1841" s="522"/>
      <c r="E1841" s="522"/>
      <c r="F1841" s="522"/>
      <c r="G1841" s="522">
        <f t="shared" si="329"/>
        <v>42.768000000000015</v>
      </c>
      <c r="H1841" s="522"/>
      <c r="I1841" s="522"/>
      <c r="J1841" s="522"/>
      <c r="K1841" s="522"/>
      <c r="L1841" s="522">
        <f t="shared" si="330"/>
        <v>62505.686880000008</v>
      </c>
      <c r="O1841" s="455">
        <f t="shared" si="327"/>
        <v>1197.5040000000004</v>
      </c>
      <c r="P1841" s="455">
        <f t="shared" si="328"/>
        <v>1750159.2326400003</v>
      </c>
    </row>
    <row r="1842" spans="1:16">
      <c r="A1842" s="528"/>
      <c r="B1842" s="528" t="s">
        <v>700</v>
      </c>
      <c r="C1842" s="522"/>
      <c r="D1842" s="522"/>
      <c r="E1842" s="522"/>
      <c r="F1842" s="522"/>
      <c r="G1842" s="522">
        <f t="shared" si="329"/>
        <v>194.65899999999999</v>
      </c>
      <c r="H1842" s="522"/>
      <c r="I1842" s="522"/>
      <c r="J1842" s="522"/>
      <c r="K1842" s="522"/>
      <c r="L1842" s="522">
        <f t="shared" si="330"/>
        <v>86218.811172000002</v>
      </c>
      <c r="O1842" s="455">
        <f t="shared" si="327"/>
        <v>5450.4519999999993</v>
      </c>
      <c r="P1842" s="455">
        <f t="shared" si="328"/>
        <v>2414126.712816</v>
      </c>
    </row>
    <row r="1843" spans="1:16">
      <c r="A1843" s="528"/>
      <c r="B1843" s="528" t="s">
        <v>702</v>
      </c>
      <c r="C1843" s="522"/>
      <c r="D1843" s="522"/>
      <c r="E1843" s="522"/>
      <c r="F1843" s="522"/>
      <c r="G1843" s="522">
        <f t="shared" si="329"/>
        <v>70.36999999999999</v>
      </c>
      <c r="H1843" s="522"/>
      <c r="I1843" s="522"/>
      <c r="J1843" s="522"/>
      <c r="K1843" s="522"/>
      <c r="L1843" s="522">
        <f t="shared" si="330"/>
        <v>24238.805759999996</v>
      </c>
      <c r="O1843" s="455">
        <f t="shared" si="327"/>
        <v>1970.3599999999997</v>
      </c>
      <c r="P1843" s="455">
        <f t="shared" si="328"/>
        <v>678686.56127999991</v>
      </c>
    </row>
    <row r="1844" spans="1:16">
      <c r="A1844" s="528"/>
      <c r="B1844" s="528" t="s">
        <v>703</v>
      </c>
      <c r="C1844" s="522"/>
      <c r="D1844" s="522"/>
      <c r="E1844" s="522"/>
      <c r="F1844" s="522"/>
      <c r="G1844" s="522">
        <f t="shared" si="329"/>
        <v>0</v>
      </c>
      <c r="H1844" s="522"/>
      <c r="I1844" s="522"/>
      <c r="J1844" s="522"/>
      <c r="K1844" s="522"/>
      <c r="L1844" s="522">
        <f t="shared" si="330"/>
        <v>0</v>
      </c>
      <c r="O1844" s="455">
        <f t="shared" si="327"/>
        <v>0</v>
      </c>
      <c r="P1844" s="455">
        <f t="shared" si="328"/>
        <v>0</v>
      </c>
    </row>
    <row r="1845" spans="1:16">
      <c r="A1845" s="528"/>
      <c r="B1845" s="528" t="s">
        <v>704</v>
      </c>
      <c r="C1845" s="522"/>
      <c r="D1845" s="522"/>
      <c r="E1845" s="522"/>
      <c r="F1845" s="522"/>
      <c r="G1845" s="522">
        <f t="shared" si="329"/>
        <v>194.65899999999999</v>
      </c>
      <c r="H1845" s="522"/>
      <c r="I1845" s="522"/>
      <c r="J1845" s="522"/>
      <c r="K1845" s="522"/>
      <c r="L1845" s="522">
        <f t="shared" si="330"/>
        <v>50740.74252</v>
      </c>
      <c r="O1845" s="455">
        <f t="shared" si="327"/>
        <v>5450.4519999999993</v>
      </c>
      <c r="P1845" s="455">
        <f t="shared" si="328"/>
        <v>1420740.7905600001</v>
      </c>
    </row>
    <row r="1846" spans="1:16">
      <c r="A1846" s="528"/>
      <c r="B1846" s="528" t="s">
        <v>706</v>
      </c>
      <c r="C1846" s="522"/>
      <c r="D1846" s="522"/>
      <c r="E1846" s="522"/>
      <c r="F1846" s="522"/>
      <c r="G1846" s="522">
        <f t="shared" si="329"/>
        <v>70.36999999999999</v>
      </c>
      <c r="H1846" s="522"/>
      <c r="I1846" s="522"/>
      <c r="J1846" s="522"/>
      <c r="K1846" s="522"/>
      <c r="L1846" s="522">
        <f t="shared" si="330"/>
        <v>16551.264599999999</v>
      </c>
      <c r="O1846" s="455">
        <f t="shared" si="327"/>
        <v>1970.3599999999997</v>
      </c>
      <c r="P1846" s="455">
        <f t="shared" si="328"/>
        <v>463435.40879999998</v>
      </c>
    </row>
    <row r="1847" spans="1:16">
      <c r="A1847" s="528"/>
      <c r="B1847" s="528" t="s">
        <v>713</v>
      </c>
      <c r="C1847" s="522"/>
      <c r="D1847" s="522"/>
      <c r="E1847" s="522"/>
      <c r="F1847" s="522"/>
      <c r="G1847" s="522">
        <f t="shared" si="329"/>
        <v>22.8</v>
      </c>
      <c r="H1847" s="522"/>
      <c r="I1847" s="522"/>
      <c r="J1847" s="522"/>
      <c r="K1847" s="522"/>
      <c r="L1847" s="522">
        <f t="shared" si="330"/>
        <v>14955.140159999999</v>
      </c>
      <c r="O1847" s="455">
        <f t="shared" si="327"/>
        <v>638.4</v>
      </c>
      <c r="P1847" s="455">
        <f t="shared" si="328"/>
        <v>418743.92447999999</v>
      </c>
    </row>
    <row r="1848" spans="1:16">
      <c r="A1848" s="528"/>
      <c r="B1848" s="528" t="s">
        <v>715</v>
      </c>
      <c r="C1848" s="522"/>
      <c r="D1848" s="522"/>
      <c r="E1848" s="522"/>
      <c r="F1848" s="522"/>
      <c r="G1848" s="522">
        <f t="shared" si="329"/>
        <v>43</v>
      </c>
      <c r="H1848" s="522"/>
      <c r="I1848" s="522"/>
      <c r="J1848" s="522"/>
      <c r="K1848" s="522"/>
      <c r="L1848" s="522">
        <f t="shared" si="330"/>
        <v>28204.869599999998</v>
      </c>
      <c r="O1848" s="455">
        <f t="shared" si="327"/>
        <v>1204</v>
      </c>
      <c r="P1848" s="455">
        <f t="shared" si="328"/>
        <v>789736.34879999992</v>
      </c>
    </row>
    <row r="1849" spans="1:16">
      <c r="A1849" s="528"/>
      <c r="B1849" s="528" t="s">
        <v>716</v>
      </c>
      <c r="C1849" s="522"/>
      <c r="D1849" s="522"/>
      <c r="E1849" s="522"/>
      <c r="F1849" s="522"/>
      <c r="G1849" s="522">
        <f t="shared" si="329"/>
        <v>43</v>
      </c>
      <c r="H1849" s="522"/>
      <c r="I1849" s="522"/>
      <c r="J1849" s="522"/>
      <c r="K1849" s="522"/>
      <c r="L1849" s="522">
        <f t="shared" si="330"/>
        <v>17158.823199999999</v>
      </c>
      <c r="O1849" s="455">
        <f t="shared" si="327"/>
        <v>1204</v>
      </c>
      <c r="P1849" s="455">
        <f t="shared" si="328"/>
        <v>480447.04959999997</v>
      </c>
    </row>
    <row r="1850" spans="1:16">
      <c r="A1850" s="528"/>
      <c r="B1850" s="528" t="s">
        <v>707</v>
      </c>
      <c r="C1850" s="522"/>
      <c r="D1850" s="522"/>
      <c r="E1850" s="522"/>
      <c r="F1850" s="522"/>
      <c r="G1850" s="522">
        <f t="shared" si="329"/>
        <v>0</v>
      </c>
      <c r="H1850" s="522"/>
      <c r="I1850" s="522"/>
      <c r="J1850" s="522"/>
      <c r="K1850" s="522"/>
      <c r="L1850" s="522">
        <f t="shared" si="330"/>
        <v>0</v>
      </c>
      <c r="O1850" s="455">
        <f t="shared" si="327"/>
        <v>0</v>
      </c>
      <c r="P1850" s="455">
        <f t="shared" si="328"/>
        <v>0</v>
      </c>
    </row>
    <row r="1851" spans="1:16">
      <c r="A1851" s="528"/>
      <c r="B1851" s="528" t="s">
        <v>718</v>
      </c>
      <c r="C1851" s="522"/>
      <c r="D1851" s="522"/>
      <c r="E1851" s="522"/>
      <c r="F1851" s="522"/>
      <c r="G1851" s="522">
        <f t="shared" si="329"/>
        <v>0.72</v>
      </c>
      <c r="H1851" s="522"/>
      <c r="I1851" s="522"/>
      <c r="J1851" s="522"/>
      <c r="K1851" s="522"/>
      <c r="L1851" s="522">
        <f t="shared" si="330"/>
        <v>4557.36384</v>
      </c>
      <c r="O1851" s="455">
        <f t="shared" si="327"/>
        <v>20.16</v>
      </c>
      <c r="P1851" s="455">
        <f t="shared" si="328"/>
        <v>127606.18752000001</v>
      </c>
    </row>
    <row r="1852" spans="1:16">
      <c r="A1852" s="528"/>
      <c r="B1852" s="528" t="s">
        <v>755</v>
      </c>
      <c r="C1852" s="522"/>
      <c r="D1852" s="522"/>
      <c r="E1852" s="522"/>
      <c r="F1852" s="522"/>
      <c r="G1852" s="522">
        <f t="shared" si="329"/>
        <v>5.5260000000000007</v>
      </c>
      <c r="H1852" s="522"/>
      <c r="I1852" s="522"/>
      <c r="J1852" s="522"/>
      <c r="K1852" s="522"/>
      <c r="L1852" s="522">
        <f t="shared" si="330"/>
        <v>6263.4402792000001</v>
      </c>
      <c r="O1852" s="455">
        <f t="shared" si="327"/>
        <v>154.72800000000001</v>
      </c>
      <c r="P1852" s="455">
        <f t="shared" si="328"/>
        <v>175376.32781759999</v>
      </c>
    </row>
    <row r="1853" spans="1:16">
      <c r="A1853" s="528"/>
      <c r="B1853" s="528" t="s">
        <v>747</v>
      </c>
      <c r="C1853" s="522"/>
      <c r="D1853" s="522"/>
      <c r="E1853" s="522"/>
      <c r="F1853" s="522"/>
      <c r="G1853" s="522">
        <f t="shared" si="329"/>
        <v>3.52</v>
      </c>
      <c r="H1853" s="522"/>
      <c r="I1853" s="522"/>
      <c r="J1853" s="522"/>
      <c r="K1853" s="522"/>
      <c r="L1853" s="522">
        <f t="shared" si="330"/>
        <v>25741.050368000004</v>
      </c>
      <c r="O1853" s="455">
        <f t="shared" si="327"/>
        <v>98.56</v>
      </c>
      <c r="P1853" s="455">
        <f t="shared" si="328"/>
        <v>720749.41030400014</v>
      </c>
    </row>
    <row r="1854" spans="1:16">
      <c r="A1854" s="528"/>
      <c r="B1854" s="528" t="s">
        <v>666</v>
      </c>
      <c r="C1854" s="522"/>
      <c r="D1854" s="522"/>
      <c r="E1854" s="522"/>
      <c r="F1854" s="522"/>
      <c r="G1854" s="537">
        <f t="shared" si="329"/>
        <v>2.62</v>
      </c>
      <c r="H1854" s="522"/>
      <c r="I1854" s="522"/>
      <c r="J1854" s="522"/>
      <c r="K1854" s="537"/>
      <c r="L1854" s="537">
        <f t="shared" si="330"/>
        <v>19159.531808000003</v>
      </c>
      <c r="O1854" s="455">
        <f t="shared" si="327"/>
        <v>73.36</v>
      </c>
      <c r="P1854" s="455">
        <f t="shared" si="328"/>
        <v>536466.89062400011</v>
      </c>
    </row>
    <row r="1855" spans="1:16" ht="13.8" thickBot="1">
      <c r="A1855" s="528"/>
      <c r="B1855" s="528"/>
      <c r="C1855" s="522"/>
      <c r="D1855" s="522"/>
      <c r="E1855" s="522"/>
      <c r="F1855" s="522"/>
      <c r="G1855" s="525">
        <f>SUM(G1839:G1854)</f>
        <v>826.34199999999998</v>
      </c>
      <c r="H1855" s="522"/>
      <c r="I1855" s="522"/>
      <c r="J1855" s="522"/>
      <c r="K1855" s="525" t="s">
        <v>232</v>
      </c>
      <c r="L1855" s="525">
        <f>SUM(L1839:L1854)</f>
        <v>475288.64106719993</v>
      </c>
      <c r="O1855" s="525">
        <f>SUM(O1839:O1854)</f>
        <v>23137.576000000005</v>
      </c>
      <c r="P1855" s="525">
        <f>SUM(P1839:P1854)</f>
        <v>13308081.9498816</v>
      </c>
    </row>
    <row r="1856" spans="1:16">
      <c r="A1856" s="528"/>
      <c r="B1856" s="528" t="s">
        <v>756</v>
      </c>
      <c r="C1856" s="522"/>
      <c r="D1856" s="522"/>
      <c r="E1856" s="522"/>
      <c r="F1856" s="522"/>
      <c r="G1856" s="530">
        <f>Doors!E128</f>
        <v>6</v>
      </c>
      <c r="H1856" s="522"/>
      <c r="I1856" s="522"/>
      <c r="J1856" s="522"/>
      <c r="K1856" s="530"/>
      <c r="L1856" s="530">
        <f>Doors!J128</f>
        <v>112000</v>
      </c>
    </row>
    <row r="1857" spans="1:22">
      <c r="A1857" s="528"/>
      <c r="B1857" s="528" t="s">
        <v>391</v>
      </c>
      <c r="C1857" s="522"/>
      <c r="D1857" s="522"/>
      <c r="E1857" s="522"/>
      <c r="F1857" s="522"/>
      <c r="G1857" s="522">
        <f>Windows!H157</f>
        <v>22.829999999999995</v>
      </c>
      <c r="H1857" s="522"/>
      <c r="I1857" s="522"/>
      <c r="J1857" s="522"/>
      <c r="K1857" s="537"/>
      <c r="L1857" s="537">
        <f>Windows!N157</f>
        <v>164893.166</v>
      </c>
    </row>
    <row r="1858" spans="1:22">
      <c r="A1858" s="528"/>
      <c r="B1858" s="528"/>
      <c r="C1858" s="522"/>
      <c r="D1858" s="522"/>
      <c r="E1858" s="522"/>
      <c r="F1858" s="522"/>
      <c r="G1858" s="522"/>
      <c r="H1858" s="522"/>
      <c r="I1858" s="522"/>
      <c r="J1858" s="522"/>
      <c r="K1858" s="539" t="s">
        <v>232</v>
      </c>
      <c r="L1858" s="539">
        <f>SUM(L1856:L1857)</f>
        <v>276893.16599999997</v>
      </c>
    </row>
    <row r="1859" spans="1:22" ht="13.8" thickBot="1">
      <c r="A1859" s="528"/>
      <c r="B1859" s="528"/>
      <c r="C1859" s="522"/>
      <c r="D1859" s="522"/>
      <c r="E1859" s="522"/>
      <c r="F1859" s="522"/>
      <c r="G1859" s="522"/>
      <c r="H1859" s="522"/>
      <c r="I1859" s="522"/>
      <c r="J1859" s="522"/>
      <c r="K1859" s="525" t="s">
        <v>745</v>
      </c>
      <c r="L1859" s="525">
        <f>L1855+L1858</f>
        <v>752181.80706719984</v>
      </c>
    </row>
    <row r="1860" spans="1:22" s="474" customFormat="1" ht="13.5" customHeight="1">
      <c r="A1860" s="465" t="s">
        <v>628</v>
      </c>
      <c r="B1860" s="466" t="str">
        <f>'Flat Sizes'!B153</f>
        <v>Common Area - Typical Floors</v>
      </c>
      <c r="C1860" s="456"/>
      <c r="D1860" s="456"/>
      <c r="E1860" s="456"/>
      <c r="F1860" s="456"/>
      <c r="G1860" s="456"/>
      <c r="H1860" s="456"/>
      <c r="I1860" s="456"/>
      <c r="J1860" s="456"/>
      <c r="K1860" s="456"/>
      <c r="L1860" s="546"/>
      <c r="M1860" s="471"/>
      <c r="N1860" s="472"/>
      <c r="O1860" s="459"/>
      <c r="P1860" s="459"/>
      <c r="Q1860" s="473"/>
      <c r="S1860" s="473"/>
      <c r="T1860" s="473"/>
      <c r="U1860" s="473"/>
      <c r="V1860" s="473"/>
    </row>
    <row r="1861" spans="1:22" s="479" customFormat="1" ht="13.5" customHeight="1">
      <c r="A1861" s="475" t="s">
        <v>628</v>
      </c>
      <c r="B1861" s="476" t="str">
        <f>'Flat Sizes'!B154</f>
        <v>Common Lobby 1</v>
      </c>
      <c r="C1861" s="477">
        <f>'Flat Sizes'!D154</f>
        <v>64.92</v>
      </c>
      <c r="D1861" s="477">
        <f>'Flat Sizes'!G154</f>
        <v>58.96</v>
      </c>
      <c r="E1861" s="477"/>
      <c r="F1861" s="454"/>
      <c r="G1861" s="477"/>
      <c r="H1861" s="477"/>
      <c r="I1861" s="477"/>
      <c r="J1861" s="477"/>
      <c r="K1861" s="477"/>
      <c r="L1861" s="477"/>
      <c r="M1861" s="459">
        <f>SUM(L1862:L1870)/C1861/10.764</f>
        <v>620.59395039671517</v>
      </c>
      <c r="N1861" s="472">
        <f>'Flat Sizes'!H154</f>
        <v>37</v>
      </c>
      <c r="O1861" s="455"/>
      <c r="P1861" s="455"/>
      <c r="Q1861" s="478"/>
    </row>
    <row r="1862" spans="1:22">
      <c r="A1862" s="454"/>
      <c r="B1862" s="454" t="str" cm="1">
        <f t="array" ref="B1862:B1870">'Rate List - Flats'!B131:B139</f>
        <v>Flooring</v>
      </c>
      <c r="C1862" s="456"/>
      <c r="D1862" s="456"/>
      <c r="E1862" s="456">
        <f>C1861</f>
        <v>64.92</v>
      </c>
      <c r="F1862" s="456"/>
      <c r="G1862" s="456">
        <f t="shared" ref="G1862:G1890" si="331">E1862+F1862</f>
        <v>64.92</v>
      </c>
      <c r="H1862" s="456" t="str" cm="1">
        <f t="array" ref="H1862:H1870">'Rate List - Flats'!H131:H139</f>
        <v>Sq M</v>
      </c>
      <c r="I1862" s="456" t="str" cm="1">
        <f t="array" ref="I1862:I1870">'Rate List - Flats'!C131:C139</f>
        <v>Vitrified Tiles</v>
      </c>
      <c r="J1862" s="456" cm="1">
        <f t="array" ref="J1862:J1870">'Rate List - Flats'!E131:E139</f>
        <v>70</v>
      </c>
      <c r="K1862" s="456" cm="1">
        <f t="array" ref="K1862:K1870">'Rate List - Flats'!G131:G139</f>
        <v>1797.588</v>
      </c>
      <c r="L1862" s="456">
        <f t="shared" ref="L1862:L1890" si="332">G1862*K1862</f>
        <v>116699.41296</v>
      </c>
      <c r="O1862" s="455">
        <f>IF(I1862="N.A",0,G1862*$N$1861)</f>
        <v>2402.04</v>
      </c>
      <c r="P1862" s="455">
        <f>L1862*$N$1861</f>
        <v>4317878.2795200003</v>
      </c>
      <c r="R1862" s="458" t="s">
        <v>671</v>
      </c>
    </row>
    <row r="1863" spans="1:22">
      <c r="A1863" s="454"/>
      <c r="B1863" s="454" t="str">
        <v>Skirting</v>
      </c>
      <c r="C1863" s="456"/>
      <c r="D1863" s="456"/>
      <c r="E1863" s="456"/>
      <c r="F1863" s="456"/>
      <c r="G1863" s="456">
        <f t="shared" si="331"/>
        <v>0</v>
      </c>
      <c r="H1863" s="456" t="str">
        <v xml:space="preserve">R M </v>
      </c>
      <c r="I1863" s="456" t="str">
        <v>N.A.</v>
      </c>
      <c r="J1863" s="456">
        <v>0</v>
      </c>
      <c r="K1863" s="456">
        <v>0</v>
      </c>
      <c r="L1863" s="456">
        <f t="shared" si="332"/>
        <v>0</v>
      </c>
      <c r="O1863" s="455">
        <f t="shared" ref="O1863:O1870" si="333">IF(I1863="N.A",0,G1863*$N$1861)</f>
        <v>0</v>
      </c>
      <c r="P1863" s="455">
        <f t="shared" ref="P1863:P1870" si="334">L1863*$N$1861</f>
        <v>0</v>
      </c>
      <c r="R1863" s="458"/>
    </row>
    <row r="1864" spans="1:22">
      <c r="A1864" s="454"/>
      <c r="B1864" s="454" t="str">
        <v>Dado</v>
      </c>
      <c r="C1864" s="456"/>
      <c r="D1864" s="456"/>
      <c r="E1864" s="456">
        <f>D1861*(D1-0.15)</f>
        <v>173.93200000000002</v>
      </c>
      <c r="F1864" s="456">
        <f>-(Doors!H135+(Windows!H159*4)+(Doors!F5*5))</f>
        <v>-50.488</v>
      </c>
      <c r="G1864" s="456">
        <f t="shared" si="331"/>
        <v>123.44400000000002</v>
      </c>
      <c r="H1864" s="456" t="str">
        <v>Sq M</v>
      </c>
      <c r="I1864" s="456" t="str">
        <v>Vitrified Tiles</v>
      </c>
      <c r="J1864" s="456">
        <v>70</v>
      </c>
      <c r="K1864" s="456">
        <v>1851.4079999999999</v>
      </c>
      <c r="L1864" s="456">
        <f t="shared" si="332"/>
        <v>228545.20915200002</v>
      </c>
      <c r="O1864" s="455">
        <f t="shared" si="333"/>
        <v>4567.4280000000008</v>
      </c>
      <c r="P1864" s="455">
        <f t="shared" si="334"/>
        <v>8456172.7386240009</v>
      </c>
      <c r="R1864" s="458" t="s">
        <v>672</v>
      </c>
    </row>
    <row r="1865" spans="1:22">
      <c r="A1865" s="454"/>
      <c r="B1865" s="454" t="str">
        <v>Wall finishes plaster</v>
      </c>
      <c r="C1865" s="456"/>
      <c r="D1865" s="456"/>
      <c r="E1865" s="456"/>
      <c r="F1865" s="456"/>
      <c r="G1865" s="456">
        <f t="shared" si="331"/>
        <v>0</v>
      </c>
      <c r="H1865" s="456" t="str">
        <v>Sq M</v>
      </c>
      <c r="I1865" s="456" t="str">
        <v>N.A.</v>
      </c>
      <c r="J1865" s="456">
        <v>0</v>
      </c>
      <c r="K1865" s="456">
        <v>0</v>
      </c>
      <c r="L1865" s="456">
        <f t="shared" si="332"/>
        <v>0</v>
      </c>
      <c r="O1865" s="455">
        <f t="shared" si="333"/>
        <v>0</v>
      </c>
      <c r="P1865" s="455">
        <f t="shared" si="334"/>
        <v>0</v>
      </c>
      <c r="R1865" s="458"/>
    </row>
    <row r="1866" spans="1:22">
      <c r="A1866" s="454"/>
      <c r="B1866" s="454" t="str">
        <v>Ceiling plaster</v>
      </c>
      <c r="C1866" s="456"/>
      <c r="D1866" s="456"/>
      <c r="E1866" s="456"/>
      <c r="F1866" s="456"/>
      <c r="G1866" s="456">
        <f t="shared" si="331"/>
        <v>0</v>
      </c>
      <c r="H1866" s="456" t="str">
        <v>Sq M</v>
      </c>
      <c r="I1866" s="456" t="str">
        <v>N.A.</v>
      </c>
      <c r="J1866" s="456">
        <v>40</v>
      </c>
      <c r="K1866" s="456">
        <v>473.61599999999999</v>
      </c>
      <c r="L1866" s="456">
        <f t="shared" si="332"/>
        <v>0</v>
      </c>
      <c r="O1866" s="455">
        <f t="shared" si="333"/>
        <v>0</v>
      </c>
      <c r="P1866" s="455">
        <f t="shared" si="334"/>
        <v>0</v>
      </c>
      <c r="R1866" s="458"/>
    </row>
    <row r="1867" spans="1:22">
      <c r="A1867" s="454"/>
      <c r="B1867" s="454" t="str">
        <v>False celing</v>
      </c>
      <c r="C1867" s="456"/>
      <c r="D1867" s="456"/>
      <c r="E1867" s="456">
        <f>C1861</f>
        <v>64.92</v>
      </c>
      <c r="F1867" s="456"/>
      <c r="G1867" s="456">
        <f t="shared" si="331"/>
        <v>64.92</v>
      </c>
      <c r="H1867" s="456" t="str">
        <v>Sq M</v>
      </c>
      <c r="I1867" s="456" t="str">
        <v>Gypsum false ceiling with cove</v>
      </c>
      <c r="J1867" s="456">
        <v>0</v>
      </c>
      <c r="K1867" s="456">
        <v>0</v>
      </c>
      <c r="L1867" s="456">
        <f t="shared" si="332"/>
        <v>0</v>
      </c>
      <c r="O1867" s="455">
        <f t="shared" si="333"/>
        <v>2402.04</v>
      </c>
      <c r="P1867" s="455">
        <f t="shared" si="334"/>
        <v>0</v>
      </c>
      <c r="R1867" s="458" t="s">
        <v>673</v>
      </c>
    </row>
    <row r="1868" spans="1:22">
      <c r="A1868" s="454"/>
      <c r="B1868" s="454" t="str">
        <v>Wall finishes Paint</v>
      </c>
      <c r="C1868" s="456"/>
      <c r="D1868" s="456"/>
      <c r="E1868" s="456"/>
      <c r="F1868" s="456"/>
      <c r="G1868" s="456">
        <f t="shared" si="331"/>
        <v>0</v>
      </c>
      <c r="H1868" s="456" t="str">
        <v>Sq M</v>
      </c>
      <c r="I1868" s="456" t="str">
        <v>Plastic paint</v>
      </c>
      <c r="J1868" s="456">
        <v>25</v>
      </c>
      <c r="K1868" s="456">
        <v>296.01000000000005</v>
      </c>
      <c r="L1868" s="456">
        <f t="shared" si="332"/>
        <v>0</v>
      </c>
      <c r="O1868" s="455">
        <f t="shared" si="333"/>
        <v>0</v>
      </c>
      <c r="P1868" s="455">
        <f t="shared" si="334"/>
        <v>0</v>
      </c>
      <c r="R1868" s="458"/>
    </row>
    <row r="1869" spans="1:22">
      <c r="A1869" s="454"/>
      <c r="B1869" s="454" t="str">
        <v>Ceiling Paint</v>
      </c>
      <c r="C1869" s="456"/>
      <c r="D1869" s="456"/>
      <c r="E1869" s="456">
        <f>E1867</f>
        <v>64.92</v>
      </c>
      <c r="F1869" s="456"/>
      <c r="G1869" s="456">
        <f t="shared" si="331"/>
        <v>64.92</v>
      </c>
      <c r="H1869" s="456" t="str">
        <v>Sq M</v>
      </c>
      <c r="I1869" s="456" t="str">
        <v>Plastic paint</v>
      </c>
      <c r="J1869" s="456">
        <v>20</v>
      </c>
      <c r="K1869" s="456">
        <v>236.80799999999999</v>
      </c>
      <c r="L1869" s="456">
        <f t="shared" si="332"/>
        <v>15373.575360000001</v>
      </c>
      <c r="O1869" s="455">
        <f t="shared" si="333"/>
        <v>2402.04</v>
      </c>
      <c r="P1869" s="455">
        <f t="shared" si="334"/>
        <v>568822.28832000005</v>
      </c>
      <c r="R1869" s="458" t="s">
        <v>664</v>
      </c>
    </row>
    <row r="1870" spans="1:22">
      <c r="A1870" s="454"/>
      <c r="B1870" s="454" t="str">
        <v>Architrave</v>
      </c>
      <c r="C1870" s="456"/>
      <c r="D1870" s="456"/>
      <c r="E1870" s="456">
        <f>(2.4+1.2+2.4)*4</f>
        <v>24</v>
      </c>
      <c r="F1870" s="456"/>
      <c r="G1870" s="456">
        <f t="shared" si="331"/>
        <v>24</v>
      </c>
      <c r="H1870" s="456" t="str">
        <v>RM</v>
      </c>
      <c r="I1870" s="456" t="str">
        <v>Granite</v>
      </c>
      <c r="J1870" s="456">
        <v>230</v>
      </c>
      <c r="K1870" s="456">
        <v>3043.84</v>
      </c>
      <c r="L1870" s="456">
        <f t="shared" si="332"/>
        <v>73052.160000000003</v>
      </c>
      <c r="O1870" s="455">
        <f t="shared" si="333"/>
        <v>888</v>
      </c>
      <c r="P1870" s="455">
        <f t="shared" si="334"/>
        <v>2702929.9199999999</v>
      </c>
      <c r="R1870" s="458" t="s">
        <v>412</v>
      </c>
    </row>
    <row r="1871" spans="1:22" s="479" customFormat="1" ht="13.5" customHeight="1">
      <c r="A1871" s="475" t="s">
        <v>628</v>
      </c>
      <c r="B1871" s="476" t="str">
        <f>'Flat Sizes'!B155</f>
        <v>Common Lobby 2</v>
      </c>
      <c r="C1871" s="477">
        <f>'Flat Sizes'!D155</f>
        <v>65.05</v>
      </c>
      <c r="D1871" s="477">
        <f>'Flat Sizes'!G155</f>
        <v>59.08</v>
      </c>
      <c r="E1871" s="477"/>
      <c r="F1871" s="454"/>
      <c r="G1871" s="477"/>
      <c r="H1871" s="477"/>
      <c r="I1871" s="477"/>
      <c r="J1871" s="477"/>
      <c r="K1871" s="477"/>
      <c r="L1871" s="477"/>
      <c r="M1871" s="459">
        <f>SUM(L1872:L1880)/C1871/10.764</f>
        <v>620.66744442359322</v>
      </c>
      <c r="N1871" s="472">
        <f>'Flat Sizes'!H155</f>
        <v>37</v>
      </c>
      <c r="O1871" s="455"/>
      <c r="P1871" s="455"/>
      <c r="Q1871" s="478"/>
    </row>
    <row r="1872" spans="1:22">
      <c r="A1872" s="454"/>
      <c r="B1872" s="454" t="str" cm="1">
        <f t="array" ref="B1872:B1880">'Rate List - Flats'!B131:B139</f>
        <v>Flooring</v>
      </c>
      <c r="C1872" s="456"/>
      <c r="D1872" s="456"/>
      <c r="E1872" s="456">
        <f>C1871</f>
        <v>65.05</v>
      </c>
      <c r="F1872" s="456"/>
      <c r="G1872" s="456">
        <f t="shared" si="331"/>
        <v>65.05</v>
      </c>
      <c r="H1872" s="456" t="str" cm="1">
        <f t="array" ref="H1872:H1880">'Rate List - Flats'!H131:H139</f>
        <v>Sq M</v>
      </c>
      <c r="I1872" s="456" t="str" cm="1">
        <f t="array" ref="I1872:I1880">'Rate List - Flats'!C131:C139</f>
        <v>Vitrified Tiles</v>
      </c>
      <c r="J1872" s="456" cm="1">
        <f t="array" ref="J1872:J1880">'Rate List - Flats'!E131:E139</f>
        <v>70</v>
      </c>
      <c r="K1872" s="456" cm="1">
        <f t="array" ref="K1872:K1880">'Rate List - Flats'!G131:G139</f>
        <v>1797.588</v>
      </c>
      <c r="L1872" s="456">
        <f t="shared" si="332"/>
        <v>116933.09939999999</v>
      </c>
      <c r="O1872" s="455">
        <f>IF(I1872="N.A",0,G1872*$N$1871)</f>
        <v>2406.85</v>
      </c>
      <c r="P1872" s="455">
        <f>L1872*$N$1871</f>
        <v>4326524.6777999997</v>
      </c>
      <c r="R1872" s="458" t="s">
        <v>671</v>
      </c>
    </row>
    <row r="1873" spans="1:18">
      <c r="A1873" s="454"/>
      <c r="B1873" s="454" t="str">
        <v>Skirting</v>
      </c>
      <c r="C1873" s="456"/>
      <c r="D1873" s="456"/>
      <c r="E1873" s="456"/>
      <c r="F1873" s="456"/>
      <c r="G1873" s="456">
        <f t="shared" si="331"/>
        <v>0</v>
      </c>
      <c r="H1873" s="456" t="str">
        <v xml:space="preserve">R M </v>
      </c>
      <c r="I1873" s="456" t="str">
        <v>N.A.</v>
      </c>
      <c r="J1873" s="456">
        <v>0</v>
      </c>
      <c r="K1873" s="456">
        <v>0</v>
      </c>
      <c r="L1873" s="456">
        <f t="shared" si="332"/>
        <v>0</v>
      </c>
      <c r="O1873" s="455">
        <f t="shared" ref="O1873:O1880" si="335">IF(I1873="N.A",0,G1873*$N$1736)</f>
        <v>0</v>
      </c>
      <c r="P1873" s="455">
        <f t="shared" ref="P1873:P1880" si="336">L1873*$N$1871</f>
        <v>0</v>
      </c>
      <c r="R1873" s="458"/>
    </row>
    <row r="1874" spans="1:18">
      <c r="A1874" s="454"/>
      <c r="B1874" s="454" t="str">
        <v>Dado</v>
      </c>
      <c r="C1874" s="456"/>
      <c r="D1874" s="456"/>
      <c r="E1874" s="456">
        <f>D1871*(D1-0.15)</f>
        <v>174.286</v>
      </c>
      <c r="F1874" s="456">
        <f>F1864</f>
        <v>-50.488</v>
      </c>
      <c r="G1874" s="456">
        <f t="shared" si="331"/>
        <v>123.798</v>
      </c>
      <c r="H1874" s="456" t="str">
        <v>Sq M</v>
      </c>
      <c r="I1874" s="456" t="str">
        <v>Vitrified Tiles</v>
      </c>
      <c r="J1874" s="456">
        <v>70</v>
      </c>
      <c r="K1874" s="456">
        <v>1851.4079999999999</v>
      </c>
      <c r="L1874" s="456">
        <f t="shared" si="332"/>
        <v>229200.60758399998</v>
      </c>
      <c r="O1874" s="455">
        <f t="shared" si="335"/>
        <v>3466.3440000000001</v>
      </c>
      <c r="P1874" s="455">
        <f t="shared" si="336"/>
        <v>8480422.4806079995</v>
      </c>
      <c r="R1874" s="458" t="s">
        <v>672</v>
      </c>
    </row>
    <row r="1875" spans="1:18">
      <c r="A1875" s="454"/>
      <c r="B1875" s="454" t="str">
        <v>Wall finishes plaster</v>
      </c>
      <c r="C1875" s="456"/>
      <c r="D1875" s="456"/>
      <c r="E1875" s="456"/>
      <c r="F1875" s="456"/>
      <c r="G1875" s="456">
        <f t="shared" si="331"/>
        <v>0</v>
      </c>
      <c r="H1875" s="456" t="str">
        <v>Sq M</v>
      </c>
      <c r="I1875" s="456" t="str">
        <v>N.A.</v>
      </c>
      <c r="J1875" s="456">
        <v>0</v>
      </c>
      <c r="K1875" s="456">
        <v>0</v>
      </c>
      <c r="L1875" s="456">
        <f t="shared" si="332"/>
        <v>0</v>
      </c>
      <c r="O1875" s="455">
        <f t="shared" si="335"/>
        <v>0</v>
      </c>
      <c r="P1875" s="455">
        <f t="shared" si="336"/>
        <v>0</v>
      </c>
      <c r="R1875" s="458"/>
    </row>
    <row r="1876" spans="1:18">
      <c r="A1876" s="454"/>
      <c r="B1876" s="454" t="str">
        <v>Ceiling plaster</v>
      </c>
      <c r="C1876" s="456"/>
      <c r="D1876" s="456"/>
      <c r="E1876" s="456"/>
      <c r="F1876" s="456"/>
      <c r="G1876" s="456">
        <f t="shared" si="331"/>
        <v>0</v>
      </c>
      <c r="H1876" s="456" t="str">
        <v>Sq M</v>
      </c>
      <c r="I1876" s="456" t="str">
        <v>N.A.</v>
      </c>
      <c r="J1876" s="456">
        <v>40</v>
      </c>
      <c r="K1876" s="456">
        <v>473.61599999999999</v>
      </c>
      <c r="L1876" s="456">
        <f t="shared" si="332"/>
        <v>0</v>
      </c>
      <c r="O1876" s="455">
        <f t="shared" si="335"/>
        <v>0</v>
      </c>
      <c r="P1876" s="455">
        <f t="shared" si="336"/>
        <v>0</v>
      </c>
      <c r="R1876" s="458"/>
    </row>
    <row r="1877" spans="1:18">
      <c r="A1877" s="454"/>
      <c r="B1877" s="454" t="str">
        <v>False celing</v>
      </c>
      <c r="C1877" s="456"/>
      <c r="D1877" s="456"/>
      <c r="E1877" s="456">
        <f>C1871</f>
        <v>65.05</v>
      </c>
      <c r="F1877" s="456"/>
      <c r="G1877" s="456">
        <f t="shared" si="331"/>
        <v>65.05</v>
      </c>
      <c r="H1877" s="456" t="str">
        <v>Sq M</v>
      </c>
      <c r="I1877" s="456" t="str">
        <v>Gypsum false ceiling with cove</v>
      </c>
      <c r="J1877" s="456">
        <v>0</v>
      </c>
      <c r="K1877" s="456">
        <v>0</v>
      </c>
      <c r="L1877" s="456">
        <f t="shared" si="332"/>
        <v>0</v>
      </c>
      <c r="O1877" s="455">
        <f t="shared" si="335"/>
        <v>1821.3999999999999</v>
      </c>
      <c r="P1877" s="455">
        <f t="shared" si="336"/>
        <v>0</v>
      </c>
      <c r="R1877" s="458" t="s">
        <v>673</v>
      </c>
    </row>
    <row r="1878" spans="1:18">
      <c r="A1878" s="454"/>
      <c r="B1878" s="454" t="str">
        <v>Wall finishes Paint</v>
      </c>
      <c r="C1878" s="456"/>
      <c r="D1878" s="456"/>
      <c r="E1878" s="456"/>
      <c r="F1878" s="456"/>
      <c r="G1878" s="456">
        <f t="shared" si="331"/>
        <v>0</v>
      </c>
      <c r="H1878" s="456" t="str">
        <v>Sq M</v>
      </c>
      <c r="I1878" s="456" t="str">
        <v>Plastic paint</v>
      </c>
      <c r="J1878" s="456">
        <v>25</v>
      </c>
      <c r="K1878" s="456">
        <v>296.01000000000005</v>
      </c>
      <c r="L1878" s="456">
        <f t="shared" si="332"/>
        <v>0</v>
      </c>
      <c r="O1878" s="455">
        <f t="shared" si="335"/>
        <v>0</v>
      </c>
      <c r="P1878" s="455">
        <f t="shared" si="336"/>
        <v>0</v>
      </c>
      <c r="R1878" s="458"/>
    </row>
    <row r="1879" spans="1:18">
      <c r="A1879" s="454"/>
      <c r="B1879" s="454" t="str">
        <v>Ceiling Paint</v>
      </c>
      <c r="C1879" s="456"/>
      <c r="D1879" s="456"/>
      <c r="E1879" s="456">
        <f>E1877</f>
        <v>65.05</v>
      </c>
      <c r="F1879" s="456"/>
      <c r="G1879" s="456">
        <f t="shared" si="331"/>
        <v>65.05</v>
      </c>
      <c r="H1879" s="456" t="str">
        <v>Sq M</v>
      </c>
      <c r="I1879" s="456" t="str">
        <v>Plastic paint</v>
      </c>
      <c r="J1879" s="456">
        <v>20</v>
      </c>
      <c r="K1879" s="456">
        <v>236.80799999999999</v>
      </c>
      <c r="L1879" s="456">
        <f t="shared" si="332"/>
        <v>15404.3604</v>
      </c>
      <c r="O1879" s="455">
        <f t="shared" si="335"/>
        <v>1821.3999999999999</v>
      </c>
      <c r="P1879" s="455">
        <f t="shared" si="336"/>
        <v>569961.33479999995</v>
      </c>
      <c r="R1879" s="458" t="s">
        <v>664</v>
      </c>
    </row>
    <row r="1880" spans="1:18">
      <c r="A1880" s="454"/>
      <c r="B1880" s="454" t="str">
        <v>Architrave</v>
      </c>
      <c r="C1880" s="456"/>
      <c r="D1880" s="456"/>
      <c r="E1880" s="456">
        <f>E1870</f>
        <v>24</v>
      </c>
      <c r="F1880" s="456"/>
      <c r="G1880" s="456">
        <f t="shared" si="331"/>
        <v>24</v>
      </c>
      <c r="H1880" s="456" t="str">
        <v>RM</v>
      </c>
      <c r="I1880" s="456" t="str">
        <v>Granite</v>
      </c>
      <c r="J1880" s="456">
        <v>230</v>
      </c>
      <c r="K1880" s="456">
        <v>3043.84</v>
      </c>
      <c r="L1880" s="456">
        <f t="shared" si="332"/>
        <v>73052.160000000003</v>
      </c>
      <c r="O1880" s="455">
        <f t="shared" si="335"/>
        <v>672</v>
      </c>
      <c r="P1880" s="455">
        <f t="shared" si="336"/>
        <v>2702929.9199999999</v>
      </c>
      <c r="R1880" s="458" t="s">
        <v>412</v>
      </c>
    </row>
    <row r="1881" spans="1:18" s="479" customFormat="1" ht="13.5" customHeight="1">
      <c r="A1881" s="475" t="s">
        <v>628</v>
      </c>
      <c r="B1881" s="476" t="str">
        <f>'Flat Sizes'!B156</f>
        <v>Smoke Check Lobby 1</v>
      </c>
      <c r="C1881" s="477">
        <f>'Flat Sizes'!D156</f>
        <v>4.45</v>
      </c>
      <c r="D1881" s="477">
        <f>'Flat Sizes'!G156</f>
        <v>8.58</v>
      </c>
      <c r="E1881" s="477"/>
      <c r="F1881" s="454"/>
      <c r="G1881" s="477"/>
      <c r="H1881" s="477"/>
      <c r="I1881" s="477"/>
      <c r="J1881" s="477"/>
      <c r="K1881" s="477"/>
      <c r="L1881" s="477"/>
      <c r="M1881" s="459">
        <f>SUM(L1882:L1890)/C1881/10.764</f>
        <v>926.66626257312146</v>
      </c>
      <c r="N1881" s="472">
        <f>'Flat Sizes'!H156</f>
        <v>36</v>
      </c>
      <c r="O1881" s="455"/>
      <c r="P1881" s="455"/>
      <c r="Q1881" s="478"/>
    </row>
    <row r="1882" spans="1:18">
      <c r="A1882" s="454"/>
      <c r="B1882" s="454" t="str" cm="1">
        <f t="array" ref="B1882:B1890">'Rate List - Flats'!B142:B150</f>
        <v>Flooring</v>
      </c>
      <c r="C1882" s="456"/>
      <c r="D1882" s="456"/>
      <c r="E1882" s="456">
        <f>C1881</f>
        <v>4.45</v>
      </c>
      <c r="F1882" s="456"/>
      <c r="G1882" s="456">
        <f t="shared" si="331"/>
        <v>4.45</v>
      </c>
      <c r="H1882" s="456" t="str" cm="1">
        <f t="array" ref="H1882:H1890">'Rate List - Flats'!H142:H150</f>
        <v>Sq M</v>
      </c>
      <c r="I1882" s="456" t="str" cm="1">
        <f t="array" ref="I1882:I1890">'Rate List - Flats'!C142:C150</f>
        <v>Vitrified Tiles</v>
      </c>
      <c r="J1882" s="456" cm="1">
        <f t="array" ref="J1882:J1890">'Rate List - Flats'!E142:E150</f>
        <v>60</v>
      </c>
      <c r="K1882" s="456" cm="1">
        <f t="array" ref="K1882:K1890">'Rate List - Flats'!G142:G150</f>
        <v>1571.5439999999999</v>
      </c>
      <c r="L1882" s="456">
        <f t="shared" si="332"/>
        <v>6993.3707999999997</v>
      </c>
      <c r="O1882" s="455">
        <f t="shared" ref="O1882:O1890" si="337">IF(I1882="N.A",0,G1882*$N$1736)</f>
        <v>124.60000000000001</v>
      </c>
      <c r="P1882" s="455">
        <f t="shared" ref="P1882:P1890" si="338">L1882*$N$1871</f>
        <v>258754.71959999998</v>
      </c>
      <c r="R1882" s="458" t="s">
        <v>671</v>
      </c>
    </row>
    <row r="1883" spans="1:18">
      <c r="A1883" s="454"/>
      <c r="B1883" s="454" t="str">
        <v>Skirting</v>
      </c>
      <c r="C1883" s="456"/>
      <c r="D1883" s="456"/>
      <c r="E1883" s="456">
        <f>D1881</f>
        <v>8.58</v>
      </c>
      <c r="F1883" s="456">
        <f>-(0.9+Doors!F137)</f>
        <v>-2.1</v>
      </c>
      <c r="G1883" s="456">
        <f t="shared" si="331"/>
        <v>6.48</v>
      </c>
      <c r="H1883" s="456" t="str">
        <v xml:space="preserve">R M </v>
      </c>
      <c r="I1883" s="456" t="str">
        <v xml:space="preserve">2'x2' Vitrified tiles </v>
      </c>
      <c r="J1883" s="456">
        <v>60</v>
      </c>
      <c r="K1883" s="456">
        <v>462.47999999999996</v>
      </c>
      <c r="L1883" s="456">
        <f t="shared" si="332"/>
        <v>2996.8703999999998</v>
      </c>
      <c r="O1883" s="455">
        <f t="shared" si="337"/>
        <v>181.44</v>
      </c>
      <c r="P1883" s="455">
        <f t="shared" si="338"/>
        <v>110884.20479999999</v>
      </c>
      <c r="R1883" s="458" t="s">
        <v>759</v>
      </c>
    </row>
    <row r="1884" spans="1:18">
      <c r="A1884" s="454"/>
      <c r="B1884" s="454" t="str">
        <v>Dado</v>
      </c>
      <c r="C1884" s="456"/>
      <c r="D1884" s="456"/>
      <c r="E1884" s="456"/>
      <c r="F1884" s="456"/>
      <c r="G1884" s="456">
        <f t="shared" si="331"/>
        <v>0</v>
      </c>
      <c r="H1884" s="456" t="str">
        <v>Sq M</v>
      </c>
      <c r="I1884" s="456" t="str">
        <v>N.A.</v>
      </c>
      <c r="J1884" s="456">
        <v>0</v>
      </c>
      <c r="K1884" s="456">
        <v>0</v>
      </c>
      <c r="L1884" s="456">
        <f t="shared" si="332"/>
        <v>0</v>
      </c>
      <c r="O1884" s="455">
        <f t="shared" si="337"/>
        <v>0</v>
      </c>
      <c r="P1884" s="455">
        <f t="shared" si="338"/>
        <v>0</v>
      </c>
    </row>
    <row r="1885" spans="1:18">
      <c r="A1885" s="454"/>
      <c r="B1885" s="454" t="str">
        <v>Wall finishes plaster</v>
      </c>
      <c r="C1885" s="456"/>
      <c r="D1885" s="456"/>
      <c r="E1885" s="456">
        <f>D1881*(D1-0.15)</f>
        <v>25.311000000000003</v>
      </c>
      <c r="F1885" s="456">
        <f>-((0.9*2.15)+(Doors!H137))</f>
        <v>-4.4550000000000001</v>
      </c>
      <c r="G1885" s="456">
        <f t="shared" si="331"/>
        <v>20.856000000000002</v>
      </c>
      <c r="H1885" s="456" t="str">
        <v>Sq M</v>
      </c>
      <c r="I1885" s="456" t="str">
        <v>Gypsum Plaster</v>
      </c>
      <c r="J1885" s="456">
        <v>35</v>
      </c>
      <c r="K1885" s="456">
        <v>414.41399999999999</v>
      </c>
      <c r="L1885" s="456">
        <f t="shared" si="332"/>
        <v>8643.0183840000009</v>
      </c>
      <c r="O1885" s="455">
        <f t="shared" si="337"/>
        <v>583.96800000000007</v>
      </c>
      <c r="P1885" s="455">
        <f t="shared" si="338"/>
        <v>319791.68020800001</v>
      </c>
      <c r="R1885" s="458" t="s">
        <v>661</v>
      </c>
    </row>
    <row r="1886" spans="1:18">
      <c r="A1886" s="454"/>
      <c r="B1886" s="454" t="str">
        <v>Ceiling plaster</v>
      </c>
      <c r="C1886" s="456"/>
      <c r="D1886" s="456"/>
      <c r="E1886" s="456"/>
      <c r="F1886" s="456"/>
      <c r="G1886" s="456">
        <f t="shared" si="331"/>
        <v>0</v>
      </c>
      <c r="H1886" s="456" t="str">
        <v>Sq M</v>
      </c>
      <c r="I1886" s="456" t="str">
        <v>N.A.</v>
      </c>
      <c r="J1886" s="456">
        <v>0</v>
      </c>
      <c r="K1886" s="456">
        <v>0</v>
      </c>
      <c r="L1886" s="456">
        <f t="shared" si="332"/>
        <v>0</v>
      </c>
      <c r="O1886" s="455">
        <f t="shared" si="337"/>
        <v>0</v>
      </c>
      <c r="P1886" s="455">
        <f t="shared" si="338"/>
        <v>0</v>
      </c>
      <c r="R1886" s="458"/>
    </row>
    <row r="1887" spans="1:18">
      <c r="A1887" s="454"/>
      <c r="B1887" s="454" t="str">
        <v>False ceiling</v>
      </c>
      <c r="C1887" s="456"/>
      <c r="D1887" s="456"/>
      <c r="E1887" s="456">
        <f>E1882</f>
        <v>4.45</v>
      </c>
      <c r="F1887" s="456"/>
      <c r="G1887" s="456">
        <f t="shared" si="331"/>
        <v>4.45</v>
      </c>
      <c r="H1887" s="456" t="str">
        <v>Sq M</v>
      </c>
      <c r="I1887" s="456" t="str">
        <v>Gypsum false ceiling with cove</v>
      </c>
      <c r="J1887" s="456">
        <v>0</v>
      </c>
      <c r="K1887" s="456">
        <v>0</v>
      </c>
      <c r="L1887" s="456">
        <f t="shared" si="332"/>
        <v>0</v>
      </c>
      <c r="O1887" s="455">
        <f t="shared" si="337"/>
        <v>124.60000000000001</v>
      </c>
      <c r="P1887" s="455">
        <f t="shared" si="338"/>
        <v>0</v>
      </c>
      <c r="R1887" s="458" t="s">
        <v>673</v>
      </c>
    </row>
    <row r="1888" spans="1:18">
      <c r="A1888" s="454"/>
      <c r="B1888" s="454" t="str">
        <v>Wall finishes Paint</v>
      </c>
      <c r="C1888" s="456"/>
      <c r="D1888" s="456"/>
      <c r="E1888" s="456">
        <f>E1885</f>
        <v>25.311000000000003</v>
      </c>
      <c r="F1888" s="456">
        <f>F1885</f>
        <v>-4.4550000000000001</v>
      </c>
      <c r="G1888" s="456">
        <f t="shared" si="331"/>
        <v>20.856000000000002</v>
      </c>
      <c r="H1888" s="456" t="str">
        <v>Sq M</v>
      </c>
      <c r="I1888" s="456" t="str">
        <v>Plastic Paint</v>
      </c>
      <c r="J1888" s="456">
        <v>25</v>
      </c>
      <c r="K1888" s="456">
        <v>296.01000000000005</v>
      </c>
      <c r="L1888" s="456">
        <f t="shared" si="332"/>
        <v>6173.5845600000011</v>
      </c>
      <c r="O1888" s="455">
        <f t="shared" si="337"/>
        <v>583.96800000000007</v>
      </c>
      <c r="P1888" s="455">
        <f t="shared" si="338"/>
        <v>228422.62872000004</v>
      </c>
      <c r="R1888" s="458" t="s">
        <v>663</v>
      </c>
    </row>
    <row r="1889" spans="1:18">
      <c r="A1889" s="454"/>
      <c r="B1889" s="454" t="str">
        <v>Ceiling Paint</v>
      </c>
      <c r="C1889" s="456"/>
      <c r="D1889" s="456"/>
      <c r="E1889" s="456">
        <f>E1887</f>
        <v>4.45</v>
      </c>
      <c r="F1889" s="456"/>
      <c r="G1889" s="456">
        <f t="shared" si="331"/>
        <v>4.45</v>
      </c>
      <c r="H1889" s="456" t="str">
        <v>Sq M</v>
      </c>
      <c r="I1889" s="456" t="str">
        <v>Plastic Paint</v>
      </c>
      <c r="J1889" s="456">
        <v>25</v>
      </c>
      <c r="K1889" s="456">
        <v>296.01000000000005</v>
      </c>
      <c r="L1889" s="456">
        <f t="shared" si="332"/>
        <v>1317.2445000000002</v>
      </c>
      <c r="O1889" s="455">
        <f t="shared" si="337"/>
        <v>124.60000000000001</v>
      </c>
      <c r="P1889" s="455">
        <f t="shared" si="338"/>
        <v>48738.046500000011</v>
      </c>
      <c r="R1889" s="458" t="s">
        <v>664</v>
      </c>
    </row>
    <row r="1890" spans="1:18" s="1031" customFormat="1">
      <c r="A1890" s="1026"/>
      <c r="B1890" s="1026" t="str">
        <v>Architrave</v>
      </c>
      <c r="C1890" s="1027"/>
      <c r="D1890" s="1027"/>
      <c r="E1890" s="1027">
        <f>2.4+1.2+2.4</f>
        <v>6</v>
      </c>
      <c r="F1890" s="1027"/>
      <c r="G1890" s="1027">
        <f t="shared" si="331"/>
        <v>6</v>
      </c>
      <c r="H1890" s="1027" t="str">
        <v>RM</v>
      </c>
      <c r="I1890" s="1027" t="str">
        <v>Granite</v>
      </c>
      <c r="J1890" s="1027">
        <v>230</v>
      </c>
      <c r="K1890" s="1027">
        <v>3043.84</v>
      </c>
      <c r="L1890" s="1027">
        <f t="shared" si="332"/>
        <v>18263.04</v>
      </c>
      <c r="M1890" s="1028"/>
      <c r="N1890" s="1028"/>
      <c r="O1890" s="1029">
        <f t="shared" si="337"/>
        <v>168</v>
      </c>
      <c r="P1890" s="1029">
        <f t="shared" si="338"/>
        <v>675732.47999999998</v>
      </c>
      <c r="Q1890" s="1028"/>
      <c r="R1890" s="1030" t="s">
        <v>412</v>
      </c>
    </row>
    <row r="1891" spans="1:18" ht="14.4">
      <c r="A1891" s="475" t="s">
        <v>628</v>
      </c>
      <c r="B1891" s="476" t="str">
        <f>'Flat Sizes'!B157</f>
        <v>Smoke Check Lobby 2</v>
      </c>
      <c r="C1891" s="477">
        <f>'Flat Sizes'!D157</f>
        <v>4.45</v>
      </c>
      <c r="D1891" s="477">
        <f>'Flat Sizes'!G157</f>
        <v>8.58</v>
      </c>
      <c r="E1891" s="477"/>
      <c r="F1891" s="454"/>
      <c r="G1891" s="477"/>
      <c r="H1891" s="477"/>
      <c r="I1891" s="477"/>
      <c r="J1891" s="477"/>
      <c r="K1891" s="477"/>
      <c r="L1891" s="477"/>
      <c r="M1891" s="459">
        <f>SUM(L1892:L1900)/C1891/10.764</f>
        <v>926.66626257312146</v>
      </c>
      <c r="N1891" s="472">
        <f>'Flat Sizes'!H157</f>
        <v>36</v>
      </c>
      <c r="O1891" s="455"/>
      <c r="P1891" s="455"/>
      <c r="Q1891" s="478"/>
      <c r="R1891" s="479"/>
    </row>
    <row r="1892" spans="1:18">
      <c r="A1892" s="454"/>
      <c r="B1892" s="454" t="str" cm="1">
        <f t="array" ref="B1892:B1900">'Rate List - Flats'!B142:B150</f>
        <v>Flooring</v>
      </c>
      <c r="C1892" s="456"/>
      <c r="D1892" s="456"/>
      <c r="E1892" s="456">
        <f>C1891</f>
        <v>4.45</v>
      </c>
      <c r="F1892" s="456"/>
      <c r="G1892" s="456">
        <f t="shared" ref="G1892:G1943" si="339">E1892+F1892</f>
        <v>4.45</v>
      </c>
      <c r="H1892" s="456" t="str" cm="1">
        <f t="array" ref="H1892:H1900">'Rate List - Flats'!H142:H150</f>
        <v>Sq M</v>
      </c>
      <c r="I1892" s="456" t="str" cm="1">
        <f t="array" ref="I1892:I1900">'Rate List - Flats'!C142:C150</f>
        <v>Vitrified Tiles</v>
      </c>
      <c r="J1892" s="456" cm="1">
        <f t="array" ref="J1892:J1900">'Rate List - Flats'!E142:E150</f>
        <v>60</v>
      </c>
      <c r="K1892" s="456" cm="1">
        <f t="array" ref="K1892:K1900">'Rate List - Flats'!G142:G150</f>
        <v>1571.5439999999999</v>
      </c>
      <c r="L1892" s="456">
        <f t="shared" ref="L1892:L1943" si="340">G1892*K1892</f>
        <v>6993.3707999999997</v>
      </c>
      <c r="O1892" s="455">
        <f>IF(I1892="N.A",0,G1892*$N$1891)</f>
        <v>160.20000000000002</v>
      </c>
      <c r="P1892" s="455">
        <f>L1892*$N$1891</f>
        <v>251761.34879999998</v>
      </c>
      <c r="R1892" s="458" t="s">
        <v>671</v>
      </c>
    </row>
    <row r="1893" spans="1:18">
      <c r="A1893" s="454"/>
      <c r="B1893" s="454" t="str">
        <v>Skirting</v>
      </c>
      <c r="C1893" s="456"/>
      <c r="D1893" s="456"/>
      <c r="E1893" s="456">
        <f>D1891</f>
        <v>8.58</v>
      </c>
      <c r="F1893" s="456">
        <f>-(0.9+Doors!F137)</f>
        <v>-2.1</v>
      </c>
      <c r="G1893" s="456">
        <f t="shared" si="339"/>
        <v>6.48</v>
      </c>
      <c r="H1893" s="456" t="str">
        <v xml:space="preserve">R M </v>
      </c>
      <c r="I1893" s="456" t="str">
        <v xml:space="preserve">2'x2' Vitrified tiles </v>
      </c>
      <c r="J1893" s="456">
        <v>60</v>
      </c>
      <c r="K1893" s="456">
        <v>462.47999999999996</v>
      </c>
      <c r="L1893" s="456">
        <f t="shared" si="340"/>
        <v>2996.8703999999998</v>
      </c>
      <c r="O1893" s="455">
        <f t="shared" ref="O1893:O1900" si="341">IF(I1893="N.A",0,G1893*$N$1891)</f>
        <v>233.28000000000003</v>
      </c>
      <c r="P1893" s="455">
        <f t="shared" ref="P1893:P1900" si="342">L1893*$N$1891</f>
        <v>107887.33439999999</v>
      </c>
      <c r="R1893" s="458" t="s">
        <v>759</v>
      </c>
    </row>
    <row r="1894" spans="1:18">
      <c r="A1894" s="454"/>
      <c r="B1894" s="454" t="str">
        <v>Dado</v>
      </c>
      <c r="C1894" s="456"/>
      <c r="D1894" s="456"/>
      <c r="E1894" s="456"/>
      <c r="F1894" s="456"/>
      <c r="G1894" s="456">
        <f t="shared" si="339"/>
        <v>0</v>
      </c>
      <c r="H1894" s="456" t="str">
        <v>Sq M</v>
      </c>
      <c r="I1894" s="456" t="str">
        <v>N.A.</v>
      </c>
      <c r="J1894" s="456">
        <v>0</v>
      </c>
      <c r="K1894" s="456">
        <v>0</v>
      </c>
      <c r="L1894" s="456">
        <f t="shared" si="340"/>
        <v>0</v>
      </c>
      <c r="O1894" s="455">
        <f t="shared" si="341"/>
        <v>0</v>
      </c>
      <c r="P1894" s="455">
        <f t="shared" si="342"/>
        <v>0</v>
      </c>
    </row>
    <row r="1895" spans="1:18">
      <c r="A1895" s="454"/>
      <c r="B1895" s="454" t="str">
        <v>Wall finishes plaster</v>
      </c>
      <c r="C1895" s="456"/>
      <c r="D1895" s="456"/>
      <c r="E1895" s="456">
        <f>D1881*(D1-0.15)</f>
        <v>25.311000000000003</v>
      </c>
      <c r="F1895" s="456">
        <f>-((0.9*2.15)+(Doors!H137))</f>
        <v>-4.4550000000000001</v>
      </c>
      <c r="G1895" s="456">
        <f t="shared" si="339"/>
        <v>20.856000000000002</v>
      </c>
      <c r="H1895" s="456" t="str">
        <v>Sq M</v>
      </c>
      <c r="I1895" s="456" t="str">
        <v>Gypsum Plaster</v>
      </c>
      <c r="J1895" s="456">
        <v>35</v>
      </c>
      <c r="K1895" s="456">
        <v>414.41399999999999</v>
      </c>
      <c r="L1895" s="456">
        <f t="shared" si="340"/>
        <v>8643.0183840000009</v>
      </c>
      <c r="O1895" s="455">
        <f t="shared" si="341"/>
        <v>750.81600000000003</v>
      </c>
      <c r="P1895" s="455">
        <f t="shared" si="342"/>
        <v>311148.66182400001</v>
      </c>
      <c r="R1895" s="458" t="s">
        <v>661</v>
      </c>
    </row>
    <row r="1896" spans="1:18">
      <c r="A1896" s="454"/>
      <c r="B1896" s="454" t="str">
        <v>Ceiling plaster</v>
      </c>
      <c r="C1896" s="456"/>
      <c r="D1896" s="456"/>
      <c r="E1896" s="456"/>
      <c r="F1896" s="456"/>
      <c r="G1896" s="456">
        <f t="shared" si="339"/>
        <v>0</v>
      </c>
      <c r="H1896" s="456" t="str">
        <v>Sq M</v>
      </c>
      <c r="I1896" s="456" t="str">
        <v>N.A.</v>
      </c>
      <c r="J1896" s="456">
        <v>0</v>
      </c>
      <c r="K1896" s="456">
        <v>0</v>
      </c>
      <c r="L1896" s="456">
        <f t="shared" si="340"/>
        <v>0</v>
      </c>
      <c r="O1896" s="455">
        <f t="shared" si="341"/>
        <v>0</v>
      </c>
      <c r="P1896" s="455">
        <f t="shared" si="342"/>
        <v>0</v>
      </c>
      <c r="R1896" s="458"/>
    </row>
    <row r="1897" spans="1:18">
      <c r="A1897" s="454"/>
      <c r="B1897" s="454" t="str">
        <v>False ceiling</v>
      </c>
      <c r="C1897" s="456"/>
      <c r="D1897" s="456"/>
      <c r="E1897" s="456">
        <f>E1892</f>
        <v>4.45</v>
      </c>
      <c r="F1897" s="456"/>
      <c r="G1897" s="456">
        <f t="shared" si="339"/>
        <v>4.45</v>
      </c>
      <c r="H1897" s="456" t="str">
        <v>Sq M</v>
      </c>
      <c r="I1897" s="456" t="str">
        <v>Gypsum false ceiling with cove</v>
      </c>
      <c r="J1897" s="456">
        <v>0</v>
      </c>
      <c r="K1897" s="456">
        <v>0</v>
      </c>
      <c r="L1897" s="456">
        <f t="shared" si="340"/>
        <v>0</v>
      </c>
      <c r="O1897" s="455">
        <f t="shared" si="341"/>
        <v>160.20000000000002</v>
      </c>
      <c r="P1897" s="455">
        <f t="shared" si="342"/>
        <v>0</v>
      </c>
      <c r="R1897" s="458" t="s">
        <v>673</v>
      </c>
    </row>
    <row r="1898" spans="1:18">
      <c r="A1898" s="454"/>
      <c r="B1898" s="454" t="str">
        <v>Wall finishes Paint</v>
      </c>
      <c r="C1898" s="456"/>
      <c r="D1898" s="456"/>
      <c r="E1898" s="456">
        <f>E1895</f>
        <v>25.311000000000003</v>
      </c>
      <c r="F1898" s="456">
        <f>F1895</f>
        <v>-4.4550000000000001</v>
      </c>
      <c r="G1898" s="456">
        <f t="shared" si="339"/>
        <v>20.856000000000002</v>
      </c>
      <c r="H1898" s="456" t="str">
        <v>Sq M</v>
      </c>
      <c r="I1898" s="456" t="str">
        <v>Plastic Paint</v>
      </c>
      <c r="J1898" s="456">
        <v>25</v>
      </c>
      <c r="K1898" s="456">
        <v>296.01000000000005</v>
      </c>
      <c r="L1898" s="456">
        <f t="shared" si="340"/>
        <v>6173.5845600000011</v>
      </c>
      <c r="O1898" s="455">
        <f t="shared" si="341"/>
        <v>750.81600000000003</v>
      </c>
      <c r="P1898" s="455">
        <f t="shared" si="342"/>
        <v>222249.04416000005</v>
      </c>
      <c r="R1898" s="458" t="s">
        <v>663</v>
      </c>
    </row>
    <row r="1899" spans="1:18">
      <c r="A1899" s="454"/>
      <c r="B1899" s="454" t="str">
        <v>Ceiling Paint</v>
      </c>
      <c r="C1899" s="456"/>
      <c r="D1899" s="456"/>
      <c r="E1899" s="456">
        <f>E1897</f>
        <v>4.45</v>
      </c>
      <c r="F1899" s="456"/>
      <c r="G1899" s="456">
        <f t="shared" si="339"/>
        <v>4.45</v>
      </c>
      <c r="H1899" s="456" t="str">
        <v>Sq M</v>
      </c>
      <c r="I1899" s="456" t="str">
        <v>Plastic Paint</v>
      </c>
      <c r="J1899" s="456">
        <v>25</v>
      </c>
      <c r="K1899" s="456">
        <v>296.01000000000005</v>
      </c>
      <c r="L1899" s="456">
        <f t="shared" si="340"/>
        <v>1317.2445000000002</v>
      </c>
      <c r="O1899" s="455">
        <f t="shared" si="341"/>
        <v>160.20000000000002</v>
      </c>
      <c r="P1899" s="455">
        <f t="shared" si="342"/>
        <v>47420.802000000011</v>
      </c>
      <c r="R1899" s="458" t="s">
        <v>664</v>
      </c>
    </row>
    <row r="1900" spans="1:18">
      <c r="A1900" s="454"/>
      <c r="B1900" s="454" t="str">
        <v>Architrave</v>
      </c>
      <c r="C1900" s="456"/>
      <c r="D1900" s="456"/>
      <c r="E1900" s="456">
        <f>2.4+1.2+2.4</f>
        <v>6</v>
      </c>
      <c r="F1900" s="456"/>
      <c r="G1900" s="456">
        <f t="shared" si="339"/>
        <v>6</v>
      </c>
      <c r="H1900" s="456" t="str">
        <v>RM</v>
      </c>
      <c r="I1900" s="456" t="str">
        <v>Granite</v>
      </c>
      <c r="J1900" s="456">
        <v>230</v>
      </c>
      <c r="K1900" s="456">
        <v>3043.84</v>
      </c>
      <c r="L1900" s="456">
        <f t="shared" si="340"/>
        <v>18263.04</v>
      </c>
      <c r="O1900" s="455">
        <f t="shared" si="341"/>
        <v>216</v>
      </c>
      <c r="P1900" s="455">
        <f t="shared" si="342"/>
        <v>657469.44000000006</v>
      </c>
      <c r="R1900" s="458" t="s">
        <v>412</v>
      </c>
    </row>
    <row r="1901" spans="1:18" ht="14.4">
      <c r="A1901" s="475" t="s">
        <v>628</v>
      </c>
      <c r="B1901" s="476" t="str">
        <f>'Flat Sizes'!B158</f>
        <v>Lifts</v>
      </c>
      <c r="C1901" s="477">
        <f>'Flat Sizes'!D158</f>
        <v>59.78</v>
      </c>
      <c r="D1901" s="477">
        <f>'Flat Sizes'!G158</f>
        <v>95.94</v>
      </c>
      <c r="E1901" s="477"/>
      <c r="F1901" s="454"/>
      <c r="G1901" s="477"/>
      <c r="H1901" s="477"/>
      <c r="I1901" s="477"/>
      <c r="J1901" s="477"/>
      <c r="K1901" s="477"/>
      <c r="L1901" s="477"/>
      <c r="N1901" s="472">
        <v>37</v>
      </c>
      <c r="O1901" s="455"/>
      <c r="P1901" s="455"/>
      <c r="Q1901" s="478"/>
      <c r="R1901" s="479"/>
    </row>
    <row r="1902" spans="1:18">
      <c r="A1902" s="454"/>
      <c r="B1902" s="454" t="str" cm="1">
        <f t="array" ref="B1902:B1910">'Rate List - Flats'!B153:B161</f>
        <v>Flooring</v>
      </c>
      <c r="C1902" s="456"/>
      <c r="D1902" s="456"/>
      <c r="E1902" s="456"/>
      <c r="F1902" s="456"/>
      <c r="G1902" s="456">
        <f t="shared" si="339"/>
        <v>0</v>
      </c>
      <c r="H1902" s="456" t="str" cm="1">
        <f t="array" ref="H1902:H1910">'Rate List - Flats'!H153:H161</f>
        <v>Sq M</v>
      </c>
      <c r="I1902" s="456" t="str" cm="1">
        <f t="array" ref="I1902:I1910">'Rate List - Flats'!C153:C161</f>
        <v>N.A.</v>
      </c>
      <c r="J1902" s="456" cm="1">
        <f t="array" ref="J1902:J1910">'Rate List - Flats'!E153:E161</f>
        <v>0</v>
      </c>
      <c r="K1902" s="456" cm="1">
        <f t="array" ref="K1902:K1910">'Rate List - Flats'!G153:G161</f>
        <v>0</v>
      </c>
      <c r="L1902" s="456">
        <f t="shared" si="340"/>
        <v>0</v>
      </c>
      <c r="O1902" s="455">
        <f>IF(I1902="N.A",0,G1902*$N$1901)</f>
        <v>0</v>
      </c>
      <c r="P1902" s="455">
        <f>L1902*$N$1901</f>
        <v>0</v>
      </c>
    </row>
    <row r="1903" spans="1:18">
      <c r="A1903" s="454"/>
      <c r="B1903" s="454" t="str">
        <v>Skirting</v>
      </c>
      <c r="C1903" s="456"/>
      <c r="D1903" s="456"/>
      <c r="E1903" s="456"/>
      <c r="F1903" s="456"/>
      <c r="G1903" s="456">
        <f t="shared" si="339"/>
        <v>0</v>
      </c>
      <c r="H1903" s="456" t="str">
        <v xml:space="preserve">R M </v>
      </c>
      <c r="I1903" s="456" t="str">
        <v>N.A.</v>
      </c>
      <c r="J1903" s="456">
        <v>0</v>
      </c>
      <c r="K1903" s="456">
        <v>0</v>
      </c>
      <c r="L1903" s="456">
        <f t="shared" si="340"/>
        <v>0</v>
      </c>
      <c r="O1903" s="455">
        <f t="shared" ref="O1903:O1910" si="343">IF(I1903="N.A",0,G1903*$N$1901)</f>
        <v>0</v>
      </c>
      <c r="P1903" s="455">
        <f t="shared" ref="P1903:P1910" si="344">L1903*$N$1901</f>
        <v>0</v>
      </c>
    </row>
    <row r="1904" spans="1:18">
      <c r="A1904" s="454"/>
      <c r="B1904" s="454" t="str">
        <v>Dado</v>
      </c>
      <c r="C1904" s="456"/>
      <c r="D1904" s="456"/>
      <c r="E1904" s="456"/>
      <c r="F1904" s="456"/>
      <c r="G1904" s="456">
        <f t="shared" si="339"/>
        <v>0</v>
      </c>
      <c r="H1904" s="456" t="str">
        <v>Sq M</v>
      </c>
      <c r="I1904" s="456" t="str">
        <v>N.A.</v>
      </c>
      <c r="J1904" s="456">
        <v>0</v>
      </c>
      <c r="K1904" s="456">
        <v>0</v>
      </c>
      <c r="L1904" s="456">
        <f t="shared" si="340"/>
        <v>0</v>
      </c>
      <c r="O1904" s="455">
        <f t="shared" si="343"/>
        <v>0</v>
      </c>
      <c r="P1904" s="455">
        <f t="shared" si="344"/>
        <v>0</v>
      </c>
    </row>
    <row r="1905" spans="1:18">
      <c r="A1905" s="454"/>
      <c r="B1905" s="454" t="str">
        <v>Wall finishes plaster</v>
      </c>
      <c r="C1905" s="456"/>
      <c r="D1905" s="456"/>
      <c r="E1905" s="456"/>
      <c r="F1905" s="456"/>
      <c r="G1905" s="456">
        <f t="shared" si="339"/>
        <v>0</v>
      </c>
      <c r="H1905" s="456" t="str">
        <v>Sq M</v>
      </c>
      <c r="I1905" s="456" t="str">
        <v>N.A.</v>
      </c>
      <c r="J1905" s="456">
        <v>0</v>
      </c>
      <c r="K1905" s="456">
        <v>0</v>
      </c>
      <c r="L1905" s="456">
        <f t="shared" si="340"/>
        <v>0</v>
      </c>
      <c r="O1905" s="455">
        <f t="shared" si="343"/>
        <v>0</v>
      </c>
      <c r="P1905" s="455">
        <f t="shared" si="344"/>
        <v>0</v>
      </c>
    </row>
    <row r="1906" spans="1:18">
      <c r="A1906" s="454"/>
      <c r="B1906" s="454" t="str">
        <v>Ceiling plaster</v>
      </c>
      <c r="C1906" s="456"/>
      <c r="D1906" s="456"/>
      <c r="E1906" s="456"/>
      <c r="F1906" s="456"/>
      <c r="G1906" s="456">
        <f t="shared" si="339"/>
        <v>0</v>
      </c>
      <c r="H1906" s="456" t="str">
        <v>Sq M</v>
      </c>
      <c r="I1906" s="456" t="str">
        <v>N.A.</v>
      </c>
      <c r="J1906" s="456">
        <v>0</v>
      </c>
      <c r="K1906" s="456">
        <v>0</v>
      </c>
      <c r="L1906" s="456">
        <f t="shared" si="340"/>
        <v>0</v>
      </c>
      <c r="O1906" s="455">
        <f t="shared" si="343"/>
        <v>0</v>
      </c>
      <c r="P1906" s="455">
        <f t="shared" si="344"/>
        <v>0</v>
      </c>
    </row>
    <row r="1907" spans="1:18">
      <c r="A1907" s="454"/>
      <c r="B1907" s="454" t="str">
        <v>False ceiling</v>
      </c>
      <c r="C1907" s="456"/>
      <c r="D1907" s="456"/>
      <c r="E1907" s="456"/>
      <c r="F1907" s="456"/>
      <c r="G1907" s="456">
        <f t="shared" si="339"/>
        <v>0</v>
      </c>
      <c r="H1907" s="456" t="str">
        <v>Sq M</v>
      </c>
      <c r="I1907" s="456" t="str">
        <v>N.A.</v>
      </c>
      <c r="J1907" s="456">
        <v>0</v>
      </c>
      <c r="K1907" s="456">
        <v>0</v>
      </c>
      <c r="L1907" s="456">
        <f t="shared" si="340"/>
        <v>0</v>
      </c>
      <c r="O1907" s="455">
        <f t="shared" si="343"/>
        <v>0</v>
      </c>
      <c r="P1907" s="455">
        <f t="shared" si="344"/>
        <v>0</v>
      </c>
    </row>
    <row r="1908" spans="1:18">
      <c r="A1908" s="454"/>
      <c r="B1908" s="454" t="str">
        <v>Wall finishes Paint</v>
      </c>
      <c r="C1908" s="456"/>
      <c r="D1908" s="456"/>
      <c r="E1908" s="456">
        <f>D1901*D1</f>
        <v>297.41399999999999</v>
      </c>
      <c r="F1908" s="456">
        <f>-1.2*D1</f>
        <v>-3.7199999999999998</v>
      </c>
      <c r="G1908" s="456">
        <f t="shared" si="339"/>
        <v>293.69399999999996</v>
      </c>
      <c r="H1908" s="456" t="str">
        <v>Sq M</v>
      </c>
      <c r="I1908" s="456" t="str">
        <v xml:space="preserve">Cement Paint </v>
      </c>
      <c r="J1908" s="456">
        <v>16</v>
      </c>
      <c r="K1908" s="456">
        <v>172.22399999999999</v>
      </c>
      <c r="L1908" s="456">
        <f t="shared" si="340"/>
        <v>50581.155455999993</v>
      </c>
      <c r="O1908" s="455">
        <f t="shared" si="343"/>
        <v>10866.677999999998</v>
      </c>
      <c r="P1908" s="455">
        <f t="shared" si="344"/>
        <v>1871502.7518719998</v>
      </c>
      <c r="R1908" s="458" t="s">
        <v>674</v>
      </c>
    </row>
    <row r="1909" spans="1:18">
      <c r="A1909" s="454"/>
      <c r="B1909" s="454" t="str">
        <v>Ceiling Paint</v>
      </c>
      <c r="C1909" s="456"/>
      <c r="D1909" s="456"/>
      <c r="E1909" s="456"/>
      <c r="F1909" s="456"/>
      <c r="G1909" s="456">
        <f t="shared" si="339"/>
        <v>0</v>
      </c>
      <c r="H1909" s="456" t="str">
        <v>Sq M</v>
      </c>
      <c r="I1909" s="456" t="str">
        <v>N.A.</v>
      </c>
      <c r="J1909" s="456">
        <v>0</v>
      </c>
      <c r="K1909" s="456">
        <v>0</v>
      </c>
      <c r="L1909" s="456">
        <f t="shared" si="340"/>
        <v>0</v>
      </c>
      <c r="O1909" s="455">
        <f t="shared" si="343"/>
        <v>0</v>
      </c>
      <c r="P1909" s="455">
        <f t="shared" si="344"/>
        <v>0</v>
      </c>
    </row>
    <row r="1910" spans="1:18">
      <c r="A1910" s="454"/>
      <c r="B1910" s="454" t="str">
        <v>Architrave</v>
      </c>
      <c r="C1910" s="456"/>
      <c r="D1910" s="456"/>
      <c r="E1910" s="456"/>
      <c r="F1910" s="456"/>
      <c r="G1910" s="456">
        <f t="shared" si="339"/>
        <v>0</v>
      </c>
      <c r="H1910" s="456" t="str">
        <v>Sq M</v>
      </c>
      <c r="I1910" s="456" t="str">
        <v>N.A.</v>
      </c>
      <c r="J1910" s="456">
        <v>0</v>
      </c>
      <c r="K1910" s="456">
        <v>0</v>
      </c>
      <c r="L1910" s="456">
        <f t="shared" si="340"/>
        <v>0</v>
      </c>
      <c r="O1910" s="455">
        <f t="shared" si="343"/>
        <v>0</v>
      </c>
      <c r="P1910" s="455">
        <f t="shared" si="344"/>
        <v>0</v>
      </c>
    </row>
    <row r="1911" spans="1:18" ht="14.4">
      <c r="A1911" s="475" t="s">
        <v>628</v>
      </c>
      <c r="B1911" s="476" t="str">
        <f>'Flat Sizes'!B159</f>
        <v>Electric Duct 1 &amp; 2</v>
      </c>
      <c r="C1911" s="477">
        <f>'Flat Sizes'!D159</f>
        <v>1.57</v>
      </c>
      <c r="D1911" s="477">
        <f>'Flat Sizes'!G159</f>
        <v>6.04</v>
      </c>
      <c r="E1911" s="477"/>
      <c r="F1911" s="454"/>
      <c r="G1911" s="477"/>
      <c r="H1911" s="477"/>
      <c r="I1911" s="477"/>
      <c r="J1911" s="477"/>
      <c r="K1911" s="477"/>
      <c r="L1911" s="477"/>
      <c r="N1911" s="472"/>
      <c r="O1911" s="455"/>
      <c r="P1911" s="455"/>
      <c r="Q1911" s="478"/>
      <c r="R1911" s="479"/>
    </row>
    <row r="1912" spans="1:18">
      <c r="A1912" s="454"/>
      <c r="B1912" s="454" t="str" cm="1">
        <f t="array" ref="B1912:B1920">'Rate List - Flats'!B186:B194</f>
        <v>Flooring</v>
      </c>
      <c r="C1912" s="456"/>
      <c r="D1912" s="456"/>
      <c r="E1912" s="456">
        <f>C1911</f>
        <v>1.57</v>
      </c>
      <c r="F1912" s="456"/>
      <c r="G1912" s="456">
        <f t="shared" si="339"/>
        <v>1.57</v>
      </c>
      <c r="H1912" s="456" t="str" cm="1">
        <f t="array" ref="H1912:H1920">'Rate List - Flats'!H186:H194</f>
        <v>Sq M</v>
      </c>
      <c r="I1912" s="456" t="str" cm="1">
        <f t="array" ref="I1912:I1920">'Rate List - Flats'!C186:C194</f>
        <v>2 Hrs. Fire Rated Flooring</v>
      </c>
      <c r="J1912" s="456" cm="1">
        <f t="array" ref="J1912:J1920">'Rate List - Flats'!E186:E194</f>
        <v>2000</v>
      </c>
      <c r="K1912" s="456" cm="1">
        <f t="array" ref="K1912:K1920">'Rate List - Flats'!G186:G194</f>
        <v>21528</v>
      </c>
      <c r="L1912" s="456">
        <f t="shared" si="340"/>
        <v>33798.959999999999</v>
      </c>
      <c r="N1912" s="459">
        <f>37*2</f>
        <v>74</v>
      </c>
      <c r="O1912" s="455">
        <f>IF(I1912="N.A",0,G1912*$N$1912)</f>
        <v>116.18</v>
      </c>
      <c r="P1912" s="455">
        <f>L1912*$N$1912</f>
        <v>2501123.04</v>
      </c>
      <c r="R1912" s="458" t="s">
        <v>760</v>
      </c>
    </row>
    <row r="1913" spans="1:18">
      <c r="A1913" s="454"/>
      <c r="B1913" s="454" t="str">
        <v>Skirting</v>
      </c>
      <c r="C1913" s="456"/>
      <c r="D1913" s="456"/>
      <c r="E1913" s="456"/>
      <c r="F1913" s="456"/>
      <c r="G1913" s="456">
        <f t="shared" si="339"/>
        <v>0</v>
      </c>
      <c r="H1913" s="456" t="str">
        <v xml:space="preserve">RM </v>
      </c>
      <c r="I1913" s="456" t="str">
        <v>N.A.</v>
      </c>
      <c r="J1913" s="456">
        <v>0</v>
      </c>
      <c r="K1913" s="456">
        <v>0</v>
      </c>
      <c r="L1913" s="456">
        <f t="shared" si="340"/>
        <v>0</v>
      </c>
      <c r="O1913" s="455">
        <f t="shared" ref="O1913:O1920" si="345">IF(I1913="N.A",0,G1913*$N$1912)</f>
        <v>0</v>
      </c>
      <c r="P1913" s="455">
        <f t="shared" ref="P1913:P1920" si="346">L1913*$N$1912</f>
        <v>0</v>
      </c>
    </row>
    <row r="1914" spans="1:18">
      <c r="A1914" s="454"/>
      <c r="B1914" s="454" t="str">
        <v>Dado</v>
      </c>
      <c r="C1914" s="456"/>
      <c r="D1914" s="456"/>
      <c r="E1914" s="456"/>
      <c r="F1914" s="456"/>
      <c r="G1914" s="456">
        <f t="shared" si="339"/>
        <v>0</v>
      </c>
      <c r="H1914" s="456" t="str">
        <v>Sq M</v>
      </c>
      <c r="I1914" s="456" t="str">
        <v>N.A.</v>
      </c>
      <c r="J1914" s="456">
        <v>0</v>
      </c>
      <c r="K1914" s="456">
        <v>0</v>
      </c>
      <c r="L1914" s="456">
        <f t="shared" si="340"/>
        <v>0</v>
      </c>
      <c r="O1914" s="455">
        <f t="shared" si="345"/>
        <v>0</v>
      </c>
      <c r="P1914" s="455">
        <f t="shared" si="346"/>
        <v>0</v>
      </c>
    </row>
    <row r="1915" spans="1:18">
      <c r="A1915" s="454"/>
      <c r="B1915" s="454" t="str">
        <v>Wall finishes plaster</v>
      </c>
      <c r="C1915" s="456"/>
      <c r="D1915" s="456"/>
      <c r="E1915" s="456"/>
      <c r="F1915" s="456"/>
      <c r="G1915" s="456">
        <f t="shared" si="339"/>
        <v>0</v>
      </c>
      <c r="H1915" s="456" t="str">
        <v>Sq M</v>
      </c>
      <c r="I1915" s="456" t="str">
        <v>N.A.</v>
      </c>
      <c r="J1915" s="456">
        <v>0</v>
      </c>
      <c r="K1915" s="456">
        <v>0</v>
      </c>
      <c r="L1915" s="456">
        <f t="shared" si="340"/>
        <v>0</v>
      </c>
      <c r="O1915" s="455">
        <f t="shared" si="345"/>
        <v>0</v>
      </c>
      <c r="P1915" s="455">
        <f t="shared" si="346"/>
        <v>0</v>
      </c>
    </row>
    <row r="1916" spans="1:18">
      <c r="A1916" s="454"/>
      <c r="B1916" s="454" t="str">
        <v>Ceiling plaster</v>
      </c>
      <c r="C1916" s="456"/>
      <c r="D1916" s="456"/>
      <c r="E1916" s="456"/>
      <c r="F1916" s="456"/>
      <c r="G1916" s="456">
        <f t="shared" si="339"/>
        <v>0</v>
      </c>
      <c r="H1916" s="456" t="str">
        <v>Sq M</v>
      </c>
      <c r="I1916" s="456" t="str">
        <v>N.A.</v>
      </c>
      <c r="J1916" s="456">
        <v>0</v>
      </c>
      <c r="K1916" s="456">
        <v>0</v>
      </c>
      <c r="L1916" s="456">
        <f t="shared" si="340"/>
        <v>0</v>
      </c>
      <c r="O1916" s="455">
        <f t="shared" si="345"/>
        <v>0</v>
      </c>
      <c r="P1916" s="455">
        <f t="shared" si="346"/>
        <v>0</v>
      </c>
    </row>
    <row r="1917" spans="1:18">
      <c r="A1917" s="454"/>
      <c r="B1917" s="454" t="str">
        <v>False ceiling</v>
      </c>
      <c r="C1917" s="456"/>
      <c r="D1917" s="456"/>
      <c r="E1917" s="456"/>
      <c r="F1917" s="456"/>
      <c r="G1917" s="456">
        <f t="shared" si="339"/>
        <v>0</v>
      </c>
      <c r="H1917" s="456" t="str">
        <v>Sq M</v>
      </c>
      <c r="I1917" s="456" t="str">
        <v>N.A.</v>
      </c>
      <c r="J1917" s="456">
        <v>0</v>
      </c>
      <c r="K1917" s="456">
        <v>0</v>
      </c>
      <c r="L1917" s="456">
        <f t="shared" si="340"/>
        <v>0</v>
      </c>
      <c r="O1917" s="455">
        <f t="shared" si="345"/>
        <v>0</v>
      </c>
      <c r="P1917" s="455">
        <f t="shared" si="346"/>
        <v>0</v>
      </c>
    </row>
    <row r="1918" spans="1:18">
      <c r="A1918" s="454"/>
      <c r="B1918" s="454" t="str">
        <v>Wall finishes Paint</v>
      </c>
      <c r="C1918" s="456"/>
      <c r="D1918" s="456"/>
      <c r="E1918" s="456">
        <f>D1911*D1</f>
        <v>18.724</v>
      </c>
      <c r="F1918" s="456">
        <f>-2.35*D1</f>
        <v>-7.2850000000000001</v>
      </c>
      <c r="G1918" s="456">
        <f t="shared" si="339"/>
        <v>11.439</v>
      </c>
      <c r="H1918" s="456" t="str">
        <v>Sq M</v>
      </c>
      <c r="I1918" s="456" t="str">
        <v>Cement Paint</v>
      </c>
      <c r="J1918" s="456">
        <v>16</v>
      </c>
      <c r="K1918" s="456">
        <v>172.22399999999999</v>
      </c>
      <c r="L1918" s="456">
        <f t="shared" si="340"/>
        <v>1970.070336</v>
      </c>
      <c r="O1918" s="455">
        <f t="shared" si="345"/>
        <v>846.48599999999999</v>
      </c>
      <c r="P1918" s="455">
        <f t="shared" si="346"/>
        <v>145785.204864</v>
      </c>
      <c r="R1918" s="458" t="s">
        <v>674</v>
      </c>
    </row>
    <row r="1919" spans="1:18">
      <c r="A1919" s="454"/>
      <c r="B1919" s="454" t="str">
        <v>Ceiling Paint</v>
      </c>
      <c r="C1919" s="456"/>
      <c r="D1919" s="456"/>
      <c r="E1919" s="456"/>
      <c r="F1919" s="456"/>
      <c r="G1919" s="456">
        <f t="shared" si="339"/>
        <v>0</v>
      </c>
      <c r="H1919" s="456" t="str">
        <v>Sq M</v>
      </c>
      <c r="I1919" s="456" t="str">
        <v>N.A.</v>
      </c>
      <c r="J1919" s="456">
        <v>0</v>
      </c>
      <c r="K1919" s="456">
        <v>0</v>
      </c>
      <c r="L1919" s="456">
        <f t="shared" si="340"/>
        <v>0</v>
      </c>
      <c r="O1919" s="455">
        <f t="shared" si="345"/>
        <v>0</v>
      </c>
      <c r="P1919" s="455">
        <f t="shared" si="346"/>
        <v>0</v>
      </c>
    </row>
    <row r="1920" spans="1:18">
      <c r="A1920" s="454"/>
      <c r="B1920" s="454" t="str">
        <v>Architrave</v>
      </c>
      <c r="C1920" s="456"/>
      <c r="D1920" s="456"/>
      <c r="E1920" s="456"/>
      <c r="F1920" s="456"/>
      <c r="G1920" s="456">
        <f t="shared" si="339"/>
        <v>0</v>
      </c>
      <c r="H1920" s="456" t="str">
        <v>RM</v>
      </c>
      <c r="I1920" s="456" t="str">
        <v>N.A.</v>
      </c>
      <c r="J1920" s="456">
        <v>0</v>
      </c>
      <c r="K1920" s="456">
        <v>0</v>
      </c>
      <c r="L1920" s="456">
        <f t="shared" si="340"/>
        <v>0</v>
      </c>
      <c r="O1920" s="455">
        <f t="shared" si="345"/>
        <v>0</v>
      </c>
      <c r="P1920" s="455">
        <f t="shared" si="346"/>
        <v>0</v>
      </c>
    </row>
    <row r="1921" spans="1:18" ht="14.4">
      <c r="A1921" s="475" t="s">
        <v>628</v>
      </c>
      <c r="B1921" s="476" t="str">
        <f>'Flat Sizes'!B160</f>
        <v>Fire Duct 1 &amp; 2</v>
      </c>
      <c r="C1921" s="477">
        <f>'Flat Sizes'!D160</f>
        <v>0.92</v>
      </c>
      <c r="D1921" s="477">
        <f>'Flat Sizes'!G160</f>
        <v>4.09</v>
      </c>
      <c r="E1921" s="477"/>
      <c r="F1921" s="454"/>
      <c r="G1921" s="477"/>
      <c r="H1921" s="477"/>
      <c r="I1921" s="477"/>
      <c r="J1921" s="477"/>
      <c r="K1921" s="477"/>
      <c r="L1921" s="477"/>
      <c r="N1921" s="472">
        <f>N1912</f>
        <v>74</v>
      </c>
      <c r="O1921" s="455"/>
      <c r="P1921" s="455"/>
      <c r="Q1921" s="478"/>
      <c r="R1921" s="479"/>
    </row>
    <row r="1922" spans="1:18">
      <c r="A1922" s="454"/>
      <c r="B1922" s="454" t="str" cm="1">
        <f t="array" ref="B1922:B1930">'Rate List - Flats'!B197:B205</f>
        <v>Flooring</v>
      </c>
      <c r="C1922" s="456"/>
      <c r="D1922" s="456"/>
      <c r="E1922" s="456"/>
      <c r="F1922" s="456"/>
      <c r="G1922" s="456">
        <f t="shared" si="339"/>
        <v>0</v>
      </c>
      <c r="H1922" s="456" t="str" cm="1">
        <f t="array" ref="H1922:H1930">'Rate List - Flats'!H197:H205</f>
        <v>Sq M</v>
      </c>
      <c r="I1922" s="456" t="str" cm="1">
        <f t="array" ref="I1922:I1930">'Rate List - Flats'!C197:C205</f>
        <v>N.A.</v>
      </c>
      <c r="J1922" s="456" cm="1">
        <f t="array" ref="J1922:J1930">'Rate List - Flats'!E197:E205</f>
        <v>0</v>
      </c>
      <c r="K1922" s="456" cm="1">
        <f t="array" ref="K1922:K1930">'Rate List - Flats'!G197:G205</f>
        <v>0</v>
      </c>
      <c r="L1922" s="456">
        <f t="shared" si="340"/>
        <v>0</v>
      </c>
      <c r="O1922" s="455">
        <f>IF(I1922="N.A",0,G1922*$N$1921)</f>
        <v>0</v>
      </c>
      <c r="P1922" s="455">
        <f>L1922*$N$1921</f>
        <v>0</v>
      </c>
    </row>
    <row r="1923" spans="1:18">
      <c r="A1923" s="454"/>
      <c r="B1923" s="454" t="str">
        <v>Skirting</v>
      </c>
      <c r="C1923" s="456"/>
      <c r="D1923" s="456"/>
      <c r="E1923" s="456"/>
      <c r="F1923" s="456"/>
      <c r="G1923" s="456">
        <f t="shared" si="339"/>
        <v>0</v>
      </c>
      <c r="H1923" s="456" t="str">
        <v xml:space="preserve">RM </v>
      </c>
      <c r="I1923" s="456" t="str">
        <v>N.A.</v>
      </c>
      <c r="J1923" s="456">
        <v>0</v>
      </c>
      <c r="K1923" s="456">
        <v>0</v>
      </c>
      <c r="L1923" s="456">
        <f t="shared" si="340"/>
        <v>0</v>
      </c>
      <c r="O1923" s="455">
        <f t="shared" ref="O1923:O1930" si="347">IF(I1923="N.A",0,G1923*$N$1921)</f>
        <v>0</v>
      </c>
      <c r="P1923" s="455">
        <f t="shared" ref="P1923:P1930" si="348">L1923*$N$1921</f>
        <v>0</v>
      </c>
    </row>
    <row r="1924" spans="1:18">
      <c r="A1924" s="454"/>
      <c r="B1924" s="454" t="str">
        <v>Dado</v>
      </c>
      <c r="C1924" s="456"/>
      <c r="D1924" s="456"/>
      <c r="E1924" s="456"/>
      <c r="F1924" s="456"/>
      <c r="G1924" s="456">
        <f t="shared" si="339"/>
        <v>0</v>
      </c>
      <c r="H1924" s="456" t="str">
        <v>Sq M</v>
      </c>
      <c r="I1924" s="456" t="str">
        <v>N.A.</v>
      </c>
      <c r="J1924" s="456">
        <v>0</v>
      </c>
      <c r="K1924" s="456">
        <v>0</v>
      </c>
      <c r="L1924" s="456">
        <f t="shared" si="340"/>
        <v>0</v>
      </c>
      <c r="O1924" s="455">
        <f t="shared" si="347"/>
        <v>0</v>
      </c>
      <c r="P1924" s="455">
        <f t="shared" si="348"/>
        <v>0</v>
      </c>
    </row>
    <row r="1925" spans="1:18">
      <c r="A1925" s="454"/>
      <c r="B1925" s="454" t="str">
        <v>Wall finishes plaster</v>
      </c>
      <c r="C1925" s="456"/>
      <c r="D1925" s="456"/>
      <c r="E1925" s="456"/>
      <c r="F1925" s="456"/>
      <c r="G1925" s="456">
        <f t="shared" si="339"/>
        <v>0</v>
      </c>
      <c r="H1925" s="456" t="str">
        <v>Sq M</v>
      </c>
      <c r="I1925" s="456" t="str">
        <v>N.A.</v>
      </c>
      <c r="J1925" s="456">
        <v>0</v>
      </c>
      <c r="K1925" s="456">
        <v>0</v>
      </c>
      <c r="L1925" s="456">
        <f t="shared" si="340"/>
        <v>0</v>
      </c>
      <c r="O1925" s="455">
        <f t="shared" si="347"/>
        <v>0</v>
      </c>
      <c r="P1925" s="455">
        <f t="shared" si="348"/>
        <v>0</v>
      </c>
    </row>
    <row r="1926" spans="1:18">
      <c r="A1926" s="454"/>
      <c r="B1926" s="454" t="str">
        <v>Ceiling plaster</v>
      </c>
      <c r="C1926" s="456"/>
      <c r="D1926" s="456"/>
      <c r="E1926" s="456"/>
      <c r="F1926" s="456"/>
      <c r="G1926" s="456">
        <f t="shared" si="339"/>
        <v>0</v>
      </c>
      <c r="H1926" s="456" t="str">
        <v>Sq M</v>
      </c>
      <c r="I1926" s="456" t="str">
        <v>N.A.</v>
      </c>
      <c r="J1926" s="456">
        <v>0</v>
      </c>
      <c r="K1926" s="456">
        <v>0</v>
      </c>
      <c r="L1926" s="456">
        <f t="shared" si="340"/>
        <v>0</v>
      </c>
      <c r="O1926" s="455">
        <f t="shared" si="347"/>
        <v>0</v>
      </c>
      <c r="P1926" s="455">
        <f t="shared" si="348"/>
        <v>0</v>
      </c>
    </row>
    <row r="1927" spans="1:18">
      <c r="A1927" s="454"/>
      <c r="B1927" s="454" t="str">
        <v>False ceiling</v>
      </c>
      <c r="C1927" s="456"/>
      <c r="D1927" s="456"/>
      <c r="E1927" s="456"/>
      <c r="F1927" s="456"/>
      <c r="G1927" s="456">
        <f t="shared" si="339"/>
        <v>0</v>
      </c>
      <c r="H1927" s="456" t="str">
        <v>Sq M</v>
      </c>
      <c r="I1927" s="456" t="str">
        <v>N.A.</v>
      </c>
      <c r="J1927" s="456">
        <v>0</v>
      </c>
      <c r="K1927" s="456">
        <v>0</v>
      </c>
      <c r="L1927" s="456">
        <f t="shared" si="340"/>
        <v>0</v>
      </c>
      <c r="O1927" s="455">
        <f t="shared" si="347"/>
        <v>0</v>
      </c>
      <c r="P1927" s="455">
        <f t="shared" si="348"/>
        <v>0</v>
      </c>
    </row>
    <row r="1928" spans="1:18">
      <c r="A1928" s="454"/>
      <c r="B1928" s="454" t="str">
        <v>Wall finishes Paint</v>
      </c>
      <c r="C1928" s="456"/>
      <c r="D1928" s="456"/>
      <c r="E1928" s="456">
        <f>D1921*D1</f>
        <v>12.679</v>
      </c>
      <c r="F1928" s="456">
        <f>-1.38*D1</f>
        <v>-4.2779999999999996</v>
      </c>
      <c r="G1928" s="456">
        <f t="shared" si="339"/>
        <v>8.4009999999999998</v>
      </c>
      <c r="H1928" s="456" t="str">
        <v>Sq M</v>
      </c>
      <c r="I1928" s="456" t="str">
        <v>Cement Paint</v>
      </c>
      <c r="J1928" s="456">
        <v>16</v>
      </c>
      <c r="K1928" s="456">
        <v>172.22399999999999</v>
      </c>
      <c r="L1928" s="456">
        <f t="shared" si="340"/>
        <v>1446.8538239999998</v>
      </c>
      <c r="O1928" s="455">
        <f t="shared" si="347"/>
        <v>621.67399999999998</v>
      </c>
      <c r="P1928" s="455">
        <f t="shared" si="348"/>
        <v>107067.18297599998</v>
      </c>
      <c r="R1928" s="458" t="s">
        <v>674</v>
      </c>
    </row>
    <row r="1929" spans="1:18">
      <c r="A1929" s="454"/>
      <c r="B1929" s="454" t="str">
        <v>Ceiling Paint</v>
      </c>
      <c r="C1929" s="456"/>
      <c r="D1929" s="456"/>
      <c r="E1929" s="456"/>
      <c r="F1929" s="456"/>
      <c r="G1929" s="456">
        <f t="shared" si="339"/>
        <v>0</v>
      </c>
      <c r="H1929" s="456" t="str">
        <v>Sq M</v>
      </c>
      <c r="I1929" s="456" t="str">
        <v>N.A.</v>
      </c>
      <c r="J1929" s="456">
        <v>0</v>
      </c>
      <c r="K1929" s="456">
        <v>0</v>
      </c>
      <c r="L1929" s="456">
        <f t="shared" si="340"/>
        <v>0</v>
      </c>
      <c r="O1929" s="455">
        <f t="shared" si="347"/>
        <v>0</v>
      </c>
      <c r="P1929" s="455">
        <f t="shared" si="348"/>
        <v>0</v>
      </c>
    </row>
    <row r="1930" spans="1:18">
      <c r="A1930" s="454"/>
      <c r="B1930" s="454" t="str">
        <v>Architrave</v>
      </c>
      <c r="C1930" s="456"/>
      <c r="D1930" s="456"/>
      <c r="E1930" s="456"/>
      <c r="F1930" s="456"/>
      <c r="G1930" s="456">
        <f t="shared" si="339"/>
        <v>0</v>
      </c>
      <c r="H1930" s="456" t="str">
        <v>RM</v>
      </c>
      <c r="I1930" s="456" t="str">
        <v>N.A.</v>
      </c>
      <c r="J1930" s="456">
        <v>0</v>
      </c>
      <c r="K1930" s="456">
        <v>0</v>
      </c>
      <c r="L1930" s="456">
        <f t="shared" si="340"/>
        <v>0</v>
      </c>
      <c r="O1930" s="455">
        <f t="shared" si="347"/>
        <v>0</v>
      </c>
      <c r="P1930" s="455">
        <f t="shared" si="348"/>
        <v>0</v>
      </c>
    </row>
    <row r="1931" spans="1:18" ht="14.4">
      <c r="A1931" s="475" t="s">
        <v>628</v>
      </c>
      <c r="B1931" s="476" t="str">
        <f>'Flat Sizes'!B161</f>
        <v>Staircase 1,2,3,4</v>
      </c>
      <c r="C1931" s="477">
        <f>'Flat Sizes'!D161</f>
        <v>29.18</v>
      </c>
      <c r="D1931" s="477">
        <f>'Flat Sizes'!G161</f>
        <v>21.91</v>
      </c>
      <c r="E1931" s="477"/>
      <c r="F1931" s="454"/>
      <c r="G1931" s="477"/>
      <c r="H1931" s="477"/>
      <c r="I1931" s="477"/>
      <c r="J1931" s="477"/>
      <c r="K1931" s="477"/>
      <c r="L1931" s="477"/>
      <c r="N1931" s="472">
        <f>36*4</f>
        <v>144</v>
      </c>
      <c r="O1931" s="455"/>
      <c r="P1931" s="455"/>
      <c r="Q1931" s="478"/>
      <c r="R1931" s="479"/>
    </row>
    <row r="1932" spans="1:18">
      <c r="A1932" s="454"/>
      <c r="B1932" s="454" t="str" cm="1">
        <f t="array" ref="B1932:B1943">'Rate List - Flats'!B208:B219</f>
        <v>Flooring</v>
      </c>
      <c r="C1932" s="456"/>
      <c r="D1932" s="456"/>
      <c r="E1932" s="456">
        <v>18.96</v>
      </c>
      <c r="F1932" s="456"/>
      <c r="G1932" s="456">
        <f t="shared" si="339"/>
        <v>18.96</v>
      </c>
      <c r="H1932" s="456" t="str" cm="1">
        <f t="array" ref="H1932:H1943">'Rate List - Flats'!H208:H219</f>
        <v>Sq M</v>
      </c>
      <c r="I1932" s="456" t="str" cm="1">
        <f t="array" ref="I1932:I1943">'Rate List - Flats'!C208:C219</f>
        <v>Kota Flooring</v>
      </c>
      <c r="J1932" s="456" cm="1">
        <f t="array" ref="J1932:J1943">'Rate List - Flats'!E208:E219</f>
        <v>60</v>
      </c>
      <c r="K1932" s="456" cm="1">
        <f t="array" ref="K1932:K1943">'Rate List - Flats'!G208:G219</f>
        <v>1625.3639999999998</v>
      </c>
      <c r="L1932" s="456">
        <f t="shared" si="340"/>
        <v>30816.901439999998</v>
      </c>
      <c r="O1932" s="455">
        <f>IF(I1932="N.A",0,G1932*$N$1931)</f>
        <v>2730.2400000000002</v>
      </c>
      <c r="P1932" s="455">
        <f>L1932*$N$1931</f>
        <v>4437633.80736</v>
      </c>
      <c r="R1932" s="458" t="s">
        <v>675</v>
      </c>
    </row>
    <row r="1933" spans="1:18">
      <c r="A1933" s="454"/>
      <c r="B1933" s="454" t="str">
        <v>Skirting</v>
      </c>
      <c r="C1933" s="456"/>
      <c r="D1933" s="456"/>
      <c r="E1933" s="456">
        <f>D1931</f>
        <v>21.91</v>
      </c>
      <c r="F1933" s="456">
        <f>-(Doors!F135*2)</f>
        <v>-2.4</v>
      </c>
      <c r="G1933" s="456">
        <f t="shared" si="339"/>
        <v>19.510000000000002</v>
      </c>
      <c r="H1933" s="456" t="str">
        <v xml:space="preserve">RM </v>
      </c>
      <c r="I1933" s="456" t="str">
        <v>Kota Skirting</v>
      </c>
      <c r="J1933" s="456">
        <v>60</v>
      </c>
      <c r="K1933" s="456">
        <v>446.08</v>
      </c>
      <c r="L1933" s="456">
        <f t="shared" si="340"/>
        <v>8703.0208000000002</v>
      </c>
      <c r="O1933" s="455">
        <f t="shared" ref="O1933:O1943" si="349">IF(I1933="N.A",0,G1933*$N$1931)</f>
        <v>2809.44</v>
      </c>
      <c r="P1933" s="455">
        <f t="shared" ref="P1933:P1943" si="350">L1933*$N$1931</f>
        <v>1253234.9952</v>
      </c>
      <c r="R1933" s="458" t="s">
        <v>676</v>
      </c>
    </row>
    <row r="1934" spans="1:18">
      <c r="A1934" s="454"/>
      <c r="B1934" s="454" t="str">
        <v>Dado</v>
      </c>
      <c r="C1934" s="456"/>
      <c r="D1934" s="456"/>
      <c r="E1934" s="456"/>
      <c r="F1934" s="456"/>
      <c r="G1934" s="456">
        <f t="shared" si="339"/>
        <v>0</v>
      </c>
      <c r="H1934" s="456" t="str">
        <v>RM</v>
      </c>
      <c r="I1934" s="456" t="str">
        <v>N.A.</v>
      </c>
      <c r="J1934" s="456">
        <v>0</v>
      </c>
      <c r="K1934" s="456">
        <v>0</v>
      </c>
      <c r="L1934" s="456">
        <f t="shared" si="340"/>
        <v>0</v>
      </c>
      <c r="O1934" s="455">
        <f t="shared" si="349"/>
        <v>0</v>
      </c>
      <c r="P1934" s="455">
        <f t="shared" si="350"/>
        <v>0</v>
      </c>
      <c r="R1934" s="458" t="s">
        <v>677</v>
      </c>
    </row>
    <row r="1935" spans="1:18">
      <c r="A1935" s="454"/>
      <c r="B1935" s="454" t="str">
        <v>Wall finishes</v>
      </c>
      <c r="C1935" s="456"/>
      <c r="D1935" s="456"/>
      <c r="E1935" s="456">
        <f>D1931*(D1-0.15)</f>
        <v>64.634500000000003</v>
      </c>
      <c r="F1935" s="456">
        <f>-(Doors!H135+Windows!H160)</f>
        <v>-28.319999999999997</v>
      </c>
      <c r="G1935" s="456">
        <f t="shared" si="339"/>
        <v>36.31450000000001</v>
      </c>
      <c r="H1935" s="456" t="str">
        <v>Sq M</v>
      </c>
      <c r="I1935" s="456" t="str">
        <v>Cement Plaster</v>
      </c>
      <c r="J1935" s="456">
        <v>53</v>
      </c>
      <c r="K1935" s="456">
        <v>570.49199999999996</v>
      </c>
      <c r="L1935" s="456">
        <f t="shared" si="340"/>
        <v>20717.131734000002</v>
      </c>
      <c r="O1935" s="455">
        <f t="shared" si="349"/>
        <v>5229.2880000000014</v>
      </c>
      <c r="P1935" s="455">
        <f t="shared" si="350"/>
        <v>2983266.9696960002</v>
      </c>
      <c r="R1935" s="458" t="s">
        <v>678</v>
      </c>
    </row>
    <row r="1936" spans="1:18">
      <c r="A1936" s="454"/>
      <c r="B1936" s="454" t="str">
        <v>Ceiling plaster</v>
      </c>
      <c r="C1936" s="456"/>
      <c r="D1936" s="456"/>
      <c r="E1936" s="456"/>
      <c r="F1936" s="456"/>
      <c r="G1936" s="456">
        <f t="shared" si="339"/>
        <v>0</v>
      </c>
      <c r="H1936" s="456" t="str">
        <v>Sq M</v>
      </c>
      <c r="I1936" s="456" t="str">
        <v>N.A.</v>
      </c>
      <c r="J1936" s="456">
        <v>53</v>
      </c>
      <c r="K1936" s="456">
        <v>0</v>
      </c>
      <c r="L1936" s="456">
        <f t="shared" si="340"/>
        <v>0</v>
      </c>
      <c r="O1936" s="455">
        <f t="shared" si="349"/>
        <v>0</v>
      </c>
      <c r="P1936" s="455">
        <f t="shared" si="350"/>
        <v>0</v>
      </c>
      <c r="R1936" s="458" t="s">
        <v>679</v>
      </c>
    </row>
    <row r="1937" spans="1:18">
      <c r="A1937" s="454"/>
      <c r="B1937" s="454" t="str">
        <v>False ceiling</v>
      </c>
      <c r="C1937" s="456"/>
      <c r="D1937" s="456"/>
      <c r="E1937" s="456"/>
      <c r="F1937" s="456"/>
      <c r="G1937" s="456">
        <f t="shared" si="339"/>
        <v>0</v>
      </c>
      <c r="H1937" s="456" t="str">
        <v>Sq M</v>
      </c>
      <c r="I1937" s="456" t="str">
        <v>N.A.</v>
      </c>
      <c r="J1937" s="456">
        <v>0</v>
      </c>
      <c r="K1937" s="456">
        <v>0</v>
      </c>
      <c r="L1937" s="456">
        <f t="shared" si="340"/>
        <v>0</v>
      </c>
      <c r="O1937" s="455">
        <f t="shared" si="349"/>
        <v>0</v>
      </c>
      <c r="P1937" s="455">
        <f t="shared" si="350"/>
        <v>0</v>
      </c>
      <c r="R1937" s="458" t="s">
        <v>673</v>
      </c>
    </row>
    <row r="1938" spans="1:18">
      <c r="A1938" s="454"/>
      <c r="B1938" s="454" t="str">
        <v>Wall finishes Paint</v>
      </c>
      <c r="C1938" s="456"/>
      <c r="D1938" s="456"/>
      <c r="E1938" s="456">
        <f>E1935</f>
        <v>64.634500000000003</v>
      </c>
      <c r="F1938" s="456">
        <f>F1935</f>
        <v>-28.319999999999997</v>
      </c>
      <c r="G1938" s="456">
        <f t="shared" si="339"/>
        <v>36.31450000000001</v>
      </c>
      <c r="H1938" s="456" t="str">
        <v>Sq M</v>
      </c>
      <c r="I1938" s="456" t="str">
        <v>Cement Paint</v>
      </c>
      <c r="J1938" s="456">
        <v>18</v>
      </c>
      <c r="K1938" s="456">
        <v>193.75199999999998</v>
      </c>
      <c r="L1938" s="456">
        <f t="shared" si="340"/>
        <v>7036.007004000001</v>
      </c>
      <c r="O1938" s="455">
        <f t="shared" si="349"/>
        <v>5229.2880000000014</v>
      </c>
      <c r="P1938" s="455">
        <f t="shared" si="350"/>
        <v>1013185.0085760001</v>
      </c>
      <c r="R1938" s="458" t="s">
        <v>674</v>
      </c>
    </row>
    <row r="1939" spans="1:18">
      <c r="A1939" s="454"/>
      <c r="B1939" s="454" t="str">
        <v>Ceiling Paint</v>
      </c>
      <c r="C1939" s="456"/>
      <c r="D1939" s="456"/>
      <c r="E1939" s="456">
        <f>D1931</f>
        <v>21.91</v>
      </c>
      <c r="F1939" s="456"/>
      <c r="G1939" s="456">
        <f t="shared" si="339"/>
        <v>21.91</v>
      </c>
      <c r="H1939" s="456" t="str">
        <v>Sq M</v>
      </c>
      <c r="I1939" s="456" t="str">
        <v>Cement Paint</v>
      </c>
      <c r="J1939" s="456">
        <v>18</v>
      </c>
      <c r="K1939" s="456">
        <v>193.75199999999998</v>
      </c>
      <c r="L1939" s="456">
        <f t="shared" si="340"/>
        <v>4245.1063199999999</v>
      </c>
      <c r="O1939" s="455">
        <f t="shared" si="349"/>
        <v>3155.04</v>
      </c>
      <c r="P1939" s="455">
        <f t="shared" si="350"/>
        <v>611295.31007999997</v>
      </c>
      <c r="R1939" s="458" t="s">
        <v>680</v>
      </c>
    </row>
    <row r="1940" spans="1:18">
      <c r="A1940" s="454"/>
      <c r="B1940" s="454" t="str">
        <v>Staircase Steps</v>
      </c>
      <c r="C1940" s="456"/>
      <c r="D1940" s="456"/>
      <c r="E1940" s="456"/>
      <c r="F1940" s="456"/>
      <c r="G1940" s="456">
        <f t="shared" si="339"/>
        <v>0</v>
      </c>
      <c r="H1940" s="456" t="str">
        <v xml:space="preserve">RM </v>
      </c>
      <c r="I1940" s="456" t="str">
        <v>N.A.</v>
      </c>
      <c r="J1940" s="456">
        <v>0</v>
      </c>
      <c r="K1940" s="456">
        <v>0</v>
      </c>
      <c r="L1940" s="456">
        <f t="shared" si="340"/>
        <v>0</v>
      </c>
      <c r="O1940" s="455">
        <f t="shared" si="349"/>
        <v>0</v>
      </c>
      <c r="P1940" s="455">
        <f t="shared" si="350"/>
        <v>0</v>
      </c>
      <c r="R1940" s="458"/>
    </row>
    <row r="1941" spans="1:18">
      <c r="A1941" s="454"/>
      <c r="B1941" s="454" t="str">
        <v xml:space="preserve">             - Railing</v>
      </c>
      <c r="C1941" s="456"/>
      <c r="D1941" s="456"/>
      <c r="E1941" s="456">
        <f>2.95+2.95+0.56+0.56</f>
        <v>7.0200000000000014</v>
      </c>
      <c r="F1941" s="456"/>
      <c r="G1941" s="456">
        <f t="shared" si="339"/>
        <v>7.0200000000000014</v>
      </c>
      <c r="H1941" s="456" t="str">
        <v>RM</v>
      </c>
      <c r="I1941" s="456" t="str">
        <v>MS Railing</v>
      </c>
      <c r="J1941" s="456">
        <v>0</v>
      </c>
      <c r="K1941" s="456">
        <v>3198</v>
      </c>
      <c r="L1941" s="456">
        <f t="shared" si="340"/>
        <v>22449.960000000003</v>
      </c>
      <c r="O1941" s="455">
        <f t="shared" si="349"/>
        <v>1010.8800000000002</v>
      </c>
      <c r="P1941" s="455">
        <f t="shared" si="350"/>
        <v>3232794.24</v>
      </c>
      <c r="R1941" s="458" t="s">
        <v>681</v>
      </c>
    </row>
    <row r="1942" spans="1:18">
      <c r="A1942" s="454"/>
      <c r="B1942" s="454" t="str">
        <v xml:space="preserve">             - Tread</v>
      </c>
      <c r="C1942" s="456"/>
      <c r="D1942" s="456"/>
      <c r="E1942" s="456">
        <f>(24*0.25*2)</f>
        <v>12</v>
      </c>
      <c r="F1942" s="456"/>
      <c r="G1942" s="456">
        <f t="shared" si="339"/>
        <v>12</v>
      </c>
      <c r="H1942" s="456" t="str">
        <v>Sq M</v>
      </c>
      <c r="I1942" s="456" t="str">
        <v>Kota Flooring</v>
      </c>
      <c r="J1942" s="456">
        <v>85</v>
      </c>
      <c r="K1942" s="456">
        <v>1668.4199999999998</v>
      </c>
      <c r="L1942" s="456">
        <f t="shared" si="340"/>
        <v>20021.039999999997</v>
      </c>
      <c r="O1942" s="455">
        <f t="shared" si="349"/>
        <v>1728</v>
      </c>
      <c r="P1942" s="455">
        <f t="shared" si="350"/>
        <v>2883029.76</v>
      </c>
      <c r="R1942" s="458" t="s">
        <v>682</v>
      </c>
    </row>
    <row r="1943" spans="1:18">
      <c r="A1943" s="454"/>
      <c r="B1943" s="454" t="str">
        <v xml:space="preserve">             - Riser</v>
      </c>
      <c r="C1943" s="456"/>
      <c r="D1943" s="456"/>
      <c r="E1943" s="456">
        <f>24*0.165*2</f>
        <v>7.92</v>
      </c>
      <c r="F1943" s="456"/>
      <c r="G1943" s="524">
        <f t="shared" si="339"/>
        <v>7.92</v>
      </c>
      <c r="H1943" s="456" t="str">
        <v>Sq M</v>
      </c>
      <c r="I1943" s="456" t="str">
        <v>Kota Flooring</v>
      </c>
      <c r="J1943" s="456">
        <v>85</v>
      </c>
      <c r="K1943" s="456">
        <v>1668.4199999999998</v>
      </c>
      <c r="L1943" s="456">
        <f t="shared" si="340"/>
        <v>13213.886399999999</v>
      </c>
      <c r="O1943" s="455">
        <f t="shared" si="349"/>
        <v>1140.48</v>
      </c>
      <c r="P1943" s="455">
        <f t="shared" si="350"/>
        <v>1902799.6416</v>
      </c>
      <c r="R1943" s="458" t="s">
        <v>683</v>
      </c>
    </row>
    <row r="1944" spans="1:18" ht="13.8" thickBot="1">
      <c r="A1944" s="454"/>
      <c r="B1944" s="454"/>
      <c r="C1944" s="456"/>
      <c r="D1944" s="456"/>
      <c r="E1944" s="456"/>
      <c r="F1944" s="456"/>
      <c r="G1944" s="525">
        <f>SUM(G1861:G1943)</f>
        <v>1295.2890000000004</v>
      </c>
      <c r="H1944" s="456"/>
      <c r="I1944" s="456"/>
      <c r="J1944" s="456"/>
      <c r="K1944" s="456"/>
      <c r="L1944" s="525">
        <f>SUM(L1861:L1943)</f>
        <v>1172034.9354580003</v>
      </c>
      <c r="O1944" s="525">
        <f>SUM(O1861:O1943)</f>
        <v>62655.903999999995</v>
      </c>
      <c r="P1944" s="525">
        <f>SUM(P1861:P1943)</f>
        <v>58308619.942908004</v>
      </c>
    </row>
    <row r="1945" spans="1:18">
      <c r="A1945" s="528"/>
      <c r="B1945" s="529" t="s">
        <v>744</v>
      </c>
      <c r="C1945" s="522"/>
      <c r="D1945" s="522"/>
      <c r="E1945" s="522"/>
      <c r="F1945" s="522"/>
      <c r="G1945" s="530"/>
      <c r="H1945" s="522"/>
      <c r="I1945" s="522"/>
      <c r="J1945" s="522"/>
      <c r="K1945" s="522"/>
      <c r="L1945" s="522"/>
    </row>
    <row r="1946" spans="1:18">
      <c r="A1946" s="528"/>
      <c r="B1946" s="528" t="s">
        <v>355</v>
      </c>
      <c r="C1946" s="522"/>
      <c r="D1946" s="522"/>
      <c r="E1946" s="522"/>
      <c r="F1946" s="522"/>
      <c r="G1946" s="522">
        <f>SUMIF($B$1861:$B$1943,B1946,$G$1861:$G$1943)</f>
        <v>159.39999999999998</v>
      </c>
      <c r="H1946" s="522"/>
      <c r="I1946" s="522"/>
      <c r="J1946" s="522"/>
      <c r="K1946" s="522"/>
      <c r="L1946" s="522">
        <f>SUMIF($B$1861:$B$1943,B1946,$L$1861:$L$1943)</f>
        <v>312235.11540000001</v>
      </c>
    </row>
    <row r="1947" spans="1:18">
      <c r="A1947" s="528"/>
      <c r="B1947" s="528" t="s">
        <v>695</v>
      </c>
      <c r="C1947" s="522"/>
      <c r="D1947" s="522"/>
      <c r="E1947" s="522"/>
      <c r="F1947" s="522"/>
      <c r="G1947" s="522">
        <f t="shared" ref="G1947:G1960" si="351">SUMIF($B$1861:$B$1943,B1947,$G$1861:$G$1943)</f>
        <v>32.47</v>
      </c>
      <c r="H1947" s="522"/>
      <c r="I1947" s="522"/>
      <c r="J1947" s="522"/>
      <c r="K1947" s="522"/>
      <c r="L1947" s="522">
        <f t="shared" ref="L1947:L1960" si="352">SUMIF($B$1861:$B$1943,B1947,$L$1861:$L$1943)</f>
        <v>14696.7616</v>
      </c>
    </row>
    <row r="1948" spans="1:18">
      <c r="A1948" s="528"/>
      <c r="B1948" s="528" t="s">
        <v>698</v>
      </c>
      <c r="C1948" s="522"/>
      <c r="D1948" s="522"/>
      <c r="E1948" s="522"/>
      <c r="F1948" s="522"/>
      <c r="G1948" s="522">
        <f t="shared" si="351"/>
        <v>247.24200000000002</v>
      </c>
      <c r="H1948" s="522"/>
      <c r="I1948" s="522"/>
      <c r="J1948" s="522"/>
      <c r="K1948" s="522"/>
      <c r="L1948" s="522">
        <f t="shared" si="352"/>
        <v>457745.81673600001</v>
      </c>
    </row>
    <row r="1949" spans="1:18">
      <c r="A1949" s="528"/>
      <c r="B1949" s="528" t="s">
        <v>700</v>
      </c>
      <c r="C1949" s="522"/>
      <c r="D1949" s="522"/>
      <c r="E1949" s="522"/>
      <c r="F1949" s="522"/>
      <c r="G1949" s="522">
        <f t="shared" si="351"/>
        <v>41.712000000000003</v>
      </c>
      <c r="H1949" s="522"/>
      <c r="I1949" s="522"/>
      <c r="J1949" s="522"/>
      <c r="K1949" s="522"/>
      <c r="L1949" s="522">
        <f t="shared" si="352"/>
        <v>17286.036768000002</v>
      </c>
    </row>
    <row r="1950" spans="1:18">
      <c r="A1950" s="528"/>
      <c r="B1950" s="528" t="s">
        <v>702</v>
      </c>
      <c r="C1950" s="522"/>
      <c r="D1950" s="522"/>
      <c r="E1950" s="522"/>
      <c r="F1950" s="522"/>
      <c r="G1950" s="522">
        <f t="shared" si="351"/>
        <v>0</v>
      </c>
      <c r="H1950" s="522"/>
      <c r="I1950" s="522"/>
      <c r="J1950" s="522"/>
      <c r="K1950" s="522"/>
      <c r="L1950" s="522">
        <f t="shared" si="352"/>
        <v>0</v>
      </c>
    </row>
    <row r="1951" spans="1:18">
      <c r="A1951" s="528"/>
      <c r="B1951" s="528" t="s">
        <v>738</v>
      </c>
      <c r="C1951" s="522"/>
      <c r="D1951" s="522"/>
      <c r="E1951" s="522"/>
      <c r="F1951" s="522"/>
      <c r="G1951" s="522">
        <f t="shared" si="351"/>
        <v>129.97</v>
      </c>
      <c r="H1951" s="522"/>
      <c r="I1951" s="522"/>
      <c r="J1951" s="522"/>
      <c r="K1951" s="522"/>
      <c r="L1951" s="522">
        <f t="shared" si="352"/>
        <v>0</v>
      </c>
    </row>
    <row r="1952" spans="1:18">
      <c r="A1952" s="528"/>
      <c r="B1952" s="528" t="s">
        <v>704</v>
      </c>
      <c r="C1952" s="522"/>
      <c r="D1952" s="522"/>
      <c r="E1952" s="522"/>
      <c r="F1952" s="522"/>
      <c r="G1952" s="522">
        <f t="shared" si="351"/>
        <v>391.56049999999999</v>
      </c>
      <c r="H1952" s="522"/>
      <c r="I1952" s="522"/>
      <c r="J1952" s="522"/>
      <c r="K1952" s="522"/>
      <c r="L1952" s="522">
        <f t="shared" si="352"/>
        <v>73381.255739999993</v>
      </c>
    </row>
    <row r="1953" spans="1:18">
      <c r="A1953" s="528"/>
      <c r="B1953" s="528" t="s">
        <v>706</v>
      </c>
      <c r="C1953" s="522"/>
      <c r="D1953" s="522"/>
      <c r="E1953" s="522"/>
      <c r="F1953" s="522"/>
      <c r="G1953" s="522">
        <f t="shared" si="351"/>
        <v>160.77999999999997</v>
      </c>
      <c r="H1953" s="522"/>
      <c r="I1953" s="522"/>
      <c r="J1953" s="522"/>
      <c r="K1953" s="522"/>
      <c r="L1953" s="522">
        <f t="shared" si="352"/>
        <v>37657.531080000001</v>
      </c>
    </row>
    <row r="1954" spans="1:18">
      <c r="A1954" s="528"/>
      <c r="B1954" s="528" t="s">
        <v>724</v>
      </c>
      <c r="C1954" s="522"/>
      <c r="D1954" s="522"/>
      <c r="E1954" s="522"/>
      <c r="F1954" s="522"/>
      <c r="G1954" s="522">
        <f t="shared" si="351"/>
        <v>60</v>
      </c>
      <c r="H1954" s="522"/>
      <c r="I1954" s="522"/>
      <c r="J1954" s="522"/>
      <c r="K1954" s="522"/>
      <c r="L1954" s="522">
        <f t="shared" si="352"/>
        <v>182630.40000000002</v>
      </c>
    </row>
    <row r="1955" spans="1:18">
      <c r="A1955" s="528"/>
      <c r="B1955" s="528" t="s">
        <v>703</v>
      </c>
      <c r="C1955" s="522"/>
      <c r="D1955" s="522"/>
      <c r="E1955" s="522"/>
      <c r="F1955" s="522"/>
      <c r="G1955" s="522">
        <f t="shared" si="351"/>
        <v>8.9</v>
      </c>
      <c r="H1955" s="522"/>
      <c r="I1955" s="522"/>
      <c r="J1955" s="522"/>
      <c r="K1955" s="522"/>
      <c r="L1955" s="522">
        <f t="shared" si="352"/>
        <v>0</v>
      </c>
    </row>
    <row r="1956" spans="1:18">
      <c r="A1956" s="528"/>
      <c r="B1956" s="528" t="s">
        <v>761</v>
      </c>
      <c r="C1956" s="522"/>
      <c r="D1956" s="522"/>
      <c r="E1956" s="522"/>
      <c r="F1956" s="522"/>
      <c r="G1956" s="522">
        <f t="shared" si="351"/>
        <v>36.31450000000001</v>
      </c>
      <c r="H1956" s="522"/>
      <c r="I1956" s="522"/>
      <c r="J1956" s="522"/>
      <c r="K1956" s="522"/>
      <c r="L1956" s="522">
        <f t="shared" si="352"/>
        <v>20717.131734000002</v>
      </c>
    </row>
    <row r="1957" spans="1:18">
      <c r="A1957" s="528"/>
      <c r="B1957" s="528" t="s">
        <v>730</v>
      </c>
      <c r="C1957" s="522"/>
      <c r="D1957" s="522"/>
      <c r="E1957" s="522"/>
      <c r="F1957" s="522"/>
      <c r="G1957" s="522">
        <f t="shared" si="351"/>
        <v>0</v>
      </c>
      <c r="H1957" s="522"/>
      <c r="I1957" s="522"/>
      <c r="J1957" s="522"/>
      <c r="K1957" s="522"/>
      <c r="L1957" s="522">
        <f t="shared" si="352"/>
        <v>0</v>
      </c>
    </row>
    <row r="1958" spans="1:18">
      <c r="A1958" s="528"/>
      <c r="B1958" s="547" t="s">
        <v>731</v>
      </c>
      <c r="C1958" s="522"/>
      <c r="D1958" s="522"/>
      <c r="E1958" s="522"/>
      <c r="F1958" s="522"/>
      <c r="G1958" s="522">
        <f t="shared" si="351"/>
        <v>7.0200000000000014</v>
      </c>
      <c r="H1958" s="522"/>
      <c r="I1958" s="522"/>
      <c r="J1958" s="522"/>
      <c r="K1958" s="522"/>
      <c r="L1958" s="522">
        <f t="shared" si="352"/>
        <v>22449.960000000003</v>
      </c>
    </row>
    <row r="1959" spans="1:18">
      <c r="A1959" s="528"/>
      <c r="B1959" s="528" t="s">
        <v>733</v>
      </c>
      <c r="C1959" s="522"/>
      <c r="D1959" s="522"/>
      <c r="E1959" s="522"/>
      <c r="F1959" s="522"/>
      <c r="G1959" s="522">
        <f t="shared" si="351"/>
        <v>12</v>
      </c>
      <c r="H1959" s="522"/>
      <c r="I1959" s="522"/>
      <c r="J1959" s="522"/>
      <c r="K1959" s="522"/>
      <c r="L1959" s="522">
        <f t="shared" si="352"/>
        <v>20021.039999999997</v>
      </c>
    </row>
    <row r="1960" spans="1:18">
      <c r="A1960" s="528"/>
      <c r="B1960" s="528" t="s">
        <v>735</v>
      </c>
      <c r="C1960" s="522"/>
      <c r="D1960" s="522"/>
      <c r="E1960" s="522"/>
      <c r="F1960" s="522"/>
      <c r="G1960" s="537">
        <f t="shared" si="351"/>
        <v>7.92</v>
      </c>
      <c r="H1960" s="522"/>
      <c r="I1960" s="522"/>
      <c r="J1960" s="522"/>
      <c r="K1960" s="537"/>
      <c r="L1960" s="522">
        <f t="shared" si="352"/>
        <v>13213.886399999999</v>
      </c>
    </row>
    <row r="1961" spans="1:18" ht="13.8" thickBot="1">
      <c r="A1961" s="528"/>
      <c r="B1961" s="528"/>
      <c r="C1961" s="522"/>
      <c r="D1961" s="522"/>
      <c r="E1961" s="522"/>
      <c r="F1961" s="522"/>
      <c r="G1961" s="525">
        <f>SUM(G1946:G1960)</f>
        <v>1295.289</v>
      </c>
      <c r="H1961" s="522"/>
      <c r="I1961" s="522"/>
      <c r="J1961" s="522"/>
      <c r="K1961" s="525" t="s">
        <v>232</v>
      </c>
      <c r="L1961" s="525">
        <f>SUM(L1946:L1960)</f>
        <v>1172034.9354580001</v>
      </c>
    </row>
    <row r="1962" spans="1:18">
      <c r="A1962" s="528"/>
      <c r="B1962" s="528" t="s">
        <v>386</v>
      </c>
      <c r="C1962" s="522"/>
      <c r="D1962" s="522"/>
      <c r="E1962" s="522"/>
      <c r="F1962" s="522"/>
      <c r="G1962" s="530">
        <f>SUM(Doors!E135:E138)</f>
        <v>6</v>
      </c>
      <c r="H1962" s="522"/>
      <c r="I1962" s="522"/>
      <c r="J1962" s="522"/>
      <c r="K1962" s="530"/>
      <c r="L1962" s="522">
        <f>SUM(Doors!J135:J138)</f>
        <v>180000</v>
      </c>
    </row>
    <row r="1963" spans="1:18">
      <c r="A1963" s="528"/>
      <c r="B1963" s="528" t="s">
        <v>391</v>
      </c>
      <c r="C1963" s="522"/>
      <c r="D1963" s="522"/>
      <c r="E1963" s="522"/>
      <c r="F1963" s="522"/>
      <c r="G1963" s="522">
        <f>Windows!H161</f>
        <v>36.291999999999994</v>
      </c>
      <c r="H1963" s="522"/>
      <c r="I1963" s="522"/>
      <c r="J1963" s="522"/>
      <c r="K1963" s="537"/>
      <c r="L1963" s="537">
        <f>Windows!N161</f>
        <v>214855.89839999998</v>
      </c>
    </row>
    <row r="1964" spans="1:18" ht="13.8" thickBot="1">
      <c r="A1964" s="528"/>
      <c r="B1964" s="528"/>
      <c r="C1964" s="522"/>
      <c r="D1964" s="522"/>
      <c r="E1964" s="522"/>
      <c r="F1964" s="522"/>
      <c r="G1964" s="522"/>
      <c r="H1964" s="522"/>
      <c r="I1964" s="522"/>
      <c r="J1964" s="522"/>
      <c r="K1964" s="525" t="s">
        <v>232</v>
      </c>
      <c r="L1964" s="525">
        <f>SUM(L1962:L1963)</f>
        <v>394855.89839999995</v>
      </c>
    </row>
    <row r="1965" spans="1:18" ht="13.8" thickBot="1">
      <c r="A1965" s="528"/>
      <c r="B1965" s="528"/>
      <c r="C1965" s="522"/>
      <c r="D1965" s="522"/>
      <c r="E1965" s="522"/>
      <c r="F1965" s="522"/>
      <c r="G1965" s="522"/>
      <c r="H1965" s="522"/>
      <c r="I1965" s="522"/>
      <c r="J1965" s="522"/>
      <c r="K1965" s="544" t="s">
        <v>758</v>
      </c>
      <c r="L1965" s="544">
        <f>L1961+L1964</f>
        <v>1566890.8338580001</v>
      </c>
    </row>
    <row r="1966" spans="1:18">
      <c r="A1966" s="475" t="s">
        <v>628</v>
      </c>
      <c r="B1966" s="476" t="s">
        <v>762</v>
      </c>
      <c r="C1966" s="477">
        <v>220.78</v>
      </c>
      <c r="D1966" s="477">
        <v>109.9</v>
      </c>
      <c r="E1966" s="477"/>
      <c r="F1966" s="454"/>
      <c r="G1966" s="477"/>
      <c r="H1966" s="477"/>
      <c r="I1966" s="477"/>
      <c r="J1966" s="477"/>
      <c r="K1966" s="477"/>
      <c r="L1966" s="477"/>
      <c r="N1966" s="459">
        <v>4</v>
      </c>
      <c r="O1966" s="455"/>
      <c r="P1966" s="455"/>
      <c r="Q1966" s="478"/>
      <c r="R1966" s="479"/>
    </row>
    <row r="1967" spans="1:18">
      <c r="A1967" s="454"/>
      <c r="B1967" s="454" t="str" cm="1">
        <f t="array" ref="B1967:B1977">'Rate List - Flats'!B223:B233</f>
        <v>Flooring</v>
      </c>
      <c r="C1967" s="456"/>
      <c r="D1967" s="456"/>
      <c r="E1967" s="456">
        <f>C1966</f>
        <v>220.78</v>
      </c>
      <c r="F1967" s="456"/>
      <c r="G1967" s="456">
        <f t="shared" ref="G1967:G1977" si="353">E1967+F1967</f>
        <v>220.78</v>
      </c>
      <c r="H1967" s="456" t="str" cm="1">
        <f t="array" ref="H1967:H1977">'Rate List - Flats'!H223:H233</f>
        <v>Sq M</v>
      </c>
      <c r="I1967" s="456" t="str" cm="1">
        <f t="array" ref="I1967:I1977">'Rate List - Flats'!C223:C233</f>
        <v>2'x2' Vitrified tiles</v>
      </c>
      <c r="J1967" s="456" cm="1">
        <f t="array" ref="J1967:J1977">'Rate List - Flats'!E223:E233</f>
        <v>50</v>
      </c>
      <c r="K1967" s="456" cm="1">
        <f t="array" ref="K1967:K1977">'Rate List - Flats'!G223:G233</f>
        <v>1399.32</v>
      </c>
      <c r="L1967" s="456">
        <f t="shared" ref="L1967:L1977" si="354">G1967*K1967</f>
        <v>308941.86959999998</v>
      </c>
      <c r="O1967" s="455">
        <f>IF(I1967="N.A",0,G1967*$N$1966)</f>
        <v>883.12</v>
      </c>
      <c r="P1967" s="455">
        <f>L1967*$N$1966</f>
        <v>1235767.4783999999</v>
      </c>
      <c r="R1967" s="548" t="s">
        <v>659</v>
      </c>
    </row>
    <row r="1968" spans="1:18">
      <c r="A1968" s="454"/>
      <c r="B1968" s="454" t="str">
        <v>Skirting</v>
      </c>
      <c r="C1968" s="456"/>
      <c r="D1968" s="456"/>
      <c r="E1968" s="456">
        <f>D1966</f>
        <v>109.9</v>
      </c>
      <c r="F1968" s="456">
        <f>-(Doors!F139+Doors!F139)</f>
        <v>-2.4</v>
      </c>
      <c r="G1968" s="456">
        <f t="shared" si="353"/>
        <v>107.5</v>
      </c>
      <c r="H1968" s="456" t="str">
        <v xml:space="preserve">RM </v>
      </c>
      <c r="I1968" s="456" t="str">
        <v xml:space="preserve">2'x2' Vitrified tiles </v>
      </c>
      <c r="J1968" s="456">
        <v>50</v>
      </c>
      <c r="K1968" s="456">
        <v>410</v>
      </c>
      <c r="L1968" s="456">
        <f t="shared" si="354"/>
        <v>44075</v>
      </c>
      <c r="O1968" s="455">
        <f t="shared" ref="O1968:O1977" si="355">IF(I1968="N.A",0,G1968*$N$1966)</f>
        <v>430</v>
      </c>
      <c r="P1968" s="455">
        <f t="shared" ref="P1968:P1977" si="356">L1968*$N$1966</f>
        <v>176300</v>
      </c>
      <c r="R1968" s="548" t="s">
        <v>660</v>
      </c>
    </row>
    <row r="1969" spans="1:18">
      <c r="A1969" s="454"/>
      <c r="B1969" s="454" t="str">
        <v>Dado</v>
      </c>
      <c r="C1969" s="456"/>
      <c r="D1969" s="456"/>
      <c r="E1969" s="456"/>
      <c r="F1969" s="456"/>
      <c r="G1969" s="456">
        <f t="shared" si="353"/>
        <v>0</v>
      </c>
      <c r="H1969" s="456">
        <v>0</v>
      </c>
      <c r="I1969" s="456" t="str">
        <v>N.A.</v>
      </c>
      <c r="J1969" s="456">
        <v>0</v>
      </c>
      <c r="K1969" s="456">
        <v>0</v>
      </c>
      <c r="L1969" s="456">
        <f t="shared" si="354"/>
        <v>0</v>
      </c>
      <c r="O1969" s="455">
        <f t="shared" si="355"/>
        <v>0</v>
      </c>
      <c r="P1969" s="455">
        <f t="shared" si="356"/>
        <v>0</v>
      </c>
      <c r="R1969" s="548"/>
    </row>
    <row r="1970" spans="1:18">
      <c r="A1970" s="454"/>
      <c r="B1970" s="454" t="str">
        <v>Wall finishes plaster</v>
      </c>
      <c r="C1970" s="456"/>
      <c r="D1970" s="456"/>
      <c r="E1970" s="456">
        <f>D1966*(D1-0.15)</f>
        <v>324.20500000000004</v>
      </c>
      <c r="F1970" s="456">
        <f>-((Doors!H139*2)+(45.8*1.9))</f>
        <v>-92.06</v>
      </c>
      <c r="G1970" s="456">
        <f t="shared" si="353"/>
        <v>232.14500000000004</v>
      </c>
      <c r="H1970" s="456" t="str">
        <v>Sq M</v>
      </c>
      <c r="I1970" s="456" t="str">
        <v>Int. Cement Plaster</v>
      </c>
      <c r="J1970" s="456">
        <v>53</v>
      </c>
      <c r="K1970" s="456">
        <v>570.49199999999996</v>
      </c>
      <c r="L1970" s="456">
        <f t="shared" si="354"/>
        <v>132436.86534000002</v>
      </c>
      <c r="O1970" s="455">
        <f t="shared" si="355"/>
        <v>928.58000000000015</v>
      </c>
      <c r="P1970" s="455">
        <f t="shared" si="356"/>
        <v>529747.46136000007</v>
      </c>
      <c r="R1970" s="548" t="s">
        <v>661</v>
      </c>
    </row>
    <row r="1971" spans="1:18">
      <c r="A1971" s="454"/>
      <c r="B1971" s="454" t="str">
        <v>Ceiling plaster</v>
      </c>
      <c r="C1971" s="456"/>
      <c r="D1971" s="456"/>
      <c r="E1971" s="456">
        <f>C1966</f>
        <v>220.78</v>
      </c>
      <c r="F1971" s="456"/>
      <c r="G1971" s="456">
        <f t="shared" si="353"/>
        <v>220.78</v>
      </c>
      <c r="H1971" s="456" t="str">
        <v>Sq M</v>
      </c>
      <c r="I1971" s="456" t="str">
        <v>Int. Cement Plaster</v>
      </c>
      <c r="J1971" s="456">
        <v>53</v>
      </c>
      <c r="K1971" s="456">
        <v>570.49199999999996</v>
      </c>
      <c r="L1971" s="456">
        <f t="shared" si="354"/>
        <v>125953.22375999999</v>
      </c>
      <c r="O1971" s="455">
        <f t="shared" si="355"/>
        <v>883.12</v>
      </c>
      <c r="P1971" s="455">
        <f t="shared" si="356"/>
        <v>503812.89503999997</v>
      </c>
      <c r="R1971" s="548" t="s">
        <v>662</v>
      </c>
    </row>
    <row r="1972" spans="1:18">
      <c r="A1972" s="454"/>
      <c r="B1972" s="454" t="str">
        <v>False ceiling</v>
      </c>
      <c r="C1972" s="456"/>
      <c r="D1972" s="456"/>
      <c r="E1972" s="456"/>
      <c r="F1972" s="456"/>
      <c r="G1972" s="456">
        <f t="shared" si="353"/>
        <v>0</v>
      </c>
      <c r="H1972" s="456" t="str">
        <v>Sq M</v>
      </c>
      <c r="I1972" s="456" t="str">
        <v>N.A.</v>
      </c>
      <c r="J1972" s="456">
        <v>0</v>
      </c>
      <c r="K1972" s="456">
        <v>0</v>
      </c>
      <c r="L1972" s="456">
        <f t="shared" si="354"/>
        <v>0</v>
      </c>
      <c r="O1972" s="455">
        <f t="shared" si="355"/>
        <v>0</v>
      </c>
      <c r="P1972" s="455">
        <f t="shared" si="356"/>
        <v>0</v>
      </c>
      <c r="R1972" s="548" t="s">
        <v>414</v>
      </c>
    </row>
    <row r="1973" spans="1:18">
      <c r="A1973" s="454"/>
      <c r="B1973" s="454" t="str">
        <v>Wall finishes Paint</v>
      </c>
      <c r="C1973" s="456"/>
      <c r="D1973" s="456"/>
      <c r="E1973" s="456">
        <f>E1970</f>
        <v>324.20500000000004</v>
      </c>
      <c r="F1973" s="456">
        <f>F1970</f>
        <v>-92.06</v>
      </c>
      <c r="G1973" s="456">
        <f t="shared" si="353"/>
        <v>232.14500000000004</v>
      </c>
      <c r="H1973" s="456" t="str">
        <v>Sq M</v>
      </c>
      <c r="I1973" s="456" t="str">
        <v>Plastic paint</v>
      </c>
      <c r="J1973" s="456">
        <v>22</v>
      </c>
      <c r="K1973" s="456">
        <v>236.80799999999999</v>
      </c>
      <c r="L1973" s="456">
        <f t="shared" si="354"/>
        <v>54973.793160000008</v>
      </c>
      <c r="O1973" s="455">
        <f t="shared" si="355"/>
        <v>928.58000000000015</v>
      </c>
      <c r="P1973" s="455">
        <f t="shared" si="356"/>
        <v>219895.17264000003</v>
      </c>
      <c r="R1973" s="548" t="s">
        <v>663</v>
      </c>
    </row>
    <row r="1974" spans="1:18">
      <c r="A1974" s="454"/>
      <c r="B1974" s="454" t="str">
        <v>Ceiling Paint</v>
      </c>
      <c r="C1974" s="456"/>
      <c r="D1974" s="456"/>
      <c r="E1974" s="456">
        <f>E1971</f>
        <v>220.78</v>
      </c>
      <c r="F1974" s="456"/>
      <c r="G1974" s="456">
        <f t="shared" si="353"/>
        <v>220.78</v>
      </c>
      <c r="H1974" s="456" t="str">
        <v>Sq M</v>
      </c>
      <c r="I1974" s="456" t="str">
        <v>Plastic paint</v>
      </c>
      <c r="J1974" s="456">
        <v>22</v>
      </c>
      <c r="K1974" s="456">
        <v>236.80799999999999</v>
      </c>
      <c r="L1974" s="456">
        <f t="shared" si="354"/>
        <v>52282.470239999995</v>
      </c>
      <c r="O1974" s="455">
        <f t="shared" si="355"/>
        <v>883.12</v>
      </c>
      <c r="P1974" s="455">
        <f t="shared" si="356"/>
        <v>209129.88095999998</v>
      </c>
      <c r="R1974" s="548" t="s">
        <v>664</v>
      </c>
    </row>
    <row r="1975" spans="1:18">
      <c r="A1975" s="454"/>
      <c r="B1975" s="454" t="str">
        <v>Door Frames</v>
      </c>
      <c r="C1975" s="456"/>
      <c r="D1975" s="456"/>
      <c r="E1975" s="456"/>
      <c r="F1975" s="456"/>
      <c r="G1975" s="456">
        <f t="shared" si="353"/>
        <v>0</v>
      </c>
      <c r="H1975" s="456">
        <v>0</v>
      </c>
      <c r="I1975" s="456" t="str">
        <v>N.A.</v>
      </c>
      <c r="J1975" s="456">
        <v>0</v>
      </c>
      <c r="K1975" s="456">
        <v>0</v>
      </c>
      <c r="L1975" s="456">
        <f t="shared" si="354"/>
        <v>0</v>
      </c>
      <c r="O1975" s="455">
        <f t="shared" si="355"/>
        <v>0</v>
      </c>
      <c r="P1975" s="455">
        <f t="shared" si="356"/>
        <v>0</v>
      </c>
      <c r="R1975" s="548"/>
    </row>
    <row r="1976" spans="1:18">
      <c r="A1976" s="454"/>
      <c r="B1976" s="454" t="str">
        <v>Window Frames - Internal</v>
      </c>
      <c r="C1976" s="456"/>
      <c r="D1976" s="456"/>
      <c r="E1976" s="456"/>
      <c r="F1976" s="456"/>
      <c r="G1976" s="456">
        <f t="shared" si="353"/>
        <v>0</v>
      </c>
      <c r="H1976" s="456" t="str">
        <v>RM</v>
      </c>
      <c r="I1976" s="456" t="str">
        <v>N.A.</v>
      </c>
      <c r="J1976" s="456">
        <v>0</v>
      </c>
      <c r="K1976" s="456">
        <v>0</v>
      </c>
      <c r="L1976" s="456">
        <f t="shared" si="354"/>
        <v>0</v>
      </c>
      <c r="O1976" s="455">
        <f t="shared" si="355"/>
        <v>0</v>
      </c>
      <c r="P1976" s="455">
        <f t="shared" si="356"/>
        <v>0</v>
      </c>
      <c r="R1976" s="548"/>
    </row>
    <row r="1977" spans="1:18">
      <c r="A1977" s="454"/>
      <c r="B1977" s="454" t="str">
        <v>Window Frames - External</v>
      </c>
      <c r="C1977" s="456"/>
      <c r="D1977" s="456"/>
      <c r="E1977" s="456"/>
      <c r="F1977" s="456"/>
      <c r="G1977" s="524">
        <f t="shared" si="353"/>
        <v>0</v>
      </c>
      <c r="H1977" s="456" t="str">
        <v>RM</v>
      </c>
      <c r="I1977" s="456" t="str">
        <v>N.A.</v>
      </c>
      <c r="J1977" s="456">
        <v>0</v>
      </c>
      <c r="K1977" s="456">
        <v>0</v>
      </c>
      <c r="L1977" s="456">
        <f t="shared" si="354"/>
        <v>0</v>
      </c>
      <c r="O1977" s="455">
        <f t="shared" si="355"/>
        <v>0</v>
      </c>
      <c r="P1977" s="455">
        <f t="shared" si="356"/>
        <v>0</v>
      </c>
      <c r="R1977" s="548"/>
    </row>
    <row r="1978" spans="1:18" ht="13.8" thickBot="1">
      <c r="A1978" s="454"/>
      <c r="B1978" s="454"/>
      <c r="C1978" s="456"/>
      <c r="D1978" s="456"/>
      <c r="E1978" s="456"/>
      <c r="F1978" s="456"/>
      <c r="G1978" s="525">
        <f>SUM(G1967:G1977)</f>
        <v>1234.1299999999999</v>
      </c>
      <c r="H1978" s="456"/>
      <c r="I1978" s="456"/>
      <c r="J1978" s="456"/>
      <c r="K1978" s="456"/>
      <c r="L1978" s="525">
        <f>SUM(L1967:L1977)</f>
        <v>718663.2220999999</v>
      </c>
      <c r="O1978" s="525">
        <f>SUM(O1967:O1977)</f>
        <v>4936.5199999999995</v>
      </c>
      <c r="P1978" s="525">
        <f>SUM(P1967:P1977)</f>
        <v>2874652.8883999996</v>
      </c>
    </row>
    <row r="1979" spans="1:18">
      <c r="A1979" s="528"/>
      <c r="B1979" s="529" t="s">
        <v>744</v>
      </c>
      <c r="C1979" s="522"/>
      <c r="D1979" s="522"/>
      <c r="E1979" s="522"/>
      <c r="F1979" s="522"/>
      <c r="G1979" s="530"/>
      <c r="H1979" s="522"/>
      <c r="I1979" s="522"/>
      <c r="J1979" s="522"/>
      <c r="K1979" s="522"/>
      <c r="L1979" s="522"/>
    </row>
    <row r="1980" spans="1:18">
      <c r="A1980" s="528"/>
      <c r="B1980" s="528" t="s">
        <v>355</v>
      </c>
      <c r="C1980" s="522"/>
      <c r="D1980" s="522"/>
      <c r="E1980" s="522"/>
      <c r="F1980" s="522"/>
      <c r="G1980" s="522">
        <f>SUMIF($B$1967:$B$1977,B1980,$G$1967:$G$1977)</f>
        <v>220.78</v>
      </c>
      <c r="H1980" s="522"/>
      <c r="I1980" s="522"/>
      <c r="J1980" s="522"/>
      <c r="K1980" s="522"/>
      <c r="L1980" s="522">
        <f>SUMIF($B$1967:$B$1977,B1980,$L$1967:$L$1977)</f>
        <v>308941.86959999998</v>
      </c>
      <c r="O1980" s="455">
        <f t="shared" ref="O1980:O1990" si="357">IF(I1980="N.A",0,G1980*$N$1966)</f>
        <v>883.12</v>
      </c>
      <c r="P1980" s="455">
        <f t="shared" ref="P1980:P1990" si="358">L1980*$N$1966</f>
        <v>1235767.4783999999</v>
      </c>
    </row>
    <row r="1981" spans="1:18">
      <c r="A1981" s="528"/>
      <c r="B1981" s="528" t="s">
        <v>695</v>
      </c>
      <c r="C1981" s="522"/>
      <c r="D1981" s="522"/>
      <c r="E1981" s="522"/>
      <c r="F1981" s="522"/>
      <c r="G1981" s="522">
        <f t="shared" ref="G1981:G1990" si="359">SUMIF($B$1967:$B$1977,B1981,$G$1967:$G$1977)</f>
        <v>107.5</v>
      </c>
      <c r="H1981" s="522"/>
      <c r="I1981" s="522"/>
      <c r="J1981" s="522"/>
      <c r="K1981" s="522"/>
      <c r="L1981" s="522">
        <f t="shared" ref="L1981:L1990" si="360">SUMIF($B$1967:$B$1977,B1981,$L$1967:$L$1977)</f>
        <v>44075</v>
      </c>
      <c r="O1981" s="455">
        <f t="shared" si="357"/>
        <v>430</v>
      </c>
      <c r="P1981" s="455">
        <f t="shared" si="358"/>
        <v>176300</v>
      </c>
    </row>
    <row r="1982" spans="1:18">
      <c r="A1982" s="528"/>
      <c r="B1982" s="528" t="s">
        <v>698</v>
      </c>
      <c r="C1982" s="522"/>
      <c r="D1982" s="522"/>
      <c r="E1982" s="522"/>
      <c r="F1982" s="522"/>
      <c r="G1982" s="522">
        <f t="shared" si="359"/>
        <v>0</v>
      </c>
      <c r="H1982" s="522"/>
      <c r="I1982" s="522"/>
      <c r="J1982" s="522"/>
      <c r="K1982" s="522"/>
      <c r="L1982" s="522">
        <f t="shared" si="360"/>
        <v>0</v>
      </c>
      <c r="O1982" s="455">
        <f t="shared" si="357"/>
        <v>0</v>
      </c>
      <c r="P1982" s="455">
        <f t="shared" si="358"/>
        <v>0</v>
      </c>
    </row>
    <row r="1983" spans="1:18">
      <c r="A1983" s="528"/>
      <c r="B1983" s="528" t="s">
        <v>700</v>
      </c>
      <c r="C1983" s="522"/>
      <c r="D1983" s="522"/>
      <c r="E1983" s="522"/>
      <c r="F1983" s="522"/>
      <c r="G1983" s="522">
        <f t="shared" si="359"/>
        <v>232.14500000000004</v>
      </c>
      <c r="H1983" s="522"/>
      <c r="I1983" s="522"/>
      <c r="J1983" s="522"/>
      <c r="K1983" s="522"/>
      <c r="L1983" s="522">
        <f t="shared" si="360"/>
        <v>132436.86534000002</v>
      </c>
      <c r="O1983" s="455">
        <f t="shared" si="357"/>
        <v>928.58000000000015</v>
      </c>
      <c r="P1983" s="455">
        <f t="shared" si="358"/>
        <v>529747.46136000007</v>
      </c>
    </row>
    <row r="1984" spans="1:18">
      <c r="A1984" s="528"/>
      <c r="B1984" s="528" t="s">
        <v>702</v>
      </c>
      <c r="C1984" s="522"/>
      <c r="D1984" s="522"/>
      <c r="E1984" s="522"/>
      <c r="F1984" s="522"/>
      <c r="G1984" s="522">
        <f t="shared" si="359"/>
        <v>220.78</v>
      </c>
      <c r="H1984" s="522"/>
      <c r="I1984" s="522"/>
      <c r="J1984" s="522"/>
      <c r="K1984" s="522"/>
      <c r="L1984" s="522">
        <f t="shared" si="360"/>
        <v>125953.22375999999</v>
      </c>
      <c r="O1984" s="455">
        <f t="shared" si="357"/>
        <v>883.12</v>
      </c>
      <c r="P1984" s="455">
        <f t="shared" si="358"/>
        <v>503812.89503999997</v>
      </c>
    </row>
    <row r="1985" spans="1:18">
      <c r="A1985" s="528"/>
      <c r="B1985" s="528" t="s">
        <v>703</v>
      </c>
      <c r="C1985" s="522"/>
      <c r="D1985" s="522"/>
      <c r="E1985" s="522"/>
      <c r="F1985" s="522"/>
      <c r="G1985" s="522">
        <f t="shared" si="359"/>
        <v>0</v>
      </c>
      <c r="H1985" s="522"/>
      <c r="I1985" s="522"/>
      <c r="J1985" s="522"/>
      <c r="K1985" s="522"/>
      <c r="L1985" s="522">
        <f t="shared" si="360"/>
        <v>0</v>
      </c>
      <c r="O1985" s="455">
        <f t="shared" si="357"/>
        <v>0</v>
      </c>
      <c r="P1985" s="455">
        <f t="shared" si="358"/>
        <v>0</v>
      </c>
    </row>
    <row r="1986" spans="1:18">
      <c r="A1986" s="528"/>
      <c r="B1986" s="528" t="s">
        <v>704</v>
      </c>
      <c r="C1986" s="522"/>
      <c r="D1986" s="522"/>
      <c r="E1986" s="522"/>
      <c r="F1986" s="522"/>
      <c r="G1986" s="522">
        <f t="shared" si="359"/>
        <v>232.14500000000004</v>
      </c>
      <c r="H1986" s="522"/>
      <c r="I1986" s="522"/>
      <c r="J1986" s="522"/>
      <c r="K1986" s="522"/>
      <c r="L1986" s="522">
        <f t="shared" si="360"/>
        <v>54973.793160000008</v>
      </c>
      <c r="O1986" s="455">
        <f t="shared" si="357"/>
        <v>928.58000000000015</v>
      </c>
      <c r="P1986" s="455">
        <f t="shared" si="358"/>
        <v>219895.17264000003</v>
      </c>
    </row>
    <row r="1987" spans="1:18">
      <c r="A1987" s="528"/>
      <c r="B1987" s="528" t="s">
        <v>706</v>
      </c>
      <c r="C1987" s="522"/>
      <c r="D1987" s="522"/>
      <c r="E1987" s="522"/>
      <c r="F1987" s="522"/>
      <c r="G1987" s="522">
        <f t="shared" si="359"/>
        <v>220.78</v>
      </c>
      <c r="H1987" s="522"/>
      <c r="I1987" s="522"/>
      <c r="J1987" s="522"/>
      <c r="K1987" s="522"/>
      <c r="L1987" s="522">
        <f t="shared" si="360"/>
        <v>52282.470239999995</v>
      </c>
      <c r="O1987" s="455">
        <f t="shared" si="357"/>
        <v>883.12</v>
      </c>
      <c r="P1987" s="455">
        <f t="shared" si="358"/>
        <v>209129.88095999998</v>
      </c>
    </row>
    <row r="1988" spans="1:18">
      <c r="A1988" s="528"/>
      <c r="B1988" s="528" t="s">
        <v>713</v>
      </c>
      <c r="C1988" s="522"/>
      <c r="D1988" s="522"/>
      <c r="E1988" s="522"/>
      <c r="F1988" s="522"/>
      <c r="G1988" s="522">
        <f t="shared" si="359"/>
        <v>0</v>
      </c>
      <c r="H1988" s="522"/>
      <c r="I1988" s="522"/>
      <c r="J1988" s="522"/>
      <c r="K1988" s="522"/>
      <c r="L1988" s="522">
        <f t="shared" si="360"/>
        <v>0</v>
      </c>
      <c r="O1988" s="455">
        <f t="shared" si="357"/>
        <v>0</v>
      </c>
      <c r="P1988" s="455">
        <f t="shared" si="358"/>
        <v>0</v>
      </c>
    </row>
    <row r="1989" spans="1:18">
      <c r="A1989" s="528"/>
      <c r="B1989" s="528" t="s">
        <v>715</v>
      </c>
      <c r="C1989" s="522"/>
      <c r="D1989" s="522"/>
      <c r="E1989" s="522"/>
      <c r="F1989" s="522"/>
      <c r="G1989" s="522">
        <f t="shared" si="359"/>
        <v>0</v>
      </c>
      <c r="H1989" s="522"/>
      <c r="I1989" s="522"/>
      <c r="J1989" s="522"/>
      <c r="K1989" s="522"/>
      <c r="L1989" s="522">
        <f t="shared" si="360"/>
        <v>0</v>
      </c>
      <c r="O1989" s="455">
        <f t="shared" si="357"/>
        <v>0</v>
      </c>
      <c r="P1989" s="455">
        <f t="shared" si="358"/>
        <v>0</v>
      </c>
    </row>
    <row r="1990" spans="1:18">
      <c r="A1990" s="528"/>
      <c r="B1990" s="528" t="s">
        <v>716</v>
      </c>
      <c r="C1990" s="522"/>
      <c r="D1990" s="522"/>
      <c r="E1990" s="522"/>
      <c r="F1990" s="522"/>
      <c r="G1990" s="537">
        <f t="shared" si="359"/>
        <v>0</v>
      </c>
      <c r="H1990" s="522"/>
      <c r="I1990" s="522"/>
      <c r="J1990" s="522"/>
      <c r="K1990" s="537"/>
      <c r="L1990" s="537">
        <f t="shared" si="360"/>
        <v>0</v>
      </c>
      <c r="O1990" s="455">
        <f t="shared" si="357"/>
        <v>0</v>
      </c>
      <c r="P1990" s="455">
        <f t="shared" si="358"/>
        <v>0</v>
      </c>
    </row>
    <row r="1991" spans="1:18" ht="13.8" thickBot="1">
      <c r="A1991" s="528"/>
      <c r="B1991" s="528"/>
      <c r="C1991" s="522"/>
      <c r="D1991" s="522"/>
      <c r="E1991" s="522"/>
      <c r="F1991" s="522"/>
      <c r="G1991" s="525">
        <f>SUM(G1980:G1990)</f>
        <v>1234.1299999999999</v>
      </c>
      <c r="H1991" s="522"/>
      <c r="I1991" s="522"/>
      <c r="J1991" s="522"/>
      <c r="K1991" s="525" t="s">
        <v>232</v>
      </c>
      <c r="L1991" s="525">
        <f>SUM(L1980:L1990)</f>
        <v>718663.2220999999</v>
      </c>
      <c r="O1991" s="525">
        <f t="shared" ref="O1991:P1991" si="361">SUM(O1980:O1990)</f>
        <v>4936.5199999999995</v>
      </c>
      <c r="P1991" s="525">
        <f t="shared" si="361"/>
        <v>2874652.8883999996</v>
      </c>
    </row>
    <row r="1992" spans="1:18">
      <c r="A1992" s="528"/>
      <c r="B1992" s="528" t="s">
        <v>386</v>
      </c>
      <c r="C1992" s="522"/>
      <c r="D1992" s="522"/>
      <c r="E1992" s="522"/>
      <c r="F1992" s="522"/>
      <c r="G1992" s="530">
        <f>Doors!E139</f>
        <v>2</v>
      </c>
      <c r="H1992" s="522"/>
      <c r="I1992" s="522"/>
      <c r="J1992" s="522"/>
      <c r="K1992" s="530"/>
      <c r="L1992" s="530">
        <f>Doors!J139</f>
        <v>60000</v>
      </c>
    </row>
    <row r="1993" spans="1:18">
      <c r="A1993" s="528"/>
      <c r="B1993" s="528" t="s">
        <v>391</v>
      </c>
      <c r="C1993" s="522"/>
      <c r="D1993" s="522"/>
      <c r="E1993" s="522"/>
      <c r="F1993" s="522"/>
      <c r="G1993" s="522">
        <v>0</v>
      </c>
      <c r="H1993" s="522"/>
      <c r="I1993" s="522"/>
      <c r="J1993" s="522"/>
      <c r="K1993" s="522"/>
      <c r="L1993" s="522">
        <v>0</v>
      </c>
    </row>
    <row r="1994" spans="1:18">
      <c r="A1994" s="528"/>
      <c r="B1994" s="528"/>
      <c r="C1994" s="522"/>
      <c r="D1994" s="522"/>
      <c r="E1994" s="522"/>
      <c r="F1994" s="522"/>
      <c r="G1994" s="522"/>
      <c r="H1994" s="522"/>
      <c r="I1994" s="522"/>
      <c r="J1994" s="522"/>
      <c r="K1994" s="549" t="s">
        <v>232</v>
      </c>
      <c r="L1994" s="549">
        <f>SUM(L1992:L1993)</f>
        <v>60000</v>
      </c>
    </row>
    <row r="1995" spans="1:18" ht="13.8" thickBot="1">
      <c r="A1995" s="528"/>
      <c r="B1995" s="528"/>
      <c r="C1995" s="522"/>
      <c r="D1995" s="522"/>
      <c r="E1995" s="522"/>
      <c r="F1995" s="522"/>
      <c r="G1995" s="522"/>
      <c r="H1995" s="522"/>
      <c r="I1995" s="522"/>
      <c r="J1995" s="522"/>
      <c r="K1995" s="525" t="s">
        <v>758</v>
      </c>
      <c r="L1995" s="525">
        <f>L1991+L1994</f>
        <v>778663.2220999999</v>
      </c>
    </row>
    <row r="1996" spans="1:18">
      <c r="A1996" s="482"/>
      <c r="B1996" s="482"/>
      <c r="C1996" s="485"/>
      <c r="D1996" s="485"/>
      <c r="E1996" s="485"/>
      <c r="F1996" s="485"/>
      <c r="G1996" s="485"/>
      <c r="H1996" s="485"/>
      <c r="I1996" s="485"/>
      <c r="J1996" s="485"/>
      <c r="K1996" s="550"/>
      <c r="L1996" s="550"/>
    </row>
    <row r="1997" spans="1:18" s="464" customFormat="1">
      <c r="A1997" s="462" t="s">
        <v>197</v>
      </c>
      <c r="B1997" s="462" t="s">
        <v>2</v>
      </c>
      <c r="C1997" s="462" t="s">
        <v>315</v>
      </c>
      <c r="D1997" s="462" t="s">
        <v>562</v>
      </c>
      <c r="E1997" s="462" t="s">
        <v>5</v>
      </c>
      <c r="F1997" s="462" t="s">
        <v>205</v>
      </c>
      <c r="G1997" s="462"/>
      <c r="H1997" s="462"/>
      <c r="I1997" s="462" t="s">
        <v>658</v>
      </c>
      <c r="J1997" s="463"/>
      <c r="K1997" s="463"/>
      <c r="L1997" s="463"/>
      <c r="M1997" s="463"/>
      <c r="N1997" s="463"/>
      <c r="O1997" s="463"/>
    </row>
    <row r="1998" spans="1:18" ht="14.4">
      <c r="A1998" s="551">
        <v>1</v>
      </c>
      <c r="B1998" s="453" t="s">
        <v>356</v>
      </c>
      <c r="C1998" s="486"/>
      <c r="D1998" s="486">
        <f>SUMIF($R$3:$R$1995,I1998,$O$3:$O$1995)</f>
        <v>18809.629999999994</v>
      </c>
      <c r="E1998" s="486">
        <f>IF(D1998=0,0,F1998/D1998)</f>
        <v>1342.8975586749984</v>
      </c>
      <c r="F1998" s="486">
        <f>SUMIF($R$3:$R$1995,I1998,$P$3:$P$1995)</f>
        <v>25259406.206580002</v>
      </c>
      <c r="G1998" s="486"/>
      <c r="H1998" s="486"/>
      <c r="I1998" s="552" t="s">
        <v>659</v>
      </c>
      <c r="J1998"/>
      <c r="P1998" s="461"/>
      <c r="Q1998" s="461"/>
      <c r="R1998" s="461"/>
    </row>
    <row r="1999" spans="1:18" ht="14.4">
      <c r="A1999" s="551">
        <v>2</v>
      </c>
      <c r="B1999" s="453" t="s">
        <v>357</v>
      </c>
      <c r="C1999" s="486"/>
      <c r="D1999" s="486">
        <f t="shared" ref="D1999:D2037" si="362">SUMIF($R$3:$R$1995,I1999,$O$3:$O$1995)</f>
        <v>16182.690000000002</v>
      </c>
      <c r="E1999" s="486">
        <f t="shared" ref="E1999:E2037" si="363">IF(D1999=0,0,F1999/D1999)</f>
        <v>392.43935170234357</v>
      </c>
      <c r="F1999" s="486">
        <f t="shared" ref="F1999:F2037" si="364">SUMIF($R$3:$R$1995,I1999,$P$3:$P$1995)</f>
        <v>6350724.3723999988</v>
      </c>
      <c r="G1999" s="486"/>
      <c r="H1999" s="486"/>
      <c r="I1999" s="552" t="s">
        <v>660</v>
      </c>
      <c r="J1999"/>
      <c r="P1999" s="461"/>
      <c r="Q1999" s="461"/>
      <c r="R1999" s="461"/>
    </row>
    <row r="2000" spans="1:18" ht="14.4">
      <c r="A2000" s="551">
        <v>3</v>
      </c>
      <c r="B2000" s="453" t="s">
        <v>350</v>
      </c>
      <c r="C2000" s="486"/>
      <c r="D2000" s="486">
        <f t="shared" si="362"/>
        <v>51990.327000000012</v>
      </c>
      <c r="E2000" s="486">
        <f t="shared" si="363"/>
        <v>354.09156470948903</v>
      </c>
      <c r="F2000" s="486">
        <f t="shared" si="364"/>
        <v>18409336.237188</v>
      </c>
      <c r="G2000" s="486"/>
      <c r="H2000" s="486"/>
      <c r="I2000" s="552" t="s">
        <v>661</v>
      </c>
      <c r="J2000"/>
      <c r="P2000" s="461"/>
      <c r="Q2000" s="461"/>
      <c r="R2000" s="461"/>
    </row>
    <row r="2001" spans="1:18" ht="14.4">
      <c r="A2001" s="551">
        <v>4</v>
      </c>
      <c r="B2001" s="453" t="s">
        <v>351</v>
      </c>
      <c r="C2001" s="486"/>
      <c r="D2001" s="486">
        <f t="shared" si="362"/>
        <v>22443.659999999993</v>
      </c>
      <c r="E2001" s="486">
        <f t="shared" si="363"/>
        <v>353.34244846696151</v>
      </c>
      <c r="F2001" s="486">
        <f t="shared" si="364"/>
        <v>7930297.7769600023</v>
      </c>
      <c r="G2001" s="486"/>
      <c r="H2001" s="486"/>
      <c r="I2001" s="552" t="s">
        <v>662</v>
      </c>
      <c r="J2001"/>
      <c r="P2001" s="461"/>
      <c r="Q2001" s="461"/>
      <c r="R2001" s="461"/>
    </row>
    <row r="2002" spans="1:18" ht="14.4">
      <c r="A2002" s="551">
        <v>5</v>
      </c>
      <c r="B2002" s="453" t="s">
        <v>378</v>
      </c>
      <c r="C2002" s="486"/>
      <c r="D2002" s="486">
        <f t="shared" si="362"/>
        <v>59524.536000000029</v>
      </c>
      <c r="E2002" s="486">
        <f t="shared" si="363"/>
        <v>250.96300596244865</v>
      </c>
      <c r="F2002" s="486">
        <f t="shared" si="364"/>
        <v>14938456.483079996</v>
      </c>
      <c r="G2002" s="486"/>
      <c r="H2002" s="486"/>
      <c r="I2002" s="552" t="s">
        <v>663</v>
      </c>
      <c r="J2002"/>
      <c r="P2002" s="461"/>
      <c r="Q2002" s="461"/>
      <c r="R2002" s="461"/>
    </row>
    <row r="2003" spans="1:18" ht="14.4">
      <c r="A2003" s="551">
        <v>6</v>
      </c>
      <c r="B2003" s="453" t="s">
        <v>379</v>
      </c>
      <c r="C2003" s="486"/>
      <c r="D2003" s="486">
        <f t="shared" si="362"/>
        <v>26951.899999999994</v>
      </c>
      <c r="E2003" s="486">
        <f t="shared" si="363"/>
        <v>238.57578548376929</v>
      </c>
      <c r="F2003" s="486">
        <f t="shared" si="364"/>
        <v>6430070.7127800006</v>
      </c>
      <c r="G2003" s="486"/>
      <c r="H2003" s="486"/>
      <c r="I2003" s="552" t="s">
        <v>664</v>
      </c>
      <c r="J2003"/>
      <c r="P2003" s="461"/>
      <c r="Q2003" s="461"/>
      <c r="R2003" s="461"/>
    </row>
    <row r="2004" spans="1:18" ht="14.4">
      <c r="A2004" s="551">
        <v>7</v>
      </c>
      <c r="B2004" s="453" t="s">
        <v>407</v>
      </c>
      <c r="C2004" s="486"/>
      <c r="D2004" s="486">
        <f t="shared" si="362"/>
        <v>7558.199999999998</v>
      </c>
      <c r="E2004" s="486">
        <f t="shared" si="363"/>
        <v>655.9272000000002</v>
      </c>
      <c r="F2004" s="486">
        <f t="shared" si="364"/>
        <v>4957628.9630399998</v>
      </c>
      <c r="G2004" s="486"/>
      <c r="H2004" s="486"/>
      <c r="I2004" s="552" t="s">
        <v>669</v>
      </c>
      <c r="J2004"/>
      <c r="P2004" s="461"/>
      <c r="Q2004" s="461"/>
      <c r="R2004" s="461"/>
    </row>
    <row r="2005" spans="1:18" ht="14.4">
      <c r="A2005" s="551">
        <v>8</v>
      </c>
      <c r="B2005" s="453" t="s">
        <v>408</v>
      </c>
      <c r="C2005" s="486"/>
      <c r="D2005" s="486">
        <f t="shared" si="362"/>
        <v>12610.740000000005</v>
      </c>
      <c r="E2005" s="486">
        <f t="shared" si="363"/>
        <v>655.9271999999994</v>
      </c>
      <c r="F2005" s="486">
        <f t="shared" si="364"/>
        <v>8271727.3781279959</v>
      </c>
      <c r="G2005" s="486"/>
      <c r="H2005" s="486"/>
      <c r="I2005" s="552" t="s">
        <v>743</v>
      </c>
      <c r="J2005"/>
      <c r="P2005" s="461"/>
      <c r="Q2005" s="461"/>
      <c r="R2005" s="461"/>
    </row>
    <row r="2006" spans="1:18" ht="14.4">
      <c r="A2006" s="551">
        <v>9</v>
      </c>
      <c r="B2006" s="453" t="s">
        <v>409</v>
      </c>
      <c r="C2006" s="486"/>
      <c r="D2006" s="486">
        <f t="shared" si="362"/>
        <v>14185.740000000005</v>
      </c>
      <c r="E2006" s="486">
        <f t="shared" si="363"/>
        <v>399.0423999999997</v>
      </c>
      <c r="F2006" s="486">
        <f t="shared" si="364"/>
        <v>5660711.7353759976</v>
      </c>
      <c r="G2006" s="486"/>
      <c r="H2006" s="486"/>
      <c r="I2006" s="552" t="s">
        <v>409</v>
      </c>
      <c r="J2006"/>
      <c r="P2006" s="461"/>
      <c r="Q2006" s="461"/>
      <c r="R2006" s="461"/>
    </row>
    <row r="2007" spans="1:18" ht="14.4">
      <c r="A2007" s="551">
        <v>10</v>
      </c>
      <c r="B2007" s="453" t="s">
        <v>359</v>
      </c>
      <c r="C2007" s="486"/>
      <c r="D2007" s="486">
        <f t="shared" si="362"/>
        <v>2354.04</v>
      </c>
      <c r="E2007" s="486">
        <f t="shared" si="363"/>
        <v>1399.32</v>
      </c>
      <c r="F2007" s="486">
        <f t="shared" si="364"/>
        <v>3294055.2527999999</v>
      </c>
      <c r="G2007" s="486"/>
      <c r="H2007" s="486"/>
      <c r="I2007" s="552" t="s">
        <v>667</v>
      </c>
      <c r="J2007"/>
      <c r="P2007" s="461"/>
      <c r="Q2007" s="461"/>
      <c r="R2007" s="461"/>
    </row>
    <row r="2008" spans="1:18" ht="14.4">
      <c r="A2008" s="551">
        <v>11</v>
      </c>
      <c r="B2008" s="453" t="s">
        <v>360</v>
      </c>
      <c r="C2008" s="486"/>
      <c r="D2008" s="486">
        <f t="shared" si="362"/>
        <v>11369.217000000002</v>
      </c>
      <c r="E2008" s="486">
        <f t="shared" si="363"/>
        <v>1480.0499999999997</v>
      </c>
      <c r="F2008" s="486">
        <f t="shared" si="364"/>
        <v>16827009.620850001</v>
      </c>
      <c r="G2008" s="486"/>
      <c r="H2008" s="486"/>
      <c r="I2008" s="552" t="s">
        <v>668</v>
      </c>
      <c r="J2008"/>
      <c r="P2008" s="461"/>
      <c r="Q2008" s="461"/>
      <c r="R2008" s="461"/>
    </row>
    <row r="2009" spans="1:18" ht="14.4">
      <c r="A2009" s="551">
        <v>12</v>
      </c>
      <c r="B2009" s="453" t="s">
        <v>406</v>
      </c>
      <c r="C2009" s="486"/>
      <c r="D2009" s="486">
        <f t="shared" si="362"/>
        <v>238.68000000000012</v>
      </c>
      <c r="E2009" s="486">
        <f t="shared" si="363"/>
        <v>6329.6719999999987</v>
      </c>
      <c r="F2009" s="486">
        <f t="shared" si="364"/>
        <v>1510766.1129600005</v>
      </c>
      <c r="G2009" s="486"/>
      <c r="H2009" s="486"/>
      <c r="I2009" s="552" t="s">
        <v>670</v>
      </c>
      <c r="J2009"/>
      <c r="P2009" s="461"/>
      <c r="Q2009" s="461"/>
      <c r="R2009" s="461"/>
    </row>
    <row r="2010" spans="1:18" ht="14.4">
      <c r="A2010" s="551">
        <v>13</v>
      </c>
      <c r="B2010" s="453" t="s">
        <v>763</v>
      </c>
      <c r="C2010" s="486"/>
      <c r="D2010" s="486">
        <f t="shared" si="362"/>
        <v>16182.690000000002</v>
      </c>
      <c r="E2010" s="486">
        <f t="shared" si="363"/>
        <v>392.43935170234357</v>
      </c>
      <c r="F2010" s="486">
        <f t="shared" si="364"/>
        <v>6350724.3723999988</v>
      </c>
      <c r="G2010" s="486"/>
      <c r="H2010" s="486"/>
      <c r="I2010" s="553" t="s">
        <v>660</v>
      </c>
      <c r="J2010"/>
      <c r="P2010" s="461"/>
      <c r="Q2010" s="461"/>
      <c r="R2010" s="461"/>
    </row>
    <row r="2011" spans="1:18" ht="14.4">
      <c r="A2011" s="551">
        <v>14</v>
      </c>
      <c r="B2011" s="453" t="s">
        <v>361</v>
      </c>
      <c r="C2011" s="486"/>
      <c r="D2011" s="486">
        <f t="shared" si="362"/>
        <v>2302.5000000000009</v>
      </c>
      <c r="E2011" s="486">
        <f t="shared" si="363"/>
        <v>1393.9379999999999</v>
      </c>
      <c r="F2011" s="486">
        <f t="shared" si="364"/>
        <v>3209542.245000001</v>
      </c>
      <c r="G2011" s="486"/>
      <c r="H2011" s="486"/>
      <c r="I2011" s="553" t="s">
        <v>665</v>
      </c>
      <c r="J2011"/>
      <c r="P2011" s="461"/>
      <c r="Q2011" s="461"/>
      <c r="R2011" s="461"/>
    </row>
    <row r="2012" spans="1:18" ht="14.4">
      <c r="A2012" s="551">
        <v>15</v>
      </c>
      <c r="B2012" s="453" t="s">
        <v>362</v>
      </c>
      <c r="C2012" s="486"/>
      <c r="D2012" s="486">
        <f t="shared" si="362"/>
        <v>1381.5000000000005</v>
      </c>
      <c r="E2012" s="486">
        <f t="shared" si="363"/>
        <v>1133.4491999999998</v>
      </c>
      <c r="F2012" s="486">
        <f t="shared" si="364"/>
        <v>1565860.0698000002</v>
      </c>
      <c r="G2012" s="486"/>
      <c r="H2012" s="486"/>
      <c r="I2012" s="553" t="s">
        <v>746</v>
      </c>
      <c r="J2012"/>
      <c r="P2012" s="461"/>
      <c r="Q2012" s="461"/>
      <c r="R2012" s="461"/>
    </row>
    <row r="2013" spans="1:18" ht="14.4">
      <c r="A2013" s="551">
        <v>16</v>
      </c>
      <c r="B2013" s="453" t="s">
        <v>410</v>
      </c>
      <c r="C2013" s="486"/>
      <c r="D2013" s="486">
        <f t="shared" si="362"/>
        <v>880</v>
      </c>
      <c r="E2013" s="486">
        <f t="shared" si="363"/>
        <v>7312.7984000000024</v>
      </c>
      <c r="F2013" s="486">
        <f t="shared" si="364"/>
        <v>6435262.592000002</v>
      </c>
      <c r="G2013" s="486"/>
      <c r="H2013" s="486"/>
      <c r="I2013" s="553" t="s">
        <v>747</v>
      </c>
      <c r="J2013"/>
      <c r="P2013" s="461"/>
      <c r="Q2013" s="461"/>
      <c r="R2013" s="461"/>
    </row>
    <row r="2014" spans="1:18" ht="14.4">
      <c r="A2014" s="551">
        <v>17</v>
      </c>
      <c r="B2014" s="453" t="s">
        <v>411</v>
      </c>
      <c r="C2014" s="486"/>
      <c r="D2014" s="486">
        <f t="shared" si="362"/>
        <v>655.00000000000011</v>
      </c>
      <c r="E2014" s="486">
        <f t="shared" si="363"/>
        <v>7312.7983999999997</v>
      </c>
      <c r="F2014" s="486">
        <f t="shared" si="364"/>
        <v>4789882.9520000005</v>
      </c>
      <c r="G2014" s="486"/>
      <c r="H2014" s="486"/>
      <c r="I2014" s="553" t="s">
        <v>666</v>
      </c>
      <c r="J2014"/>
      <c r="P2014" s="461"/>
      <c r="Q2014" s="461"/>
      <c r="R2014" s="461"/>
    </row>
    <row r="2015" spans="1:18" ht="14.4">
      <c r="A2015" s="551">
        <v>18</v>
      </c>
      <c r="B2015" s="453" t="s">
        <v>363</v>
      </c>
      <c r="C2015" s="486"/>
      <c r="D2015" s="486">
        <f t="shared" si="362"/>
        <v>655.37999999999988</v>
      </c>
      <c r="E2015" s="486">
        <f t="shared" si="363"/>
        <v>1340.1180000000002</v>
      </c>
      <c r="F2015" s="486">
        <f t="shared" si="364"/>
        <v>878286.53483999998</v>
      </c>
      <c r="G2015" s="486"/>
      <c r="H2015" s="486"/>
      <c r="I2015" s="553" t="s">
        <v>752</v>
      </c>
      <c r="J2015"/>
      <c r="P2015" s="461"/>
      <c r="Q2015" s="461"/>
      <c r="R2015" s="461"/>
    </row>
    <row r="2016" spans="1:18" ht="14.4">
      <c r="A2016" s="551">
        <v>19</v>
      </c>
      <c r="B2016" s="453" t="s">
        <v>364</v>
      </c>
      <c r="C2016" s="486"/>
      <c r="D2016" s="486">
        <f t="shared" si="362"/>
        <v>1682.1199999999997</v>
      </c>
      <c r="E2016" s="486">
        <f t="shared" si="363"/>
        <v>391.96000000000004</v>
      </c>
      <c r="F2016" s="486">
        <f t="shared" si="364"/>
        <v>659323.7551999999</v>
      </c>
      <c r="G2016" s="486"/>
      <c r="H2016" s="486"/>
      <c r="I2016" s="553" t="s">
        <v>753</v>
      </c>
      <c r="J2016"/>
      <c r="P2016" s="461"/>
      <c r="Q2016" s="461"/>
      <c r="R2016" s="461"/>
    </row>
    <row r="2017" spans="1:18" ht="14.4">
      <c r="A2017" s="551">
        <v>20</v>
      </c>
      <c r="B2017" s="453" t="s">
        <v>365</v>
      </c>
      <c r="C2017" s="486"/>
      <c r="D2017" s="486">
        <f t="shared" si="362"/>
        <v>0</v>
      </c>
      <c r="E2017" s="486">
        <f t="shared" si="363"/>
        <v>0</v>
      </c>
      <c r="F2017" s="486">
        <f t="shared" si="364"/>
        <v>0</v>
      </c>
      <c r="G2017" s="486"/>
      <c r="H2017" s="486"/>
      <c r="I2017" s="553" t="s">
        <v>754</v>
      </c>
      <c r="J2017"/>
      <c r="P2017" s="461"/>
      <c r="Q2017" s="461"/>
      <c r="R2017" s="461"/>
    </row>
    <row r="2018" spans="1:18" ht="14.4">
      <c r="A2018" s="551">
        <v>21</v>
      </c>
      <c r="B2018" s="453" t="s">
        <v>366</v>
      </c>
      <c r="C2018" s="486"/>
      <c r="D2018" s="486">
        <f t="shared" si="362"/>
        <v>624.61</v>
      </c>
      <c r="E2018" s="486">
        <f t="shared" si="363"/>
        <v>1340.1179999999999</v>
      </c>
      <c r="F2018" s="486">
        <f t="shared" si="364"/>
        <v>837051.10398000001</v>
      </c>
      <c r="G2018" s="486"/>
      <c r="H2018" s="486"/>
      <c r="I2018" s="553" t="s">
        <v>748</v>
      </c>
      <c r="J2018"/>
      <c r="P2018" s="461"/>
      <c r="Q2018" s="461"/>
      <c r="R2018" s="461"/>
    </row>
    <row r="2019" spans="1:18" ht="14.4">
      <c r="A2019" s="551">
        <v>22</v>
      </c>
      <c r="B2019" s="453" t="s">
        <v>367</v>
      </c>
      <c r="C2019" s="486"/>
      <c r="D2019" s="486">
        <f t="shared" si="362"/>
        <v>1636.6399999999999</v>
      </c>
      <c r="E2019" s="486">
        <f t="shared" si="363"/>
        <v>391.96</v>
      </c>
      <c r="F2019" s="486">
        <f t="shared" si="364"/>
        <v>641497.41439999989</v>
      </c>
      <c r="G2019" s="486"/>
      <c r="H2019" s="486"/>
      <c r="I2019" s="553" t="s">
        <v>749</v>
      </c>
      <c r="J2019"/>
      <c r="P2019" s="461"/>
      <c r="Q2019" s="461"/>
      <c r="R2019" s="461"/>
    </row>
    <row r="2020" spans="1:18" ht="14.4">
      <c r="A2020" s="551">
        <v>23</v>
      </c>
      <c r="B2020" s="453" t="s">
        <v>368</v>
      </c>
      <c r="C2020" s="486"/>
      <c r="D2020" s="486">
        <f t="shared" si="362"/>
        <v>0</v>
      </c>
      <c r="E2020" s="486">
        <f t="shared" si="363"/>
        <v>0</v>
      </c>
      <c r="F2020" s="486">
        <f t="shared" si="364"/>
        <v>0</v>
      </c>
      <c r="G2020" s="486"/>
      <c r="H2020" s="486"/>
      <c r="I2020" s="553" t="s">
        <v>750</v>
      </c>
      <c r="J2020"/>
      <c r="P2020" s="461"/>
      <c r="Q2020" s="461"/>
      <c r="R2020" s="461"/>
    </row>
    <row r="2021" spans="1:18" ht="14.4">
      <c r="A2021" s="551">
        <v>24</v>
      </c>
      <c r="B2021" s="453" t="s">
        <v>340</v>
      </c>
      <c r="C2021" s="486"/>
      <c r="D2021" s="486">
        <f t="shared" si="362"/>
        <v>7211.8340000000017</v>
      </c>
      <c r="E2021" s="486">
        <f t="shared" si="363"/>
        <v>914.93999999999971</v>
      </c>
      <c r="F2021" s="486">
        <f t="shared" si="364"/>
        <v>6598395.3999599991</v>
      </c>
      <c r="G2021" s="486"/>
      <c r="H2021" s="486"/>
      <c r="I2021" s="553" t="s">
        <v>751</v>
      </c>
      <c r="J2021"/>
      <c r="P2021" s="461"/>
      <c r="Q2021" s="461"/>
      <c r="R2021" s="461"/>
    </row>
    <row r="2022" spans="1:18" ht="14.4">
      <c r="A2022" s="551">
        <v>25</v>
      </c>
      <c r="B2022" s="453" t="s">
        <v>369</v>
      </c>
      <c r="C2022" s="486"/>
      <c r="D2022" s="486">
        <f t="shared" si="362"/>
        <v>5093.6899999999996</v>
      </c>
      <c r="E2022" s="486">
        <f t="shared" si="363"/>
        <v>1797.3058874254227</v>
      </c>
      <c r="F2022" s="486">
        <f t="shared" si="364"/>
        <v>9154919.0257200003</v>
      </c>
      <c r="G2022" s="486"/>
      <c r="H2022" s="486"/>
      <c r="I2022" s="553" t="s">
        <v>671</v>
      </c>
      <c r="J2022"/>
      <c r="P2022" s="461"/>
      <c r="Q2022" s="461"/>
      <c r="R2022" s="461"/>
    </row>
    <row r="2023" spans="1:18" ht="14.4">
      <c r="A2023" s="551">
        <v>26</v>
      </c>
      <c r="B2023" s="453" t="s">
        <v>370</v>
      </c>
      <c r="C2023" s="486"/>
      <c r="D2023" s="486">
        <f t="shared" si="362"/>
        <v>414.72</v>
      </c>
      <c r="E2023" s="486">
        <f t="shared" si="363"/>
        <v>527.51625000000001</v>
      </c>
      <c r="F2023" s="486">
        <f t="shared" si="364"/>
        <v>218771.5392</v>
      </c>
      <c r="G2023" s="486"/>
      <c r="H2023" s="486"/>
      <c r="I2023" s="553" t="s">
        <v>759</v>
      </c>
      <c r="J2023"/>
      <c r="P2023" s="461"/>
      <c r="Q2023" s="461"/>
      <c r="R2023" s="461"/>
    </row>
    <row r="2024" spans="1:18" ht="14.4">
      <c r="A2024" s="551">
        <v>27</v>
      </c>
      <c r="B2024" s="453" t="s">
        <v>371</v>
      </c>
      <c r="C2024" s="486"/>
      <c r="D2024" s="486">
        <f t="shared" si="362"/>
        <v>8033.7720000000008</v>
      </c>
      <c r="E2024" s="486">
        <f t="shared" si="363"/>
        <v>2108.1747427275754</v>
      </c>
      <c r="F2024" s="486">
        <f t="shared" si="364"/>
        <v>16936595.219232</v>
      </c>
      <c r="G2024" s="486"/>
      <c r="H2024" s="486"/>
      <c r="I2024" s="553" t="s">
        <v>672</v>
      </c>
      <c r="J2024"/>
      <c r="P2024" s="461"/>
      <c r="Q2024" s="461"/>
      <c r="R2024" s="461"/>
    </row>
    <row r="2025" spans="1:18" ht="14.4">
      <c r="A2025" s="551">
        <v>28</v>
      </c>
      <c r="B2025" s="453" t="s">
        <v>337</v>
      </c>
      <c r="C2025" s="486"/>
      <c r="D2025" s="486">
        <f t="shared" si="362"/>
        <v>5229.2880000000014</v>
      </c>
      <c r="E2025" s="486">
        <f t="shared" si="363"/>
        <v>570.49199999999985</v>
      </c>
      <c r="F2025" s="486">
        <f t="shared" si="364"/>
        <v>2983266.9696960002</v>
      </c>
      <c r="G2025" s="486"/>
      <c r="H2025" s="486"/>
      <c r="I2025" s="553" t="s">
        <v>678</v>
      </c>
      <c r="J2025"/>
      <c r="P2025" s="461"/>
      <c r="Q2025" s="461"/>
      <c r="R2025" s="461"/>
    </row>
    <row r="2026" spans="1:18" ht="14.4">
      <c r="A2026" s="551">
        <v>29</v>
      </c>
      <c r="B2026" s="453" t="s">
        <v>338</v>
      </c>
      <c r="C2026" s="486"/>
      <c r="D2026" s="486">
        <f t="shared" si="362"/>
        <v>0</v>
      </c>
      <c r="E2026" s="486">
        <f t="shared" si="363"/>
        <v>0</v>
      </c>
      <c r="F2026" s="486">
        <f t="shared" si="364"/>
        <v>0</v>
      </c>
      <c r="G2026" s="486"/>
      <c r="H2026" s="486"/>
      <c r="I2026" s="553" t="s">
        <v>679</v>
      </c>
      <c r="J2026"/>
      <c r="P2026" s="461"/>
      <c r="Q2026" s="461"/>
      <c r="R2026" s="461"/>
    </row>
    <row r="2027" spans="1:18" ht="14.4">
      <c r="A2027" s="551">
        <v>30</v>
      </c>
      <c r="B2027" s="453" t="s">
        <v>416</v>
      </c>
      <c r="C2027" s="486"/>
      <c r="D2027" s="486">
        <f t="shared" si="362"/>
        <v>4508.24</v>
      </c>
      <c r="E2027" s="486">
        <f t="shared" si="363"/>
        <v>0</v>
      </c>
      <c r="F2027" s="486">
        <f t="shared" si="364"/>
        <v>0</v>
      </c>
      <c r="G2027" s="486"/>
      <c r="H2027" s="486"/>
      <c r="I2027" s="553" t="s">
        <v>673</v>
      </c>
      <c r="J2027"/>
      <c r="P2027" s="461"/>
      <c r="Q2027" s="461"/>
      <c r="R2027" s="461"/>
    </row>
    <row r="2028" spans="1:18" ht="14.4">
      <c r="A2028" s="551">
        <v>31</v>
      </c>
      <c r="B2028" s="453" t="s">
        <v>380</v>
      </c>
      <c r="C2028" s="486"/>
      <c r="D2028" s="486">
        <f t="shared" si="362"/>
        <v>17564.126</v>
      </c>
      <c r="E2028" s="486">
        <f t="shared" si="363"/>
        <v>178.63343432448616</v>
      </c>
      <c r="F2028" s="486">
        <f t="shared" si="364"/>
        <v>3137540.1482879999</v>
      </c>
      <c r="G2028" s="486"/>
      <c r="H2028" s="486"/>
      <c r="I2028" s="553" t="s">
        <v>674</v>
      </c>
      <c r="J2028"/>
      <c r="P2028" s="461"/>
      <c r="Q2028" s="461"/>
      <c r="R2028" s="461"/>
    </row>
    <row r="2029" spans="1:18" ht="14.4">
      <c r="A2029" s="551">
        <v>32</v>
      </c>
      <c r="B2029" s="453" t="s">
        <v>381</v>
      </c>
      <c r="C2029" s="486"/>
      <c r="D2029" s="486">
        <f t="shared" si="362"/>
        <v>3155.04</v>
      </c>
      <c r="E2029" s="486">
        <f t="shared" si="363"/>
        <v>193.75199999999998</v>
      </c>
      <c r="F2029" s="486">
        <f t="shared" si="364"/>
        <v>611295.31007999997</v>
      </c>
      <c r="G2029" s="486"/>
      <c r="H2029" s="486"/>
      <c r="I2029" s="553" t="s">
        <v>680</v>
      </c>
      <c r="J2029"/>
      <c r="P2029" s="461"/>
      <c r="Q2029" s="461"/>
      <c r="R2029" s="461"/>
    </row>
    <row r="2030" spans="1:18" ht="14.4">
      <c r="A2030" s="551">
        <v>33</v>
      </c>
      <c r="B2030" s="453" t="s">
        <v>412</v>
      </c>
      <c r="C2030" s="486"/>
      <c r="D2030" s="486">
        <f t="shared" si="362"/>
        <v>1944</v>
      </c>
      <c r="E2030" s="486">
        <f t="shared" si="363"/>
        <v>3466.5955555555561</v>
      </c>
      <c r="F2030" s="486">
        <f t="shared" si="364"/>
        <v>6739061.7600000007</v>
      </c>
      <c r="G2030" s="486"/>
      <c r="H2030" s="486"/>
      <c r="I2030" s="553" t="s">
        <v>412</v>
      </c>
      <c r="J2030"/>
      <c r="P2030" s="461"/>
      <c r="Q2030" s="461"/>
      <c r="R2030" s="461"/>
    </row>
    <row r="2031" spans="1:18" ht="14.4">
      <c r="A2031" s="551">
        <v>34</v>
      </c>
      <c r="B2031" s="453" t="s">
        <v>413</v>
      </c>
      <c r="C2031" s="486"/>
      <c r="D2031" s="486">
        <f t="shared" si="362"/>
        <v>116.18</v>
      </c>
      <c r="E2031" s="486">
        <f t="shared" si="363"/>
        <v>21528</v>
      </c>
      <c r="F2031" s="486">
        <f t="shared" si="364"/>
        <v>2501123.04</v>
      </c>
      <c r="G2031" s="486"/>
      <c r="H2031" s="486"/>
      <c r="I2031" s="553" t="s">
        <v>760</v>
      </c>
      <c r="J2031"/>
      <c r="P2031" s="461"/>
      <c r="Q2031" s="461"/>
      <c r="R2031" s="461"/>
    </row>
    <row r="2032" spans="1:18" ht="14.4">
      <c r="A2032" s="551">
        <v>35</v>
      </c>
      <c r="B2032" s="453" t="s">
        <v>372</v>
      </c>
      <c r="C2032" s="486"/>
      <c r="D2032" s="486">
        <f t="shared" si="362"/>
        <v>2730.2400000000002</v>
      </c>
      <c r="E2032" s="486">
        <f t="shared" si="363"/>
        <v>1625.3639999999998</v>
      </c>
      <c r="F2032" s="486">
        <f t="shared" si="364"/>
        <v>4437633.80736</v>
      </c>
      <c r="G2032" s="486"/>
      <c r="H2032" s="486"/>
      <c r="I2032" s="553" t="s">
        <v>675</v>
      </c>
      <c r="J2032"/>
      <c r="P2032" s="461"/>
      <c r="Q2032" s="461"/>
      <c r="R2032" s="461"/>
    </row>
    <row r="2033" spans="1:18" ht="14.4">
      <c r="A2033" s="551">
        <v>36</v>
      </c>
      <c r="B2033" s="453" t="s">
        <v>373</v>
      </c>
      <c r="C2033" s="486"/>
      <c r="D2033" s="486">
        <f t="shared" si="362"/>
        <v>2809.44</v>
      </c>
      <c r="E2033" s="486">
        <f t="shared" si="363"/>
        <v>446.08</v>
      </c>
      <c r="F2033" s="486">
        <f t="shared" si="364"/>
        <v>1253234.9952</v>
      </c>
      <c r="G2033" s="486"/>
      <c r="H2033" s="486"/>
      <c r="I2033" s="553" t="s">
        <v>676</v>
      </c>
      <c r="J2033"/>
      <c r="P2033" s="461"/>
      <c r="Q2033" s="461"/>
      <c r="R2033" s="461"/>
    </row>
    <row r="2034" spans="1:18" ht="14.4">
      <c r="A2034" s="551">
        <v>37</v>
      </c>
      <c r="B2034" s="453" t="s">
        <v>374</v>
      </c>
      <c r="C2034" s="486"/>
      <c r="D2034" s="486">
        <f t="shared" si="362"/>
        <v>0</v>
      </c>
      <c r="E2034" s="486">
        <f t="shared" si="363"/>
        <v>0</v>
      </c>
      <c r="F2034" s="486">
        <f t="shared" si="364"/>
        <v>0</v>
      </c>
      <c r="G2034" s="486"/>
      <c r="H2034" s="486"/>
      <c r="I2034" s="553" t="s">
        <v>677</v>
      </c>
      <c r="J2034"/>
      <c r="P2034" s="461"/>
      <c r="Q2034" s="461"/>
      <c r="R2034" s="461"/>
    </row>
    <row r="2035" spans="1:18" ht="14.4">
      <c r="A2035" s="551">
        <v>38</v>
      </c>
      <c r="B2035" s="453" t="s">
        <v>404</v>
      </c>
      <c r="C2035" s="486"/>
      <c r="D2035" s="486">
        <f t="shared" si="362"/>
        <v>1010.8800000000002</v>
      </c>
      <c r="E2035" s="486">
        <f t="shared" si="363"/>
        <v>3197.9999999999995</v>
      </c>
      <c r="F2035" s="486">
        <f t="shared" si="364"/>
        <v>3232794.24</v>
      </c>
      <c r="G2035" s="486"/>
      <c r="H2035" s="486"/>
      <c r="I2035" s="553" t="s">
        <v>681</v>
      </c>
      <c r="J2035"/>
      <c r="P2035" s="461"/>
      <c r="Q2035" s="461"/>
      <c r="R2035" s="461"/>
    </row>
    <row r="2036" spans="1:18" ht="14.4">
      <c r="A2036" s="551">
        <v>39</v>
      </c>
      <c r="B2036" s="453" t="s">
        <v>375</v>
      </c>
      <c r="C2036" s="486"/>
      <c r="D2036" s="486">
        <f t="shared" si="362"/>
        <v>1728</v>
      </c>
      <c r="E2036" s="486">
        <f t="shared" si="363"/>
        <v>1668.4199999999998</v>
      </c>
      <c r="F2036" s="486">
        <f t="shared" si="364"/>
        <v>2883029.76</v>
      </c>
      <c r="G2036" s="486"/>
      <c r="H2036" s="486"/>
      <c r="I2036" s="553" t="s">
        <v>682</v>
      </c>
      <c r="J2036"/>
      <c r="P2036" s="461"/>
      <c r="Q2036" s="461"/>
      <c r="R2036" s="461"/>
    </row>
    <row r="2037" spans="1:18" ht="14.4">
      <c r="A2037" s="551">
        <v>40</v>
      </c>
      <c r="B2037" s="453" t="s">
        <v>376</v>
      </c>
      <c r="C2037" s="486"/>
      <c r="D2037" s="486">
        <f t="shared" si="362"/>
        <v>1140.48</v>
      </c>
      <c r="E2037" s="486">
        <f t="shared" si="363"/>
        <v>1668.4199999999998</v>
      </c>
      <c r="F2037" s="486">
        <f t="shared" si="364"/>
        <v>1902799.6416</v>
      </c>
      <c r="G2037" s="486"/>
      <c r="H2037" s="486"/>
      <c r="I2037" s="553" t="s">
        <v>683</v>
      </c>
      <c r="J2037"/>
      <c r="P2037" s="461"/>
      <c r="Q2037" s="461"/>
      <c r="R2037" s="461"/>
    </row>
    <row r="2038" spans="1:18" ht="14.4">
      <c r="A2038" s="551">
        <v>41</v>
      </c>
      <c r="B2038" s="453" t="s">
        <v>339</v>
      </c>
      <c r="C2038" s="486"/>
      <c r="D2038" s="486">
        <f>D2008+D2011+D2012+D2024</f>
        <v>23086.989000000005</v>
      </c>
      <c r="E2038" s="486">
        <f>'Rate List - Flats'!G263</f>
        <v>588.95764199999996</v>
      </c>
      <c r="F2038" s="486">
        <f>D2038*E2038</f>
        <v>13597258.602319941</v>
      </c>
      <c r="G2038" s="486"/>
      <c r="H2038" s="486"/>
      <c r="I2038" s="553" t="s">
        <v>684</v>
      </c>
      <c r="J2038"/>
      <c r="P2038" s="461"/>
      <c r="Q2038" s="461"/>
      <c r="R2038" s="461"/>
    </row>
    <row r="2039" spans="1:18">
      <c r="P2039" s="461"/>
      <c r="Q2039" s="461"/>
      <c r="R2039" s="461"/>
    </row>
    <row r="2040" spans="1:18">
      <c r="B2040" s="480"/>
      <c r="F2040" s="554">
        <f>SUM(F1998:F2039)</f>
        <v>221395341.35041797</v>
      </c>
      <c r="I2040" s="480"/>
      <c r="P2040" s="461"/>
      <c r="Q2040" s="461"/>
      <c r="R2040" s="461"/>
    </row>
    <row r="2041" spans="1:18">
      <c r="B2041" s="480"/>
      <c r="I2041" s="480"/>
      <c r="P2041" s="461"/>
      <c r="Q2041" s="461"/>
      <c r="R2041" s="461"/>
    </row>
    <row r="2042" spans="1:18">
      <c r="B2042" s="480"/>
      <c r="I2042" s="480"/>
      <c r="P2042" s="461"/>
      <c r="Q2042" s="461"/>
      <c r="R2042" s="461"/>
    </row>
    <row r="2043" spans="1:18">
      <c r="B2043" s="480"/>
      <c r="I2043" s="480"/>
    </row>
    <row r="2044" spans="1:18">
      <c r="B2044" s="480"/>
      <c r="I2044" s="480"/>
    </row>
    <row r="2045" spans="1:18">
      <c r="B2045" s="480"/>
      <c r="I2045" s="480"/>
    </row>
    <row r="2046" spans="1:18">
      <c r="B2046" s="480"/>
      <c r="I2046" s="480"/>
    </row>
    <row r="2047" spans="1:18">
      <c r="B2047" s="480"/>
      <c r="I2047" s="480"/>
    </row>
    <row r="2048" spans="1:18">
      <c r="B2048" s="480"/>
      <c r="I2048" s="480"/>
    </row>
    <row r="2049" spans="2:9">
      <c r="B2049" s="480"/>
      <c r="I2049" s="480"/>
    </row>
    <row r="2050" spans="2:9">
      <c r="B2050" s="480"/>
      <c r="I2050" s="480"/>
    </row>
    <row r="2051" spans="2:9">
      <c r="B2051" s="480"/>
      <c r="I2051" s="480"/>
    </row>
    <row r="2052" spans="2:9">
      <c r="B2052" s="480"/>
      <c r="I2052" s="480"/>
    </row>
    <row r="2053" spans="2:9">
      <c r="B2053" s="458"/>
      <c r="I2053" s="458"/>
    </row>
    <row r="2054" spans="2:9">
      <c r="B2054" s="458"/>
      <c r="I2054" s="458"/>
    </row>
    <row r="2055" spans="2:9">
      <c r="B2055" s="458"/>
      <c r="I2055" s="458"/>
    </row>
    <row r="2056" spans="2:9">
      <c r="B2056" s="458"/>
      <c r="I2056" s="458"/>
    </row>
    <row r="2057" spans="2:9">
      <c r="B2057" s="458"/>
      <c r="I2057" s="458"/>
    </row>
    <row r="2058" spans="2:9">
      <c r="B2058" s="458"/>
      <c r="I2058" s="458"/>
    </row>
    <row r="2059" spans="2:9">
      <c r="B2059" s="458"/>
      <c r="I2059" s="458"/>
    </row>
    <row r="2060" spans="2:9">
      <c r="B2060" s="458"/>
      <c r="I2060" s="458"/>
    </row>
    <row r="2061" spans="2:9">
      <c r="B2061" s="458"/>
      <c r="I2061" s="458"/>
    </row>
    <row r="2062" spans="2:9">
      <c r="B2062" s="458"/>
      <c r="I2062" s="458"/>
    </row>
    <row r="2063" spans="2:9">
      <c r="B2063" s="458"/>
      <c r="I2063" s="458"/>
    </row>
    <row r="2064" spans="2:9">
      <c r="B2064" s="458"/>
      <c r="I2064" s="458"/>
    </row>
    <row r="2065" spans="2:9">
      <c r="B2065" s="458"/>
      <c r="I2065" s="458"/>
    </row>
    <row r="2066" spans="2:9">
      <c r="B2066" s="458"/>
      <c r="I2066" s="458"/>
    </row>
    <row r="2067" spans="2:9">
      <c r="B2067" s="458"/>
      <c r="I2067" s="458"/>
    </row>
    <row r="2068" spans="2:9">
      <c r="B2068" s="458"/>
      <c r="I2068" s="458"/>
    </row>
    <row r="2069" spans="2:9">
      <c r="B2069" s="458"/>
      <c r="I2069" s="458"/>
    </row>
    <row r="2070" spans="2:9">
      <c r="B2070" s="458"/>
      <c r="I2070" s="458"/>
    </row>
    <row r="2071" spans="2:9">
      <c r="B2071" s="458"/>
      <c r="I2071" s="458"/>
    </row>
    <row r="2072" spans="2:9">
      <c r="B2072" s="458"/>
      <c r="I2072" s="458"/>
    </row>
    <row r="2073" spans="2:9">
      <c r="B2073" s="458"/>
      <c r="I2073" s="458"/>
    </row>
    <row r="2074" spans="2:9">
      <c r="B2074" s="458"/>
      <c r="I2074" s="458"/>
    </row>
    <row r="2075" spans="2:9">
      <c r="B2075" s="458"/>
      <c r="I2075" s="458"/>
    </row>
    <row r="2076" spans="2:9">
      <c r="B2076" s="458"/>
      <c r="I2076" s="458"/>
    </row>
    <row r="2077" spans="2:9">
      <c r="B2077" s="458"/>
      <c r="I2077" s="458"/>
    </row>
    <row r="2078" spans="2:9">
      <c r="B2078" s="458"/>
      <c r="I2078" s="458"/>
    </row>
    <row r="2079" spans="2:9">
      <c r="B2079" s="458"/>
      <c r="I2079" s="458"/>
    </row>
    <row r="2080" spans="2:9">
      <c r="B2080" s="458"/>
      <c r="I2080" s="458"/>
    </row>
    <row r="2081" spans="2:9">
      <c r="B2081" s="458"/>
      <c r="I2081" s="458"/>
    </row>
    <row r="2082" spans="2:9">
      <c r="B2082" s="458"/>
      <c r="I2082" s="458"/>
    </row>
    <row r="2083" spans="2:9">
      <c r="B2083" s="458"/>
      <c r="I2083" s="458"/>
    </row>
  </sheetData>
  <autoFilter ref="R1:R2083" xr:uid="{DFF91FAA-9EFF-4FAC-96C5-6F4A40C8A2D4}"/>
  <pageMargins left="0.7" right="0.7" top="0.75" bottom="0.75" header="0.3" footer="0.3"/>
  <ignoredErrors>
    <ignoredError sqref="G1962" formulaRange="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FD214-0BEE-4F44-BFE0-D0FD18689289}">
  <dimension ref="A1:L29"/>
  <sheetViews>
    <sheetView topLeftCell="A15" workbookViewId="0">
      <selection activeCell="L1" sqref="L1:L28"/>
    </sheetView>
  </sheetViews>
  <sheetFormatPr defaultRowHeight="14.4"/>
  <cols>
    <col min="1" max="1" width="23.109375" bestFit="1" customWidth="1"/>
  </cols>
  <sheetData>
    <row r="1" spans="1:12">
      <c r="A1" s="454" t="s">
        <v>355</v>
      </c>
      <c r="F1" s="480" t="s">
        <v>659</v>
      </c>
      <c r="L1" s="480" t="s">
        <v>659</v>
      </c>
    </row>
    <row r="2" spans="1:12">
      <c r="A2" s="454" t="s">
        <v>695</v>
      </c>
      <c r="F2" s="480" t="s">
        <v>660</v>
      </c>
      <c r="L2" s="480" t="s">
        <v>660</v>
      </c>
    </row>
    <row r="3" spans="1:12">
      <c r="A3" s="454" t="s">
        <v>698</v>
      </c>
      <c r="F3" s="480" t="s">
        <v>661</v>
      </c>
      <c r="L3" s="480" t="s">
        <v>661</v>
      </c>
    </row>
    <row r="4" spans="1:12">
      <c r="A4" s="454" t="s">
        <v>700</v>
      </c>
      <c r="F4" s="480" t="s">
        <v>662</v>
      </c>
      <c r="L4" s="480" t="s">
        <v>662</v>
      </c>
    </row>
    <row r="5" spans="1:12">
      <c r="A5" s="454" t="s">
        <v>702</v>
      </c>
      <c r="F5" s="480" t="s">
        <v>663</v>
      </c>
      <c r="L5" s="480" t="s">
        <v>663</v>
      </c>
    </row>
    <row r="6" spans="1:12">
      <c r="A6" s="454" t="s">
        <v>703</v>
      </c>
      <c r="F6" s="480" t="s">
        <v>664</v>
      </c>
      <c r="L6" s="480" t="s">
        <v>664</v>
      </c>
    </row>
    <row r="7" spans="1:12">
      <c r="A7" s="454" t="s">
        <v>704</v>
      </c>
      <c r="F7" s="458" t="s">
        <v>665</v>
      </c>
      <c r="L7" s="458" t="s">
        <v>665</v>
      </c>
    </row>
    <row r="8" spans="1:12">
      <c r="A8" s="454" t="s">
        <v>706</v>
      </c>
      <c r="F8" s="458" t="s">
        <v>408</v>
      </c>
      <c r="L8" s="480" t="s">
        <v>408</v>
      </c>
    </row>
    <row r="9" spans="1:12">
      <c r="A9" s="454" t="s">
        <v>707</v>
      </c>
      <c r="F9" s="458" t="s">
        <v>409</v>
      </c>
      <c r="L9" s="458" t="s">
        <v>409</v>
      </c>
    </row>
    <row r="10" spans="1:12">
      <c r="A10" s="454" t="s">
        <v>713</v>
      </c>
      <c r="F10" s="458" t="s">
        <v>666</v>
      </c>
      <c r="L10" s="458" t="s">
        <v>666</v>
      </c>
    </row>
    <row r="11" spans="1:12">
      <c r="A11" s="454" t="s">
        <v>715</v>
      </c>
      <c r="F11" s="480" t="s">
        <v>667</v>
      </c>
      <c r="L11" s="480" t="s">
        <v>667</v>
      </c>
    </row>
    <row r="12" spans="1:12">
      <c r="A12" s="454" t="s">
        <v>716</v>
      </c>
      <c r="F12" s="480" t="s">
        <v>668</v>
      </c>
      <c r="L12" s="480" t="s">
        <v>668</v>
      </c>
    </row>
    <row r="13" spans="1:12">
      <c r="A13" s="454" t="s">
        <v>666</v>
      </c>
      <c r="F13" s="480" t="s">
        <v>669</v>
      </c>
      <c r="L13" s="480" t="s">
        <v>669</v>
      </c>
    </row>
    <row r="14" spans="1:12">
      <c r="A14" s="454" t="s">
        <v>718</v>
      </c>
      <c r="F14" s="480" t="s">
        <v>743</v>
      </c>
      <c r="L14" s="480" t="s">
        <v>670</v>
      </c>
    </row>
    <row r="15" spans="1:12">
      <c r="A15" s="454" t="s">
        <v>738</v>
      </c>
      <c r="F15" s="480" t="s">
        <v>670</v>
      </c>
      <c r="L15" s="458" t="s">
        <v>671</v>
      </c>
    </row>
    <row r="16" spans="1:12">
      <c r="A16" s="454" t="s">
        <v>724</v>
      </c>
      <c r="F16" s="458" t="s">
        <v>671</v>
      </c>
      <c r="L16" s="458" t="s">
        <v>672</v>
      </c>
    </row>
    <row r="17" spans="1:12">
      <c r="A17" s="454" t="s">
        <v>761</v>
      </c>
      <c r="F17" s="458" t="s">
        <v>672</v>
      </c>
      <c r="L17" s="458" t="s">
        <v>673</v>
      </c>
    </row>
    <row r="18" spans="1:12">
      <c r="A18" s="454" t="s">
        <v>730</v>
      </c>
      <c r="F18" s="458" t="s">
        <v>673</v>
      </c>
      <c r="L18" s="458" t="s">
        <v>412</v>
      </c>
    </row>
    <row r="19" spans="1:12">
      <c r="A19" s="454" t="s">
        <v>731</v>
      </c>
      <c r="F19" s="458" t="s">
        <v>412</v>
      </c>
      <c r="L19" s="458" t="s">
        <v>674</v>
      </c>
    </row>
    <row r="20" spans="1:12">
      <c r="A20" s="454" t="s">
        <v>733</v>
      </c>
      <c r="F20" s="458" t="s">
        <v>674</v>
      </c>
      <c r="L20" s="458" t="s">
        <v>675</v>
      </c>
    </row>
    <row r="21" spans="1:12">
      <c r="A21" s="454" t="s">
        <v>735</v>
      </c>
      <c r="F21" s="458" t="s">
        <v>675</v>
      </c>
      <c r="L21" s="458" t="s">
        <v>676</v>
      </c>
    </row>
    <row r="22" spans="1:12">
      <c r="F22" s="458" t="s">
        <v>676</v>
      </c>
      <c r="L22" s="458" t="s">
        <v>677</v>
      </c>
    </row>
    <row r="23" spans="1:12">
      <c r="F23" s="458" t="s">
        <v>677</v>
      </c>
      <c r="L23" s="458" t="s">
        <v>678</v>
      </c>
    </row>
    <row r="24" spans="1:12">
      <c r="F24" s="458" t="s">
        <v>678</v>
      </c>
      <c r="L24" s="458" t="s">
        <v>679</v>
      </c>
    </row>
    <row r="25" spans="1:12">
      <c r="F25" s="458" t="s">
        <v>679</v>
      </c>
      <c r="L25" s="458" t="s">
        <v>680</v>
      </c>
    </row>
    <row r="26" spans="1:12">
      <c r="F26" s="458" t="s">
        <v>680</v>
      </c>
      <c r="L26" s="458" t="s">
        <v>681</v>
      </c>
    </row>
    <row r="27" spans="1:12">
      <c r="F27" s="458" t="s">
        <v>681</v>
      </c>
      <c r="L27" s="458" t="s">
        <v>682</v>
      </c>
    </row>
    <row r="28" spans="1:12">
      <c r="F28" s="458" t="s">
        <v>682</v>
      </c>
      <c r="L28" s="458" t="s">
        <v>683</v>
      </c>
    </row>
    <row r="29" spans="1:12">
      <c r="F29" s="458" t="s">
        <v>683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5F8D8-B47E-403C-B1C0-F6AB05A5E5F8}">
  <dimension ref="A1:X1069"/>
  <sheetViews>
    <sheetView zoomScale="85" zoomScaleNormal="85" workbookViewId="0">
      <pane xSplit="1" ySplit="3" topLeftCell="B238" activePane="bottomRight" state="frozen"/>
      <selection pane="topRight" sqref="A1:G1"/>
      <selection pane="bottomLeft" sqref="A1:G1"/>
      <selection pane="bottomRight" activeCell="I249" sqref="I249"/>
    </sheetView>
  </sheetViews>
  <sheetFormatPr defaultColWidth="14.44140625" defaultRowHeight="15" customHeight="1"/>
  <cols>
    <col min="1" max="1" width="10.33203125" style="133" customWidth="1"/>
    <col min="2" max="2" width="38.5546875" style="133" customWidth="1"/>
    <col min="3" max="3" width="36.88671875" style="133" customWidth="1"/>
    <col min="4" max="4" width="10.5546875" style="173" customWidth="1"/>
    <col min="5" max="7" width="16.44140625" style="173" customWidth="1"/>
    <col min="8" max="8" width="9.109375" style="173" customWidth="1"/>
    <col min="9" max="9" width="16.33203125" style="133" bestFit="1" customWidth="1"/>
    <col min="10" max="10" width="12.109375" style="133" customWidth="1"/>
    <col min="11" max="11" width="12.88671875" style="133" customWidth="1"/>
    <col min="12" max="12" width="14.33203125" style="133" bestFit="1" customWidth="1"/>
    <col min="13" max="20" width="8.6640625" style="133" customWidth="1"/>
    <col min="21" max="21" width="22.44140625" style="133" customWidth="1"/>
    <col min="22" max="24" width="8.6640625" style="133" customWidth="1"/>
    <col min="25" max="16384" width="14.44140625" style="133"/>
  </cols>
  <sheetData>
    <row r="1" spans="1:24" ht="13.5" customHeight="1">
      <c r="A1" s="129"/>
      <c r="B1" s="130"/>
      <c r="C1" s="131"/>
      <c r="D1" s="132"/>
      <c r="E1" s="132"/>
      <c r="F1" s="132"/>
      <c r="G1" s="132"/>
      <c r="H1" s="132"/>
      <c r="I1" s="131"/>
      <c r="J1" s="131"/>
      <c r="K1" s="131"/>
      <c r="L1" s="131"/>
      <c r="M1" s="131"/>
      <c r="N1" s="131"/>
      <c r="O1" s="131"/>
      <c r="P1" s="131"/>
      <c r="Q1" s="131"/>
      <c r="R1" s="131"/>
      <c r="S1" s="131"/>
      <c r="T1" s="131"/>
      <c r="U1" s="131"/>
      <c r="V1" s="131"/>
      <c r="W1" s="131"/>
      <c r="X1" s="131"/>
    </row>
    <row r="2" spans="1:24" ht="13.5" customHeight="1">
      <c r="A2" s="1097" t="s">
        <v>685</v>
      </c>
      <c r="B2" s="1097"/>
      <c r="C2" s="1097"/>
      <c r="D2" s="1097"/>
      <c r="E2" s="1097"/>
      <c r="F2" s="1097"/>
      <c r="G2" s="1097"/>
      <c r="H2" s="1097"/>
      <c r="I2" s="131"/>
      <c r="J2" s="131"/>
      <c r="K2" s="131"/>
      <c r="L2" s="131"/>
      <c r="M2" s="131"/>
      <c r="N2" s="131"/>
      <c r="O2" s="131"/>
      <c r="P2" s="131"/>
      <c r="Q2" s="131"/>
      <c r="R2" s="131"/>
      <c r="S2" s="131"/>
      <c r="T2" s="131"/>
      <c r="U2" s="131"/>
      <c r="V2" s="131"/>
      <c r="W2" s="131"/>
      <c r="X2" s="131"/>
    </row>
    <row r="3" spans="1:24" ht="41.4">
      <c r="A3" s="134" t="s">
        <v>288</v>
      </c>
      <c r="B3" s="134" t="s">
        <v>686</v>
      </c>
      <c r="C3" s="134" t="s">
        <v>687</v>
      </c>
      <c r="D3" s="135" t="s">
        <v>688</v>
      </c>
      <c r="E3" s="135" t="s">
        <v>689</v>
      </c>
      <c r="F3" s="136" t="s">
        <v>690</v>
      </c>
      <c r="G3" s="136" t="s">
        <v>691</v>
      </c>
      <c r="H3" s="135" t="s">
        <v>315</v>
      </c>
      <c r="I3" s="132"/>
      <c r="J3" s="132"/>
      <c r="K3" s="132"/>
      <c r="L3" s="132"/>
      <c r="M3" s="132"/>
      <c r="N3" s="132"/>
      <c r="O3" s="132"/>
      <c r="P3" s="132"/>
      <c r="Q3" s="132"/>
      <c r="R3" s="132"/>
      <c r="S3" s="132"/>
      <c r="T3" s="132"/>
      <c r="U3" s="132"/>
      <c r="V3" s="132"/>
      <c r="W3" s="132"/>
      <c r="X3" s="132"/>
    </row>
    <row r="4" spans="1:24" ht="13.5" customHeight="1">
      <c r="A4" s="137" t="s">
        <v>206</v>
      </c>
      <c r="B4" s="138" t="s">
        <v>692</v>
      </c>
      <c r="C4" s="139"/>
      <c r="D4" s="139"/>
      <c r="E4" s="140"/>
      <c r="F4" s="140"/>
      <c r="G4" s="140"/>
      <c r="H4" s="141"/>
      <c r="I4" s="132"/>
      <c r="J4" s="132"/>
      <c r="K4" s="132"/>
      <c r="L4" s="132"/>
      <c r="M4" s="132"/>
      <c r="N4" s="132"/>
      <c r="O4" s="132"/>
      <c r="P4" s="132"/>
      <c r="Q4" s="132"/>
      <c r="R4" s="132"/>
      <c r="S4" s="132"/>
      <c r="T4" s="132"/>
      <c r="U4" s="132"/>
      <c r="V4" s="132"/>
      <c r="W4" s="132"/>
      <c r="X4" s="132"/>
    </row>
    <row r="5" spans="1:24" ht="13.5" customHeight="1">
      <c r="A5" s="142" t="s">
        <v>628</v>
      </c>
      <c r="B5" s="143" t="s">
        <v>495</v>
      </c>
      <c r="C5" s="144"/>
      <c r="D5" s="141"/>
      <c r="E5" s="141"/>
      <c r="F5" s="145"/>
      <c r="G5" s="141"/>
      <c r="H5" s="141"/>
      <c r="I5" s="131"/>
      <c r="J5" s="131"/>
      <c r="K5" s="131"/>
      <c r="L5" s="131"/>
      <c r="M5" s="131"/>
      <c r="N5" s="131"/>
      <c r="O5" s="131"/>
      <c r="P5" s="131"/>
      <c r="Q5" s="131"/>
      <c r="R5" s="131"/>
      <c r="S5" s="131"/>
      <c r="T5" s="131"/>
      <c r="U5" s="131"/>
      <c r="V5" s="131"/>
      <c r="W5" s="131"/>
      <c r="X5" s="131"/>
    </row>
    <row r="6" spans="1:24" ht="13.5" customHeight="1">
      <c r="A6" s="141"/>
      <c r="B6" s="146" t="s">
        <v>355</v>
      </c>
      <c r="C6" s="147" t="s">
        <v>693</v>
      </c>
      <c r="D6" s="148" t="s">
        <v>694</v>
      </c>
      <c r="E6" s="1001">
        <v>45</v>
      </c>
      <c r="F6" s="145">
        <v>75</v>
      </c>
      <c r="G6" s="145">
        <f>+(E6*1.1+F6)*10.764</f>
        <v>1340.1179999999999</v>
      </c>
      <c r="H6" s="141" t="s">
        <v>327</v>
      </c>
      <c r="I6" s="131"/>
      <c r="J6" s="131"/>
      <c r="K6" s="131"/>
      <c r="L6" s="131"/>
      <c r="M6" s="131"/>
      <c r="N6" s="131"/>
      <c r="O6" s="131"/>
      <c r="P6" s="131"/>
      <c r="Q6" s="131"/>
      <c r="R6" s="131"/>
      <c r="S6" s="131"/>
      <c r="T6" s="131"/>
      <c r="U6" s="131"/>
      <c r="V6" s="131"/>
      <c r="W6" s="131"/>
      <c r="X6" s="131"/>
    </row>
    <row r="7" spans="1:24" ht="13.5" customHeight="1">
      <c r="A7" s="141"/>
      <c r="B7" s="146" t="s">
        <v>695</v>
      </c>
      <c r="C7" s="147" t="s">
        <v>696</v>
      </c>
      <c r="D7" s="148" t="s">
        <v>697</v>
      </c>
      <c r="E7" s="1001">
        <v>45</v>
      </c>
      <c r="F7" s="145">
        <v>70</v>
      </c>
      <c r="G7" s="145">
        <f>(E7*1.1+F7)*3.28</f>
        <v>391.96</v>
      </c>
      <c r="H7" s="141" t="s">
        <v>358</v>
      </c>
      <c r="I7" s="131"/>
      <c r="J7" s="131"/>
      <c r="K7" s="131"/>
      <c r="L7" s="131"/>
      <c r="M7" s="131"/>
      <c r="N7" s="131"/>
      <c r="O7" s="131"/>
      <c r="P7" s="131"/>
      <c r="Q7" s="131"/>
      <c r="R7" s="131"/>
      <c r="S7" s="131"/>
      <c r="T7" s="131"/>
      <c r="U7" s="131"/>
      <c r="V7" s="131"/>
      <c r="W7" s="131"/>
      <c r="X7" s="131"/>
    </row>
    <row r="8" spans="1:24" ht="13.5" customHeight="1">
      <c r="A8" s="141"/>
      <c r="B8" s="146" t="s">
        <v>698</v>
      </c>
      <c r="C8" s="146" t="s">
        <v>699</v>
      </c>
      <c r="D8" s="150" t="s">
        <v>694</v>
      </c>
      <c r="E8" s="149"/>
      <c r="F8" s="145"/>
      <c r="G8" s="145"/>
      <c r="H8" s="141" t="s">
        <v>327</v>
      </c>
      <c r="I8" s="131"/>
      <c r="J8" s="131"/>
      <c r="K8" s="131"/>
      <c r="L8" s="131"/>
      <c r="M8" s="131"/>
      <c r="N8" s="131"/>
      <c r="O8" s="131"/>
      <c r="P8" s="131"/>
      <c r="Q8" s="131"/>
      <c r="R8" s="131"/>
      <c r="S8" s="131"/>
      <c r="T8" s="131"/>
      <c r="U8" s="131"/>
      <c r="V8" s="131"/>
      <c r="W8" s="131"/>
      <c r="X8" s="131"/>
    </row>
    <row r="9" spans="1:24" ht="13.5" customHeight="1">
      <c r="A9" s="141"/>
      <c r="B9" s="146" t="s">
        <v>700</v>
      </c>
      <c r="C9" s="151" t="s">
        <v>701</v>
      </c>
      <c r="D9" s="148" t="s">
        <v>694</v>
      </c>
      <c r="E9" s="1001">
        <v>32</v>
      </c>
      <c r="F9" s="145"/>
      <c r="G9" s="145">
        <f t="shared" ref="G9" si="0">+E9*10.764</f>
        <v>344.44799999999998</v>
      </c>
      <c r="H9" s="141" t="s">
        <v>327</v>
      </c>
      <c r="I9" s="131"/>
      <c r="J9" s="131"/>
      <c r="K9" s="131"/>
      <c r="L9" s="131"/>
      <c r="M9" s="131"/>
      <c r="N9" s="131"/>
      <c r="O9" s="131"/>
      <c r="P9" s="131"/>
      <c r="Q9" s="131"/>
      <c r="R9" s="131"/>
    </row>
    <row r="10" spans="1:24" ht="13.8">
      <c r="A10" s="141"/>
      <c r="B10" s="146" t="s">
        <v>702</v>
      </c>
      <c r="C10" s="146" t="s">
        <v>701</v>
      </c>
      <c r="D10" s="148" t="s">
        <v>694</v>
      </c>
      <c r="E10" s="1001">
        <v>32</v>
      </c>
      <c r="F10" s="145"/>
      <c r="G10" s="145">
        <f>+E10*10.764</f>
        <v>344.44799999999998</v>
      </c>
      <c r="H10" s="141" t="s">
        <v>327</v>
      </c>
      <c r="I10" s="131"/>
      <c r="J10" s="131"/>
      <c r="K10" s="131"/>
      <c r="L10" s="131"/>
      <c r="M10" s="131"/>
      <c r="N10" s="131"/>
      <c r="O10" s="131"/>
      <c r="P10" s="131"/>
      <c r="Q10" s="131"/>
      <c r="R10" s="131"/>
    </row>
    <row r="11" spans="1:24" ht="13.5" customHeight="1">
      <c r="A11" s="141"/>
      <c r="B11" s="151" t="s">
        <v>703</v>
      </c>
      <c r="C11" s="146" t="s">
        <v>699</v>
      </c>
      <c r="D11" s="148" t="s">
        <v>694</v>
      </c>
      <c r="E11" s="149"/>
      <c r="F11" s="145"/>
      <c r="G11" s="145"/>
      <c r="H11" s="141" t="s">
        <v>327</v>
      </c>
      <c r="I11" s="131"/>
      <c r="J11" s="131"/>
      <c r="K11" s="131"/>
      <c r="L11" s="131"/>
      <c r="M11" s="131"/>
      <c r="N11" s="131"/>
      <c r="O11" s="131"/>
      <c r="P11" s="131"/>
      <c r="Q11" s="131"/>
      <c r="R11" s="131"/>
    </row>
    <row r="12" spans="1:24" ht="13.5" customHeight="1">
      <c r="A12" s="141"/>
      <c r="B12" s="146" t="s">
        <v>704</v>
      </c>
      <c r="C12" s="146" t="s">
        <v>705</v>
      </c>
      <c r="D12" s="148" t="s">
        <v>694</v>
      </c>
      <c r="E12" s="1001">
        <v>20</v>
      </c>
      <c r="F12" s="145"/>
      <c r="G12" s="145">
        <f>+E12*10.764</f>
        <v>215.27999999999997</v>
      </c>
      <c r="H12" s="141" t="s">
        <v>327</v>
      </c>
      <c r="I12" s="131"/>
      <c r="J12" s="131"/>
      <c r="K12" s="131"/>
      <c r="L12" s="131"/>
      <c r="M12" s="131"/>
      <c r="N12" s="131"/>
      <c r="O12" s="131"/>
      <c r="P12" s="131"/>
      <c r="Q12" s="131"/>
      <c r="R12" s="131"/>
    </row>
    <row r="13" spans="1:24" ht="13.5" customHeight="1">
      <c r="A13" s="141"/>
      <c r="B13" s="146" t="s">
        <v>706</v>
      </c>
      <c r="C13" s="146" t="str">
        <f>+C12</f>
        <v>Plastic paint</v>
      </c>
      <c r="D13" s="148" t="s">
        <v>694</v>
      </c>
      <c r="E13" s="1001">
        <v>20</v>
      </c>
      <c r="F13" s="145"/>
      <c r="G13" s="145">
        <f t="shared" ref="G13" si="1">+E13*10.764</f>
        <v>215.27999999999997</v>
      </c>
      <c r="H13" s="141" t="s">
        <v>327</v>
      </c>
      <c r="I13" s="131"/>
      <c r="J13" s="131"/>
      <c r="K13" s="131"/>
      <c r="L13" s="131"/>
      <c r="M13" s="131"/>
      <c r="N13" s="131"/>
      <c r="O13" s="131"/>
      <c r="P13" s="131"/>
      <c r="Q13" s="131"/>
      <c r="R13" s="131"/>
    </row>
    <row r="14" spans="1:24" ht="13.5" customHeight="1">
      <c r="A14" s="141"/>
      <c r="B14" s="146" t="s">
        <v>713</v>
      </c>
      <c r="C14" s="146" t="s">
        <v>699</v>
      </c>
      <c r="D14" s="150" t="s">
        <v>697</v>
      </c>
      <c r="E14" s="149"/>
      <c r="F14" s="145"/>
      <c r="G14" s="145"/>
      <c r="H14" s="141" t="s">
        <v>358</v>
      </c>
      <c r="I14" s="131"/>
      <c r="J14" s="131"/>
      <c r="K14" s="131"/>
      <c r="L14" s="131"/>
      <c r="M14" s="131"/>
      <c r="N14" s="131"/>
      <c r="O14" s="131"/>
      <c r="P14" s="131"/>
      <c r="Q14" s="131"/>
      <c r="R14" s="131"/>
    </row>
    <row r="15" spans="1:24" ht="13.5" customHeight="1">
      <c r="A15" s="141"/>
      <c r="B15" s="146" t="s">
        <v>715</v>
      </c>
      <c r="C15" s="146" t="s">
        <v>408</v>
      </c>
      <c r="D15" s="150" t="s">
        <v>697</v>
      </c>
      <c r="E15" s="1001">
        <v>180</v>
      </c>
      <c r="F15" s="145">
        <v>135</v>
      </c>
      <c r="G15" s="145">
        <f>(E15*(0.1*1*1.1*10.764))+(F15*3.28)</f>
        <v>655.92719999999997</v>
      </c>
      <c r="H15" s="141" t="s">
        <v>358</v>
      </c>
      <c r="I15" s="131"/>
      <c r="J15" s="131"/>
      <c r="K15" s="131"/>
      <c r="L15" s="131"/>
      <c r="M15" s="131"/>
      <c r="N15" s="131"/>
      <c r="O15" s="131"/>
      <c r="P15" s="131"/>
      <c r="Q15" s="131"/>
      <c r="R15" s="131"/>
    </row>
    <row r="16" spans="1:24" ht="13.5" customHeight="1">
      <c r="A16" s="141"/>
      <c r="B16" s="146" t="s">
        <v>716</v>
      </c>
      <c r="C16" s="146" t="s">
        <v>717</v>
      </c>
      <c r="D16" s="150" t="s">
        <v>697</v>
      </c>
      <c r="E16" s="149">
        <f>60</f>
        <v>60</v>
      </c>
      <c r="F16" s="145">
        <v>100</v>
      </c>
      <c r="G16" s="145">
        <f>(E16*(0.1*1*1.1*10.764))+(F16*3.28)</f>
        <v>399.04239999999999</v>
      </c>
      <c r="H16" s="141" t="s">
        <v>358</v>
      </c>
      <c r="I16" s="131"/>
      <c r="J16" s="131"/>
      <c r="K16" s="131"/>
      <c r="L16" s="131"/>
      <c r="M16" s="131"/>
      <c r="N16" s="131"/>
      <c r="O16" s="131"/>
      <c r="P16" s="131"/>
      <c r="Q16" s="131"/>
      <c r="R16" s="131"/>
    </row>
    <row r="17" spans="1:24" ht="13.5" customHeight="1">
      <c r="A17" s="141"/>
      <c r="B17" s="146" t="s">
        <v>707</v>
      </c>
      <c r="C17" s="146" t="s">
        <v>699</v>
      </c>
      <c r="D17" s="150" t="s">
        <v>708</v>
      </c>
      <c r="E17" s="149" t="s">
        <v>708</v>
      </c>
      <c r="F17" s="145"/>
      <c r="G17" s="145" t="s">
        <v>708</v>
      </c>
      <c r="H17" s="141" t="s">
        <v>708</v>
      </c>
      <c r="I17" s="131"/>
      <c r="J17" s="131"/>
      <c r="K17" s="131"/>
      <c r="L17" s="131"/>
      <c r="M17" s="131"/>
      <c r="N17" s="131"/>
      <c r="O17" s="131"/>
      <c r="P17" s="131"/>
      <c r="Q17" s="131"/>
      <c r="R17" s="131"/>
    </row>
    <row r="18" spans="1:24" ht="13.5" customHeight="1">
      <c r="A18" s="141"/>
      <c r="B18" s="144"/>
      <c r="C18" s="144"/>
      <c r="D18" s="141"/>
      <c r="E18" s="152"/>
      <c r="F18" s="145"/>
      <c r="G18" s="145"/>
      <c r="H18" s="141"/>
      <c r="I18" s="131"/>
      <c r="J18" s="131"/>
      <c r="K18" s="131"/>
      <c r="L18" s="131"/>
      <c r="M18" s="131"/>
      <c r="N18" s="131"/>
      <c r="O18" s="131"/>
      <c r="P18" s="131"/>
      <c r="Q18" s="131"/>
      <c r="R18" s="131"/>
    </row>
    <row r="19" spans="1:24" ht="13.5" customHeight="1">
      <c r="A19" s="142" t="s">
        <v>628</v>
      </c>
      <c r="B19" s="143" t="s">
        <v>490</v>
      </c>
      <c r="C19" s="144"/>
      <c r="D19" s="141"/>
      <c r="E19" s="152"/>
      <c r="F19" s="145"/>
      <c r="G19" s="145"/>
      <c r="H19" s="141"/>
      <c r="I19" s="131"/>
      <c r="J19" s="131"/>
      <c r="K19" s="131"/>
      <c r="L19" s="131"/>
      <c r="M19" s="131"/>
      <c r="N19" s="131"/>
      <c r="O19" s="131"/>
      <c r="P19" s="131"/>
      <c r="Q19" s="131"/>
      <c r="R19" s="131"/>
    </row>
    <row r="20" spans="1:24" ht="13.5" customHeight="1">
      <c r="A20" s="141"/>
      <c r="B20" s="146" t="s">
        <v>355</v>
      </c>
      <c r="C20" s="147" t="s">
        <v>693</v>
      </c>
      <c r="D20" s="148" t="s">
        <v>694</v>
      </c>
      <c r="E20" s="149">
        <f>E6</f>
        <v>45</v>
      </c>
      <c r="F20" s="149">
        <f>F6</f>
        <v>75</v>
      </c>
      <c r="G20" s="145">
        <f>+(E20*1.1+F20)*10.764</f>
        <v>1340.1179999999999</v>
      </c>
      <c r="H20" s="141" t="s">
        <v>327</v>
      </c>
      <c r="I20" s="131"/>
      <c r="J20" s="131"/>
      <c r="K20" s="131"/>
      <c r="L20" s="131"/>
      <c r="M20" s="131"/>
      <c r="N20" s="131"/>
      <c r="O20" s="131"/>
      <c r="P20" s="131"/>
      <c r="Q20" s="131"/>
      <c r="R20" s="131"/>
    </row>
    <row r="21" spans="1:24" ht="13.5" customHeight="1">
      <c r="A21" s="141"/>
      <c r="B21" s="146" t="s">
        <v>695</v>
      </c>
      <c r="C21" s="147" t="s">
        <v>696</v>
      </c>
      <c r="D21" s="148" t="s">
        <v>697</v>
      </c>
      <c r="E21" s="149">
        <f>E7</f>
        <v>45</v>
      </c>
      <c r="F21" s="149">
        <f>F7</f>
        <v>70</v>
      </c>
      <c r="G21" s="145">
        <f>(E21*1.1+F21)*3.28</f>
        <v>391.96</v>
      </c>
      <c r="H21" s="141" t="s">
        <v>358</v>
      </c>
      <c r="I21" s="131"/>
      <c r="J21" s="131"/>
      <c r="K21" s="131"/>
      <c r="L21" s="131"/>
      <c r="M21" s="131"/>
      <c r="N21" s="131"/>
      <c r="O21" s="131"/>
      <c r="P21" s="131"/>
      <c r="Q21" s="131"/>
      <c r="R21" s="131"/>
    </row>
    <row r="22" spans="1:24" ht="13.5" customHeight="1">
      <c r="A22" s="141"/>
      <c r="B22" s="146" t="s">
        <v>698</v>
      </c>
      <c r="C22" s="146" t="s">
        <v>699</v>
      </c>
      <c r="D22" s="150" t="s">
        <v>694</v>
      </c>
      <c r="E22" s="149"/>
      <c r="F22" s="145"/>
      <c r="G22" s="145"/>
      <c r="H22" s="141" t="s">
        <v>327</v>
      </c>
      <c r="I22" s="131"/>
      <c r="J22" s="131"/>
      <c r="K22" s="131"/>
      <c r="L22" s="131"/>
      <c r="M22" s="131"/>
      <c r="N22" s="131"/>
      <c r="O22" s="131"/>
      <c r="P22" s="131"/>
      <c r="Q22" s="131"/>
      <c r="R22" s="131"/>
    </row>
    <row r="23" spans="1:24" ht="13.5" customHeight="1">
      <c r="A23" s="141"/>
      <c r="B23" s="146" t="s">
        <v>700</v>
      </c>
      <c r="C23" s="146" t="s">
        <v>701</v>
      </c>
      <c r="D23" s="148" t="s">
        <v>694</v>
      </c>
      <c r="E23" s="149">
        <f>$E$9</f>
        <v>32</v>
      </c>
      <c r="F23" s="145"/>
      <c r="G23" s="145">
        <f t="shared" ref="G23" si="2">+E23*10.764</f>
        <v>344.44799999999998</v>
      </c>
      <c r="H23" s="141" t="s">
        <v>327</v>
      </c>
      <c r="I23" s="131"/>
      <c r="J23" s="131"/>
      <c r="K23" s="131"/>
      <c r="L23" s="131"/>
      <c r="M23" s="131"/>
      <c r="N23" s="131"/>
      <c r="O23" s="131"/>
      <c r="P23" s="131"/>
      <c r="Q23" s="131"/>
      <c r="R23" s="131"/>
    </row>
    <row r="24" spans="1:24" ht="13.5" customHeight="1">
      <c r="A24" s="141"/>
      <c r="B24" s="146" t="s">
        <v>702</v>
      </c>
      <c r="C24" s="146" t="s">
        <v>701</v>
      </c>
      <c r="D24" s="148" t="s">
        <v>694</v>
      </c>
      <c r="E24" s="149">
        <f>$E$10</f>
        <v>32</v>
      </c>
      <c r="F24" s="145"/>
      <c r="G24" s="145">
        <f>+E24*10.764</f>
        <v>344.44799999999998</v>
      </c>
      <c r="H24" s="141" t="s">
        <v>327</v>
      </c>
      <c r="I24" s="131"/>
      <c r="J24" s="131"/>
      <c r="K24" s="131"/>
      <c r="L24" s="131"/>
      <c r="M24" s="131"/>
      <c r="N24" s="131"/>
      <c r="O24" s="131"/>
      <c r="P24" s="131"/>
      <c r="Q24" s="131"/>
      <c r="R24" s="131"/>
    </row>
    <row r="25" spans="1:24" ht="13.5" customHeight="1">
      <c r="A25" s="141"/>
      <c r="B25" s="151" t="s">
        <v>703</v>
      </c>
      <c r="C25" s="146" t="s">
        <v>699</v>
      </c>
      <c r="D25" s="148" t="s">
        <v>694</v>
      </c>
      <c r="E25" s="149"/>
      <c r="F25" s="145"/>
      <c r="G25" s="145"/>
      <c r="H25" s="141" t="s">
        <v>327</v>
      </c>
      <c r="I25" s="131"/>
      <c r="J25" s="131"/>
      <c r="K25" s="131"/>
      <c r="L25" s="131"/>
      <c r="M25" s="131"/>
      <c r="N25" s="131"/>
      <c r="O25" s="131"/>
      <c r="P25" s="131"/>
      <c r="Q25" s="131"/>
      <c r="R25" s="131"/>
      <c r="S25" s="131"/>
      <c r="T25" s="131"/>
      <c r="U25" s="131"/>
      <c r="V25" s="131"/>
      <c r="W25" s="131"/>
      <c r="X25" s="131"/>
    </row>
    <row r="26" spans="1:24" ht="13.5" customHeight="1">
      <c r="A26" s="141"/>
      <c r="B26" s="146" t="s">
        <v>704</v>
      </c>
      <c r="C26" s="146" t="s">
        <v>705</v>
      </c>
      <c r="D26" s="148" t="s">
        <v>694</v>
      </c>
      <c r="E26" s="149">
        <f>$E$12</f>
        <v>20</v>
      </c>
      <c r="F26" s="145"/>
      <c r="G26" s="145">
        <f>+E26*10.764</f>
        <v>215.27999999999997</v>
      </c>
      <c r="H26" s="141" t="s">
        <v>327</v>
      </c>
      <c r="I26" s="131"/>
      <c r="J26" s="131"/>
      <c r="K26" s="131"/>
      <c r="L26" s="131"/>
      <c r="M26" s="131"/>
      <c r="N26" s="131"/>
      <c r="O26" s="131"/>
      <c r="P26" s="131"/>
      <c r="Q26" s="131"/>
      <c r="R26" s="131"/>
      <c r="S26" s="131"/>
      <c r="T26" s="131"/>
      <c r="U26" s="131"/>
      <c r="V26" s="131"/>
      <c r="W26" s="131"/>
      <c r="X26" s="131"/>
    </row>
    <row r="27" spans="1:24" ht="13.5" customHeight="1">
      <c r="A27" s="141"/>
      <c r="B27" s="146" t="s">
        <v>706</v>
      </c>
      <c r="C27" s="146" t="s">
        <v>705</v>
      </c>
      <c r="D27" s="148" t="s">
        <v>694</v>
      </c>
      <c r="E27" s="149">
        <f>E26</f>
        <v>20</v>
      </c>
      <c r="F27" s="145"/>
      <c r="G27" s="145">
        <f t="shared" ref="G27" si="3">+E27*10.764</f>
        <v>215.27999999999997</v>
      </c>
      <c r="H27" s="141" t="s">
        <v>327</v>
      </c>
      <c r="I27" s="131"/>
      <c r="J27" s="131"/>
      <c r="K27" s="131"/>
      <c r="L27" s="131"/>
      <c r="M27" s="131"/>
      <c r="N27" s="131"/>
      <c r="O27" s="131"/>
      <c r="P27" s="131"/>
      <c r="Q27" s="131"/>
      <c r="R27" s="131"/>
      <c r="S27" s="131"/>
      <c r="T27" s="131"/>
      <c r="U27" s="131"/>
      <c r="V27" s="131"/>
      <c r="W27" s="131"/>
      <c r="X27" s="131"/>
    </row>
    <row r="28" spans="1:24" ht="13.5" customHeight="1">
      <c r="A28" s="141"/>
      <c r="B28" s="146" t="s">
        <v>713</v>
      </c>
      <c r="C28" s="146" t="s">
        <v>699</v>
      </c>
      <c r="D28" s="150" t="s">
        <v>697</v>
      </c>
      <c r="E28" s="149"/>
      <c r="F28" s="145"/>
      <c r="G28" s="145"/>
      <c r="H28" s="141" t="s">
        <v>358</v>
      </c>
      <c r="I28" s="131"/>
      <c r="J28" s="131"/>
      <c r="K28" s="131"/>
      <c r="L28" s="131"/>
      <c r="M28" s="131"/>
      <c r="N28" s="131"/>
      <c r="O28" s="131"/>
      <c r="P28" s="131"/>
      <c r="Q28" s="131"/>
      <c r="R28" s="131"/>
      <c r="S28" s="131"/>
      <c r="T28" s="131"/>
      <c r="U28" s="131"/>
      <c r="V28" s="131"/>
      <c r="W28" s="131"/>
      <c r="X28" s="131"/>
    </row>
    <row r="29" spans="1:24" ht="13.5" customHeight="1">
      <c r="A29" s="141"/>
      <c r="B29" s="146" t="s">
        <v>715</v>
      </c>
      <c r="C29" s="146" t="s">
        <v>408</v>
      </c>
      <c r="D29" s="150" t="s">
        <v>697</v>
      </c>
      <c r="E29" s="149">
        <f>E15</f>
        <v>180</v>
      </c>
      <c r="F29" s="145">
        <v>135</v>
      </c>
      <c r="G29" s="145">
        <f>(E29*(0.1*1*1.1*10.764))+(F29*3.28)</f>
        <v>655.92719999999997</v>
      </c>
      <c r="H29" s="141" t="s">
        <v>358</v>
      </c>
      <c r="I29" s="131"/>
      <c r="J29" s="131"/>
      <c r="K29" s="131"/>
      <c r="L29" s="131"/>
      <c r="M29" s="131"/>
      <c r="N29" s="131"/>
      <c r="O29" s="131"/>
      <c r="P29" s="131"/>
      <c r="Q29" s="131"/>
      <c r="R29" s="131"/>
      <c r="S29" s="131"/>
      <c r="T29" s="131"/>
      <c r="U29" s="131"/>
      <c r="V29" s="131"/>
      <c r="W29" s="131"/>
      <c r="X29" s="131"/>
    </row>
    <row r="30" spans="1:24" ht="13.5" customHeight="1">
      <c r="A30" s="141"/>
      <c r="B30" s="146" t="s">
        <v>716</v>
      </c>
      <c r="C30" s="146" t="s">
        <v>717</v>
      </c>
      <c r="D30" s="150" t="s">
        <v>697</v>
      </c>
      <c r="E30" s="149">
        <f>60</f>
        <v>60</v>
      </c>
      <c r="F30" s="145">
        <v>100</v>
      </c>
      <c r="G30" s="145">
        <f>(E30*(0.1*1*1.1*10.764))+(F30*3.28)</f>
        <v>399.04239999999999</v>
      </c>
      <c r="H30" s="141" t="s">
        <v>358</v>
      </c>
      <c r="I30" s="131"/>
      <c r="J30" s="131"/>
      <c r="K30" s="131"/>
      <c r="L30" s="131"/>
      <c r="M30" s="131"/>
      <c r="N30" s="131"/>
      <c r="O30" s="131"/>
      <c r="P30" s="131"/>
      <c r="Q30" s="131"/>
      <c r="R30" s="131"/>
      <c r="S30" s="131"/>
      <c r="T30" s="131"/>
      <c r="U30" s="131"/>
      <c r="V30" s="131"/>
      <c r="W30" s="131"/>
      <c r="X30" s="131"/>
    </row>
    <row r="31" spans="1:24" ht="13.5" customHeight="1">
      <c r="A31" s="141"/>
      <c r="B31" s="146" t="s">
        <v>707</v>
      </c>
      <c r="C31" s="146" t="s">
        <v>699</v>
      </c>
      <c r="D31" s="150" t="s">
        <v>708</v>
      </c>
      <c r="E31" s="149"/>
      <c r="F31" s="145"/>
      <c r="G31" s="145"/>
      <c r="H31" s="141" t="s">
        <v>708</v>
      </c>
      <c r="I31" s="131"/>
      <c r="J31" s="131"/>
      <c r="K31" s="131"/>
      <c r="L31" s="131"/>
      <c r="M31" s="131"/>
      <c r="N31" s="131"/>
      <c r="O31" s="131"/>
      <c r="P31" s="131"/>
      <c r="Q31" s="131"/>
      <c r="R31" s="131"/>
      <c r="S31" s="131"/>
      <c r="T31" s="131"/>
      <c r="U31" s="131"/>
      <c r="V31" s="131"/>
      <c r="W31" s="131"/>
      <c r="X31" s="131"/>
    </row>
    <row r="32" spans="1:24" ht="13.5" customHeight="1">
      <c r="A32" s="141"/>
      <c r="B32" s="146"/>
      <c r="C32" s="146"/>
      <c r="D32" s="150"/>
      <c r="E32" s="149"/>
      <c r="F32" s="145"/>
      <c r="G32" s="145"/>
      <c r="H32" s="141"/>
      <c r="I32" s="131"/>
      <c r="J32" s="131"/>
      <c r="K32" s="131"/>
      <c r="L32" s="131"/>
      <c r="M32" s="131"/>
      <c r="N32" s="131"/>
      <c r="O32" s="131"/>
      <c r="P32" s="131"/>
      <c r="Q32" s="131"/>
      <c r="R32" s="131"/>
      <c r="S32" s="131"/>
      <c r="T32" s="131"/>
      <c r="U32" s="131"/>
      <c r="V32" s="131"/>
      <c r="W32" s="131"/>
      <c r="X32" s="131"/>
    </row>
    <row r="33" spans="1:24" ht="13.5" customHeight="1">
      <c r="A33" s="142" t="s">
        <v>628</v>
      </c>
      <c r="B33" s="143" t="s">
        <v>764</v>
      </c>
      <c r="C33" s="144"/>
      <c r="D33" s="141"/>
      <c r="E33" s="152"/>
      <c r="F33" s="145"/>
      <c r="G33" s="145"/>
      <c r="H33" s="141"/>
      <c r="I33" s="131"/>
      <c r="J33" s="131"/>
      <c r="K33" s="131"/>
      <c r="L33" s="131"/>
      <c r="M33" s="131"/>
      <c r="N33" s="131"/>
      <c r="O33" s="131"/>
      <c r="P33" s="131"/>
      <c r="Q33" s="131"/>
      <c r="R33" s="131"/>
      <c r="S33" s="131"/>
      <c r="T33" s="131"/>
      <c r="U33" s="131"/>
      <c r="V33" s="131"/>
      <c r="W33" s="131"/>
      <c r="X33" s="131"/>
    </row>
    <row r="34" spans="1:24" ht="13.5" customHeight="1">
      <c r="A34" s="141"/>
      <c r="B34" s="146" t="s">
        <v>355</v>
      </c>
      <c r="C34" s="147" t="s">
        <v>693</v>
      </c>
      <c r="D34" s="148" t="s">
        <v>694</v>
      </c>
      <c r="E34" s="149">
        <f>E20</f>
        <v>45</v>
      </c>
      <c r="F34" s="149">
        <f>F20</f>
        <v>75</v>
      </c>
      <c r="G34" s="145">
        <f>+(E34*1.1+F34)*10.764</f>
        <v>1340.1179999999999</v>
      </c>
      <c r="H34" s="141" t="s">
        <v>327</v>
      </c>
      <c r="I34" s="131"/>
      <c r="J34" s="131"/>
      <c r="K34" s="131"/>
      <c r="L34" s="131"/>
      <c r="M34" s="131"/>
      <c r="N34" s="131"/>
      <c r="O34" s="131"/>
      <c r="P34" s="131"/>
      <c r="Q34" s="131"/>
      <c r="R34" s="131"/>
      <c r="S34" s="131"/>
      <c r="T34" s="131"/>
      <c r="U34" s="131"/>
      <c r="V34" s="131"/>
      <c r="W34" s="131"/>
      <c r="X34" s="131"/>
    </row>
    <row r="35" spans="1:24" ht="13.5" customHeight="1">
      <c r="A35" s="141"/>
      <c r="B35" s="146" t="s">
        <v>695</v>
      </c>
      <c r="C35" s="147" t="s">
        <v>696</v>
      </c>
      <c r="D35" s="148" t="s">
        <v>697</v>
      </c>
      <c r="E35" s="149">
        <f>E21</f>
        <v>45</v>
      </c>
      <c r="F35" s="149">
        <f>F21</f>
        <v>70</v>
      </c>
      <c r="G35" s="145">
        <f>(E35*1.1+F35)*3.28</f>
        <v>391.96</v>
      </c>
      <c r="H35" s="141" t="s">
        <v>358</v>
      </c>
      <c r="I35" s="131"/>
      <c r="J35" s="131"/>
      <c r="K35" s="131"/>
      <c r="L35" s="131"/>
      <c r="M35" s="131"/>
      <c r="N35" s="131"/>
      <c r="O35" s="131"/>
      <c r="P35" s="131"/>
      <c r="Q35" s="131"/>
      <c r="R35" s="131"/>
      <c r="S35" s="131"/>
      <c r="T35" s="131"/>
      <c r="U35" s="131"/>
      <c r="V35" s="131"/>
      <c r="W35" s="131"/>
      <c r="X35" s="131"/>
    </row>
    <row r="36" spans="1:24" ht="13.5" customHeight="1">
      <c r="A36" s="141"/>
      <c r="B36" s="146" t="s">
        <v>698</v>
      </c>
      <c r="C36" s="146" t="s">
        <v>699</v>
      </c>
      <c r="D36" s="150" t="s">
        <v>694</v>
      </c>
      <c r="E36" s="149"/>
      <c r="F36" s="145"/>
      <c r="G36" s="145"/>
      <c r="H36" s="141" t="s">
        <v>327</v>
      </c>
      <c r="I36" s="131"/>
      <c r="J36" s="131"/>
      <c r="K36" s="131"/>
      <c r="L36" s="131"/>
      <c r="M36" s="131"/>
      <c r="N36" s="131"/>
      <c r="O36" s="131"/>
      <c r="P36" s="131"/>
      <c r="Q36" s="131"/>
      <c r="R36" s="131"/>
      <c r="S36" s="131"/>
      <c r="T36" s="131"/>
      <c r="U36" s="131"/>
      <c r="V36" s="131"/>
      <c r="W36" s="131"/>
      <c r="X36" s="131"/>
    </row>
    <row r="37" spans="1:24" ht="13.5" customHeight="1">
      <c r="A37" s="141"/>
      <c r="B37" s="146" t="s">
        <v>700</v>
      </c>
      <c r="C37" s="146" t="s">
        <v>701</v>
      </c>
      <c r="D37" s="148" t="s">
        <v>694</v>
      </c>
      <c r="E37" s="149">
        <f>$E$9</f>
        <v>32</v>
      </c>
      <c r="F37" s="145"/>
      <c r="G37" s="145">
        <f t="shared" ref="G37" si="4">+E37*10.764</f>
        <v>344.44799999999998</v>
      </c>
      <c r="H37" s="141" t="s">
        <v>327</v>
      </c>
      <c r="I37" s="131"/>
      <c r="J37" s="131"/>
      <c r="K37" s="131"/>
      <c r="L37" s="131"/>
      <c r="M37" s="131"/>
      <c r="N37" s="131"/>
      <c r="O37" s="131"/>
      <c r="P37" s="131"/>
      <c r="Q37" s="131"/>
      <c r="R37" s="131"/>
      <c r="S37" s="131"/>
      <c r="T37" s="131"/>
      <c r="U37" s="131"/>
      <c r="V37" s="131"/>
      <c r="W37" s="131"/>
      <c r="X37" s="131"/>
    </row>
    <row r="38" spans="1:24" ht="13.8">
      <c r="A38" s="141"/>
      <c r="B38" s="146" t="s">
        <v>702</v>
      </c>
      <c r="C38" s="146" t="s">
        <v>701</v>
      </c>
      <c r="D38" s="148" t="s">
        <v>694</v>
      </c>
      <c r="E38" s="149">
        <f>$E$10</f>
        <v>32</v>
      </c>
      <c r="F38" s="145"/>
      <c r="G38" s="145">
        <f>+E38*10.764</f>
        <v>344.44799999999998</v>
      </c>
      <c r="H38" s="141" t="s">
        <v>327</v>
      </c>
      <c r="I38" s="131"/>
      <c r="J38" s="131"/>
      <c r="K38" s="131"/>
      <c r="L38" s="131"/>
      <c r="M38" s="131"/>
      <c r="N38" s="131"/>
      <c r="O38" s="131"/>
      <c r="P38" s="131"/>
      <c r="Q38" s="131"/>
      <c r="R38" s="131"/>
      <c r="S38" s="131"/>
      <c r="T38" s="131"/>
      <c r="U38" s="131"/>
      <c r="V38" s="131"/>
      <c r="W38" s="131"/>
      <c r="X38" s="131"/>
    </row>
    <row r="39" spans="1:24" ht="13.5" customHeight="1">
      <c r="A39" s="141"/>
      <c r="B39" s="151" t="s">
        <v>703</v>
      </c>
      <c r="C39" s="146" t="s">
        <v>699</v>
      </c>
      <c r="D39" s="148" t="s">
        <v>694</v>
      </c>
      <c r="E39" s="149"/>
      <c r="F39" s="145"/>
      <c r="G39" s="145"/>
      <c r="H39" s="141" t="s">
        <v>327</v>
      </c>
      <c r="I39" s="131"/>
      <c r="J39" s="131"/>
      <c r="K39" s="131"/>
      <c r="L39" s="131"/>
      <c r="M39" s="131"/>
      <c r="N39" s="131"/>
      <c r="O39" s="131"/>
      <c r="P39" s="131"/>
      <c r="Q39" s="131"/>
      <c r="R39" s="131"/>
      <c r="S39" s="131"/>
      <c r="T39" s="131"/>
      <c r="U39" s="131"/>
      <c r="V39" s="131"/>
      <c r="W39" s="131"/>
      <c r="X39" s="131"/>
    </row>
    <row r="40" spans="1:24" ht="13.5" customHeight="1">
      <c r="A40" s="141"/>
      <c r="B40" s="146" t="s">
        <v>704</v>
      </c>
      <c r="C40" s="146" t="s">
        <v>705</v>
      </c>
      <c r="D40" s="148" t="s">
        <v>694</v>
      </c>
      <c r="E40" s="149">
        <f>$E$12</f>
        <v>20</v>
      </c>
      <c r="F40" s="145"/>
      <c r="G40" s="145">
        <f>+E40*10.764</f>
        <v>215.27999999999997</v>
      </c>
      <c r="H40" s="141" t="s">
        <v>327</v>
      </c>
      <c r="I40" s="131"/>
      <c r="J40" s="131"/>
      <c r="K40" s="131"/>
      <c r="L40" s="131"/>
      <c r="M40" s="131"/>
      <c r="N40" s="131"/>
      <c r="O40" s="131"/>
      <c r="P40" s="131"/>
      <c r="Q40" s="131"/>
      <c r="R40" s="131"/>
      <c r="S40" s="131"/>
      <c r="T40" s="131"/>
      <c r="U40" s="131"/>
      <c r="V40" s="131"/>
      <c r="W40" s="131"/>
      <c r="X40" s="131"/>
    </row>
    <row r="41" spans="1:24" ht="13.5" customHeight="1">
      <c r="A41" s="141"/>
      <c r="B41" s="146" t="s">
        <v>706</v>
      </c>
      <c r="C41" s="146" t="s">
        <v>705</v>
      </c>
      <c r="D41" s="148" t="s">
        <v>694</v>
      </c>
      <c r="E41" s="149">
        <f>E40</f>
        <v>20</v>
      </c>
      <c r="F41" s="145"/>
      <c r="G41" s="145">
        <f t="shared" ref="G41" si="5">+E41*10.764</f>
        <v>215.27999999999997</v>
      </c>
      <c r="H41" s="141" t="s">
        <v>327</v>
      </c>
      <c r="I41" s="131"/>
      <c r="J41" s="131"/>
      <c r="K41" s="131"/>
      <c r="L41" s="131"/>
      <c r="M41" s="131"/>
      <c r="N41" s="131"/>
      <c r="O41" s="131"/>
      <c r="P41" s="131"/>
      <c r="Q41" s="131"/>
      <c r="R41" s="131"/>
      <c r="S41" s="131"/>
      <c r="T41" s="131"/>
      <c r="U41" s="131"/>
      <c r="V41" s="131"/>
      <c r="W41" s="131"/>
      <c r="X41" s="131"/>
    </row>
    <row r="42" spans="1:24" ht="13.5" customHeight="1">
      <c r="A42" s="141"/>
      <c r="B42" s="146" t="s">
        <v>713</v>
      </c>
      <c r="C42" s="146" t="s">
        <v>699</v>
      </c>
      <c r="D42" s="150" t="s">
        <v>697</v>
      </c>
      <c r="E42" s="149"/>
      <c r="F42" s="145"/>
      <c r="G42" s="145"/>
      <c r="H42" s="141" t="s">
        <v>358</v>
      </c>
      <c r="I42" s="131"/>
      <c r="J42" s="131"/>
      <c r="K42" s="131"/>
      <c r="L42" s="131"/>
      <c r="M42" s="131"/>
      <c r="N42" s="131"/>
      <c r="O42" s="131"/>
      <c r="P42" s="131"/>
      <c r="Q42" s="131"/>
      <c r="R42" s="131"/>
      <c r="S42" s="131"/>
      <c r="T42" s="131"/>
      <c r="U42" s="131"/>
      <c r="V42" s="131"/>
      <c r="W42" s="131"/>
      <c r="X42" s="131"/>
    </row>
    <row r="43" spans="1:24" ht="13.5" customHeight="1">
      <c r="A43" s="141"/>
      <c r="B43" s="146" t="s">
        <v>715</v>
      </c>
      <c r="C43" s="146" t="s">
        <v>408</v>
      </c>
      <c r="D43" s="150" t="s">
        <v>697</v>
      </c>
      <c r="E43" s="149">
        <f>E29</f>
        <v>180</v>
      </c>
      <c r="F43" s="145">
        <v>135</v>
      </c>
      <c r="G43" s="145">
        <f>(E43*(0.1*1*1.1*10.764))+(F43*3.28)</f>
        <v>655.92719999999997</v>
      </c>
      <c r="H43" s="141" t="s">
        <v>358</v>
      </c>
      <c r="I43" s="131"/>
      <c r="J43" s="131"/>
      <c r="K43" s="131"/>
      <c r="L43" s="131"/>
      <c r="M43" s="131"/>
      <c r="N43" s="131"/>
      <c r="O43" s="131"/>
      <c r="P43" s="131"/>
      <c r="Q43" s="131"/>
      <c r="R43" s="131"/>
      <c r="S43" s="131"/>
      <c r="T43" s="131"/>
      <c r="U43" s="131"/>
      <c r="V43" s="131"/>
      <c r="W43" s="131"/>
      <c r="X43" s="131"/>
    </row>
    <row r="44" spans="1:24" ht="13.5" customHeight="1">
      <c r="A44" s="141"/>
      <c r="B44" s="146" t="s">
        <v>716</v>
      </c>
      <c r="C44" s="146" t="s">
        <v>717</v>
      </c>
      <c r="D44" s="150" t="s">
        <v>697</v>
      </c>
      <c r="E44" s="149">
        <f>60</f>
        <v>60</v>
      </c>
      <c r="F44" s="145">
        <v>100</v>
      </c>
      <c r="G44" s="145">
        <f>(E44*(0.1*1*1.1*10.764))+(F44*3.28)</f>
        <v>399.04239999999999</v>
      </c>
      <c r="H44" s="141" t="s">
        <v>358</v>
      </c>
      <c r="I44" s="131"/>
      <c r="J44" s="131"/>
      <c r="K44" s="131"/>
      <c r="L44" s="131"/>
      <c r="M44" s="131"/>
      <c r="N44" s="131"/>
      <c r="O44" s="131"/>
      <c r="P44" s="131"/>
      <c r="Q44" s="131"/>
      <c r="R44" s="131"/>
      <c r="S44" s="131"/>
      <c r="T44" s="131"/>
      <c r="U44" s="131"/>
      <c r="V44" s="131"/>
      <c r="W44" s="131"/>
      <c r="X44" s="131"/>
    </row>
    <row r="45" spans="1:24" ht="13.5" customHeight="1">
      <c r="A45" s="141"/>
      <c r="B45" s="146" t="s">
        <v>707</v>
      </c>
      <c r="C45" s="146" t="s">
        <v>699</v>
      </c>
      <c r="D45" s="150" t="s">
        <v>708</v>
      </c>
      <c r="E45" s="149"/>
      <c r="F45" s="145"/>
      <c r="G45" s="145"/>
      <c r="H45" s="141" t="s">
        <v>708</v>
      </c>
      <c r="I45" s="131"/>
      <c r="J45" s="131"/>
      <c r="K45" s="131"/>
      <c r="L45" s="131"/>
      <c r="M45" s="131"/>
      <c r="N45" s="131"/>
      <c r="O45" s="131"/>
      <c r="P45" s="131"/>
      <c r="Q45" s="131"/>
      <c r="R45" s="131"/>
      <c r="S45" s="131"/>
      <c r="T45" s="131"/>
      <c r="U45" s="131"/>
      <c r="V45" s="131"/>
      <c r="W45" s="131"/>
      <c r="X45" s="131"/>
    </row>
    <row r="46" spans="1:24" ht="13.5" customHeight="1">
      <c r="A46" s="141"/>
      <c r="B46" s="146"/>
      <c r="C46" s="146"/>
      <c r="D46" s="150"/>
      <c r="E46" s="149"/>
      <c r="F46" s="145"/>
      <c r="G46" s="145"/>
      <c r="H46" s="141"/>
      <c r="I46" s="131"/>
      <c r="J46" s="131"/>
      <c r="K46" s="131"/>
      <c r="L46" s="131"/>
      <c r="M46" s="131"/>
      <c r="N46" s="131"/>
      <c r="O46" s="131"/>
      <c r="P46" s="131"/>
      <c r="Q46" s="131"/>
      <c r="R46" s="131"/>
      <c r="S46" s="131"/>
      <c r="T46" s="131"/>
      <c r="U46" s="131"/>
      <c r="V46" s="131"/>
      <c r="W46" s="131"/>
      <c r="X46" s="131"/>
    </row>
    <row r="47" spans="1:24" ht="13.5" customHeight="1">
      <c r="A47" s="142" t="s">
        <v>628</v>
      </c>
      <c r="B47" s="143" t="s">
        <v>765</v>
      </c>
      <c r="C47" s="144"/>
      <c r="D47" s="141"/>
      <c r="E47" s="152"/>
      <c r="F47" s="145"/>
      <c r="G47" s="145"/>
      <c r="H47" s="141"/>
      <c r="I47" s="131"/>
      <c r="J47" s="131"/>
      <c r="L47" s="131"/>
      <c r="M47" s="131"/>
      <c r="N47" s="131"/>
      <c r="O47" s="131"/>
      <c r="P47" s="131"/>
      <c r="Q47" s="131"/>
      <c r="R47" s="131"/>
      <c r="S47" s="131"/>
      <c r="T47" s="131"/>
      <c r="U47" s="131"/>
      <c r="V47" s="131"/>
      <c r="W47" s="131"/>
      <c r="X47" s="131"/>
    </row>
    <row r="48" spans="1:24" ht="13.5" customHeight="1">
      <c r="A48" s="141"/>
      <c r="B48" s="146" t="s">
        <v>355</v>
      </c>
      <c r="C48" s="147" t="s">
        <v>693</v>
      </c>
      <c r="D48" s="148" t="s">
        <v>694</v>
      </c>
      <c r="E48" s="149">
        <f>E34</f>
        <v>45</v>
      </c>
      <c r="F48" s="149">
        <f>F34</f>
        <v>75</v>
      </c>
      <c r="G48" s="145">
        <f>+(E48*1.1+F48)*10.764</f>
        <v>1340.1179999999999</v>
      </c>
      <c r="H48" s="141" t="s">
        <v>327</v>
      </c>
      <c r="I48" s="131"/>
      <c r="J48" s="131"/>
      <c r="K48" s="131"/>
      <c r="L48" s="131"/>
      <c r="M48" s="131"/>
      <c r="N48" s="131"/>
      <c r="O48" s="131"/>
      <c r="P48" s="131"/>
      <c r="Q48" s="131"/>
      <c r="R48" s="131"/>
      <c r="S48" s="131"/>
      <c r="T48" s="131"/>
      <c r="U48" s="131"/>
      <c r="V48" s="131"/>
      <c r="W48" s="131"/>
      <c r="X48" s="131"/>
    </row>
    <row r="49" spans="1:24" ht="13.5" customHeight="1">
      <c r="A49" s="141"/>
      <c r="B49" s="146" t="s">
        <v>695</v>
      </c>
      <c r="C49" s="147" t="s">
        <v>696</v>
      </c>
      <c r="D49" s="148" t="s">
        <v>697</v>
      </c>
      <c r="E49" s="149">
        <f>E35</f>
        <v>45</v>
      </c>
      <c r="F49" s="149">
        <f>F35</f>
        <v>70</v>
      </c>
      <c r="G49" s="145">
        <f>(E49*1.1+F49)*3.28</f>
        <v>391.96</v>
      </c>
      <c r="H49" s="141" t="s">
        <v>358</v>
      </c>
      <c r="I49" s="131"/>
      <c r="J49" s="131"/>
      <c r="K49" s="131"/>
      <c r="L49" s="131"/>
      <c r="M49" s="131"/>
      <c r="N49" s="131"/>
      <c r="O49" s="131"/>
      <c r="P49" s="131"/>
      <c r="Q49" s="131"/>
      <c r="R49" s="131"/>
      <c r="S49" s="131"/>
      <c r="T49" s="131"/>
      <c r="U49" s="131"/>
      <c r="V49" s="131"/>
      <c r="W49" s="131"/>
      <c r="X49" s="131"/>
    </row>
    <row r="50" spans="1:24" ht="13.5" customHeight="1">
      <c r="A50" s="141"/>
      <c r="B50" s="146" t="s">
        <v>698</v>
      </c>
      <c r="C50" s="146" t="s">
        <v>699</v>
      </c>
      <c r="D50" s="150" t="s">
        <v>694</v>
      </c>
      <c r="E50" s="149"/>
      <c r="F50" s="145"/>
      <c r="G50" s="145"/>
      <c r="H50" s="141" t="s">
        <v>327</v>
      </c>
      <c r="I50" s="131"/>
      <c r="J50" s="131"/>
      <c r="K50" s="131"/>
      <c r="L50" s="131"/>
      <c r="M50" s="131"/>
      <c r="N50" s="131"/>
      <c r="O50" s="131"/>
      <c r="P50" s="131"/>
      <c r="Q50" s="131"/>
      <c r="R50" s="131"/>
      <c r="S50" s="131"/>
      <c r="T50" s="131"/>
      <c r="U50" s="131"/>
      <c r="V50" s="131"/>
      <c r="W50" s="131"/>
      <c r="X50" s="131"/>
    </row>
    <row r="51" spans="1:24" ht="13.5" customHeight="1">
      <c r="A51" s="141"/>
      <c r="B51" s="146" t="s">
        <v>700</v>
      </c>
      <c r="C51" s="146" t="s">
        <v>701</v>
      </c>
      <c r="D51" s="148" t="s">
        <v>694</v>
      </c>
      <c r="E51" s="149">
        <f>$E$9</f>
        <v>32</v>
      </c>
      <c r="F51" s="145"/>
      <c r="G51" s="145">
        <f t="shared" ref="G51" si="6">+E51*10.764</f>
        <v>344.44799999999998</v>
      </c>
      <c r="H51" s="141" t="s">
        <v>327</v>
      </c>
      <c r="I51" s="131"/>
      <c r="J51" s="131"/>
      <c r="K51" s="131"/>
      <c r="L51" s="131"/>
      <c r="M51" s="131"/>
      <c r="N51" s="131"/>
      <c r="O51" s="131"/>
      <c r="P51" s="131"/>
      <c r="Q51" s="131"/>
      <c r="R51" s="131"/>
      <c r="S51" s="131"/>
      <c r="T51" s="131"/>
      <c r="U51" s="131"/>
      <c r="V51" s="131"/>
      <c r="W51" s="131"/>
      <c r="X51" s="131"/>
    </row>
    <row r="52" spans="1:24" ht="13.5" customHeight="1">
      <c r="A52" s="141"/>
      <c r="B52" s="146" t="s">
        <v>702</v>
      </c>
      <c r="C52" s="146" t="s">
        <v>701</v>
      </c>
      <c r="D52" s="148" t="s">
        <v>694</v>
      </c>
      <c r="E52" s="149">
        <f>$E$10</f>
        <v>32</v>
      </c>
      <c r="F52" s="145"/>
      <c r="G52" s="145">
        <f>+E52*10.764</f>
        <v>344.44799999999998</v>
      </c>
      <c r="H52" s="141" t="s">
        <v>327</v>
      </c>
      <c r="I52" s="131"/>
      <c r="J52" s="131"/>
      <c r="K52" s="131"/>
      <c r="L52" s="131"/>
      <c r="M52" s="131"/>
      <c r="N52" s="131"/>
      <c r="O52" s="131"/>
      <c r="P52" s="131"/>
      <c r="Q52" s="131"/>
      <c r="R52" s="131"/>
      <c r="S52" s="131"/>
      <c r="T52" s="131"/>
      <c r="U52" s="131"/>
      <c r="V52" s="131"/>
      <c r="W52" s="131"/>
      <c r="X52" s="131"/>
    </row>
    <row r="53" spans="1:24" ht="13.5" customHeight="1">
      <c r="A53" s="141"/>
      <c r="B53" s="151" t="s">
        <v>703</v>
      </c>
      <c r="C53" s="146" t="s">
        <v>699</v>
      </c>
      <c r="D53" s="148" t="s">
        <v>694</v>
      </c>
      <c r="E53" s="149"/>
      <c r="F53" s="145"/>
      <c r="G53" s="145"/>
      <c r="H53" s="141" t="s">
        <v>327</v>
      </c>
      <c r="I53" s="131"/>
      <c r="J53" s="131"/>
      <c r="K53" s="131"/>
      <c r="L53" s="131"/>
      <c r="M53" s="131"/>
      <c r="N53" s="131"/>
      <c r="O53" s="131"/>
      <c r="P53" s="131"/>
      <c r="Q53" s="131"/>
      <c r="R53" s="131"/>
      <c r="S53" s="131"/>
      <c r="T53" s="131"/>
      <c r="U53" s="131"/>
      <c r="V53" s="131"/>
      <c r="W53" s="131"/>
      <c r="X53" s="131"/>
    </row>
    <row r="54" spans="1:24" ht="13.5" customHeight="1">
      <c r="A54" s="141"/>
      <c r="B54" s="146" t="s">
        <v>704</v>
      </c>
      <c r="C54" s="146" t="s">
        <v>705</v>
      </c>
      <c r="D54" s="148" t="s">
        <v>694</v>
      </c>
      <c r="E54" s="149">
        <f>$E$12</f>
        <v>20</v>
      </c>
      <c r="F54" s="145"/>
      <c r="G54" s="145">
        <f>+E54*10.764</f>
        <v>215.27999999999997</v>
      </c>
      <c r="H54" s="141" t="s">
        <v>327</v>
      </c>
      <c r="I54" s="131"/>
      <c r="J54" s="131"/>
      <c r="K54" s="131"/>
      <c r="L54" s="131"/>
      <c r="M54" s="131"/>
      <c r="N54" s="131"/>
      <c r="O54" s="131"/>
      <c r="P54" s="131"/>
      <c r="Q54" s="131"/>
      <c r="R54" s="131"/>
      <c r="S54" s="131"/>
      <c r="T54" s="131"/>
      <c r="U54" s="131"/>
      <c r="V54" s="131"/>
      <c r="W54" s="131"/>
      <c r="X54" s="131"/>
    </row>
    <row r="55" spans="1:24" ht="13.5" customHeight="1">
      <c r="A55" s="141"/>
      <c r="B55" s="146" t="s">
        <v>706</v>
      </c>
      <c r="C55" s="146" t="s">
        <v>705</v>
      </c>
      <c r="D55" s="148" t="s">
        <v>694</v>
      </c>
      <c r="E55" s="149">
        <f>E54</f>
        <v>20</v>
      </c>
      <c r="F55" s="145"/>
      <c r="G55" s="145">
        <f t="shared" ref="G55" si="7">+E55*10.764</f>
        <v>215.27999999999997</v>
      </c>
      <c r="H55" s="141" t="s">
        <v>327</v>
      </c>
      <c r="I55" s="131"/>
      <c r="J55" s="131"/>
      <c r="K55" s="131"/>
      <c r="L55" s="131"/>
      <c r="M55" s="131"/>
      <c r="N55" s="131"/>
      <c r="O55" s="131"/>
      <c r="P55" s="131"/>
      <c r="Q55" s="131"/>
      <c r="R55" s="131"/>
      <c r="S55" s="131"/>
      <c r="T55" s="131"/>
      <c r="U55" s="131"/>
      <c r="V55" s="131"/>
      <c r="W55" s="131"/>
      <c r="X55" s="131"/>
    </row>
    <row r="56" spans="1:24" ht="13.5" customHeight="1">
      <c r="A56" s="141"/>
      <c r="B56" s="146" t="s">
        <v>713</v>
      </c>
      <c r="C56" s="146" t="s">
        <v>699</v>
      </c>
      <c r="D56" s="150" t="s">
        <v>697</v>
      </c>
      <c r="E56" s="149"/>
      <c r="F56" s="145"/>
      <c r="G56" s="145"/>
      <c r="H56" s="141" t="s">
        <v>358</v>
      </c>
      <c r="I56" s="131"/>
      <c r="J56" s="131"/>
      <c r="K56" s="131"/>
      <c r="L56" s="131"/>
      <c r="M56" s="131"/>
      <c r="N56" s="131"/>
      <c r="O56" s="131"/>
      <c r="P56" s="131"/>
      <c r="Q56" s="131"/>
      <c r="R56" s="131"/>
      <c r="S56" s="131"/>
      <c r="T56" s="131"/>
      <c r="U56" s="131"/>
      <c r="V56" s="131"/>
      <c r="W56" s="131"/>
      <c r="X56" s="131"/>
    </row>
    <row r="57" spans="1:24" ht="13.5" customHeight="1">
      <c r="A57" s="141"/>
      <c r="B57" s="146" t="s">
        <v>715</v>
      </c>
      <c r="C57" s="146" t="s">
        <v>408</v>
      </c>
      <c r="D57" s="150" t="s">
        <v>697</v>
      </c>
      <c r="E57" s="149">
        <f>E43</f>
        <v>180</v>
      </c>
      <c r="F57" s="145">
        <v>135</v>
      </c>
      <c r="G57" s="145">
        <f>(E57*(0.1*1*1.1*10.764))+(F57*3.28)</f>
        <v>655.92719999999997</v>
      </c>
      <c r="H57" s="141" t="s">
        <v>358</v>
      </c>
      <c r="I57" s="131"/>
      <c r="J57" s="131"/>
      <c r="K57" s="131"/>
      <c r="L57" s="131"/>
      <c r="M57" s="131"/>
      <c r="N57" s="131"/>
      <c r="O57" s="131"/>
      <c r="P57" s="131"/>
      <c r="Q57" s="131"/>
      <c r="R57" s="131"/>
      <c r="S57" s="131"/>
      <c r="T57" s="131"/>
      <c r="U57" s="131"/>
      <c r="V57" s="131"/>
      <c r="W57" s="131"/>
      <c r="X57" s="131"/>
    </row>
    <row r="58" spans="1:24" ht="13.5" customHeight="1">
      <c r="A58" s="141"/>
      <c r="B58" s="146" t="s">
        <v>716</v>
      </c>
      <c r="C58" s="146" t="s">
        <v>717</v>
      </c>
      <c r="D58" s="150" t="s">
        <v>697</v>
      </c>
      <c r="E58" s="149">
        <f>60</f>
        <v>60</v>
      </c>
      <c r="F58" s="145">
        <v>100</v>
      </c>
      <c r="G58" s="145">
        <f>(E58*(0.1*1*1.1*10.764))+(F58*3.28)</f>
        <v>399.04239999999999</v>
      </c>
      <c r="H58" s="141" t="s">
        <v>358</v>
      </c>
      <c r="I58" s="131"/>
      <c r="J58" s="131"/>
      <c r="K58" s="131"/>
      <c r="L58" s="131"/>
      <c r="M58" s="131"/>
      <c r="N58" s="131"/>
      <c r="O58" s="131"/>
      <c r="P58" s="131"/>
      <c r="Q58" s="131"/>
      <c r="R58" s="131"/>
      <c r="S58" s="131"/>
      <c r="T58" s="131"/>
      <c r="U58" s="131"/>
      <c r="V58" s="131"/>
      <c r="W58" s="131"/>
      <c r="X58" s="131"/>
    </row>
    <row r="59" spans="1:24" ht="13.5" customHeight="1">
      <c r="A59" s="141"/>
      <c r="B59" s="146" t="s">
        <v>707</v>
      </c>
      <c r="C59" s="146" t="s">
        <v>699</v>
      </c>
      <c r="D59" s="150" t="s">
        <v>708</v>
      </c>
      <c r="E59" s="149"/>
      <c r="F59" s="145"/>
      <c r="G59" s="145"/>
      <c r="H59" s="141" t="s">
        <v>708</v>
      </c>
      <c r="I59" s="131"/>
      <c r="J59" s="131"/>
      <c r="K59" s="131"/>
      <c r="L59" s="131"/>
      <c r="M59" s="131"/>
      <c r="N59" s="131"/>
      <c r="O59" s="131"/>
      <c r="P59" s="131"/>
      <c r="Q59" s="131"/>
      <c r="R59" s="131"/>
      <c r="S59" s="131"/>
      <c r="T59" s="131"/>
      <c r="U59" s="131"/>
      <c r="V59" s="131"/>
      <c r="W59" s="131"/>
      <c r="X59" s="131"/>
    </row>
    <row r="60" spans="1:24" ht="13.5" customHeight="1">
      <c r="A60" s="141"/>
      <c r="B60" s="146"/>
      <c r="C60" s="146"/>
      <c r="D60" s="150"/>
      <c r="E60" s="149"/>
      <c r="F60" s="145"/>
      <c r="G60" s="145"/>
      <c r="H60" s="141"/>
      <c r="I60" s="131"/>
      <c r="J60" s="131"/>
      <c r="K60" s="131"/>
      <c r="L60" s="131"/>
      <c r="M60" s="131"/>
      <c r="N60" s="131"/>
      <c r="O60" s="131"/>
      <c r="P60" s="131"/>
      <c r="Q60" s="131"/>
      <c r="R60" s="131"/>
      <c r="S60" s="131"/>
      <c r="T60" s="131"/>
      <c r="U60" s="131"/>
      <c r="V60" s="131"/>
      <c r="W60" s="131"/>
      <c r="X60" s="131"/>
    </row>
    <row r="61" spans="1:24" ht="13.5" customHeight="1">
      <c r="A61" s="142" t="s">
        <v>628</v>
      </c>
      <c r="B61" s="143" t="s">
        <v>766</v>
      </c>
      <c r="C61" s="144"/>
      <c r="D61" s="141"/>
      <c r="E61" s="152"/>
      <c r="F61" s="145"/>
      <c r="G61" s="145"/>
      <c r="H61" s="141"/>
      <c r="I61" s="131"/>
      <c r="J61" s="131"/>
      <c r="K61" s="131"/>
      <c r="L61" s="131"/>
      <c r="M61" s="131"/>
      <c r="N61" s="131"/>
      <c r="O61" s="131"/>
      <c r="P61" s="131"/>
      <c r="Q61" s="131"/>
      <c r="R61" s="131"/>
      <c r="S61" s="131"/>
      <c r="T61" s="131"/>
      <c r="U61" s="131"/>
      <c r="V61" s="131"/>
      <c r="W61" s="131"/>
      <c r="X61" s="131"/>
    </row>
    <row r="62" spans="1:24" ht="13.5" customHeight="1">
      <c r="A62" s="141"/>
      <c r="B62" s="146" t="s">
        <v>355</v>
      </c>
      <c r="C62" s="146" t="s">
        <v>710</v>
      </c>
      <c r="D62" s="148" t="s">
        <v>694</v>
      </c>
      <c r="E62" s="149">
        <v>50</v>
      </c>
      <c r="F62" s="145">
        <f>+F20</f>
        <v>75</v>
      </c>
      <c r="G62" s="145">
        <f>+(E62*1.1+F62)*10.764</f>
        <v>1399.32</v>
      </c>
      <c r="H62" s="141" t="s">
        <v>327</v>
      </c>
      <c r="I62" s="131"/>
      <c r="J62" s="131"/>
      <c r="K62" s="131"/>
      <c r="L62" s="131"/>
      <c r="M62" s="131"/>
      <c r="N62" s="131"/>
      <c r="O62" s="131"/>
      <c r="P62" s="131"/>
      <c r="Q62" s="131"/>
      <c r="R62" s="131"/>
      <c r="S62" s="131"/>
      <c r="T62" s="131"/>
      <c r="U62" s="131"/>
      <c r="V62" s="131"/>
      <c r="W62" s="131"/>
      <c r="X62" s="131"/>
    </row>
    <row r="63" spans="1:24" ht="13.5" customHeight="1">
      <c r="A63" s="141"/>
      <c r="B63" s="146" t="s">
        <v>695</v>
      </c>
      <c r="C63" s="146" t="s">
        <v>699</v>
      </c>
      <c r="D63" s="148" t="s">
        <v>697</v>
      </c>
      <c r="E63" s="149"/>
      <c r="F63" s="145"/>
      <c r="G63" s="145"/>
      <c r="H63" s="141" t="s">
        <v>711</v>
      </c>
      <c r="I63" s="131"/>
      <c r="J63" s="131"/>
      <c r="K63" s="131"/>
      <c r="L63" s="131"/>
      <c r="M63" s="131"/>
      <c r="N63" s="131"/>
      <c r="O63" s="131"/>
      <c r="P63" s="131"/>
      <c r="Q63" s="131"/>
      <c r="R63" s="131"/>
      <c r="S63" s="131"/>
      <c r="T63" s="131"/>
      <c r="U63" s="131"/>
      <c r="V63" s="131"/>
      <c r="W63" s="131"/>
      <c r="X63" s="131"/>
    </row>
    <row r="64" spans="1:24" ht="13.5" customHeight="1">
      <c r="A64" s="141"/>
      <c r="B64" s="146" t="s">
        <v>698</v>
      </c>
      <c r="C64" s="146" t="s">
        <v>712</v>
      </c>
      <c r="D64" s="148" t="s">
        <v>694</v>
      </c>
      <c r="E64" s="149">
        <v>50</v>
      </c>
      <c r="F64" s="145">
        <v>80</v>
      </c>
      <c r="G64" s="145">
        <f>+(E64*1.15+F64)*10.764</f>
        <v>1480.05</v>
      </c>
      <c r="H64" s="141" t="s">
        <v>327</v>
      </c>
      <c r="I64" s="131"/>
      <c r="J64" s="131"/>
      <c r="K64" s="131"/>
      <c r="L64" s="131"/>
      <c r="M64" s="131"/>
      <c r="N64" s="131"/>
      <c r="O64" s="131"/>
      <c r="P64" s="131"/>
      <c r="Q64" s="131"/>
      <c r="R64" s="131"/>
      <c r="S64" s="131"/>
      <c r="T64" s="131"/>
      <c r="U64" s="131"/>
      <c r="V64" s="131"/>
      <c r="W64" s="131"/>
      <c r="X64" s="131"/>
    </row>
    <row r="65" spans="1:24" ht="13.5" customHeight="1">
      <c r="A65" s="141"/>
      <c r="B65" s="146" t="s">
        <v>700</v>
      </c>
      <c r="C65" s="146" t="s">
        <v>701</v>
      </c>
      <c r="D65" s="148" t="s">
        <v>694</v>
      </c>
      <c r="E65" s="149">
        <f>$E$9</f>
        <v>32</v>
      </c>
      <c r="F65" s="145"/>
      <c r="G65" s="145">
        <f t="shared" ref="G65" si="8">+E65*10.764</f>
        <v>344.44799999999998</v>
      </c>
      <c r="H65" s="141" t="s">
        <v>327</v>
      </c>
      <c r="I65" s="131"/>
      <c r="J65" s="131"/>
      <c r="K65" s="131"/>
      <c r="L65" s="131"/>
      <c r="M65" s="131"/>
      <c r="N65" s="131"/>
      <c r="O65" s="131"/>
      <c r="P65" s="131"/>
      <c r="Q65" s="131"/>
      <c r="R65" s="131"/>
      <c r="S65" s="131"/>
      <c r="T65" s="131"/>
      <c r="U65" s="131"/>
      <c r="V65" s="131"/>
      <c r="W65" s="131"/>
      <c r="X65" s="131"/>
    </row>
    <row r="66" spans="1:24" ht="13.5" customHeight="1">
      <c r="A66" s="141"/>
      <c r="B66" s="146" t="s">
        <v>702</v>
      </c>
      <c r="C66" s="146" t="s">
        <v>701</v>
      </c>
      <c r="D66" s="148" t="s">
        <v>694</v>
      </c>
      <c r="E66" s="149">
        <f>$E$10</f>
        <v>32</v>
      </c>
      <c r="F66" s="145"/>
      <c r="G66" s="145">
        <f>+E66*10.764</f>
        <v>344.44799999999998</v>
      </c>
      <c r="H66" s="141" t="s">
        <v>327</v>
      </c>
      <c r="I66" s="131"/>
      <c r="J66" s="131"/>
      <c r="K66" s="131"/>
      <c r="L66" s="131"/>
      <c r="M66" s="131"/>
      <c r="N66" s="131"/>
      <c r="O66" s="131"/>
      <c r="P66" s="131"/>
      <c r="Q66" s="131"/>
      <c r="R66" s="131"/>
      <c r="S66" s="131"/>
      <c r="T66" s="131"/>
      <c r="U66" s="131"/>
      <c r="V66" s="131"/>
      <c r="W66" s="131"/>
      <c r="X66" s="131"/>
    </row>
    <row r="67" spans="1:24" ht="13.5" customHeight="1">
      <c r="A67" s="141"/>
      <c r="B67" s="151" t="s">
        <v>703</v>
      </c>
      <c r="C67" s="146" t="s">
        <v>699</v>
      </c>
      <c r="D67" s="148" t="s">
        <v>694</v>
      </c>
      <c r="E67" s="153"/>
      <c r="F67" s="145"/>
      <c r="G67" s="145"/>
      <c r="H67" s="141" t="s">
        <v>327</v>
      </c>
      <c r="I67" s="131"/>
      <c r="J67" s="131"/>
      <c r="K67" s="131"/>
      <c r="L67" s="131"/>
      <c r="M67" s="131"/>
      <c r="N67" s="131"/>
      <c r="O67" s="131"/>
      <c r="P67" s="131"/>
      <c r="Q67" s="131"/>
      <c r="R67" s="131"/>
      <c r="S67" s="131"/>
      <c r="T67" s="131"/>
      <c r="U67" s="131"/>
      <c r="V67" s="131"/>
      <c r="W67" s="131"/>
      <c r="X67" s="131"/>
    </row>
    <row r="68" spans="1:24" ht="13.5" customHeight="1">
      <c r="A68" s="141"/>
      <c r="B68" s="146" t="s">
        <v>704</v>
      </c>
      <c r="C68" s="146" t="str">
        <f>+C12</f>
        <v>Plastic paint</v>
      </c>
      <c r="D68" s="148" t="s">
        <v>694</v>
      </c>
      <c r="E68" s="149">
        <f>E26</f>
        <v>20</v>
      </c>
      <c r="F68" s="145"/>
      <c r="G68" s="145">
        <f t="shared" ref="G68:G69" si="9">+E68*10.764</f>
        <v>215.27999999999997</v>
      </c>
      <c r="H68" s="141" t="s">
        <v>327</v>
      </c>
      <c r="I68" s="131"/>
      <c r="J68" s="131"/>
      <c r="K68" s="131"/>
      <c r="L68" s="131"/>
      <c r="M68" s="131"/>
      <c r="N68" s="131"/>
      <c r="O68" s="131"/>
      <c r="P68" s="131"/>
      <c r="Q68" s="131"/>
      <c r="R68" s="131"/>
      <c r="S68" s="131"/>
      <c r="T68" s="131"/>
      <c r="U68" s="131"/>
      <c r="V68" s="131"/>
      <c r="W68" s="131"/>
      <c r="X68" s="131"/>
    </row>
    <row r="69" spans="1:24" ht="13.5" customHeight="1">
      <c r="A69" s="141"/>
      <c r="B69" s="146" t="s">
        <v>706</v>
      </c>
      <c r="C69" s="146" t="str">
        <f>+C13</f>
        <v>Plastic paint</v>
      </c>
      <c r="D69" s="148" t="s">
        <v>694</v>
      </c>
      <c r="E69" s="149">
        <f>E27</f>
        <v>20</v>
      </c>
      <c r="F69" s="145"/>
      <c r="G69" s="145">
        <f t="shared" si="9"/>
        <v>215.27999999999997</v>
      </c>
      <c r="H69" s="141" t="s">
        <v>327</v>
      </c>
      <c r="I69" s="131"/>
      <c r="J69" s="131"/>
      <c r="K69" s="131"/>
      <c r="L69" s="131"/>
      <c r="M69" s="131"/>
      <c r="N69" s="131"/>
      <c r="O69" s="131"/>
      <c r="P69" s="131"/>
      <c r="Q69" s="131"/>
      <c r="R69" s="131"/>
      <c r="S69" s="131"/>
      <c r="T69" s="131"/>
      <c r="U69" s="131"/>
      <c r="V69" s="131"/>
      <c r="W69" s="131"/>
      <c r="X69" s="131"/>
    </row>
    <row r="70" spans="1:24" ht="13.5" customHeight="1">
      <c r="A70" s="141"/>
      <c r="B70" s="146" t="s">
        <v>713</v>
      </c>
      <c r="C70" s="146" t="s">
        <v>714</v>
      </c>
      <c r="D70" s="150" t="s">
        <v>697</v>
      </c>
      <c r="E70" s="149">
        <f>+E15</f>
        <v>180</v>
      </c>
      <c r="F70" s="145">
        <v>135</v>
      </c>
      <c r="G70" s="145">
        <f>(E70*(0.1*1*1.1*10.764))+(F70*3.28)</f>
        <v>655.92719999999997</v>
      </c>
      <c r="H70" s="141" t="s">
        <v>358</v>
      </c>
      <c r="I70" s="131"/>
      <c r="J70" s="131"/>
      <c r="K70" s="131"/>
      <c r="L70" s="131"/>
      <c r="M70" s="131"/>
      <c r="N70" s="131"/>
      <c r="O70" s="131"/>
      <c r="P70" s="131"/>
      <c r="Q70" s="131"/>
      <c r="R70" s="131"/>
      <c r="S70" s="131"/>
      <c r="T70" s="131"/>
      <c r="U70" s="131"/>
      <c r="V70" s="131"/>
      <c r="W70" s="131"/>
      <c r="X70" s="131"/>
    </row>
    <row r="71" spans="1:24" ht="13.5" customHeight="1">
      <c r="A71" s="141"/>
      <c r="B71" s="146" t="s">
        <v>715</v>
      </c>
      <c r="C71" s="146" t="s">
        <v>408</v>
      </c>
      <c r="D71" s="150" t="s">
        <v>697</v>
      </c>
      <c r="E71" s="149">
        <f>+E70</f>
        <v>180</v>
      </c>
      <c r="F71" s="145">
        <v>135</v>
      </c>
      <c r="G71" s="145">
        <f>(E71*(0.1*1*1.1*10.764))+(F71*3.28)</f>
        <v>655.92719999999997</v>
      </c>
      <c r="H71" s="141" t="s">
        <v>358</v>
      </c>
      <c r="I71" s="131"/>
      <c r="J71" s="131"/>
      <c r="K71" s="131"/>
      <c r="L71" s="131"/>
      <c r="M71" s="131"/>
      <c r="N71" s="131"/>
      <c r="O71" s="131"/>
      <c r="P71" s="131"/>
      <c r="Q71" s="131"/>
      <c r="R71" s="131"/>
      <c r="S71" s="131"/>
      <c r="T71" s="131"/>
      <c r="U71" s="131"/>
      <c r="V71" s="131"/>
      <c r="W71" s="131"/>
      <c r="X71" s="131"/>
    </row>
    <row r="72" spans="1:24" ht="13.5" customHeight="1">
      <c r="A72" s="141"/>
      <c r="B72" s="146" t="s">
        <v>716</v>
      </c>
      <c r="C72" s="146" t="s">
        <v>717</v>
      </c>
      <c r="D72" s="150" t="s">
        <v>697</v>
      </c>
      <c r="E72" s="149">
        <f>60</f>
        <v>60</v>
      </c>
      <c r="F72" s="145">
        <v>100</v>
      </c>
      <c r="G72" s="145">
        <f>(E72*(0.1*1*1.1*10.764))+(F72*3.28)</f>
        <v>399.04239999999999</v>
      </c>
      <c r="H72" s="141" t="s">
        <v>358</v>
      </c>
      <c r="I72" s="131"/>
      <c r="J72" s="131"/>
      <c r="K72" s="131"/>
      <c r="L72" s="131"/>
      <c r="M72" s="131"/>
      <c r="N72" s="131"/>
      <c r="O72" s="131"/>
      <c r="P72" s="131"/>
      <c r="Q72" s="131"/>
      <c r="R72" s="131"/>
      <c r="S72" s="131"/>
      <c r="T72" s="131"/>
      <c r="U72" s="131"/>
      <c r="V72" s="131"/>
      <c r="W72" s="131"/>
      <c r="X72" s="131"/>
    </row>
    <row r="73" spans="1:24" ht="13.5" customHeight="1">
      <c r="A73" s="141"/>
      <c r="B73" s="146" t="s">
        <v>718</v>
      </c>
      <c r="C73" s="146" t="s">
        <v>719</v>
      </c>
      <c r="D73" s="148" t="s">
        <v>694</v>
      </c>
      <c r="E73" s="154">
        <f>+E71</f>
        <v>180</v>
      </c>
      <c r="F73" s="145">
        <v>800</v>
      </c>
      <c r="G73" s="145">
        <f>(E73*1.1*10.764)+(F73*1.6*3.28)</f>
        <v>6329.6720000000005</v>
      </c>
      <c r="H73" s="141" t="s">
        <v>327</v>
      </c>
      <c r="I73" s="131"/>
      <c r="J73" s="131"/>
      <c r="K73" s="131"/>
      <c r="L73" s="131"/>
      <c r="M73" s="131"/>
      <c r="N73" s="131"/>
      <c r="O73" s="131"/>
      <c r="P73" s="131"/>
      <c r="Q73" s="131"/>
      <c r="R73" s="131"/>
      <c r="S73" s="131"/>
      <c r="T73" s="131"/>
      <c r="U73" s="131"/>
      <c r="V73" s="131"/>
      <c r="W73" s="131"/>
      <c r="X73" s="131"/>
    </row>
    <row r="74" spans="1:24" ht="13.5" customHeight="1">
      <c r="A74" s="141"/>
      <c r="B74" s="146"/>
      <c r="C74" s="146"/>
      <c r="D74" s="150"/>
      <c r="E74" s="149"/>
      <c r="F74" s="145"/>
      <c r="G74" s="145"/>
      <c r="H74" s="141"/>
      <c r="I74" s="131"/>
      <c r="J74" s="131"/>
      <c r="K74" s="131"/>
      <c r="L74" s="131"/>
      <c r="M74" s="131"/>
      <c r="N74" s="131"/>
      <c r="O74" s="131"/>
      <c r="P74" s="131"/>
      <c r="Q74" s="131"/>
      <c r="R74" s="131"/>
      <c r="S74" s="131"/>
      <c r="T74" s="131"/>
      <c r="U74" s="131"/>
      <c r="V74" s="131"/>
      <c r="W74" s="131"/>
      <c r="X74" s="131"/>
    </row>
    <row r="75" spans="1:24" ht="13.5" customHeight="1">
      <c r="A75" s="142" t="s">
        <v>628</v>
      </c>
      <c r="B75" s="143" t="s">
        <v>493</v>
      </c>
      <c r="C75" s="144"/>
      <c r="D75" s="141"/>
      <c r="E75" s="152"/>
      <c r="F75" s="145"/>
      <c r="G75" s="145"/>
      <c r="H75" s="141"/>
      <c r="I75" s="131"/>
      <c r="J75" s="131"/>
      <c r="K75" s="131"/>
      <c r="L75" s="131"/>
      <c r="M75" s="131"/>
      <c r="N75" s="131"/>
      <c r="O75" s="131"/>
      <c r="P75" s="131"/>
      <c r="Q75" s="131"/>
      <c r="R75" s="131"/>
      <c r="S75" s="131"/>
      <c r="T75" s="131"/>
      <c r="U75" s="131"/>
      <c r="V75" s="131"/>
      <c r="W75" s="131"/>
      <c r="X75" s="131"/>
    </row>
    <row r="76" spans="1:24" ht="13.5" customHeight="1">
      <c r="A76" s="141"/>
      <c r="B76" s="146" t="s">
        <v>355</v>
      </c>
      <c r="C76" s="146" t="s">
        <v>720</v>
      </c>
      <c r="D76" s="148" t="s">
        <v>694</v>
      </c>
      <c r="E76" s="149">
        <f>+E62</f>
        <v>50</v>
      </c>
      <c r="F76" s="145">
        <f>+F62</f>
        <v>75</v>
      </c>
      <c r="G76" s="145">
        <f>+(E76*1.1+F76)*10.764</f>
        <v>1399.32</v>
      </c>
      <c r="H76" s="141" t="s">
        <v>327</v>
      </c>
      <c r="I76" s="131"/>
      <c r="J76" s="131"/>
      <c r="K76" s="131"/>
      <c r="L76" s="131"/>
      <c r="M76" s="131"/>
      <c r="N76" s="131"/>
      <c r="O76" s="131"/>
      <c r="P76" s="131"/>
      <c r="Q76" s="131"/>
      <c r="R76" s="131"/>
      <c r="S76" s="131"/>
      <c r="T76" s="131"/>
      <c r="U76" s="131"/>
      <c r="V76" s="131"/>
      <c r="W76" s="131"/>
      <c r="X76" s="131"/>
    </row>
    <row r="77" spans="1:24" ht="13.5" customHeight="1">
      <c r="A77" s="141"/>
      <c r="B77" s="146" t="s">
        <v>695</v>
      </c>
      <c r="C77" s="146" t="s">
        <v>699</v>
      </c>
      <c r="D77" s="148" t="s">
        <v>697</v>
      </c>
      <c r="E77" s="149"/>
      <c r="F77" s="145"/>
      <c r="G77" s="145"/>
      <c r="H77" s="141" t="s">
        <v>711</v>
      </c>
      <c r="I77" s="131"/>
      <c r="J77" s="131"/>
      <c r="K77" s="131"/>
      <c r="L77" s="131"/>
      <c r="M77" s="131"/>
      <c r="N77" s="131"/>
      <c r="O77" s="131"/>
      <c r="P77" s="131"/>
      <c r="Q77" s="131"/>
      <c r="R77" s="131"/>
      <c r="S77" s="131"/>
      <c r="T77" s="131"/>
      <c r="U77" s="131"/>
      <c r="V77" s="131"/>
      <c r="W77" s="131"/>
      <c r="X77" s="131"/>
    </row>
    <row r="78" spans="1:24" ht="13.5" customHeight="1">
      <c r="A78" s="141"/>
      <c r="B78" s="146" t="s">
        <v>698</v>
      </c>
      <c r="C78" s="146" t="s">
        <v>712</v>
      </c>
      <c r="D78" s="148" t="s">
        <v>694</v>
      </c>
      <c r="E78" s="149">
        <f>+E64</f>
        <v>50</v>
      </c>
      <c r="F78" s="145">
        <f>+F64</f>
        <v>80</v>
      </c>
      <c r="G78" s="145">
        <f>+(E78*1.15+F78)*10.764</f>
        <v>1480.05</v>
      </c>
      <c r="H78" s="141" t="s">
        <v>327</v>
      </c>
      <c r="I78" s="131"/>
      <c r="J78" s="131"/>
      <c r="K78" s="131"/>
      <c r="L78" s="131"/>
      <c r="M78" s="131"/>
      <c r="N78" s="131"/>
      <c r="O78" s="131"/>
      <c r="P78" s="131"/>
      <c r="Q78" s="131"/>
      <c r="R78" s="131"/>
      <c r="S78" s="131"/>
      <c r="T78" s="131"/>
      <c r="U78" s="131"/>
      <c r="V78" s="131"/>
      <c r="W78" s="131"/>
      <c r="X78" s="131"/>
    </row>
    <row r="79" spans="1:24" ht="13.5" customHeight="1">
      <c r="A79" s="141"/>
      <c r="B79" s="146" t="s">
        <v>700</v>
      </c>
      <c r="C79" s="146" t="s">
        <v>701</v>
      </c>
      <c r="D79" s="148" t="s">
        <v>694</v>
      </c>
      <c r="E79" s="149">
        <f>$E$9</f>
        <v>32</v>
      </c>
      <c r="F79" s="145"/>
      <c r="G79" s="145">
        <f t="shared" ref="G79" si="10">+E79*10.764</f>
        <v>344.44799999999998</v>
      </c>
      <c r="H79" s="141" t="s">
        <v>327</v>
      </c>
      <c r="I79" s="131"/>
      <c r="J79" s="131"/>
      <c r="K79" s="131"/>
      <c r="L79" s="131"/>
      <c r="M79" s="131"/>
      <c r="N79" s="131"/>
      <c r="O79" s="131"/>
      <c r="P79" s="131"/>
      <c r="Q79" s="131"/>
      <c r="R79" s="131"/>
    </row>
    <row r="80" spans="1:24" ht="13.5" customHeight="1">
      <c r="A80" s="141"/>
      <c r="B80" s="146" t="s">
        <v>702</v>
      </c>
      <c r="C80" s="146" t="s">
        <v>701</v>
      </c>
      <c r="D80" s="148" t="s">
        <v>694</v>
      </c>
      <c r="E80" s="149">
        <f>$E$10</f>
        <v>32</v>
      </c>
      <c r="F80" s="145"/>
      <c r="G80" s="145">
        <f>+E80*10.764</f>
        <v>344.44799999999998</v>
      </c>
      <c r="H80" s="141" t="s">
        <v>327</v>
      </c>
      <c r="I80" s="131"/>
      <c r="J80" s="131"/>
      <c r="K80" s="131"/>
      <c r="L80" s="131"/>
      <c r="M80" s="131"/>
      <c r="N80" s="131"/>
      <c r="O80" s="131"/>
      <c r="P80" s="131"/>
      <c r="Q80" s="131"/>
      <c r="R80" s="131"/>
    </row>
    <row r="81" spans="1:24" ht="13.5" customHeight="1">
      <c r="A81" s="141"/>
      <c r="B81" s="151" t="s">
        <v>703</v>
      </c>
      <c r="C81" s="146" t="s">
        <v>699</v>
      </c>
      <c r="D81" s="148" t="s">
        <v>694</v>
      </c>
      <c r="E81" s="149"/>
      <c r="F81" s="145"/>
      <c r="G81" s="145"/>
      <c r="H81" s="141" t="s">
        <v>327</v>
      </c>
      <c r="I81" s="131"/>
      <c r="J81" s="131"/>
      <c r="K81" s="131"/>
      <c r="L81" s="131"/>
      <c r="M81" s="131"/>
      <c r="N81" s="131"/>
      <c r="O81" s="131"/>
      <c r="P81" s="131"/>
      <c r="Q81" s="131"/>
      <c r="R81" s="131"/>
    </row>
    <row r="82" spans="1:24" ht="13.5" customHeight="1">
      <c r="A82" s="141"/>
      <c r="B82" s="146" t="s">
        <v>704</v>
      </c>
      <c r="C82" s="146" t="s">
        <v>705</v>
      </c>
      <c r="D82" s="148" t="s">
        <v>694</v>
      </c>
      <c r="E82" s="149">
        <f t="shared" ref="E82:F87" si="11">+E68</f>
        <v>20</v>
      </c>
      <c r="F82" s="145"/>
      <c r="G82" s="145">
        <f t="shared" ref="G82:G83" si="12">+E82*10.764</f>
        <v>215.27999999999997</v>
      </c>
      <c r="H82" s="141" t="s">
        <v>327</v>
      </c>
      <c r="I82" s="131"/>
      <c r="J82" s="131"/>
      <c r="K82" s="131"/>
      <c r="L82" s="131"/>
      <c r="M82" s="131"/>
      <c r="N82" s="131"/>
      <c r="O82" s="131"/>
      <c r="P82" s="131"/>
      <c r="Q82" s="131"/>
      <c r="R82" s="131"/>
    </row>
    <row r="83" spans="1:24" ht="13.5" customHeight="1">
      <c r="A83" s="141"/>
      <c r="B83" s="146" t="s">
        <v>706</v>
      </c>
      <c r="C83" s="146" t="s">
        <v>705</v>
      </c>
      <c r="D83" s="148" t="s">
        <v>694</v>
      </c>
      <c r="E83" s="149">
        <f t="shared" si="11"/>
        <v>20</v>
      </c>
      <c r="F83" s="145"/>
      <c r="G83" s="145">
        <f t="shared" si="12"/>
        <v>215.27999999999997</v>
      </c>
      <c r="H83" s="141" t="s">
        <v>327</v>
      </c>
      <c r="I83" s="131"/>
      <c r="J83" s="131"/>
      <c r="K83" s="131"/>
      <c r="L83" s="131"/>
      <c r="M83" s="131"/>
      <c r="N83" s="131"/>
      <c r="O83" s="131"/>
      <c r="P83" s="131"/>
      <c r="Q83" s="131"/>
      <c r="R83" s="131"/>
    </row>
    <row r="84" spans="1:24" ht="13.5" customHeight="1">
      <c r="A84" s="141"/>
      <c r="B84" s="146" t="s">
        <v>713</v>
      </c>
      <c r="C84" s="146" t="s">
        <v>714</v>
      </c>
      <c r="D84" s="150" t="s">
        <v>697</v>
      </c>
      <c r="E84" s="149">
        <f t="shared" si="11"/>
        <v>180</v>
      </c>
      <c r="F84" s="145">
        <v>135</v>
      </c>
      <c r="G84" s="145">
        <f>(E84*(0.1*1*1.1*10.764))+(F84*3.28)</f>
        <v>655.92719999999997</v>
      </c>
      <c r="H84" s="141" t="s">
        <v>358</v>
      </c>
      <c r="I84" s="131"/>
      <c r="J84" s="131"/>
      <c r="K84" s="131"/>
      <c r="L84" s="131"/>
      <c r="M84" s="131"/>
      <c r="N84" s="131"/>
      <c r="O84" s="131"/>
      <c r="P84" s="131"/>
      <c r="Q84" s="131"/>
      <c r="R84" s="131"/>
    </row>
    <row r="85" spans="1:24" ht="13.5" customHeight="1">
      <c r="A85" s="141"/>
      <c r="B85" s="146" t="s">
        <v>715</v>
      </c>
      <c r="C85" s="146" t="s">
        <v>408</v>
      </c>
      <c r="D85" s="150" t="s">
        <v>697</v>
      </c>
      <c r="E85" s="149">
        <f t="shared" si="11"/>
        <v>180</v>
      </c>
      <c r="F85" s="145">
        <v>135</v>
      </c>
      <c r="G85" s="145">
        <f>(E85*(0.1*1*1.1*10.764))+(F85*3.28)</f>
        <v>655.92719999999997</v>
      </c>
      <c r="H85" s="141" t="s">
        <v>358</v>
      </c>
      <c r="I85" s="131"/>
      <c r="J85" s="131"/>
      <c r="K85" s="131"/>
      <c r="L85" s="131"/>
      <c r="M85" s="131"/>
      <c r="N85" s="131"/>
      <c r="O85" s="131"/>
      <c r="P85" s="131"/>
      <c r="Q85" s="131"/>
      <c r="R85" s="131"/>
      <c r="S85" s="131"/>
      <c r="T85" s="131"/>
      <c r="U85" s="131"/>
      <c r="V85" s="131"/>
      <c r="W85" s="131"/>
      <c r="X85" s="131"/>
    </row>
    <row r="86" spans="1:24" ht="13.5" customHeight="1">
      <c r="A86" s="141"/>
      <c r="B86" s="146" t="s">
        <v>716</v>
      </c>
      <c r="C86" s="146" t="s">
        <v>717</v>
      </c>
      <c r="D86" s="150" t="s">
        <v>697</v>
      </c>
      <c r="E86" s="149">
        <f t="shared" si="11"/>
        <v>60</v>
      </c>
      <c r="F86" s="145">
        <v>100</v>
      </c>
      <c r="G86" s="145">
        <f>(E86*(0.1*1*1.1*10.764))+(F86*3.28)</f>
        <v>399.04239999999999</v>
      </c>
      <c r="H86" s="141" t="s">
        <v>358</v>
      </c>
      <c r="I86" s="131"/>
      <c r="J86" s="131"/>
      <c r="K86" s="131"/>
      <c r="L86" s="131"/>
      <c r="M86" s="131"/>
      <c r="N86" s="131"/>
      <c r="O86" s="131"/>
      <c r="P86" s="131"/>
      <c r="Q86" s="131"/>
      <c r="R86" s="131"/>
      <c r="S86" s="131"/>
      <c r="T86" s="131"/>
      <c r="U86" s="131"/>
      <c r="V86" s="131"/>
      <c r="W86" s="131"/>
      <c r="X86" s="131"/>
    </row>
    <row r="87" spans="1:24" ht="13.5" customHeight="1">
      <c r="A87" s="141"/>
      <c r="B87" s="146" t="s">
        <v>718</v>
      </c>
      <c r="C87" s="146" t="s">
        <v>719</v>
      </c>
      <c r="D87" s="148" t="s">
        <v>694</v>
      </c>
      <c r="E87" s="149">
        <f t="shared" si="11"/>
        <v>180</v>
      </c>
      <c r="F87" s="145">
        <f t="shared" si="11"/>
        <v>800</v>
      </c>
      <c r="G87" s="145">
        <f>(E87*1.1*10.764)+(F87*1.6*3.28)</f>
        <v>6329.6720000000005</v>
      </c>
      <c r="H87" s="141" t="s">
        <v>327</v>
      </c>
      <c r="I87" s="131"/>
      <c r="J87" s="131"/>
      <c r="K87" s="131"/>
      <c r="L87" s="131"/>
      <c r="M87" s="131"/>
      <c r="N87" s="131"/>
      <c r="O87" s="131"/>
      <c r="P87" s="131"/>
      <c r="Q87" s="131"/>
      <c r="R87" s="131"/>
      <c r="S87" s="131"/>
      <c r="T87" s="131"/>
      <c r="U87" s="131"/>
      <c r="V87" s="131"/>
      <c r="W87" s="131"/>
      <c r="X87" s="131"/>
    </row>
    <row r="88" spans="1:24" ht="13.5" customHeight="1">
      <c r="A88" s="141"/>
      <c r="B88" s="146"/>
      <c r="C88" s="146"/>
      <c r="D88" s="150"/>
      <c r="E88" s="149"/>
      <c r="F88" s="145"/>
      <c r="G88" s="145"/>
      <c r="H88" s="141"/>
      <c r="I88" s="131"/>
      <c r="J88" s="131"/>
      <c r="K88" s="131"/>
      <c r="L88" s="131"/>
      <c r="M88" s="131"/>
      <c r="N88" s="131"/>
      <c r="O88" s="131"/>
      <c r="P88" s="131"/>
      <c r="Q88" s="131"/>
      <c r="R88" s="131"/>
      <c r="S88" s="131"/>
      <c r="T88" s="131"/>
      <c r="U88" s="131"/>
      <c r="V88" s="131"/>
      <c r="W88" s="131"/>
      <c r="X88" s="131"/>
    </row>
    <row r="89" spans="1:24" ht="13.5" customHeight="1">
      <c r="A89" s="142" t="s">
        <v>628</v>
      </c>
      <c r="B89" s="143" t="s">
        <v>497</v>
      </c>
      <c r="C89" s="144"/>
      <c r="D89" s="141"/>
      <c r="E89" s="152"/>
      <c r="F89" s="145"/>
      <c r="G89" s="145"/>
      <c r="H89" s="141"/>
      <c r="I89" s="131"/>
      <c r="J89" s="131"/>
      <c r="K89" s="131"/>
      <c r="L89" s="131"/>
      <c r="M89" s="131"/>
      <c r="N89" s="131"/>
      <c r="O89" s="131"/>
      <c r="P89" s="131"/>
      <c r="Q89" s="131"/>
      <c r="R89" s="131"/>
      <c r="S89" s="131"/>
      <c r="T89" s="131"/>
      <c r="U89" s="131"/>
      <c r="V89" s="131"/>
      <c r="W89" s="131"/>
      <c r="X89" s="131"/>
    </row>
    <row r="90" spans="1:24" ht="13.5" customHeight="1">
      <c r="A90" s="141"/>
      <c r="B90" s="146" t="s">
        <v>355</v>
      </c>
      <c r="C90" s="155" t="s">
        <v>720</v>
      </c>
      <c r="D90" s="148" t="s">
        <v>694</v>
      </c>
      <c r="E90" s="149">
        <f>+E6</f>
        <v>45</v>
      </c>
      <c r="F90" s="145">
        <f>+F6</f>
        <v>75</v>
      </c>
      <c r="G90" s="145">
        <f>+(E90*1.1+F90)*10.764</f>
        <v>1340.1179999999999</v>
      </c>
      <c r="H90" s="141" t="s">
        <v>327</v>
      </c>
      <c r="I90" s="131"/>
      <c r="J90" s="131"/>
      <c r="K90" s="131"/>
      <c r="L90" s="131"/>
      <c r="M90" s="131"/>
      <c r="N90" s="131"/>
      <c r="O90" s="131"/>
      <c r="P90" s="131"/>
      <c r="Q90" s="131"/>
      <c r="R90" s="131"/>
      <c r="S90" s="131"/>
      <c r="T90" s="131"/>
      <c r="U90" s="131"/>
      <c r="V90" s="131"/>
      <c r="W90" s="131"/>
      <c r="X90" s="131"/>
    </row>
    <row r="91" spans="1:24" ht="13.5" customHeight="1">
      <c r="A91" s="141"/>
      <c r="B91" s="146" t="s">
        <v>695</v>
      </c>
      <c r="C91" s="155" t="s">
        <v>699</v>
      </c>
      <c r="D91" s="150" t="s">
        <v>697</v>
      </c>
      <c r="E91" s="149"/>
      <c r="F91" s="145"/>
      <c r="G91" s="145"/>
      <c r="H91" s="141" t="s">
        <v>711</v>
      </c>
      <c r="I91" s="131"/>
      <c r="J91" s="131"/>
      <c r="K91" s="131"/>
      <c r="L91" s="131"/>
      <c r="M91" s="131"/>
      <c r="N91" s="131"/>
      <c r="O91" s="131"/>
      <c r="P91" s="131"/>
      <c r="Q91" s="131"/>
      <c r="R91" s="131"/>
      <c r="S91" s="131"/>
      <c r="T91" s="131"/>
      <c r="U91" s="131"/>
      <c r="V91" s="131"/>
      <c r="W91" s="131"/>
      <c r="X91" s="131"/>
    </row>
    <row r="92" spans="1:24" ht="13.5" customHeight="1">
      <c r="A92" s="141"/>
      <c r="B92" s="146" t="s">
        <v>698</v>
      </c>
      <c r="C92" s="155" t="s">
        <v>712</v>
      </c>
      <c r="D92" s="148" t="s">
        <v>694</v>
      </c>
      <c r="E92" s="149">
        <f>+E90</f>
        <v>45</v>
      </c>
      <c r="F92" s="145">
        <f>+F64</f>
        <v>80</v>
      </c>
      <c r="G92" s="145">
        <f>+(E92*1.1+F92)*10.764</f>
        <v>1393.9379999999999</v>
      </c>
      <c r="H92" s="141" t="s">
        <v>327</v>
      </c>
      <c r="I92" s="131"/>
      <c r="J92" s="131"/>
      <c r="K92" s="131"/>
      <c r="L92" s="131"/>
      <c r="M92" s="131"/>
      <c r="N92" s="131"/>
      <c r="O92" s="131"/>
      <c r="P92" s="131"/>
      <c r="Q92" s="131"/>
      <c r="R92" s="131"/>
      <c r="S92" s="131"/>
      <c r="T92" s="131"/>
      <c r="U92" s="131"/>
      <c r="V92" s="131"/>
      <c r="W92" s="131"/>
      <c r="X92" s="131"/>
    </row>
    <row r="93" spans="1:24" ht="13.5" customHeight="1">
      <c r="A93" s="141"/>
      <c r="B93" s="146" t="s">
        <v>755</v>
      </c>
      <c r="C93" s="155" t="s">
        <v>767</v>
      </c>
      <c r="D93" s="156" t="s">
        <v>694</v>
      </c>
      <c r="E93" s="149">
        <v>23</v>
      </c>
      <c r="F93" s="145">
        <f>+F92</f>
        <v>80</v>
      </c>
      <c r="G93" s="145">
        <f>+(E93*1.1+F93)*10.764</f>
        <v>1133.4491999999998</v>
      </c>
      <c r="H93" s="141" t="s">
        <v>327</v>
      </c>
      <c r="I93" s="131"/>
      <c r="J93" s="131"/>
      <c r="K93" s="131"/>
      <c r="L93" s="131"/>
      <c r="M93" s="131"/>
      <c r="N93" s="131"/>
      <c r="O93" s="131"/>
      <c r="P93" s="131"/>
      <c r="Q93" s="131"/>
      <c r="R93" s="131"/>
      <c r="S93" s="131"/>
      <c r="T93" s="131"/>
      <c r="U93" s="131"/>
      <c r="V93" s="131"/>
      <c r="W93" s="131"/>
      <c r="X93" s="131"/>
    </row>
    <row r="94" spans="1:24" ht="13.5" customHeight="1">
      <c r="A94" s="141"/>
      <c r="B94" s="146" t="s">
        <v>700</v>
      </c>
      <c r="C94" s="155" t="s">
        <v>701</v>
      </c>
      <c r="D94" s="148" t="s">
        <v>694</v>
      </c>
      <c r="E94" s="149">
        <f>$E$9</f>
        <v>32</v>
      </c>
      <c r="F94" s="145"/>
      <c r="G94" s="145">
        <v>376.73999999999995</v>
      </c>
      <c r="H94" s="141" t="s">
        <v>327</v>
      </c>
      <c r="I94" s="131"/>
      <c r="J94" s="131"/>
      <c r="K94" s="131"/>
      <c r="L94" s="131"/>
      <c r="M94" s="131"/>
      <c r="N94" s="131"/>
      <c r="O94" s="131"/>
      <c r="P94" s="131"/>
      <c r="Q94" s="131"/>
      <c r="R94" s="131"/>
      <c r="S94" s="131"/>
      <c r="T94" s="131"/>
      <c r="U94" s="131"/>
      <c r="V94" s="131"/>
      <c r="W94" s="131"/>
      <c r="X94" s="131"/>
    </row>
    <row r="95" spans="1:24" ht="13.5" customHeight="1">
      <c r="A95" s="141"/>
      <c r="B95" s="146" t="s">
        <v>702</v>
      </c>
      <c r="C95" s="155" t="s">
        <v>701</v>
      </c>
      <c r="D95" s="148" t="s">
        <v>694</v>
      </c>
      <c r="E95" s="149">
        <f>$E$10</f>
        <v>32</v>
      </c>
      <c r="F95" s="145"/>
      <c r="G95" s="145">
        <f>+E95*10.764</f>
        <v>344.44799999999998</v>
      </c>
      <c r="H95" s="141" t="s">
        <v>327</v>
      </c>
      <c r="I95" s="131"/>
      <c r="J95" s="131"/>
      <c r="K95" s="131"/>
      <c r="L95" s="131"/>
      <c r="M95" s="131"/>
      <c r="N95" s="131"/>
      <c r="O95" s="131"/>
      <c r="P95" s="131"/>
      <c r="Q95" s="131"/>
      <c r="R95" s="131"/>
      <c r="S95" s="131"/>
      <c r="T95" s="131"/>
      <c r="U95" s="131"/>
      <c r="V95" s="131"/>
      <c r="W95" s="131"/>
      <c r="X95" s="131"/>
    </row>
    <row r="96" spans="1:24" ht="13.5" customHeight="1">
      <c r="A96" s="141"/>
      <c r="B96" s="151" t="s">
        <v>703</v>
      </c>
      <c r="C96" s="155" t="s">
        <v>699</v>
      </c>
      <c r="D96" s="148" t="s">
        <v>694</v>
      </c>
      <c r="E96" s="149"/>
      <c r="F96" s="145"/>
      <c r="G96" s="145"/>
      <c r="H96" s="141" t="s">
        <v>327</v>
      </c>
      <c r="I96" s="131"/>
      <c r="J96" s="131"/>
      <c r="K96" s="131"/>
      <c r="L96" s="131"/>
      <c r="M96" s="131"/>
      <c r="N96" s="131"/>
      <c r="O96" s="131"/>
      <c r="P96" s="131"/>
      <c r="Q96" s="131"/>
      <c r="R96" s="131"/>
      <c r="S96" s="131"/>
      <c r="T96" s="131"/>
      <c r="U96" s="131"/>
      <c r="V96" s="131"/>
      <c r="W96" s="131"/>
      <c r="X96" s="131"/>
    </row>
    <row r="97" spans="1:24" ht="13.5" customHeight="1">
      <c r="A97" s="141"/>
      <c r="B97" s="146" t="s">
        <v>704</v>
      </c>
      <c r="C97" s="155" t="s">
        <v>705</v>
      </c>
      <c r="D97" s="148" t="s">
        <v>694</v>
      </c>
      <c r="E97" s="149">
        <f>$E$12</f>
        <v>20</v>
      </c>
      <c r="F97" s="145"/>
      <c r="G97" s="145">
        <f>E97*10.764</f>
        <v>215.27999999999997</v>
      </c>
      <c r="H97" s="141" t="s">
        <v>327</v>
      </c>
      <c r="I97" s="131"/>
      <c r="J97" s="131"/>
      <c r="K97" s="131"/>
      <c r="L97" s="131"/>
      <c r="M97" s="131"/>
      <c r="N97" s="131"/>
      <c r="O97" s="131"/>
      <c r="P97" s="131"/>
      <c r="Q97" s="131"/>
      <c r="R97" s="131"/>
      <c r="S97" s="131"/>
      <c r="T97" s="131"/>
      <c r="U97" s="131"/>
      <c r="V97" s="131"/>
      <c r="W97" s="131"/>
      <c r="X97" s="131"/>
    </row>
    <row r="98" spans="1:24" ht="13.5" customHeight="1">
      <c r="A98" s="141"/>
      <c r="B98" s="146" t="s">
        <v>706</v>
      </c>
      <c r="C98" s="155" t="s">
        <v>705</v>
      </c>
      <c r="D98" s="148" t="s">
        <v>694</v>
      </c>
      <c r="E98" s="149">
        <f>E97</f>
        <v>20</v>
      </c>
      <c r="F98" s="145"/>
      <c r="G98" s="145">
        <f>E98*10.764</f>
        <v>215.27999999999997</v>
      </c>
      <c r="H98" s="141" t="s">
        <v>327</v>
      </c>
      <c r="I98" s="131"/>
      <c r="J98" s="131"/>
      <c r="K98" s="131"/>
      <c r="L98" s="131"/>
      <c r="M98" s="131"/>
      <c r="N98" s="131"/>
      <c r="O98" s="131"/>
      <c r="P98" s="131"/>
      <c r="Q98" s="131"/>
      <c r="R98" s="131"/>
      <c r="S98" s="131"/>
      <c r="T98" s="131"/>
      <c r="U98" s="131"/>
      <c r="V98" s="131"/>
      <c r="W98" s="131"/>
      <c r="X98" s="131"/>
    </row>
    <row r="99" spans="1:24" ht="13.5" customHeight="1">
      <c r="A99" s="141"/>
      <c r="B99" s="146" t="s">
        <v>713</v>
      </c>
      <c r="C99" s="146" t="s">
        <v>699</v>
      </c>
      <c r="D99" s="150" t="s">
        <v>697</v>
      </c>
      <c r="E99" s="149"/>
      <c r="F99" s="145"/>
      <c r="G99" s="145"/>
      <c r="H99" s="141" t="s">
        <v>327</v>
      </c>
      <c r="I99" s="131"/>
      <c r="J99" s="131"/>
      <c r="K99" s="131"/>
      <c r="L99" s="131"/>
      <c r="M99" s="131"/>
      <c r="N99" s="131"/>
      <c r="O99" s="131"/>
      <c r="P99" s="131"/>
      <c r="Q99" s="131"/>
      <c r="R99" s="131"/>
      <c r="S99" s="131"/>
      <c r="T99" s="131"/>
      <c r="U99" s="131"/>
      <c r="V99" s="131"/>
      <c r="W99" s="131"/>
      <c r="X99" s="131"/>
    </row>
    <row r="100" spans="1:24" ht="13.5" customHeight="1">
      <c r="A100" s="141"/>
      <c r="B100" s="146" t="s">
        <v>715</v>
      </c>
      <c r="C100" s="146" t="s">
        <v>408</v>
      </c>
      <c r="D100" s="150" t="s">
        <v>697</v>
      </c>
      <c r="E100" s="149">
        <f>+E84</f>
        <v>180</v>
      </c>
      <c r="F100" s="145">
        <v>135</v>
      </c>
      <c r="G100" s="145">
        <f>(E100*(0.1*1*1.1*10.764))+(F100*3.28)</f>
        <v>655.92719999999997</v>
      </c>
      <c r="H100" s="141" t="s">
        <v>358</v>
      </c>
      <c r="I100" s="131"/>
      <c r="J100" s="131"/>
      <c r="K100" s="131"/>
      <c r="L100" s="131"/>
      <c r="M100" s="131"/>
      <c r="N100" s="131"/>
      <c r="O100" s="131"/>
      <c r="P100" s="131"/>
      <c r="Q100" s="131"/>
      <c r="R100" s="131"/>
      <c r="S100" s="131"/>
      <c r="T100" s="131"/>
      <c r="U100" s="131"/>
      <c r="V100" s="131"/>
      <c r="W100" s="131"/>
      <c r="X100" s="131"/>
    </row>
    <row r="101" spans="1:24" ht="13.5" customHeight="1">
      <c r="A101" s="141"/>
      <c r="B101" s="146" t="s">
        <v>716</v>
      </c>
      <c r="C101" s="146" t="s">
        <v>717</v>
      </c>
      <c r="D101" s="150" t="s">
        <v>697</v>
      </c>
      <c r="E101" s="149">
        <f>60</f>
        <v>60</v>
      </c>
      <c r="F101" s="145">
        <v>100</v>
      </c>
      <c r="G101" s="145">
        <f>(E101*(0.1*1*1.1*10.764))+(F101*3.28)</f>
        <v>399.04239999999999</v>
      </c>
      <c r="H101" s="141" t="s">
        <v>358</v>
      </c>
      <c r="I101" s="131"/>
      <c r="J101" s="131"/>
      <c r="K101" s="131"/>
      <c r="L101" s="131"/>
      <c r="M101" s="131"/>
      <c r="N101" s="131"/>
      <c r="O101" s="131"/>
      <c r="P101" s="131"/>
      <c r="Q101" s="131"/>
      <c r="R101" s="131"/>
      <c r="S101" s="131"/>
      <c r="T101" s="131"/>
      <c r="U101" s="131"/>
      <c r="V101" s="131"/>
      <c r="W101" s="131"/>
      <c r="X101" s="131"/>
    </row>
    <row r="102" spans="1:24" ht="13.5" customHeight="1">
      <c r="A102" s="141"/>
      <c r="B102" s="146" t="s">
        <v>747</v>
      </c>
      <c r="C102" s="155" t="s">
        <v>768</v>
      </c>
      <c r="D102" s="150" t="s">
        <v>697</v>
      </c>
      <c r="E102" s="149">
        <f>E100</f>
        <v>180</v>
      </c>
      <c r="F102" s="145">
        <v>800</v>
      </c>
      <c r="G102" s="145">
        <f>(E102*(2.2*1.1*10.764))+(F102*3.28)</f>
        <v>7312.7984000000006</v>
      </c>
      <c r="H102" s="141" t="s">
        <v>358</v>
      </c>
      <c r="I102" s="131"/>
      <c r="J102" s="131"/>
      <c r="K102" s="131"/>
      <c r="L102" s="131"/>
      <c r="M102" s="131"/>
      <c r="N102" s="131"/>
      <c r="O102" s="131"/>
      <c r="P102" s="131"/>
      <c r="Q102" s="131"/>
      <c r="R102" s="131"/>
      <c r="S102" s="131"/>
      <c r="T102" s="131"/>
      <c r="U102" s="131"/>
      <c r="V102" s="131"/>
      <c r="W102" s="131"/>
      <c r="X102" s="131"/>
    </row>
    <row r="103" spans="1:24" s="162" customFormat="1" ht="13.5" customHeight="1">
      <c r="A103" s="141"/>
      <c r="B103" s="146" t="s">
        <v>666</v>
      </c>
      <c r="C103" s="155" t="s">
        <v>721</v>
      </c>
      <c r="D103" s="150" t="s">
        <v>697</v>
      </c>
      <c r="E103" s="149">
        <f>+E102</f>
        <v>180</v>
      </c>
      <c r="F103" s="145">
        <v>800</v>
      </c>
      <c r="G103" s="145">
        <f>(E103*(2.2*1.1*10.764))+(F103*3.28)</f>
        <v>7312.7984000000006</v>
      </c>
      <c r="H103" s="141" t="s">
        <v>358</v>
      </c>
      <c r="I103" s="161"/>
      <c r="J103" s="161"/>
      <c r="K103" s="161"/>
      <c r="L103" s="161"/>
      <c r="M103" s="161"/>
      <c r="N103" s="161"/>
      <c r="O103" s="161"/>
      <c r="P103" s="161"/>
      <c r="Q103" s="161"/>
      <c r="R103" s="161"/>
      <c r="S103" s="161"/>
      <c r="T103" s="161"/>
      <c r="U103" s="161"/>
      <c r="V103" s="161"/>
      <c r="W103" s="161"/>
      <c r="X103" s="161"/>
    </row>
    <row r="104" spans="1:24" ht="13.5" customHeight="1">
      <c r="A104" s="141"/>
      <c r="B104" s="146"/>
      <c r="C104" s="146"/>
      <c r="D104" s="150"/>
      <c r="E104" s="149"/>
      <c r="F104" s="145"/>
      <c r="G104" s="145"/>
      <c r="H104" s="141"/>
      <c r="I104" s="131"/>
      <c r="J104" s="131"/>
      <c r="K104" s="131"/>
      <c r="L104" s="131"/>
      <c r="M104" s="131"/>
      <c r="N104" s="131"/>
      <c r="O104" s="131"/>
      <c r="P104" s="131"/>
      <c r="Q104" s="131"/>
      <c r="R104" s="131"/>
      <c r="S104" s="131"/>
      <c r="T104" s="131"/>
      <c r="U104" s="131"/>
      <c r="V104" s="131"/>
      <c r="W104" s="131"/>
      <c r="X104" s="131"/>
    </row>
    <row r="105" spans="1:24" ht="13.5" customHeight="1">
      <c r="A105" s="142" t="s">
        <v>628</v>
      </c>
      <c r="B105" s="143" t="s">
        <v>769</v>
      </c>
      <c r="C105" s="144"/>
      <c r="D105" s="141"/>
      <c r="E105" s="152"/>
      <c r="F105" s="145"/>
      <c r="G105" s="145"/>
      <c r="H105" s="141"/>
      <c r="I105" s="131"/>
      <c r="J105" s="131"/>
      <c r="K105" s="131"/>
      <c r="L105" s="131"/>
      <c r="M105" s="131"/>
      <c r="N105" s="131"/>
      <c r="O105" s="131"/>
      <c r="P105" s="131"/>
      <c r="Q105" s="131"/>
      <c r="R105" s="131"/>
      <c r="S105" s="131"/>
      <c r="T105" s="131"/>
      <c r="U105" s="131"/>
      <c r="V105" s="131"/>
      <c r="W105" s="131"/>
      <c r="X105" s="131"/>
    </row>
    <row r="106" spans="1:24" ht="13.5" customHeight="1">
      <c r="A106" s="141"/>
      <c r="B106" s="146" t="s">
        <v>355</v>
      </c>
      <c r="C106" s="147" t="s">
        <v>693</v>
      </c>
      <c r="D106" s="148" t="s">
        <v>694</v>
      </c>
      <c r="E106" s="149">
        <v>55</v>
      </c>
      <c r="F106" s="145">
        <v>70</v>
      </c>
      <c r="G106" s="145">
        <f>+(E106*1.1+F106)*10.764</f>
        <v>1404.702</v>
      </c>
      <c r="H106" s="141" t="s">
        <v>327</v>
      </c>
      <c r="I106" s="131"/>
      <c r="J106" s="131"/>
      <c r="K106" s="131"/>
      <c r="L106" s="131"/>
      <c r="M106" s="131"/>
      <c r="N106" s="131"/>
      <c r="O106" s="131"/>
      <c r="P106" s="131"/>
      <c r="Q106" s="131"/>
      <c r="R106" s="131"/>
      <c r="S106" s="131"/>
      <c r="T106" s="131"/>
      <c r="U106" s="131"/>
      <c r="V106" s="131"/>
      <c r="W106" s="131"/>
      <c r="X106" s="131"/>
    </row>
    <row r="107" spans="1:24" ht="13.5" customHeight="1">
      <c r="A107" s="141"/>
      <c r="B107" s="146" t="s">
        <v>695</v>
      </c>
      <c r="C107" s="147" t="s">
        <v>696</v>
      </c>
      <c r="D107" s="148" t="s">
        <v>697</v>
      </c>
      <c r="E107" s="149">
        <v>55</v>
      </c>
      <c r="F107" s="145">
        <v>65</v>
      </c>
      <c r="G107" s="145">
        <f>(E107*1.1+F107)*3.28</f>
        <v>411.64</v>
      </c>
      <c r="H107" s="141" t="s">
        <v>358</v>
      </c>
      <c r="I107" s="131"/>
      <c r="J107" s="131"/>
      <c r="K107" s="131"/>
      <c r="L107" s="131"/>
      <c r="M107" s="131"/>
      <c r="N107" s="131"/>
      <c r="O107" s="131"/>
      <c r="P107" s="131"/>
      <c r="Q107" s="131"/>
      <c r="R107" s="131"/>
      <c r="S107" s="131"/>
      <c r="T107" s="131"/>
      <c r="U107" s="131"/>
      <c r="V107" s="131"/>
      <c r="W107" s="131"/>
      <c r="X107" s="131"/>
    </row>
    <row r="108" spans="1:24" ht="13.5" customHeight="1">
      <c r="A108" s="141"/>
      <c r="B108" s="146" t="s">
        <v>698</v>
      </c>
      <c r="C108" s="146" t="s">
        <v>699</v>
      </c>
      <c r="D108" s="150" t="s">
        <v>694</v>
      </c>
      <c r="E108" s="149"/>
      <c r="F108" s="145"/>
      <c r="G108" s="145"/>
      <c r="H108" s="141" t="s">
        <v>327</v>
      </c>
      <c r="I108" s="131"/>
      <c r="J108" s="131"/>
      <c r="K108" s="131"/>
      <c r="L108" s="131"/>
      <c r="M108" s="131"/>
      <c r="N108" s="131"/>
      <c r="O108" s="131"/>
      <c r="P108" s="131"/>
      <c r="Q108" s="131"/>
      <c r="R108" s="131"/>
      <c r="S108" s="131"/>
      <c r="T108" s="131"/>
      <c r="U108" s="131"/>
      <c r="V108" s="131"/>
      <c r="W108" s="131"/>
      <c r="X108" s="131"/>
    </row>
    <row r="109" spans="1:24" ht="13.5" customHeight="1">
      <c r="A109" s="141"/>
      <c r="B109" s="146" t="s">
        <v>700</v>
      </c>
      <c r="C109" s="146" t="s">
        <v>701</v>
      </c>
      <c r="D109" s="148" t="s">
        <v>694</v>
      </c>
      <c r="E109" s="149">
        <f>$E$9</f>
        <v>32</v>
      </c>
      <c r="F109" s="145"/>
      <c r="G109" s="145">
        <f t="shared" ref="G109" si="13">+E109*10.764</f>
        <v>344.44799999999998</v>
      </c>
      <c r="H109" s="141" t="s">
        <v>327</v>
      </c>
      <c r="I109" s="131"/>
      <c r="J109" s="131"/>
      <c r="K109" s="131"/>
      <c r="L109" s="131"/>
      <c r="M109" s="131"/>
      <c r="N109" s="131"/>
      <c r="O109" s="131"/>
      <c r="P109" s="131"/>
      <c r="Q109" s="131"/>
      <c r="R109" s="131"/>
      <c r="S109" s="131"/>
      <c r="T109" s="131"/>
      <c r="U109" s="131"/>
      <c r="V109" s="131"/>
      <c r="W109" s="131"/>
      <c r="X109" s="131"/>
    </row>
    <row r="110" spans="1:24" ht="13.5" customHeight="1">
      <c r="A110" s="141"/>
      <c r="B110" s="146" t="s">
        <v>702</v>
      </c>
      <c r="C110" s="146" t="s">
        <v>701</v>
      </c>
      <c r="D110" s="148" t="s">
        <v>694</v>
      </c>
      <c r="E110" s="149">
        <f>$E$10</f>
        <v>32</v>
      </c>
      <c r="F110" s="145"/>
      <c r="G110" s="145">
        <f>+E110*10.764</f>
        <v>344.44799999999998</v>
      </c>
      <c r="H110" s="141" t="s">
        <v>327</v>
      </c>
      <c r="I110" s="131"/>
      <c r="J110" s="131"/>
      <c r="K110" s="131"/>
      <c r="L110" s="131"/>
      <c r="M110" s="131"/>
      <c r="N110" s="131"/>
      <c r="O110" s="131"/>
      <c r="P110" s="131"/>
      <c r="Q110" s="131"/>
      <c r="R110" s="131"/>
      <c r="S110" s="131"/>
      <c r="T110" s="131"/>
      <c r="U110" s="131"/>
      <c r="V110" s="131"/>
      <c r="W110" s="131"/>
      <c r="X110" s="131"/>
    </row>
    <row r="111" spans="1:24" ht="13.5" customHeight="1">
      <c r="A111" s="141"/>
      <c r="B111" s="151" t="s">
        <v>703</v>
      </c>
      <c r="C111" s="146" t="s">
        <v>699</v>
      </c>
      <c r="D111" s="148" t="s">
        <v>694</v>
      </c>
      <c r="E111" s="149"/>
      <c r="F111" s="145"/>
      <c r="G111" s="145"/>
      <c r="H111" s="141" t="s">
        <v>327</v>
      </c>
      <c r="I111" s="131"/>
      <c r="J111" s="131"/>
      <c r="K111" s="131"/>
      <c r="L111" s="131"/>
      <c r="M111" s="131"/>
      <c r="N111" s="131"/>
      <c r="O111" s="131"/>
      <c r="P111" s="131"/>
      <c r="Q111" s="131"/>
      <c r="R111" s="131"/>
      <c r="S111" s="131"/>
      <c r="T111" s="131"/>
      <c r="U111" s="131"/>
      <c r="V111" s="131"/>
      <c r="W111" s="131"/>
      <c r="X111" s="131"/>
    </row>
    <row r="112" spans="1:24" ht="13.5" customHeight="1">
      <c r="A112" s="141"/>
      <c r="B112" s="146" t="s">
        <v>704</v>
      </c>
      <c r="C112" s="146" t="s">
        <v>705</v>
      </c>
      <c r="D112" s="148" t="s">
        <v>694</v>
      </c>
      <c r="E112" s="149">
        <f>$E$12</f>
        <v>20</v>
      </c>
      <c r="F112" s="145"/>
      <c r="G112" s="145">
        <f>+E112*10.764</f>
        <v>215.27999999999997</v>
      </c>
      <c r="H112" s="141" t="s">
        <v>327</v>
      </c>
      <c r="I112" s="131"/>
      <c r="J112" s="131"/>
      <c r="K112" s="131"/>
      <c r="L112" s="131"/>
      <c r="M112" s="131"/>
      <c r="N112" s="131"/>
      <c r="O112" s="131"/>
      <c r="P112" s="131"/>
      <c r="Q112" s="131"/>
      <c r="R112" s="131"/>
      <c r="S112" s="131"/>
      <c r="T112" s="131"/>
      <c r="U112" s="131"/>
      <c r="V112" s="131"/>
      <c r="W112" s="131"/>
      <c r="X112" s="131"/>
    </row>
    <row r="113" spans="1:24" ht="13.5" customHeight="1">
      <c r="A113" s="141"/>
      <c r="B113" s="146" t="s">
        <v>706</v>
      </c>
      <c r="C113" s="146" t="s">
        <v>705</v>
      </c>
      <c r="D113" s="148" t="s">
        <v>694</v>
      </c>
      <c r="E113" s="149">
        <f>E112</f>
        <v>20</v>
      </c>
      <c r="F113" s="145"/>
      <c r="G113" s="145">
        <f t="shared" ref="G113" si="14">+E113*10.764</f>
        <v>215.27999999999997</v>
      </c>
      <c r="H113" s="141" t="s">
        <v>327</v>
      </c>
      <c r="I113" s="131"/>
      <c r="J113" s="131"/>
      <c r="K113" s="131"/>
      <c r="L113" s="131"/>
      <c r="M113" s="131"/>
      <c r="N113" s="131"/>
      <c r="O113" s="131"/>
      <c r="P113" s="131"/>
      <c r="Q113" s="131"/>
      <c r="R113" s="131"/>
      <c r="S113" s="131"/>
      <c r="T113" s="131"/>
      <c r="U113" s="131"/>
      <c r="V113" s="131"/>
      <c r="W113" s="131"/>
      <c r="X113" s="131"/>
    </row>
    <row r="114" spans="1:24" s="162" customFormat="1" ht="13.5" customHeight="1">
      <c r="A114" s="141"/>
      <c r="B114" s="146" t="s">
        <v>713</v>
      </c>
      <c r="C114" s="146" t="s">
        <v>699</v>
      </c>
      <c r="D114" s="150" t="s">
        <v>697</v>
      </c>
      <c r="E114" s="149"/>
      <c r="F114" s="145"/>
      <c r="G114" s="145"/>
      <c r="H114" s="141" t="s">
        <v>358</v>
      </c>
      <c r="I114" s="161"/>
      <c r="J114" s="161"/>
      <c r="K114" s="161"/>
      <c r="L114" s="161"/>
      <c r="M114" s="161"/>
      <c r="N114" s="161"/>
      <c r="O114" s="161"/>
      <c r="P114" s="161"/>
      <c r="Q114" s="161"/>
      <c r="R114" s="161"/>
      <c r="S114" s="161"/>
      <c r="T114" s="161"/>
      <c r="U114" s="161"/>
      <c r="V114" s="161"/>
      <c r="W114" s="161"/>
      <c r="X114" s="161"/>
    </row>
    <row r="115" spans="1:24" ht="13.5" customHeight="1">
      <c r="A115" s="141"/>
      <c r="B115" s="146" t="s">
        <v>715</v>
      </c>
      <c r="C115" s="146" t="s">
        <v>408</v>
      </c>
      <c r="D115" s="150" t="s">
        <v>697</v>
      </c>
      <c r="E115" s="149">
        <f>+E102</f>
        <v>180</v>
      </c>
      <c r="F115" s="145">
        <v>135</v>
      </c>
      <c r="G115" s="145">
        <f>(E115*(0.1*1*1.1*10.764))+(F115*3.28)</f>
        <v>655.92719999999997</v>
      </c>
      <c r="H115" s="141" t="s">
        <v>358</v>
      </c>
      <c r="I115" s="131"/>
      <c r="J115" s="131"/>
      <c r="K115" s="131"/>
      <c r="L115" s="131"/>
      <c r="M115" s="131"/>
      <c r="N115" s="131"/>
      <c r="O115" s="131"/>
      <c r="P115" s="131"/>
      <c r="Q115" s="131"/>
      <c r="R115" s="131"/>
      <c r="S115" s="131"/>
      <c r="T115" s="131"/>
      <c r="U115" s="131"/>
      <c r="V115" s="131"/>
      <c r="W115" s="131"/>
      <c r="X115" s="131"/>
    </row>
    <row r="116" spans="1:24" ht="13.5" customHeight="1">
      <c r="A116" s="141"/>
      <c r="B116" s="146" t="s">
        <v>716</v>
      </c>
      <c r="C116" s="146" t="s">
        <v>717</v>
      </c>
      <c r="D116" s="150" t="s">
        <v>697</v>
      </c>
      <c r="E116" s="149">
        <f>60</f>
        <v>60</v>
      </c>
      <c r="F116" s="145">
        <v>100</v>
      </c>
      <c r="G116" s="145">
        <f>(E116*(0.1*1*1.1*10.764))+(F116*3.28)</f>
        <v>399.04239999999999</v>
      </c>
      <c r="H116" s="141" t="s">
        <v>358</v>
      </c>
      <c r="I116" s="131"/>
      <c r="J116" s="131"/>
      <c r="K116" s="131"/>
      <c r="L116" s="131"/>
      <c r="M116" s="131"/>
      <c r="N116" s="131"/>
      <c r="O116" s="131"/>
      <c r="P116" s="131"/>
      <c r="Q116" s="131"/>
      <c r="R116" s="131"/>
      <c r="S116" s="131"/>
      <c r="T116" s="131"/>
      <c r="U116" s="131"/>
      <c r="V116" s="131"/>
      <c r="W116" s="131"/>
      <c r="X116" s="131"/>
    </row>
    <row r="117" spans="1:24" ht="13.5" customHeight="1">
      <c r="A117" s="141"/>
      <c r="B117" s="146" t="s">
        <v>707</v>
      </c>
      <c r="C117" s="146" t="s">
        <v>699</v>
      </c>
      <c r="D117" s="150" t="s">
        <v>708</v>
      </c>
      <c r="E117" s="149"/>
      <c r="F117" s="145"/>
      <c r="G117" s="145"/>
      <c r="H117" s="141" t="s">
        <v>708</v>
      </c>
      <c r="I117" s="131"/>
      <c r="J117" s="131"/>
      <c r="K117" s="131"/>
      <c r="L117" s="131"/>
      <c r="M117" s="131"/>
      <c r="N117" s="131"/>
      <c r="O117" s="131"/>
      <c r="P117" s="131"/>
      <c r="Q117" s="131"/>
      <c r="R117" s="131"/>
      <c r="S117" s="131"/>
      <c r="T117" s="131"/>
      <c r="U117" s="131"/>
      <c r="V117" s="131"/>
      <c r="W117" s="131"/>
      <c r="X117" s="131"/>
    </row>
    <row r="118" spans="1:24" ht="13.5" customHeight="1">
      <c r="A118" s="141"/>
      <c r="B118" s="146"/>
      <c r="C118" s="146"/>
      <c r="D118" s="150"/>
      <c r="E118" s="149"/>
      <c r="F118" s="145"/>
      <c r="G118" s="145"/>
      <c r="H118" s="141"/>
      <c r="I118" s="131"/>
      <c r="J118" s="131"/>
      <c r="K118" s="131"/>
      <c r="L118" s="131"/>
      <c r="M118" s="131"/>
      <c r="N118" s="131"/>
      <c r="O118" s="131"/>
      <c r="P118" s="131"/>
      <c r="Q118" s="131"/>
      <c r="R118" s="131"/>
      <c r="S118" s="131"/>
      <c r="T118" s="131"/>
      <c r="U118" s="131"/>
      <c r="V118" s="131"/>
      <c r="W118" s="131"/>
      <c r="X118" s="131"/>
    </row>
    <row r="119" spans="1:24" ht="13.5" customHeight="1">
      <c r="A119" s="142" t="s">
        <v>628</v>
      </c>
      <c r="B119" s="143" t="s">
        <v>770</v>
      </c>
      <c r="C119" s="144"/>
      <c r="D119" s="141"/>
      <c r="E119" s="152"/>
      <c r="F119" s="145"/>
      <c r="G119" s="145"/>
      <c r="H119" s="141"/>
      <c r="I119" s="131"/>
      <c r="J119" s="131"/>
      <c r="K119" s="131"/>
      <c r="L119" s="131"/>
      <c r="M119" s="131"/>
      <c r="N119" s="131"/>
      <c r="O119" s="131"/>
      <c r="P119" s="131"/>
      <c r="Q119" s="131"/>
      <c r="R119" s="131"/>
      <c r="S119" s="131"/>
      <c r="T119" s="131"/>
      <c r="U119" s="131"/>
      <c r="V119" s="131"/>
      <c r="W119" s="131"/>
      <c r="X119" s="131"/>
    </row>
    <row r="120" spans="1:24" ht="13.5" customHeight="1">
      <c r="A120" s="141"/>
      <c r="B120" s="146" t="s">
        <v>355</v>
      </c>
      <c r="C120" s="147" t="str">
        <f>+C20</f>
        <v>2'x2' Vitrified tiles</v>
      </c>
      <c r="D120" s="148" t="s">
        <v>694</v>
      </c>
      <c r="E120" s="149">
        <f>+E20</f>
        <v>45</v>
      </c>
      <c r="F120" s="149">
        <f>+F20</f>
        <v>75</v>
      </c>
      <c r="G120" s="145">
        <f>+(E120*1.1+F120)*10.764</f>
        <v>1340.1179999999999</v>
      </c>
      <c r="H120" s="141" t="s">
        <v>327</v>
      </c>
      <c r="I120" s="131"/>
      <c r="J120" s="131"/>
      <c r="K120" s="131"/>
      <c r="L120" s="131"/>
      <c r="M120" s="131"/>
      <c r="N120" s="131"/>
      <c r="O120" s="131"/>
      <c r="P120" s="131"/>
      <c r="Q120" s="131"/>
      <c r="R120" s="131"/>
      <c r="S120" s="131"/>
      <c r="T120" s="131"/>
      <c r="U120" s="131"/>
      <c r="V120" s="131"/>
      <c r="W120" s="131"/>
      <c r="X120" s="131"/>
    </row>
    <row r="121" spans="1:24" ht="13.5" customHeight="1">
      <c r="A121" s="141"/>
      <c r="B121" s="146" t="s">
        <v>695</v>
      </c>
      <c r="C121" s="147" t="str">
        <f>+C21</f>
        <v xml:space="preserve">2'x2' Vitrified tiles </v>
      </c>
      <c r="D121" s="148" t="s">
        <v>697</v>
      </c>
      <c r="E121" s="149">
        <f>+E21</f>
        <v>45</v>
      </c>
      <c r="F121" s="149">
        <f>+F21</f>
        <v>70</v>
      </c>
      <c r="G121" s="145">
        <f>(E121*1.1+F121)*3.28</f>
        <v>391.96</v>
      </c>
      <c r="H121" s="141" t="s">
        <v>711</v>
      </c>
      <c r="I121" s="131"/>
      <c r="J121" s="131"/>
      <c r="K121" s="131"/>
      <c r="L121" s="131"/>
      <c r="M121" s="131"/>
      <c r="N121" s="131"/>
      <c r="O121" s="131"/>
      <c r="P121" s="131"/>
      <c r="Q121" s="131"/>
      <c r="R121" s="131"/>
      <c r="S121" s="131"/>
      <c r="T121" s="131"/>
      <c r="U121" s="131"/>
      <c r="V121" s="131"/>
      <c r="W121" s="131"/>
      <c r="X121" s="131"/>
    </row>
    <row r="122" spans="1:24" ht="13.5" customHeight="1">
      <c r="A122" s="141"/>
      <c r="B122" s="146" t="s">
        <v>698</v>
      </c>
      <c r="C122" s="146" t="s">
        <v>771</v>
      </c>
      <c r="D122" s="156" t="s">
        <v>697</v>
      </c>
      <c r="E122" s="149"/>
      <c r="F122" s="145"/>
      <c r="G122" s="145"/>
      <c r="H122" s="141" t="s">
        <v>327</v>
      </c>
      <c r="I122" s="131"/>
      <c r="J122" s="131"/>
      <c r="K122" s="131"/>
      <c r="L122" s="131"/>
      <c r="M122" s="131"/>
      <c r="N122" s="131"/>
      <c r="O122" s="131"/>
      <c r="P122" s="131"/>
      <c r="Q122" s="131"/>
      <c r="R122" s="131"/>
      <c r="S122" s="131"/>
      <c r="T122" s="131"/>
      <c r="U122" s="131"/>
      <c r="V122" s="131"/>
      <c r="W122" s="131"/>
      <c r="X122" s="131"/>
    </row>
    <row r="123" spans="1:24" ht="13.5" customHeight="1">
      <c r="A123" s="141"/>
      <c r="B123" s="146" t="s">
        <v>700</v>
      </c>
      <c r="C123" s="146" t="s">
        <v>772</v>
      </c>
      <c r="D123" s="148" t="s">
        <v>694</v>
      </c>
      <c r="E123" s="149">
        <v>85</v>
      </c>
      <c r="F123" s="145"/>
      <c r="G123" s="145">
        <f>+E123*10.764</f>
        <v>914.93999999999994</v>
      </c>
      <c r="H123" s="141" t="s">
        <v>327</v>
      </c>
      <c r="I123" s="131"/>
      <c r="J123" s="131">
        <f>963/10.764</f>
        <v>89.46488294314382</v>
      </c>
      <c r="K123" s="131"/>
      <c r="L123" s="131"/>
      <c r="M123" s="131"/>
      <c r="N123" s="131"/>
      <c r="O123" s="131"/>
      <c r="P123" s="131"/>
      <c r="Q123" s="131"/>
      <c r="R123" s="131"/>
      <c r="S123" s="131"/>
      <c r="T123" s="131"/>
      <c r="U123" s="131"/>
      <c r="V123" s="131"/>
      <c r="W123" s="131"/>
      <c r="X123" s="131"/>
    </row>
    <row r="124" spans="1:24" ht="13.5" customHeight="1">
      <c r="A124" s="141"/>
      <c r="B124" s="146" t="s">
        <v>702</v>
      </c>
      <c r="C124" s="146" t="s">
        <v>701</v>
      </c>
      <c r="D124" s="148" t="s">
        <v>694</v>
      </c>
      <c r="E124" s="149">
        <f>+E10</f>
        <v>32</v>
      </c>
      <c r="F124" s="145"/>
      <c r="G124" s="145">
        <f>+E124*10.764</f>
        <v>344.44799999999998</v>
      </c>
      <c r="H124" s="141" t="s">
        <v>327</v>
      </c>
      <c r="I124" s="131"/>
      <c r="J124" s="131"/>
      <c r="K124" s="131"/>
      <c r="L124" s="131"/>
      <c r="M124" s="131"/>
      <c r="N124" s="131"/>
      <c r="O124" s="131"/>
      <c r="P124" s="131"/>
      <c r="Q124" s="131"/>
      <c r="R124" s="131"/>
      <c r="S124" s="131"/>
      <c r="T124" s="131"/>
      <c r="U124" s="131"/>
      <c r="V124" s="131"/>
      <c r="W124" s="131"/>
      <c r="X124" s="131"/>
    </row>
    <row r="125" spans="1:24" s="162" customFormat="1" ht="13.5" customHeight="1">
      <c r="A125" s="141"/>
      <c r="B125" s="151" t="s">
        <v>703</v>
      </c>
      <c r="C125" s="146" t="s">
        <v>699</v>
      </c>
      <c r="D125" s="148" t="s">
        <v>694</v>
      </c>
      <c r="E125" s="149"/>
      <c r="F125" s="145"/>
      <c r="G125" s="145"/>
      <c r="H125" s="141" t="s">
        <v>327</v>
      </c>
      <c r="I125" s="161"/>
      <c r="J125" s="161"/>
      <c r="K125" s="161"/>
      <c r="L125" s="161"/>
      <c r="M125" s="161"/>
      <c r="N125" s="161"/>
      <c r="O125" s="161"/>
      <c r="P125" s="161"/>
      <c r="Q125" s="161"/>
      <c r="R125" s="161"/>
      <c r="S125" s="161"/>
      <c r="T125" s="161"/>
      <c r="U125" s="161"/>
      <c r="V125" s="161"/>
      <c r="W125" s="161"/>
      <c r="X125" s="161"/>
    </row>
    <row r="126" spans="1:24" ht="13.5" customHeight="1">
      <c r="A126" s="141"/>
      <c r="B126" s="146" t="s">
        <v>704</v>
      </c>
      <c r="C126" s="146" t="s">
        <v>773</v>
      </c>
      <c r="D126" s="148" t="s">
        <v>694</v>
      </c>
      <c r="E126" s="149">
        <v>45</v>
      </c>
      <c r="F126" s="145"/>
      <c r="G126" s="145">
        <f>+E126*10.764</f>
        <v>484.38</v>
      </c>
      <c r="H126" s="141" t="s">
        <v>327</v>
      </c>
      <c r="I126" s="131"/>
      <c r="J126" s="131"/>
      <c r="K126" s="131"/>
      <c r="L126" s="131"/>
      <c r="M126" s="131"/>
      <c r="N126" s="131"/>
      <c r="O126" s="131"/>
      <c r="P126" s="131"/>
      <c r="Q126" s="131"/>
      <c r="R126" s="131"/>
      <c r="S126" s="131"/>
      <c r="T126" s="131"/>
      <c r="U126" s="131"/>
      <c r="V126" s="131"/>
      <c r="W126" s="131"/>
      <c r="X126" s="131"/>
    </row>
    <row r="127" spans="1:24" ht="13.5" customHeight="1">
      <c r="A127" s="141"/>
      <c r="B127" s="146" t="s">
        <v>706</v>
      </c>
      <c r="C127" s="146" t="s">
        <v>773</v>
      </c>
      <c r="D127" s="148" t="s">
        <v>694</v>
      </c>
      <c r="E127" s="149">
        <f>+E126</f>
        <v>45</v>
      </c>
      <c r="F127" s="145"/>
      <c r="G127" s="145">
        <f>+E127*10.764</f>
        <v>484.38</v>
      </c>
      <c r="H127" s="141" t="s">
        <v>327</v>
      </c>
      <c r="I127" s="131"/>
      <c r="J127" s="131"/>
      <c r="K127" s="131"/>
      <c r="L127" s="131"/>
      <c r="M127" s="131"/>
      <c r="N127" s="131"/>
      <c r="O127" s="131"/>
      <c r="P127" s="131"/>
      <c r="Q127" s="131"/>
      <c r="R127" s="131"/>
      <c r="S127" s="131"/>
      <c r="T127" s="131"/>
      <c r="U127" s="131"/>
      <c r="V127" s="131"/>
      <c r="W127" s="131"/>
      <c r="X127" s="131"/>
    </row>
    <row r="128" spans="1:24" ht="13.5" customHeight="1">
      <c r="A128" s="141"/>
      <c r="B128" s="146" t="s">
        <v>707</v>
      </c>
      <c r="C128" s="146" t="s">
        <v>699</v>
      </c>
      <c r="D128" s="150" t="s">
        <v>708</v>
      </c>
      <c r="E128" s="149"/>
      <c r="F128" s="145"/>
      <c r="G128" s="145"/>
      <c r="H128" s="141" t="s">
        <v>708</v>
      </c>
      <c r="I128" s="131"/>
      <c r="J128" s="131"/>
      <c r="K128" s="131"/>
      <c r="L128" s="131"/>
      <c r="M128" s="131"/>
      <c r="N128" s="131"/>
      <c r="O128" s="131"/>
      <c r="P128" s="131"/>
      <c r="Q128" s="131"/>
      <c r="R128" s="131"/>
      <c r="S128" s="131"/>
      <c r="T128" s="131"/>
      <c r="U128" s="131"/>
      <c r="V128" s="131"/>
      <c r="W128" s="131"/>
      <c r="X128" s="131"/>
    </row>
    <row r="129" spans="1:24" ht="13.5" customHeight="1">
      <c r="A129" s="157"/>
      <c r="B129" s="158"/>
      <c r="C129" s="158"/>
      <c r="D129" s="159"/>
      <c r="E129" s="160"/>
      <c r="F129" s="145"/>
      <c r="G129" s="145"/>
      <c r="H129" s="157"/>
      <c r="I129" s="131"/>
      <c r="J129" s="131"/>
      <c r="K129" s="131"/>
      <c r="L129" s="131"/>
      <c r="M129" s="131"/>
      <c r="N129" s="131"/>
      <c r="O129" s="131"/>
      <c r="P129" s="131"/>
      <c r="Q129" s="131"/>
      <c r="R129" s="131"/>
      <c r="S129" s="131"/>
      <c r="T129" s="131"/>
      <c r="U129" s="131"/>
      <c r="V129" s="131"/>
      <c r="W129" s="131"/>
      <c r="X129" s="131"/>
    </row>
    <row r="130" spans="1:24" ht="13.5" customHeight="1">
      <c r="A130" s="142" t="s">
        <v>628</v>
      </c>
      <c r="B130" s="143" t="s">
        <v>736</v>
      </c>
      <c r="C130" s="144"/>
      <c r="D130" s="156"/>
      <c r="E130" s="141"/>
      <c r="F130" s="145"/>
      <c r="G130" s="145"/>
      <c r="H130" s="141"/>
      <c r="I130" s="131"/>
      <c r="J130" s="131"/>
      <c r="K130" s="131"/>
      <c r="L130" s="131"/>
      <c r="M130" s="131"/>
      <c r="N130" s="131"/>
      <c r="O130" s="131"/>
      <c r="P130" s="131"/>
      <c r="Q130" s="131"/>
      <c r="R130" s="131"/>
      <c r="S130" s="131"/>
      <c r="T130" s="131"/>
      <c r="U130" s="131"/>
      <c r="V130" s="131"/>
      <c r="W130" s="131"/>
      <c r="X130" s="131"/>
    </row>
    <row r="131" spans="1:24" ht="13.5" customHeight="1">
      <c r="A131" s="141"/>
      <c r="B131" s="146" t="s">
        <v>355</v>
      </c>
      <c r="C131" s="155" t="s">
        <v>737</v>
      </c>
      <c r="D131" s="148" t="s">
        <v>694</v>
      </c>
      <c r="E131" s="149">
        <v>70</v>
      </c>
      <c r="F131" s="145">
        <v>90</v>
      </c>
      <c r="G131" s="145">
        <f>+(E131*1.1+F131)*10.764</f>
        <v>1797.588</v>
      </c>
      <c r="H131" s="141" t="s">
        <v>327</v>
      </c>
      <c r="I131" s="131"/>
      <c r="J131" s="131"/>
      <c r="K131" s="131"/>
      <c r="L131" s="131"/>
      <c r="M131" s="131"/>
      <c r="N131" s="131"/>
      <c r="O131" s="131"/>
      <c r="P131" s="131"/>
      <c r="Q131" s="131"/>
      <c r="R131" s="131"/>
      <c r="S131" s="131"/>
      <c r="T131" s="131"/>
      <c r="U131" s="131"/>
      <c r="V131" s="131"/>
      <c r="W131" s="131"/>
      <c r="X131" s="131"/>
    </row>
    <row r="132" spans="1:24" ht="13.5" customHeight="1">
      <c r="A132" s="141"/>
      <c r="B132" s="146" t="s">
        <v>695</v>
      </c>
      <c r="C132" s="147" t="s">
        <v>699</v>
      </c>
      <c r="D132" s="148" t="s">
        <v>697</v>
      </c>
      <c r="E132" s="149"/>
      <c r="F132" s="145"/>
      <c r="G132" s="145">
        <f t="shared" ref="G132:G138" si="15">+(E132*1.1+F132)*10.764</f>
        <v>0</v>
      </c>
      <c r="H132" s="141" t="s">
        <v>722</v>
      </c>
      <c r="I132" s="131"/>
      <c r="J132" s="131"/>
      <c r="K132" s="131"/>
      <c r="L132" s="131"/>
      <c r="M132" s="131"/>
      <c r="N132" s="131"/>
      <c r="O132" s="131"/>
      <c r="P132" s="131"/>
      <c r="Q132" s="131"/>
      <c r="R132" s="131"/>
      <c r="S132" s="131"/>
      <c r="T132" s="131"/>
      <c r="U132" s="131"/>
      <c r="V132" s="131"/>
      <c r="W132" s="131"/>
      <c r="X132" s="131"/>
    </row>
    <row r="133" spans="1:24" ht="13.5" customHeight="1">
      <c r="A133" s="141"/>
      <c r="B133" s="146" t="s">
        <v>698</v>
      </c>
      <c r="C133" s="146" t="s">
        <v>737</v>
      </c>
      <c r="D133" s="148" t="s">
        <v>694</v>
      </c>
      <c r="E133" s="141">
        <v>70</v>
      </c>
      <c r="F133" s="145">
        <v>95</v>
      </c>
      <c r="G133" s="145">
        <f t="shared" si="15"/>
        <v>1851.4079999999999</v>
      </c>
      <c r="H133" s="141" t="s">
        <v>327</v>
      </c>
      <c r="I133" s="131"/>
      <c r="J133" s="131"/>
      <c r="K133" s="131"/>
      <c r="L133" s="131"/>
      <c r="M133" s="131"/>
      <c r="N133" s="131"/>
      <c r="O133" s="131"/>
      <c r="P133" s="131"/>
      <c r="Q133" s="131"/>
      <c r="R133" s="131"/>
      <c r="S133" s="131"/>
      <c r="T133" s="131"/>
      <c r="U133" s="131"/>
      <c r="V133" s="131"/>
      <c r="W133" s="131"/>
      <c r="X133" s="131"/>
    </row>
    <row r="134" spans="1:24" ht="13.5" customHeight="1">
      <c r="A134" s="141"/>
      <c r="B134" s="146" t="s">
        <v>700</v>
      </c>
      <c r="C134" s="151" t="s">
        <v>699</v>
      </c>
      <c r="D134" s="148" t="s">
        <v>694</v>
      </c>
      <c r="E134" s="149">
        <v>0</v>
      </c>
      <c r="F134" s="145"/>
      <c r="G134" s="145">
        <f t="shared" si="15"/>
        <v>0</v>
      </c>
      <c r="H134" s="141" t="s">
        <v>327</v>
      </c>
      <c r="I134" s="131"/>
      <c r="J134" s="131"/>
      <c r="K134" s="131"/>
      <c r="L134" s="131"/>
      <c r="M134" s="131"/>
      <c r="N134" s="131"/>
      <c r="O134" s="131"/>
      <c r="P134" s="131"/>
      <c r="Q134" s="131"/>
      <c r="R134" s="131"/>
      <c r="S134" s="131"/>
      <c r="T134" s="131"/>
      <c r="U134" s="131"/>
      <c r="V134" s="131"/>
      <c r="W134" s="131"/>
      <c r="X134" s="131"/>
    </row>
    <row r="135" spans="1:24" ht="13.5" customHeight="1">
      <c r="A135" s="141"/>
      <c r="B135" s="146" t="s">
        <v>702</v>
      </c>
      <c r="C135" s="151" t="s">
        <v>699</v>
      </c>
      <c r="D135" s="148" t="s">
        <v>694</v>
      </c>
      <c r="E135" s="149">
        <v>40</v>
      </c>
      <c r="F135" s="145"/>
      <c r="G135" s="145">
        <f t="shared" si="15"/>
        <v>473.61599999999999</v>
      </c>
      <c r="H135" s="141" t="s">
        <v>327</v>
      </c>
      <c r="I135" s="131"/>
      <c r="J135" s="131"/>
      <c r="K135" s="131"/>
      <c r="L135" s="131"/>
      <c r="M135" s="131"/>
      <c r="N135" s="131"/>
      <c r="O135" s="131"/>
      <c r="P135" s="131"/>
      <c r="Q135" s="131"/>
      <c r="R135" s="131"/>
      <c r="S135" s="131"/>
      <c r="T135" s="131"/>
      <c r="U135" s="131"/>
      <c r="V135" s="131"/>
      <c r="W135" s="131"/>
      <c r="X135" s="131"/>
    </row>
    <row r="136" spans="1:24" s="162" customFormat="1" ht="13.5" customHeight="1">
      <c r="A136" s="141"/>
      <c r="B136" s="151" t="s">
        <v>738</v>
      </c>
      <c r="C136" s="146" t="s">
        <v>739</v>
      </c>
      <c r="D136" s="148" t="s">
        <v>694</v>
      </c>
      <c r="E136" s="149">
        <f>135*0</f>
        <v>0</v>
      </c>
      <c r="F136" s="145"/>
      <c r="G136" s="145">
        <f t="shared" si="15"/>
        <v>0</v>
      </c>
      <c r="H136" s="141" t="s">
        <v>327</v>
      </c>
      <c r="I136" s="161"/>
      <c r="J136" s="161"/>
      <c r="K136" s="161"/>
      <c r="L136" s="161"/>
      <c r="M136" s="161"/>
      <c r="N136" s="161"/>
      <c r="O136" s="161"/>
      <c r="P136" s="161"/>
      <c r="Q136" s="161"/>
      <c r="R136" s="161"/>
      <c r="S136" s="161"/>
      <c r="T136" s="161"/>
      <c r="U136" s="161"/>
      <c r="V136" s="161"/>
      <c r="W136" s="161"/>
      <c r="X136" s="161"/>
    </row>
    <row r="137" spans="1:24" ht="13.5" customHeight="1">
      <c r="A137" s="141"/>
      <c r="B137" s="146" t="s">
        <v>704</v>
      </c>
      <c r="C137" s="146" t="s">
        <v>705</v>
      </c>
      <c r="D137" s="148" t="s">
        <v>694</v>
      </c>
      <c r="E137" s="149">
        <v>25</v>
      </c>
      <c r="F137" s="145"/>
      <c r="G137" s="145">
        <f t="shared" si="15"/>
        <v>296.01000000000005</v>
      </c>
      <c r="H137" s="141" t="s">
        <v>327</v>
      </c>
      <c r="I137" s="131"/>
      <c r="J137" s="131"/>
      <c r="K137" s="131"/>
      <c r="L137" s="131"/>
      <c r="M137" s="131"/>
      <c r="N137" s="131"/>
      <c r="O137" s="131"/>
      <c r="P137" s="131"/>
      <c r="Q137" s="131"/>
      <c r="R137" s="131"/>
      <c r="S137" s="131"/>
      <c r="T137" s="131"/>
      <c r="U137" s="131"/>
      <c r="V137" s="131"/>
      <c r="W137" s="131"/>
      <c r="X137" s="131"/>
    </row>
    <row r="138" spans="1:24" ht="13.5" customHeight="1">
      <c r="A138" s="141"/>
      <c r="B138" s="146" t="s">
        <v>706</v>
      </c>
      <c r="C138" s="146" t="s">
        <v>705</v>
      </c>
      <c r="D138" s="148" t="s">
        <v>694</v>
      </c>
      <c r="E138" s="149">
        <f>E112</f>
        <v>20</v>
      </c>
      <c r="F138" s="145"/>
      <c r="G138" s="145">
        <f t="shared" si="15"/>
        <v>236.80799999999999</v>
      </c>
      <c r="H138" s="141" t="s">
        <v>327</v>
      </c>
      <c r="I138" s="131"/>
      <c r="J138" s="131"/>
      <c r="K138" s="131"/>
      <c r="L138" s="131"/>
      <c r="M138" s="131"/>
      <c r="N138" s="131"/>
      <c r="O138" s="131"/>
      <c r="P138" s="131"/>
      <c r="Q138" s="131"/>
      <c r="R138" s="131"/>
      <c r="S138" s="131"/>
      <c r="T138" s="131"/>
      <c r="U138" s="131"/>
      <c r="V138" s="131"/>
      <c r="W138" s="131"/>
      <c r="X138" s="131"/>
    </row>
    <row r="139" spans="1:24" ht="13.5" customHeight="1">
      <c r="A139" s="141"/>
      <c r="B139" s="146" t="s">
        <v>724</v>
      </c>
      <c r="C139" s="146" t="s">
        <v>740</v>
      </c>
      <c r="D139" s="156" t="s">
        <v>741</v>
      </c>
      <c r="E139" s="149">
        <v>230</v>
      </c>
      <c r="F139" s="145">
        <v>350</v>
      </c>
      <c r="G139" s="145">
        <f>(E139*1*1.6*3.28)+(F139*1*1.6*3.28)</f>
        <v>3043.84</v>
      </c>
      <c r="H139" s="141" t="s">
        <v>358</v>
      </c>
      <c r="I139" s="131"/>
      <c r="J139" s="131"/>
      <c r="K139" s="131"/>
      <c r="L139" s="131"/>
      <c r="M139" s="131"/>
      <c r="N139" s="131"/>
      <c r="O139" s="131"/>
      <c r="P139" s="131"/>
      <c r="Q139" s="131"/>
      <c r="R139" s="131"/>
      <c r="S139" s="131"/>
      <c r="T139" s="131"/>
      <c r="U139" s="131"/>
      <c r="V139" s="131"/>
      <c r="W139" s="131"/>
      <c r="X139" s="131"/>
    </row>
    <row r="140" spans="1:24" ht="13.5" customHeight="1">
      <c r="A140" s="157"/>
      <c r="B140" s="158"/>
      <c r="C140" s="158"/>
      <c r="D140" s="159"/>
      <c r="E140" s="160"/>
      <c r="F140" s="145"/>
      <c r="G140" s="145"/>
      <c r="H140" s="157"/>
      <c r="I140" s="131"/>
      <c r="J140" s="131"/>
      <c r="K140" s="131"/>
      <c r="L140" s="131"/>
      <c r="M140" s="131"/>
      <c r="N140" s="131"/>
      <c r="O140" s="131"/>
      <c r="P140" s="131"/>
      <c r="Q140" s="131"/>
      <c r="R140" s="131"/>
      <c r="S140" s="131"/>
      <c r="T140" s="131"/>
      <c r="U140" s="131"/>
      <c r="V140" s="131"/>
      <c r="W140" s="131"/>
      <c r="X140" s="131"/>
    </row>
    <row r="141" spans="1:24" ht="13.5" customHeight="1">
      <c r="A141" s="142" t="s">
        <v>628</v>
      </c>
      <c r="B141" s="143" t="s">
        <v>774</v>
      </c>
      <c r="C141" s="144"/>
      <c r="D141" s="156"/>
      <c r="E141" s="141"/>
      <c r="F141" s="145"/>
      <c r="G141" s="145"/>
      <c r="H141" s="141"/>
      <c r="I141" s="131"/>
      <c r="J141" s="131"/>
      <c r="K141" s="131"/>
      <c r="L141" s="131"/>
      <c r="M141" s="131"/>
      <c r="N141" s="131"/>
      <c r="O141" s="131"/>
      <c r="P141" s="131"/>
      <c r="Q141" s="131"/>
      <c r="R141" s="131"/>
      <c r="S141" s="131"/>
      <c r="T141" s="131"/>
      <c r="U141" s="131"/>
      <c r="V141" s="131"/>
      <c r="W141" s="131"/>
      <c r="X141" s="131"/>
    </row>
    <row r="142" spans="1:24" ht="13.5" customHeight="1">
      <c r="A142" s="141"/>
      <c r="B142" s="146" t="s">
        <v>355</v>
      </c>
      <c r="C142" s="155" t="str">
        <f>C131</f>
        <v>Vitrified Tiles</v>
      </c>
      <c r="D142" s="148" t="s">
        <v>694</v>
      </c>
      <c r="E142" s="149">
        <v>60</v>
      </c>
      <c r="F142" s="145">
        <v>80</v>
      </c>
      <c r="G142" s="145">
        <f>+(E142*1.1+F142)*10.764</f>
        <v>1571.5439999999999</v>
      </c>
      <c r="H142" s="141" t="s">
        <v>327</v>
      </c>
      <c r="I142" s="131"/>
      <c r="J142" s="131"/>
      <c r="K142" s="131"/>
      <c r="L142" s="131"/>
      <c r="M142" s="131"/>
      <c r="N142" s="131"/>
      <c r="O142" s="131"/>
      <c r="P142" s="131"/>
      <c r="Q142" s="131"/>
      <c r="R142" s="131"/>
      <c r="S142" s="131"/>
      <c r="T142" s="131"/>
      <c r="U142" s="131"/>
      <c r="V142" s="131"/>
      <c r="W142" s="131"/>
      <c r="X142" s="131"/>
    </row>
    <row r="143" spans="1:24" ht="13.5" customHeight="1">
      <c r="A143" s="141"/>
      <c r="B143" s="146" t="s">
        <v>695</v>
      </c>
      <c r="C143" s="155" t="str">
        <f>C121</f>
        <v xml:space="preserve">2'x2' Vitrified tiles </v>
      </c>
      <c r="D143" s="148" t="s">
        <v>697</v>
      </c>
      <c r="E143" s="149">
        <v>60</v>
      </c>
      <c r="F143" s="145">
        <v>75</v>
      </c>
      <c r="G143" s="145">
        <f>(E143*1.1+F143)*3.28</f>
        <v>462.47999999999996</v>
      </c>
      <c r="H143" s="141" t="s">
        <v>722</v>
      </c>
      <c r="I143" s="131"/>
      <c r="J143" s="131"/>
      <c r="K143" s="131"/>
      <c r="L143" s="131"/>
      <c r="M143" s="131"/>
      <c r="N143" s="131"/>
      <c r="O143" s="131"/>
      <c r="P143" s="131"/>
      <c r="Q143" s="131"/>
      <c r="R143" s="131"/>
      <c r="S143" s="131"/>
      <c r="T143" s="131"/>
      <c r="U143" s="131"/>
      <c r="V143" s="131"/>
      <c r="W143" s="131"/>
      <c r="X143" s="131"/>
    </row>
    <row r="144" spans="1:24" ht="13.5" customHeight="1">
      <c r="A144" s="141"/>
      <c r="B144" s="146" t="s">
        <v>698</v>
      </c>
      <c r="C144" s="146" t="s">
        <v>699</v>
      </c>
      <c r="D144" s="148" t="s">
        <v>741</v>
      </c>
      <c r="E144" s="141"/>
      <c r="F144" s="145"/>
      <c r="G144" s="145"/>
      <c r="H144" s="141" t="s">
        <v>327</v>
      </c>
      <c r="I144" s="131"/>
      <c r="J144" s="131"/>
      <c r="K144" s="131"/>
      <c r="L144" s="131"/>
      <c r="M144" s="131"/>
      <c r="N144" s="131"/>
      <c r="O144" s="131"/>
      <c r="P144" s="131"/>
      <c r="Q144" s="131"/>
      <c r="R144" s="131"/>
      <c r="S144" s="131"/>
      <c r="T144" s="131"/>
      <c r="U144" s="131"/>
      <c r="V144" s="131"/>
      <c r="W144" s="131"/>
      <c r="X144" s="131"/>
    </row>
    <row r="145" spans="1:24" ht="13.5" customHeight="1">
      <c r="A145" s="141"/>
      <c r="B145" s="146" t="s">
        <v>700</v>
      </c>
      <c r="C145" s="151" t="s">
        <v>701</v>
      </c>
      <c r="D145" s="148" t="s">
        <v>694</v>
      </c>
      <c r="E145" s="149">
        <v>35</v>
      </c>
      <c r="F145" s="145"/>
      <c r="G145" s="145">
        <f t="shared" ref="G145:G149" si="16">+(E145*1.1+F145)*10.764</f>
        <v>414.41399999999999</v>
      </c>
      <c r="H145" s="141" t="s">
        <v>327</v>
      </c>
      <c r="I145" s="131"/>
      <c r="J145" s="131"/>
      <c r="K145" s="131"/>
      <c r="L145" s="131"/>
      <c r="M145" s="131"/>
      <c r="N145" s="131"/>
      <c r="O145" s="131"/>
      <c r="P145" s="131"/>
      <c r="Q145" s="131"/>
      <c r="R145" s="131"/>
      <c r="S145" s="131"/>
      <c r="T145" s="131"/>
      <c r="U145" s="131"/>
      <c r="V145" s="131"/>
      <c r="W145" s="131"/>
      <c r="X145" s="131"/>
    </row>
    <row r="146" spans="1:24" ht="13.5" customHeight="1">
      <c r="A146" s="141"/>
      <c r="B146" s="146" t="s">
        <v>702</v>
      </c>
      <c r="C146" s="146" t="s">
        <v>699</v>
      </c>
      <c r="D146" s="148" t="s">
        <v>694</v>
      </c>
      <c r="E146" s="149"/>
      <c r="F146" s="145"/>
      <c r="G146" s="145"/>
      <c r="H146" s="141" t="s">
        <v>327</v>
      </c>
      <c r="I146" s="131"/>
      <c r="J146" s="131"/>
      <c r="K146" s="131"/>
      <c r="L146" s="131"/>
      <c r="M146" s="131"/>
      <c r="N146" s="131"/>
      <c r="O146" s="131"/>
      <c r="P146" s="131"/>
      <c r="Q146" s="131"/>
      <c r="R146" s="131"/>
      <c r="S146" s="131"/>
      <c r="T146" s="131"/>
      <c r="U146" s="131"/>
      <c r="V146" s="131"/>
      <c r="W146" s="131"/>
      <c r="X146" s="131"/>
    </row>
    <row r="147" spans="1:24" s="162" customFormat="1" ht="13.5" customHeight="1">
      <c r="A147" s="141"/>
      <c r="B147" s="151" t="s">
        <v>703</v>
      </c>
      <c r="C147" s="146" t="s">
        <v>739</v>
      </c>
      <c r="D147" s="148" t="s">
        <v>694</v>
      </c>
      <c r="E147" s="149">
        <f>0*135</f>
        <v>0</v>
      </c>
      <c r="F147" s="145"/>
      <c r="G147" s="145">
        <f t="shared" si="16"/>
        <v>0</v>
      </c>
      <c r="H147" s="141" t="s">
        <v>327</v>
      </c>
      <c r="I147" s="161"/>
      <c r="J147" s="161"/>
      <c r="K147" s="161"/>
      <c r="L147" s="161"/>
      <c r="M147" s="161"/>
      <c r="N147" s="161"/>
      <c r="O147" s="161"/>
      <c r="P147" s="161"/>
      <c r="Q147" s="161"/>
      <c r="R147" s="161"/>
      <c r="S147" s="161"/>
      <c r="T147" s="161"/>
      <c r="U147" s="161"/>
      <c r="V147" s="161"/>
      <c r="W147" s="161"/>
      <c r="X147" s="161"/>
    </row>
    <row r="148" spans="1:24" ht="13.5" customHeight="1">
      <c r="A148" s="141"/>
      <c r="B148" s="146" t="s">
        <v>704</v>
      </c>
      <c r="C148" s="146" t="s">
        <v>775</v>
      </c>
      <c r="D148" s="148" t="s">
        <v>694</v>
      </c>
      <c r="E148" s="149">
        <v>25</v>
      </c>
      <c r="F148" s="145"/>
      <c r="G148" s="145">
        <f t="shared" si="16"/>
        <v>296.01000000000005</v>
      </c>
      <c r="H148" s="141" t="s">
        <v>327</v>
      </c>
      <c r="I148" s="131"/>
      <c r="J148" s="131"/>
      <c r="K148" s="131"/>
      <c r="L148" s="131"/>
      <c r="M148" s="131"/>
      <c r="N148" s="131"/>
      <c r="O148" s="131"/>
      <c r="P148" s="131"/>
      <c r="Q148" s="131"/>
      <c r="R148" s="131"/>
      <c r="S148" s="131"/>
      <c r="T148" s="131"/>
      <c r="U148" s="131"/>
      <c r="V148" s="131"/>
      <c r="W148" s="131"/>
      <c r="X148" s="131"/>
    </row>
    <row r="149" spans="1:24" ht="13.5" customHeight="1">
      <c r="A149" s="141"/>
      <c r="B149" s="146" t="s">
        <v>706</v>
      </c>
      <c r="C149" s="146" t="s">
        <v>775</v>
      </c>
      <c r="D149" s="148" t="s">
        <v>694</v>
      </c>
      <c r="E149" s="149">
        <v>25</v>
      </c>
      <c r="F149" s="145"/>
      <c r="G149" s="145">
        <f t="shared" si="16"/>
        <v>296.01000000000005</v>
      </c>
      <c r="H149" s="141" t="s">
        <v>327</v>
      </c>
      <c r="I149" s="131"/>
      <c r="J149" s="131"/>
      <c r="K149" s="131"/>
      <c r="L149" s="131"/>
      <c r="M149" s="131"/>
      <c r="N149" s="131"/>
      <c r="O149" s="131"/>
      <c r="P149" s="131"/>
      <c r="Q149" s="131"/>
      <c r="R149" s="131"/>
      <c r="S149" s="131"/>
      <c r="T149" s="131"/>
      <c r="U149" s="131"/>
      <c r="V149" s="131"/>
      <c r="W149" s="131"/>
      <c r="X149" s="131"/>
    </row>
    <row r="150" spans="1:24" ht="13.5" customHeight="1">
      <c r="A150" s="141"/>
      <c r="B150" s="146" t="s">
        <v>724</v>
      </c>
      <c r="C150" s="146" t="s">
        <v>740</v>
      </c>
      <c r="D150" s="156" t="s">
        <v>741</v>
      </c>
      <c r="E150" s="149">
        <v>230</v>
      </c>
      <c r="F150" s="145">
        <v>350</v>
      </c>
      <c r="G150" s="145">
        <f>(E150*1*1.6*3.28)+(F150*1*1.6*3.28)</f>
        <v>3043.84</v>
      </c>
      <c r="H150" s="141" t="s">
        <v>358</v>
      </c>
      <c r="I150" s="131"/>
      <c r="J150" s="131"/>
      <c r="K150" s="131"/>
      <c r="L150" s="131"/>
      <c r="M150" s="131"/>
      <c r="N150" s="131"/>
      <c r="O150" s="131"/>
      <c r="P150" s="131"/>
      <c r="Q150" s="131"/>
      <c r="R150" s="131"/>
      <c r="S150" s="131"/>
      <c r="T150" s="131"/>
      <c r="U150" s="131"/>
      <c r="V150" s="131"/>
      <c r="W150" s="131"/>
      <c r="X150" s="131"/>
    </row>
    <row r="151" spans="1:24" ht="13.5" customHeight="1">
      <c r="A151" s="157"/>
      <c r="B151" s="158"/>
      <c r="C151" s="158"/>
      <c r="D151" s="159"/>
      <c r="E151" s="160"/>
      <c r="F151" s="145"/>
      <c r="G151" s="145"/>
      <c r="H151" s="157"/>
      <c r="I151" s="131"/>
      <c r="J151" s="131"/>
      <c r="K151" s="131"/>
      <c r="L151" s="131"/>
      <c r="M151" s="131"/>
      <c r="N151" s="131"/>
      <c r="O151" s="131"/>
      <c r="P151" s="131"/>
      <c r="Q151" s="131"/>
      <c r="R151" s="131"/>
      <c r="S151" s="131"/>
      <c r="T151" s="131"/>
      <c r="U151" s="131"/>
      <c r="V151" s="131"/>
      <c r="W151" s="131"/>
      <c r="X151" s="131"/>
    </row>
    <row r="152" spans="1:24" ht="13.5" customHeight="1">
      <c r="A152" s="142" t="s">
        <v>628</v>
      </c>
      <c r="B152" s="143" t="s">
        <v>236</v>
      </c>
      <c r="C152" s="144"/>
      <c r="D152" s="156"/>
      <c r="E152" s="141"/>
      <c r="F152" s="145"/>
      <c r="G152" s="145"/>
      <c r="H152" s="141"/>
      <c r="I152" s="131"/>
      <c r="J152" s="131"/>
      <c r="K152" s="131"/>
      <c r="L152" s="131"/>
      <c r="M152" s="131"/>
      <c r="N152" s="131"/>
      <c r="O152" s="131"/>
      <c r="P152" s="131"/>
      <c r="Q152" s="131"/>
      <c r="R152" s="131"/>
      <c r="S152" s="131"/>
      <c r="T152" s="131"/>
      <c r="U152" s="131"/>
      <c r="V152" s="131"/>
      <c r="W152" s="131"/>
      <c r="X152" s="131"/>
    </row>
    <row r="153" spans="1:24" ht="13.5" customHeight="1">
      <c r="A153" s="141"/>
      <c r="B153" s="146" t="s">
        <v>355</v>
      </c>
      <c r="C153" s="144" t="s">
        <v>699</v>
      </c>
      <c r="D153" s="148" t="str">
        <f t="shared" ref="D153:D160" si="17">+D131</f>
        <v>Sq Ft</v>
      </c>
      <c r="E153" s="152"/>
      <c r="F153" s="145"/>
      <c r="G153" s="145"/>
      <c r="H153" s="148" t="str">
        <f t="shared" ref="H153:H160" si="18">+H131</f>
        <v>Sq M</v>
      </c>
      <c r="I153" s="131"/>
      <c r="J153" s="131"/>
      <c r="K153" s="131"/>
      <c r="L153" s="131"/>
      <c r="M153" s="131"/>
      <c r="N153" s="131"/>
      <c r="O153" s="131"/>
      <c r="P153" s="131"/>
      <c r="Q153" s="131"/>
      <c r="R153" s="131"/>
      <c r="S153" s="131"/>
      <c r="T153" s="131"/>
      <c r="U153" s="131"/>
      <c r="V153" s="131"/>
      <c r="W153" s="131"/>
      <c r="X153" s="131"/>
    </row>
    <row r="154" spans="1:24" ht="13.5" customHeight="1">
      <c r="A154" s="141"/>
      <c r="B154" s="146" t="s">
        <v>695</v>
      </c>
      <c r="C154" s="146" t="s">
        <v>699</v>
      </c>
      <c r="D154" s="148" t="str">
        <f t="shared" si="17"/>
        <v>R Ft</v>
      </c>
      <c r="E154" s="141"/>
      <c r="F154" s="145"/>
      <c r="G154" s="145"/>
      <c r="H154" s="148" t="str">
        <f t="shared" si="18"/>
        <v xml:space="preserve">R M </v>
      </c>
      <c r="I154" s="131"/>
      <c r="J154" s="131"/>
      <c r="K154" s="131"/>
      <c r="L154" s="131"/>
      <c r="M154" s="131"/>
      <c r="N154" s="131"/>
      <c r="O154" s="131"/>
      <c r="P154" s="131"/>
      <c r="Q154" s="131"/>
      <c r="R154" s="131"/>
      <c r="S154" s="131"/>
      <c r="T154" s="131"/>
      <c r="U154" s="131"/>
      <c r="V154" s="131"/>
      <c r="W154" s="131"/>
      <c r="X154" s="131"/>
    </row>
    <row r="155" spans="1:24" ht="13.5" customHeight="1">
      <c r="A155" s="141"/>
      <c r="B155" s="146" t="s">
        <v>698</v>
      </c>
      <c r="C155" s="146" t="s">
        <v>699</v>
      </c>
      <c r="D155" s="148" t="str">
        <f t="shared" si="17"/>
        <v>Sq Ft</v>
      </c>
      <c r="E155" s="141"/>
      <c r="F155" s="145"/>
      <c r="G155" s="145"/>
      <c r="H155" s="148" t="str">
        <f t="shared" si="18"/>
        <v>Sq M</v>
      </c>
      <c r="I155" s="131"/>
      <c r="J155" s="131"/>
      <c r="K155" s="131"/>
      <c r="L155" s="131"/>
      <c r="M155" s="131"/>
      <c r="N155" s="131"/>
      <c r="O155" s="131"/>
      <c r="P155" s="131"/>
      <c r="Q155" s="131"/>
      <c r="R155" s="131"/>
      <c r="S155" s="131"/>
      <c r="T155" s="131"/>
      <c r="U155" s="131"/>
      <c r="V155" s="131"/>
      <c r="W155" s="131"/>
      <c r="X155" s="131"/>
    </row>
    <row r="156" spans="1:24" ht="13.5" customHeight="1">
      <c r="A156" s="141"/>
      <c r="B156" s="146" t="s">
        <v>700</v>
      </c>
      <c r="C156" s="146" t="s">
        <v>699</v>
      </c>
      <c r="D156" s="148" t="str">
        <f t="shared" si="17"/>
        <v>Sq Ft</v>
      </c>
      <c r="E156" s="149"/>
      <c r="F156" s="145"/>
      <c r="G156" s="145"/>
      <c r="H156" s="148" t="str">
        <f t="shared" si="18"/>
        <v>Sq M</v>
      </c>
      <c r="I156" s="131"/>
      <c r="J156" s="131"/>
      <c r="K156" s="131"/>
      <c r="L156" s="131"/>
      <c r="M156" s="131"/>
      <c r="N156" s="131"/>
      <c r="O156" s="131"/>
      <c r="P156" s="131"/>
      <c r="Q156" s="131"/>
      <c r="R156" s="131"/>
      <c r="S156" s="131"/>
      <c r="T156" s="131"/>
      <c r="U156" s="131"/>
      <c r="V156" s="131"/>
      <c r="W156" s="131"/>
      <c r="X156" s="131"/>
    </row>
    <row r="157" spans="1:24" ht="13.5" customHeight="1">
      <c r="A157" s="141"/>
      <c r="B157" s="146" t="s">
        <v>702</v>
      </c>
      <c r="C157" s="146" t="s">
        <v>699</v>
      </c>
      <c r="D157" s="148" t="str">
        <f t="shared" si="17"/>
        <v>Sq Ft</v>
      </c>
      <c r="E157" s="149"/>
      <c r="F157" s="145"/>
      <c r="G157" s="145"/>
      <c r="H157" s="148" t="str">
        <f t="shared" si="18"/>
        <v>Sq M</v>
      </c>
      <c r="I157" s="131"/>
      <c r="J157" s="131"/>
      <c r="K157" s="131"/>
      <c r="L157" s="131"/>
      <c r="M157" s="131"/>
      <c r="N157" s="131"/>
      <c r="O157" s="131"/>
      <c r="P157" s="131"/>
      <c r="Q157" s="131"/>
      <c r="R157" s="131"/>
      <c r="S157" s="131"/>
      <c r="T157" s="131"/>
      <c r="U157" s="131"/>
      <c r="V157" s="131"/>
      <c r="W157" s="131"/>
      <c r="X157" s="131"/>
    </row>
    <row r="158" spans="1:24" s="162" customFormat="1" ht="13.5" customHeight="1">
      <c r="A158" s="141"/>
      <c r="B158" s="151" t="s">
        <v>703</v>
      </c>
      <c r="C158" s="146" t="s">
        <v>699</v>
      </c>
      <c r="D158" s="148" t="str">
        <f t="shared" si="17"/>
        <v>Sq Ft</v>
      </c>
      <c r="E158" s="149"/>
      <c r="F158" s="145"/>
      <c r="G158" s="145"/>
      <c r="H158" s="148" t="str">
        <f t="shared" si="18"/>
        <v>Sq M</v>
      </c>
      <c r="I158" s="161"/>
      <c r="J158" s="161"/>
      <c r="K158" s="161"/>
      <c r="L158" s="161"/>
      <c r="M158" s="161"/>
      <c r="N158" s="161"/>
      <c r="O158" s="161"/>
      <c r="P158" s="161"/>
      <c r="Q158" s="161"/>
      <c r="R158" s="161"/>
      <c r="S158" s="161"/>
      <c r="T158" s="161"/>
      <c r="U158" s="161"/>
      <c r="V158" s="161"/>
      <c r="W158" s="161"/>
      <c r="X158" s="161"/>
    </row>
    <row r="159" spans="1:24" ht="13.5" customHeight="1">
      <c r="A159" s="141"/>
      <c r="B159" s="146" t="s">
        <v>704</v>
      </c>
      <c r="C159" s="146" t="s">
        <v>723</v>
      </c>
      <c r="D159" s="148" t="str">
        <f t="shared" si="17"/>
        <v>Sq Ft</v>
      </c>
      <c r="E159" s="149">
        <v>16</v>
      </c>
      <c r="F159" s="145"/>
      <c r="G159" s="145">
        <f>+E159*10.764</f>
        <v>172.22399999999999</v>
      </c>
      <c r="H159" s="148" t="str">
        <f t="shared" si="18"/>
        <v>Sq M</v>
      </c>
      <c r="I159" s="131"/>
      <c r="J159" s="131"/>
      <c r="K159" s="131"/>
      <c r="L159" s="131"/>
      <c r="M159" s="131"/>
      <c r="N159" s="131"/>
      <c r="O159" s="131"/>
      <c r="P159" s="131"/>
      <c r="Q159" s="131"/>
      <c r="R159" s="131"/>
      <c r="S159" s="131"/>
      <c r="T159" s="131"/>
      <c r="U159" s="131"/>
      <c r="V159" s="131"/>
      <c r="W159" s="131"/>
      <c r="X159" s="131"/>
    </row>
    <row r="160" spans="1:24" ht="13.5" customHeight="1">
      <c r="A160" s="141"/>
      <c r="B160" s="146" t="s">
        <v>706</v>
      </c>
      <c r="C160" s="146" t="s">
        <v>699</v>
      </c>
      <c r="D160" s="148" t="str">
        <f t="shared" si="17"/>
        <v>Sq Ft</v>
      </c>
      <c r="E160" s="149"/>
      <c r="F160" s="145"/>
      <c r="G160" s="145"/>
      <c r="H160" s="148" t="str">
        <f t="shared" si="18"/>
        <v>Sq M</v>
      </c>
      <c r="I160" s="131"/>
      <c r="J160" s="131"/>
      <c r="K160" s="131"/>
      <c r="L160" s="131"/>
      <c r="M160" s="131"/>
      <c r="N160" s="131"/>
      <c r="O160" s="131"/>
      <c r="P160" s="131"/>
      <c r="Q160" s="131"/>
      <c r="R160" s="131"/>
      <c r="S160" s="131"/>
      <c r="T160" s="131"/>
      <c r="U160" s="131"/>
      <c r="V160" s="131"/>
      <c r="W160" s="131"/>
      <c r="X160" s="131"/>
    </row>
    <row r="161" spans="1:24" ht="13.5" customHeight="1">
      <c r="A161" s="141"/>
      <c r="B161" s="146" t="s">
        <v>724</v>
      </c>
      <c r="C161" s="146" t="s">
        <v>699</v>
      </c>
      <c r="D161" s="148" t="s">
        <v>694</v>
      </c>
      <c r="E161" s="149"/>
      <c r="F161" s="145"/>
      <c r="G161" s="145"/>
      <c r="H161" s="148" t="s">
        <v>327</v>
      </c>
      <c r="I161" s="131"/>
      <c r="J161" s="131"/>
      <c r="K161" s="131"/>
      <c r="L161" s="131"/>
      <c r="M161" s="131"/>
      <c r="N161" s="131"/>
      <c r="O161" s="131"/>
      <c r="P161" s="131"/>
      <c r="Q161" s="131"/>
      <c r="R161" s="131"/>
      <c r="S161" s="131"/>
      <c r="T161" s="131"/>
      <c r="U161" s="131"/>
      <c r="V161" s="131"/>
      <c r="W161" s="131"/>
      <c r="X161" s="131"/>
    </row>
    <row r="162" spans="1:24" ht="13.5" customHeight="1">
      <c r="A162" s="157"/>
      <c r="B162" s="158"/>
      <c r="C162" s="158"/>
      <c r="D162" s="159"/>
      <c r="E162" s="160"/>
      <c r="F162" s="145"/>
      <c r="G162" s="145"/>
      <c r="H162" s="157"/>
      <c r="I162" s="131"/>
      <c r="J162" s="131"/>
      <c r="K162" s="131"/>
      <c r="L162" s="131"/>
      <c r="M162" s="131"/>
      <c r="N162" s="131"/>
      <c r="O162" s="131"/>
      <c r="P162" s="131"/>
      <c r="Q162" s="131"/>
      <c r="R162" s="131"/>
      <c r="S162" s="131"/>
      <c r="T162" s="131"/>
      <c r="U162" s="131"/>
      <c r="V162" s="131"/>
      <c r="W162" s="131"/>
      <c r="X162" s="131"/>
    </row>
    <row r="163" spans="1:24" ht="13.5" customHeight="1">
      <c r="A163" s="142" t="s">
        <v>628</v>
      </c>
      <c r="B163" s="143" t="s">
        <v>776</v>
      </c>
      <c r="C163" s="144"/>
      <c r="D163" s="156"/>
      <c r="E163" s="141"/>
      <c r="F163" s="145"/>
      <c r="G163" s="145"/>
      <c r="H163" s="141"/>
      <c r="I163" s="131"/>
      <c r="J163" s="131"/>
      <c r="K163" s="131"/>
      <c r="L163" s="131"/>
      <c r="M163" s="131"/>
      <c r="N163" s="131"/>
      <c r="O163" s="131"/>
      <c r="P163" s="131"/>
      <c r="Q163" s="131"/>
      <c r="R163" s="131"/>
      <c r="S163" s="131"/>
      <c r="T163" s="131"/>
      <c r="U163" s="131"/>
      <c r="V163" s="131"/>
      <c r="W163" s="131"/>
      <c r="X163" s="131"/>
    </row>
    <row r="164" spans="1:24" ht="13.5" customHeight="1">
      <c r="A164" s="141"/>
      <c r="B164" s="146" t="s">
        <v>355</v>
      </c>
      <c r="C164" s="146" t="str">
        <f>C153</f>
        <v>N.A.</v>
      </c>
      <c r="D164" s="148" t="s">
        <v>694</v>
      </c>
      <c r="E164" s="149">
        <f t="shared" ref="E164:G166" si="19">E153</f>
        <v>0</v>
      </c>
      <c r="F164" s="145">
        <f t="shared" si="19"/>
        <v>0</v>
      </c>
      <c r="G164" s="145">
        <f t="shared" si="19"/>
        <v>0</v>
      </c>
      <c r="H164" s="141" t="s">
        <v>327</v>
      </c>
      <c r="I164" s="131"/>
      <c r="J164" s="131"/>
      <c r="K164" s="131"/>
      <c r="L164" s="131"/>
      <c r="M164" s="131"/>
      <c r="N164" s="131"/>
      <c r="O164" s="131"/>
      <c r="P164" s="131"/>
      <c r="Q164" s="131"/>
      <c r="R164" s="131"/>
      <c r="S164" s="131"/>
      <c r="T164" s="131"/>
      <c r="U164" s="131"/>
      <c r="V164" s="131"/>
      <c r="W164" s="131"/>
      <c r="X164" s="131"/>
    </row>
    <row r="165" spans="1:24" ht="13.5" customHeight="1">
      <c r="A165" s="141"/>
      <c r="B165" s="146" t="s">
        <v>695</v>
      </c>
      <c r="C165" s="146" t="str">
        <f>C154</f>
        <v>N.A.</v>
      </c>
      <c r="D165" s="148" t="s">
        <v>697</v>
      </c>
      <c r="E165" s="149">
        <f t="shared" si="19"/>
        <v>0</v>
      </c>
      <c r="F165" s="145">
        <f t="shared" si="19"/>
        <v>0</v>
      </c>
      <c r="G165" s="145">
        <f t="shared" si="19"/>
        <v>0</v>
      </c>
      <c r="H165" s="141" t="s">
        <v>711</v>
      </c>
      <c r="I165" s="131"/>
      <c r="J165" s="131"/>
      <c r="K165" s="131"/>
      <c r="L165" s="131"/>
      <c r="M165" s="131"/>
      <c r="N165" s="131"/>
      <c r="O165" s="131"/>
      <c r="P165" s="131"/>
      <c r="Q165" s="131"/>
      <c r="R165" s="131"/>
      <c r="S165" s="131"/>
      <c r="T165" s="131"/>
      <c r="U165" s="131"/>
      <c r="V165" s="131"/>
      <c r="W165" s="131"/>
      <c r="X165" s="131"/>
    </row>
    <row r="166" spans="1:24" ht="13.5" customHeight="1">
      <c r="A166" s="141"/>
      <c r="B166" s="146" t="s">
        <v>698</v>
      </c>
      <c r="C166" s="146" t="str">
        <f>C155</f>
        <v>N.A.</v>
      </c>
      <c r="D166" s="156" t="str">
        <f>D155</f>
        <v>Sq Ft</v>
      </c>
      <c r="E166" s="149">
        <f t="shared" si="19"/>
        <v>0</v>
      </c>
      <c r="F166" s="145">
        <f t="shared" si="19"/>
        <v>0</v>
      </c>
      <c r="G166" s="145">
        <f t="shared" si="19"/>
        <v>0</v>
      </c>
      <c r="H166" s="141" t="str">
        <f>H155</f>
        <v>Sq M</v>
      </c>
      <c r="I166" s="131"/>
      <c r="J166" s="131"/>
      <c r="K166" s="131"/>
      <c r="L166" s="131"/>
      <c r="M166" s="131"/>
      <c r="N166" s="131"/>
      <c r="O166" s="131"/>
      <c r="P166" s="131"/>
      <c r="Q166" s="131"/>
      <c r="R166" s="131"/>
      <c r="S166" s="131"/>
      <c r="T166" s="131"/>
      <c r="U166" s="131"/>
      <c r="V166" s="131"/>
      <c r="W166" s="131"/>
      <c r="X166" s="131"/>
    </row>
    <row r="167" spans="1:24" ht="13.5" customHeight="1">
      <c r="A167" s="141"/>
      <c r="B167" s="146" t="s">
        <v>700</v>
      </c>
      <c r="C167" s="146" t="s">
        <v>777</v>
      </c>
      <c r="D167" s="148" t="s">
        <v>694</v>
      </c>
      <c r="E167" s="149">
        <v>89</v>
      </c>
      <c r="F167" s="145">
        <f>F156</f>
        <v>0</v>
      </c>
      <c r="G167" s="145">
        <f>+E167*10.764</f>
        <v>957.99599999999998</v>
      </c>
      <c r="H167" s="141" t="s">
        <v>327</v>
      </c>
      <c r="I167" s="131"/>
      <c r="J167" s="131">
        <f>960/10.764</f>
        <v>89.186176142697889</v>
      </c>
      <c r="K167" s="131"/>
      <c r="L167" s="131"/>
      <c r="M167" s="131"/>
      <c r="N167" s="131"/>
      <c r="O167" s="131"/>
      <c r="P167" s="131"/>
      <c r="Q167" s="131"/>
      <c r="R167" s="131"/>
      <c r="S167" s="131"/>
      <c r="T167" s="131"/>
      <c r="U167" s="131"/>
      <c r="V167" s="131"/>
      <c r="W167" s="131"/>
      <c r="X167" s="131"/>
    </row>
    <row r="168" spans="1:24" ht="13.5" customHeight="1">
      <c r="A168" s="141"/>
      <c r="B168" s="146" t="s">
        <v>702</v>
      </c>
      <c r="C168" s="146" t="str">
        <f>C157</f>
        <v>N.A.</v>
      </c>
      <c r="D168" s="148" t="s">
        <v>694</v>
      </c>
      <c r="E168" s="149">
        <f>E157</f>
        <v>0</v>
      </c>
      <c r="F168" s="145">
        <f>F157</f>
        <v>0</v>
      </c>
      <c r="G168" s="145">
        <f>G157</f>
        <v>0</v>
      </c>
      <c r="H168" s="141" t="s">
        <v>327</v>
      </c>
      <c r="I168" s="131"/>
      <c r="J168" s="131"/>
      <c r="K168" s="131"/>
      <c r="L168" s="131"/>
      <c r="M168" s="131"/>
      <c r="N168" s="131"/>
      <c r="O168" s="131"/>
      <c r="P168" s="131"/>
      <c r="Q168" s="131"/>
      <c r="R168" s="131"/>
      <c r="S168" s="131"/>
      <c r="T168" s="131"/>
      <c r="U168" s="131"/>
      <c r="V168" s="131"/>
      <c r="W168" s="131"/>
      <c r="X168" s="131"/>
    </row>
    <row r="169" spans="1:24" ht="13.5" customHeight="1">
      <c r="A169" s="141"/>
      <c r="B169" s="146" t="s">
        <v>703</v>
      </c>
      <c r="C169" s="146" t="str">
        <f>C158</f>
        <v>N.A.</v>
      </c>
      <c r="D169" s="148" t="s">
        <v>694</v>
      </c>
      <c r="E169" s="149">
        <f>E158</f>
        <v>0</v>
      </c>
      <c r="F169" s="145">
        <f>F158</f>
        <v>0</v>
      </c>
      <c r="G169" s="145">
        <f>G158</f>
        <v>0</v>
      </c>
      <c r="H169" s="141" t="s">
        <v>327</v>
      </c>
      <c r="I169" s="131"/>
      <c r="J169" s="131"/>
      <c r="K169" s="131"/>
      <c r="L169" s="131"/>
      <c r="M169" s="131"/>
      <c r="N169" s="131"/>
      <c r="O169" s="131"/>
      <c r="P169" s="131"/>
      <c r="Q169" s="131"/>
      <c r="R169" s="131"/>
      <c r="S169" s="131"/>
      <c r="T169" s="131"/>
      <c r="U169" s="131"/>
      <c r="V169" s="131"/>
      <c r="W169" s="131"/>
      <c r="X169" s="131"/>
    </row>
    <row r="170" spans="1:24" ht="13.5" customHeight="1">
      <c r="A170" s="141"/>
      <c r="B170" s="146" t="s">
        <v>704</v>
      </c>
      <c r="C170" s="146" t="str">
        <f>C159</f>
        <v xml:space="preserve">Cement Paint </v>
      </c>
      <c r="D170" s="148" t="s">
        <v>694</v>
      </c>
      <c r="E170" s="149">
        <f>+G170/10.764</f>
        <v>29.999999999999996</v>
      </c>
      <c r="F170" s="145">
        <f>F159</f>
        <v>0</v>
      </c>
      <c r="G170" s="145">
        <v>322.91999999999996</v>
      </c>
      <c r="H170" s="141" t="s">
        <v>327</v>
      </c>
      <c r="I170" s="131"/>
      <c r="J170" s="131"/>
      <c r="K170" s="131"/>
      <c r="L170" s="131"/>
      <c r="M170" s="131"/>
      <c r="N170" s="131"/>
      <c r="O170" s="131"/>
      <c r="P170" s="131"/>
      <c r="Q170" s="131"/>
      <c r="R170" s="131"/>
      <c r="S170" s="131"/>
      <c r="T170" s="131"/>
      <c r="U170" s="131"/>
      <c r="V170" s="131"/>
      <c r="W170" s="131"/>
      <c r="X170" s="131"/>
    </row>
    <row r="171" spans="1:24" ht="13.5" customHeight="1">
      <c r="A171" s="141"/>
      <c r="B171" s="146" t="s">
        <v>706</v>
      </c>
      <c r="C171" s="146" t="str">
        <f>C160</f>
        <v>N.A.</v>
      </c>
      <c r="D171" s="148" t="s">
        <v>694</v>
      </c>
      <c r="E171" s="149">
        <f>E160</f>
        <v>0</v>
      </c>
      <c r="F171" s="145">
        <f>F160</f>
        <v>0</v>
      </c>
      <c r="G171" s="145">
        <f>G160</f>
        <v>0</v>
      </c>
      <c r="H171" s="141" t="s">
        <v>327</v>
      </c>
      <c r="I171" s="131"/>
      <c r="J171" s="131"/>
      <c r="K171" s="131"/>
      <c r="L171" s="131"/>
      <c r="M171" s="131"/>
      <c r="N171" s="131"/>
      <c r="O171" s="131"/>
      <c r="P171" s="131"/>
      <c r="Q171" s="131"/>
      <c r="R171" s="131"/>
      <c r="S171" s="131"/>
      <c r="T171" s="131"/>
      <c r="U171" s="131"/>
      <c r="V171" s="131"/>
      <c r="W171" s="131"/>
      <c r="X171" s="131"/>
    </row>
    <row r="172" spans="1:24" ht="13.5" customHeight="1">
      <c r="A172" s="141"/>
      <c r="B172" s="146" t="s">
        <v>724</v>
      </c>
      <c r="C172" s="146" t="s">
        <v>699</v>
      </c>
      <c r="D172" s="156" t="str">
        <f>D161</f>
        <v>Sq Ft</v>
      </c>
      <c r="E172" s="149"/>
      <c r="F172" s="145"/>
      <c r="G172" s="145"/>
      <c r="H172" s="141" t="str">
        <f>H161</f>
        <v>Sq M</v>
      </c>
      <c r="I172" s="131"/>
      <c r="J172" s="131"/>
      <c r="K172" s="131"/>
      <c r="L172" s="131"/>
      <c r="M172" s="131"/>
      <c r="N172" s="131"/>
      <c r="O172" s="131"/>
      <c r="P172" s="131"/>
      <c r="Q172" s="131"/>
      <c r="R172" s="131"/>
      <c r="S172" s="131"/>
      <c r="T172" s="131"/>
      <c r="U172" s="131"/>
      <c r="V172" s="131"/>
      <c r="W172" s="131"/>
      <c r="X172" s="131"/>
    </row>
    <row r="173" spans="1:24" ht="13.5" customHeight="1">
      <c r="A173" s="157"/>
      <c r="B173" s="158"/>
      <c r="C173" s="158"/>
      <c r="D173" s="159"/>
      <c r="E173" s="160"/>
      <c r="F173" s="145"/>
      <c r="G173" s="145"/>
      <c r="H173" s="157"/>
      <c r="I173" s="131"/>
      <c r="J173" s="131"/>
      <c r="K173" s="131"/>
      <c r="L173" s="131"/>
      <c r="M173" s="131"/>
      <c r="N173" s="131"/>
      <c r="O173" s="131"/>
      <c r="P173" s="131"/>
      <c r="Q173" s="131"/>
      <c r="R173" s="131"/>
      <c r="S173" s="131"/>
      <c r="T173" s="131"/>
      <c r="U173" s="131"/>
      <c r="V173" s="131"/>
      <c r="W173" s="131"/>
      <c r="X173" s="131"/>
    </row>
    <row r="174" spans="1:24" ht="13.5" customHeight="1">
      <c r="A174" s="142" t="s">
        <v>628</v>
      </c>
      <c r="B174" s="143" t="s">
        <v>778</v>
      </c>
      <c r="C174" s="144"/>
      <c r="D174" s="156"/>
      <c r="E174" s="141"/>
      <c r="F174" s="145"/>
      <c r="G174" s="145"/>
      <c r="H174" s="141"/>
      <c r="I174" s="131"/>
      <c r="J174" s="131"/>
      <c r="K174" s="131"/>
      <c r="L174" s="131"/>
      <c r="M174" s="131"/>
      <c r="N174" s="131"/>
      <c r="O174" s="131"/>
      <c r="P174" s="131"/>
      <c r="Q174" s="131"/>
      <c r="R174" s="131"/>
      <c r="S174" s="131"/>
      <c r="T174" s="131"/>
      <c r="U174" s="131"/>
      <c r="V174" s="131"/>
      <c r="W174" s="131"/>
      <c r="X174" s="131"/>
    </row>
    <row r="175" spans="1:24" ht="13.5" customHeight="1">
      <c r="A175" s="141"/>
      <c r="B175" s="146" t="s">
        <v>355</v>
      </c>
      <c r="C175" s="146" t="s">
        <v>779</v>
      </c>
      <c r="D175" s="148" t="s">
        <v>694</v>
      </c>
      <c r="E175" s="149"/>
      <c r="F175" s="145">
        <v>110</v>
      </c>
      <c r="G175" s="145">
        <f t="shared" ref="G175:G183" si="20">(E175+F175)*10.764</f>
        <v>1184.04</v>
      </c>
      <c r="H175" s="141" t="s">
        <v>327</v>
      </c>
      <c r="I175" s="131"/>
      <c r="J175" s="131"/>
      <c r="K175" s="131"/>
      <c r="L175" s="131"/>
      <c r="M175" s="131"/>
      <c r="N175" s="131"/>
      <c r="O175" s="131"/>
      <c r="P175" s="131"/>
      <c r="Q175" s="131"/>
      <c r="R175" s="131"/>
      <c r="S175" s="131"/>
      <c r="T175" s="131"/>
      <c r="U175" s="131"/>
      <c r="V175" s="131"/>
      <c r="W175" s="131"/>
      <c r="X175" s="131"/>
    </row>
    <row r="176" spans="1:24" ht="13.5" customHeight="1">
      <c r="A176" s="141"/>
      <c r="B176" s="146" t="s">
        <v>695</v>
      </c>
      <c r="C176" s="146" t="s">
        <v>699</v>
      </c>
      <c r="D176" s="148" t="s">
        <v>697</v>
      </c>
      <c r="E176" s="149"/>
      <c r="F176" s="145"/>
      <c r="G176" s="145">
        <f t="shared" si="20"/>
        <v>0</v>
      </c>
      <c r="H176" s="141" t="s">
        <v>711</v>
      </c>
      <c r="I176" s="131"/>
      <c r="J176" s="131"/>
      <c r="K176" s="131"/>
      <c r="L176" s="131"/>
      <c r="M176" s="131"/>
      <c r="N176" s="131"/>
      <c r="O176" s="131"/>
      <c r="P176" s="131"/>
      <c r="Q176" s="131"/>
      <c r="R176" s="131"/>
      <c r="S176" s="131"/>
      <c r="T176" s="131"/>
      <c r="U176" s="131"/>
      <c r="V176" s="131"/>
      <c r="W176" s="131"/>
      <c r="X176" s="131"/>
    </row>
    <row r="177" spans="1:24" ht="13.5" customHeight="1">
      <c r="A177" s="141"/>
      <c r="B177" s="146" t="s">
        <v>698</v>
      </c>
      <c r="C177" s="146" t="s">
        <v>699</v>
      </c>
      <c r="D177" s="156" t="s">
        <v>694</v>
      </c>
      <c r="E177" s="149"/>
      <c r="F177" s="145"/>
      <c r="G177" s="145">
        <f t="shared" si="20"/>
        <v>0</v>
      </c>
      <c r="H177" s="141" t="s">
        <v>327</v>
      </c>
      <c r="I177" s="131"/>
      <c r="J177" s="131"/>
      <c r="K177" s="131"/>
      <c r="L177" s="131"/>
      <c r="M177" s="131"/>
      <c r="N177" s="131"/>
      <c r="O177" s="131"/>
      <c r="P177" s="131"/>
      <c r="Q177" s="131"/>
      <c r="R177" s="131"/>
      <c r="S177" s="131"/>
      <c r="T177" s="131"/>
      <c r="U177" s="131"/>
      <c r="V177" s="131"/>
      <c r="W177" s="131"/>
      <c r="X177" s="131"/>
    </row>
    <row r="178" spans="1:24" ht="13.5" customHeight="1">
      <c r="A178" s="141"/>
      <c r="B178" s="146" t="s">
        <v>700</v>
      </c>
      <c r="C178" s="146" t="s">
        <v>728</v>
      </c>
      <c r="D178" s="148" t="s">
        <v>694</v>
      </c>
      <c r="E178" s="149">
        <v>53</v>
      </c>
      <c r="F178" s="145"/>
      <c r="G178" s="145">
        <f t="shared" si="20"/>
        <v>570.49199999999996</v>
      </c>
      <c r="H178" s="141" t="s">
        <v>327</v>
      </c>
      <c r="I178" s="131"/>
      <c r="J178" s="131">
        <f>571/10.764</f>
        <v>53.047194351542181</v>
      </c>
      <c r="K178" s="131"/>
      <c r="L178" s="131"/>
      <c r="M178" s="131"/>
      <c r="N178" s="131"/>
      <c r="O178" s="131"/>
      <c r="P178" s="131"/>
      <c r="Q178" s="131"/>
      <c r="R178" s="131"/>
      <c r="S178" s="131"/>
      <c r="T178" s="131"/>
      <c r="U178" s="131"/>
      <c r="V178" s="131"/>
      <c r="W178" s="131"/>
      <c r="X178" s="131"/>
    </row>
    <row r="179" spans="1:24" ht="13.5" customHeight="1">
      <c r="A179" s="141"/>
      <c r="B179" s="146" t="s">
        <v>702</v>
      </c>
      <c r="C179" s="146" t="s">
        <v>699</v>
      </c>
      <c r="D179" s="148" t="s">
        <v>694</v>
      </c>
      <c r="E179" s="149">
        <v>53</v>
      </c>
      <c r="F179" s="145"/>
      <c r="G179" s="145">
        <f t="shared" si="20"/>
        <v>570.49199999999996</v>
      </c>
      <c r="H179" s="141" t="s">
        <v>327</v>
      </c>
      <c r="I179" s="131"/>
      <c r="J179" s="131"/>
      <c r="K179" s="131"/>
      <c r="L179" s="131"/>
      <c r="M179" s="131"/>
      <c r="N179" s="131"/>
      <c r="O179" s="131"/>
      <c r="P179" s="131"/>
      <c r="Q179" s="131"/>
      <c r="R179" s="131"/>
      <c r="S179" s="131"/>
      <c r="T179" s="131"/>
      <c r="U179" s="131"/>
      <c r="V179" s="131"/>
      <c r="W179" s="131"/>
      <c r="X179" s="131"/>
    </row>
    <row r="180" spans="1:24" ht="13.5" customHeight="1">
      <c r="A180" s="141"/>
      <c r="B180" s="146" t="s">
        <v>703</v>
      </c>
      <c r="C180" s="146" t="s">
        <v>699</v>
      </c>
      <c r="D180" s="148" t="s">
        <v>694</v>
      </c>
      <c r="E180" s="149"/>
      <c r="F180" s="145"/>
      <c r="G180" s="145">
        <f t="shared" si="20"/>
        <v>0</v>
      </c>
      <c r="H180" s="141" t="s">
        <v>327</v>
      </c>
      <c r="I180" s="131"/>
      <c r="J180" s="131"/>
      <c r="K180" s="131"/>
      <c r="L180" s="131"/>
      <c r="M180" s="131"/>
      <c r="N180" s="131"/>
      <c r="O180" s="131"/>
      <c r="P180" s="131"/>
      <c r="Q180" s="131"/>
      <c r="R180" s="131"/>
      <c r="S180" s="131"/>
      <c r="T180" s="131"/>
      <c r="U180" s="131"/>
      <c r="V180" s="131"/>
      <c r="W180" s="131"/>
      <c r="X180" s="131"/>
    </row>
    <row r="181" spans="1:24" ht="13.5" customHeight="1">
      <c r="A181" s="141"/>
      <c r="B181" s="146" t="s">
        <v>704</v>
      </c>
      <c r="C181" s="146" t="s">
        <v>729</v>
      </c>
      <c r="D181" s="148" t="s">
        <v>694</v>
      </c>
      <c r="E181" s="149">
        <v>15</v>
      </c>
      <c r="F181" s="145"/>
      <c r="G181" s="145">
        <f t="shared" si="20"/>
        <v>161.45999999999998</v>
      </c>
      <c r="H181" s="141" t="s">
        <v>327</v>
      </c>
      <c r="I181" s="131"/>
      <c r="J181" s="131"/>
      <c r="K181" s="131"/>
      <c r="L181" s="131"/>
      <c r="M181" s="131"/>
      <c r="N181" s="131"/>
      <c r="O181" s="131"/>
      <c r="P181" s="131"/>
      <c r="Q181" s="131"/>
      <c r="R181" s="131"/>
      <c r="S181" s="131"/>
      <c r="T181" s="131"/>
      <c r="U181" s="131"/>
      <c r="V181" s="131"/>
      <c r="W181" s="131"/>
      <c r="X181" s="131"/>
    </row>
    <row r="182" spans="1:24" ht="13.5" customHeight="1">
      <c r="A182" s="141"/>
      <c r="B182" s="146" t="s">
        <v>706</v>
      </c>
      <c r="C182" s="146" t="s">
        <v>729</v>
      </c>
      <c r="D182" s="148" t="s">
        <v>694</v>
      </c>
      <c r="E182" s="149">
        <v>15</v>
      </c>
      <c r="F182" s="145"/>
      <c r="G182" s="145">
        <f t="shared" si="20"/>
        <v>161.45999999999998</v>
      </c>
      <c r="H182" s="141" t="s">
        <v>327</v>
      </c>
      <c r="I182" s="131"/>
      <c r="J182" s="131"/>
      <c r="K182" s="131"/>
      <c r="L182" s="131"/>
      <c r="M182" s="131"/>
      <c r="N182" s="131"/>
      <c r="O182" s="131"/>
      <c r="P182" s="131"/>
      <c r="Q182" s="131"/>
      <c r="R182" s="131"/>
      <c r="S182" s="131"/>
      <c r="T182" s="131"/>
      <c r="U182" s="131"/>
      <c r="V182" s="131"/>
      <c r="W182" s="131"/>
      <c r="X182" s="131"/>
    </row>
    <row r="183" spans="1:24" ht="13.5" customHeight="1">
      <c r="A183" s="141"/>
      <c r="B183" s="146" t="s">
        <v>724</v>
      </c>
      <c r="C183" s="146" t="s">
        <v>699</v>
      </c>
      <c r="D183" s="156" t="s">
        <v>780</v>
      </c>
      <c r="E183" s="149"/>
      <c r="F183" s="145"/>
      <c r="G183" s="145">
        <f t="shared" si="20"/>
        <v>0</v>
      </c>
      <c r="H183" s="141" t="s">
        <v>358</v>
      </c>
      <c r="I183" s="131"/>
      <c r="J183" s="131"/>
      <c r="K183" s="131"/>
      <c r="L183" s="131"/>
      <c r="M183" s="131"/>
      <c r="N183" s="131"/>
      <c r="O183" s="131"/>
      <c r="P183" s="131"/>
      <c r="Q183" s="131"/>
      <c r="R183" s="131"/>
      <c r="S183" s="131"/>
      <c r="T183" s="131"/>
      <c r="U183" s="131"/>
      <c r="V183" s="131"/>
      <c r="W183" s="131"/>
      <c r="X183" s="131"/>
    </row>
    <row r="184" spans="1:24" ht="13.5" customHeight="1">
      <c r="A184" s="157"/>
      <c r="B184" s="158"/>
      <c r="C184" s="158"/>
      <c r="D184" s="159"/>
      <c r="E184" s="160"/>
      <c r="F184" s="145"/>
      <c r="G184" s="145"/>
      <c r="H184" s="157"/>
      <c r="I184" s="131"/>
      <c r="J184" s="131"/>
      <c r="K184" s="131"/>
      <c r="L184" s="131"/>
      <c r="M184" s="131"/>
      <c r="N184" s="131"/>
      <c r="O184" s="131"/>
      <c r="P184" s="131"/>
      <c r="Q184" s="131"/>
      <c r="R184" s="131"/>
      <c r="S184" s="131"/>
      <c r="T184" s="131"/>
      <c r="U184" s="131"/>
      <c r="V184" s="131"/>
      <c r="W184" s="131"/>
      <c r="X184" s="131"/>
    </row>
    <row r="185" spans="1:24" ht="13.5" customHeight="1">
      <c r="A185" s="142" t="s">
        <v>628</v>
      </c>
      <c r="B185" s="143" t="s">
        <v>781</v>
      </c>
      <c r="C185" s="144"/>
      <c r="D185" s="156"/>
      <c r="E185" s="141"/>
      <c r="F185" s="145"/>
      <c r="G185" s="145"/>
      <c r="H185" s="141"/>
      <c r="I185" s="131"/>
      <c r="J185" s="131"/>
      <c r="K185" s="131"/>
      <c r="L185" s="131"/>
      <c r="M185" s="131"/>
      <c r="N185" s="131"/>
      <c r="O185" s="131"/>
      <c r="P185" s="131"/>
      <c r="Q185" s="131"/>
      <c r="R185" s="131"/>
      <c r="S185" s="131"/>
      <c r="T185" s="131"/>
      <c r="U185" s="131"/>
      <c r="V185" s="131"/>
      <c r="W185" s="131"/>
      <c r="X185" s="131"/>
    </row>
    <row r="186" spans="1:24" ht="13.5" customHeight="1">
      <c r="A186" s="141"/>
      <c r="B186" s="146" t="s">
        <v>355</v>
      </c>
      <c r="C186" s="146" t="s">
        <v>782</v>
      </c>
      <c r="D186" s="148" t="s">
        <v>694</v>
      </c>
      <c r="E186" s="149">
        <v>2000</v>
      </c>
      <c r="F186" s="145"/>
      <c r="G186" s="145">
        <f>(E186+F186)*10.764</f>
        <v>21528</v>
      </c>
      <c r="H186" s="141" t="s">
        <v>327</v>
      </c>
      <c r="I186" s="131"/>
      <c r="J186" s="131"/>
      <c r="K186" s="131"/>
      <c r="L186" s="131"/>
      <c r="M186" s="131"/>
      <c r="N186" s="131"/>
      <c r="O186" s="131"/>
      <c r="P186" s="131"/>
      <c r="Q186" s="131"/>
      <c r="R186" s="131"/>
      <c r="S186" s="131"/>
      <c r="T186" s="131"/>
      <c r="U186" s="131"/>
      <c r="V186" s="131"/>
      <c r="W186" s="131"/>
      <c r="X186" s="131"/>
    </row>
    <row r="187" spans="1:24" ht="13.5" customHeight="1">
      <c r="A187" s="141"/>
      <c r="B187" s="146" t="s">
        <v>695</v>
      </c>
      <c r="C187" s="146" t="str">
        <f>C176</f>
        <v>N.A.</v>
      </c>
      <c r="D187" s="148" t="s">
        <v>697</v>
      </c>
      <c r="E187" s="149"/>
      <c r="F187" s="145"/>
      <c r="G187" s="145"/>
      <c r="H187" s="141" t="s">
        <v>711</v>
      </c>
      <c r="I187" s="131"/>
      <c r="J187" s="131"/>
      <c r="K187" s="131"/>
      <c r="L187" s="131"/>
      <c r="M187" s="131"/>
      <c r="N187" s="131"/>
      <c r="O187" s="131"/>
      <c r="P187" s="131"/>
      <c r="Q187" s="131"/>
      <c r="R187" s="131"/>
      <c r="S187" s="131"/>
      <c r="T187" s="131"/>
      <c r="U187" s="131"/>
      <c r="V187" s="131"/>
      <c r="W187" s="131"/>
      <c r="X187" s="131"/>
    </row>
    <row r="188" spans="1:24" ht="13.5" customHeight="1">
      <c r="A188" s="141"/>
      <c r="B188" s="146" t="s">
        <v>698</v>
      </c>
      <c r="C188" s="146" t="str">
        <f>C177</f>
        <v>N.A.</v>
      </c>
      <c r="D188" s="156" t="s">
        <v>694</v>
      </c>
      <c r="E188" s="149"/>
      <c r="F188" s="145"/>
      <c r="G188" s="145"/>
      <c r="H188" s="141" t="s">
        <v>327</v>
      </c>
      <c r="I188" s="131"/>
      <c r="J188" s="131"/>
      <c r="K188" s="131"/>
      <c r="L188" s="131"/>
      <c r="M188" s="131"/>
      <c r="N188" s="131"/>
      <c r="O188" s="131"/>
      <c r="P188" s="131"/>
      <c r="Q188" s="131"/>
      <c r="R188" s="131"/>
      <c r="S188" s="131"/>
      <c r="T188" s="131"/>
      <c r="U188" s="131"/>
      <c r="V188" s="131"/>
      <c r="W188" s="131"/>
      <c r="X188" s="131"/>
    </row>
    <row r="189" spans="1:24" ht="13.5" customHeight="1">
      <c r="A189" s="141"/>
      <c r="B189" s="146" t="s">
        <v>700</v>
      </c>
      <c r="C189" s="146" t="str">
        <f>C188</f>
        <v>N.A.</v>
      </c>
      <c r="D189" s="148" t="s">
        <v>694</v>
      </c>
      <c r="E189" s="149"/>
      <c r="F189" s="145"/>
      <c r="G189" s="145"/>
      <c r="H189" s="141" t="s">
        <v>327</v>
      </c>
      <c r="I189" s="131"/>
      <c r="J189" s="131"/>
      <c r="K189" s="131"/>
      <c r="L189" s="131"/>
      <c r="M189" s="131"/>
      <c r="N189" s="131"/>
      <c r="O189" s="131"/>
      <c r="P189" s="131"/>
      <c r="Q189" s="131"/>
      <c r="R189" s="131"/>
      <c r="S189" s="131"/>
      <c r="T189" s="131"/>
      <c r="U189" s="131"/>
      <c r="V189" s="131"/>
      <c r="W189" s="131"/>
      <c r="X189" s="131"/>
    </row>
    <row r="190" spans="1:24" ht="13.5" customHeight="1">
      <c r="A190" s="141"/>
      <c r="B190" s="146" t="s">
        <v>702</v>
      </c>
      <c r="C190" s="146" t="str">
        <f>C179</f>
        <v>N.A.</v>
      </c>
      <c r="D190" s="156" t="s">
        <v>694</v>
      </c>
      <c r="E190" s="149"/>
      <c r="F190" s="145"/>
      <c r="G190" s="145"/>
      <c r="H190" s="141" t="s">
        <v>327</v>
      </c>
      <c r="I190" s="131"/>
      <c r="J190" s="131"/>
      <c r="K190" s="131"/>
      <c r="L190" s="131"/>
      <c r="M190" s="131"/>
      <c r="N190" s="131"/>
      <c r="O190" s="131"/>
      <c r="P190" s="131"/>
      <c r="Q190" s="131"/>
      <c r="R190" s="131"/>
      <c r="S190" s="131"/>
      <c r="T190" s="131"/>
      <c r="U190" s="131"/>
      <c r="V190" s="131"/>
      <c r="W190" s="131"/>
      <c r="X190" s="131"/>
    </row>
    <row r="191" spans="1:24" ht="13.5" customHeight="1">
      <c r="A191" s="141"/>
      <c r="B191" s="146" t="s">
        <v>703</v>
      </c>
      <c r="C191" s="146" t="str">
        <f>C180</f>
        <v>N.A.</v>
      </c>
      <c r="D191" s="148" t="s">
        <v>694</v>
      </c>
      <c r="E191" s="149"/>
      <c r="F191" s="145"/>
      <c r="G191" s="145"/>
      <c r="H191" s="141" t="s">
        <v>327</v>
      </c>
      <c r="I191" s="131"/>
      <c r="J191" s="131"/>
      <c r="K191" s="131"/>
      <c r="L191" s="131"/>
      <c r="M191" s="131"/>
      <c r="N191" s="131"/>
      <c r="O191" s="131"/>
      <c r="P191" s="131"/>
      <c r="Q191" s="131"/>
      <c r="R191" s="131"/>
      <c r="S191" s="131"/>
      <c r="T191" s="131"/>
      <c r="U191" s="131"/>
      <c r="V191" s="131"/>
      <c r="W191" s="131"/>
      <c r="X191" s="131"/>
    </row>
    <row r="192" spans="1:24" ht="13.5" customHeight="1">
      <c r="A192" s="141"/>
      <c r="B192" s="146" t="s">
        <v>704</v>
      </c>
      <c r="C192" s="146" t="str">
        <f>C181</f>
        <v>Cement Paint</v>
      </c>
      <c r="D192" s="148" t="s">
        <v>694</v>
      </c>
      <c r="E192" s="149">
        <v>16</v>
      </c>
      <c r="F192" s="145"/>
      <c r="G192" s="145">
        <f t="shared" ref="G192" si="21">(E192+F192)*10.764</f>
        <v>172.22399999999999</v>
      </c>
      <c r="H192" s="141" t="s">
        <v>327</v>
      </c>
      <c r="I192" s="131"/>
      <c r="J192" s="131"/>
      <c r="K192" s="131"/>
      <c r="L192" s="131"/>
      <c r="M192" s="131"/>
      <c r="N192" s="131"/>
      <c r="O192" s="131"/>
      <c r="P192" s="131"/>
      <c r="Q192" s="131"/>
      <c r="R192" s="131"/>
      <c r="S192" s="131"/>
      <c r="T192" s="131"/>
      <c r="U192" s="131"/>
      <c r="V192" s="131"/>
      <c r="W192" s="131"/>
      <c r="X192" s="131"/>
    </row>
    <row r="193" spans="1:24" ht="13.5" customHeight="1">
      <c r="A193" s="141"/>
      <c r="B193" s="146" t="s">
        <v>706</v>
      </c>
      <c r="C193" s="146" t="str">
        <f>C191</f>
        <v>N.A.</v>
      </c>
      <c r="D193" s="148" t="s">
        <v>694</v>
      </c>
      <c r="E193" s="149"/>
      <c r="F193" s="145"/>
      <c r="G193" s="145"/>
      <c r="H193" s="141" t="s">
        <v>327</v>
      </c>
      <c r="I193" s="131"/>
      <c r="J193" s="131"/>
      <c r="K193" s="131"/>
      <c r="L193" s="131"/>
      <c r="M193" s="131"/>
      <c r="N193" s="131"/>
      <c r="O193" s="131"/>
      <c r="P193" s="131"/>
      <c r="Q193" s="131"/>
      <c r="R193" s="131"/>
      <c r="S193" s="131"/>
      <c r="T193" s="131"/>
      <c r="U193" s="131"/>
      <c r="V193" s="131"/>
      <c r="W193" s="131"/>
      <c r="X193" s="131"/>
    </row>
    <row r="194" spans="1:24" ht="13.5" customHeight="1">
      <c r="A194" s="141"/>
      <c r="B194" s="146" t="s">
        <v>724</v>
      </c>
      <c r="C194" s="146" t="str">
        <f>C183</f>
        <v>N.A.</v>
      </c>
      <c r="D194" s="156" t="str">
        <f>D183</f>
        <v>R.Ft</v>
      </c>
      <c r="E194" s="149"/>
      <c r="F194" s="145"/>
      <c r="G194" s="145"/>
      <c r="H194" s="141" t="str">
        <f>H183</f>
        <v>RM</v>
      </c>
      <c r="I194" s="131"/>
      <c r="J194" s="131"/>
      <c r="K194" s="131"/>
      <c r="L194" s="131"/>
      <c r="M194" s="131"/>
      <c r="N194" s="131"/>
      <c r="O194" s="131"/>
      <c r="P194" s="131"/>
      <c r="Q194" s="131"/>
      <c r="R194" s="131"/>
      <c r="S194" s="131"/>
      <c r="T194" s="131"/>
      <c r="U194" s="131"/>
      <c r="V194" s="131"/>
      <c r="W194" s="131"/>
      <c r="X194" s="131"/>
    </row>
    <row r="195" spans="1:24" ht="13.5" customHeight="1">
      <c r="A195" s="141"/>
      <c r="B195" s="146"/>
      <c r="C195" s="146"/>
      <c r="D195" s="156"/>
      <c r="E195" s="149"/>
      <c r="F195" s="145"/>
      <c r="G195" s="145"/>
      <c r="H195" s="141"/>
      <c r="I195" s="131"/>
      <c r="J195" s="131"/>
      <c r="K195" s="131"/>
      <c r="L195" s="131"/>
      <c r="M195" s="131"/>
      <c r="N195" s="131"/>
      <c r="O195" s="131"/>
      <c r="P195" s="131"/>
      <c r="Q195" s="131"/>
      <c r="R195" s="131"/>
      <c r="S195" s="131"/>
      <c r="T195" s="131"/>
      <c r="U195" s="131"/>
      <c r="V195" s="131"/>
      <c r="W195" s="131"/>
      <c r="X195" s="131"/>
    </row>
    <row r="196" spans="1:24" ht="13.5" customHeight="1">
      <c r="A196" s="142" t="s">
        <v>628</v>
      </c>
      <c r="B196" s="143" t="s">
        <v>783</v>
      </c>
      <c r="C196" s="144"/>
      <c r="D196" s="156"/>
      <c r="E196" s="141"/>
      <c r="F196" s="145"/>
      <c r="G196" s="145"/>
      <c r="H196" s="141"/>
      <c r="I196" s="131"/>
      <c r="J196" s="131"/>
      <c r="K196" s="131"/>
      <c r="L196" s="131"/>
      <c r="M196" s="131"/>
      <c r="N196" s="131"/>
      <c r="O196" s="131"/>
      <c r="P196" s="131"/>
      <c r="Q196" s="131"/>
      <c r="R196" s="131"/>
      <c r="S196" s="131"/>
      <c r="T196" s="131"/>
      <c r="U196" s="131"/>
      <c r="V196" s="131"/>
      <c r="W196" s="131"/>
      <c r="X196" s="131"/>
    </row>
    <row r="197" spans="1:24" ht="13.5" customHeight="1">
      <c r="A197" s="141"/>
      <c r="B197" s="146" t="s">
        <v>355</v>
      </c>
      <c r="C197" s="146" t="str">
        <f>C199</f>
        <v>N.A.</v>
      </c>
      <c r="D197" s="148" t="s">
        <v>694</v>
      </c>
      <c r="E197" s="149"/>
      <c r="F197" s="145"/>
      <c r="G197" s="145"/>
      <c r="H197" s="141" t="s">
        <v>327</v>
      </c>
      <c r="I197" s="131"/>
      <c r="J197" s="131"/>
      <c r="K197" s="131"/>
      <c r="L197" s="131"/>
      <c r="M197" s="131"/>
      <c r="N197" s="131"/>
      <c r="O197" s="131"/>
      <c r="P197" s="131"/>
      <c r="Q197" s="131"/>
      <c r="R197" s="131"/>
      <c r="S197" s="131"/>
      <c r="T197" s="131"/>
      <c r="U197" s="131"/>
      <c r="V197" s="131"/>
      <c r="W197" s="131"/>
      <c r="X197" s="131"/>
    </row>
    <row r="198" spans="1:24" ht="13.5" customHeight="1">
      <c r="A198" s="141"/>
      <c r="B198" s="146" t="s">
        <v>695</v>
      </c>
      <c r="C198" s="146" t="str">
        <f>C187</f>
        <v>N.A.</v>
      </c>
      <c r="D198" s="148" t="s">
        <v>697</v>
      </c>
      <c r="E198" s="149"/>
      <c r="F198" s="145"/>
      <c r="G198" s="145"/>
      <c r="H198" s="141" t="s">
        <v>711</v>
      </c>
      <c r="I198" s="131"/>
      <c r="J198" s="131"/>
      <c r="K198" s="131"/>
      <c r="L198" s="131"/>
      <c r="M198" s="131"/>
      <c r="N198" s="131"/>
      <c r="O198" s="131"/>
      <c r="P198" s="131"/>
      <c r="Q198" s="131"/>
      <c r="R198" s="131"/>
      <c r="S198" s="131"/>
      <c r="T198" s="131"/>
      <c r="U198" s="131"/>
      <c r="V198" s="131"/>
      <c r="W198" s="131"/>
      <c r="X198" s="131"/>
    </row>
    <row r="199" spans="1:24" ht="13.5" customHeight="1">
      <c r="A199" s="141"/>
      <c r="B199" s="146" t="s">
        <v>698</v>
      </c>
      <c r="C199" s="146" t="str">
        <f>C188</f>
        <v>N.A.</v>
      </c>
      <c r="D199" s="156" t="s">
        <v>694</v>
      </c>
      <c r="E199" s="149"/>
      <c r="F199" s="145"/>
      <c r="G199" s="145"/>
      <c r="H199" s="141" t="s">
        <v>327</v>
      </c>
      <c r="I199" s="131"/>
      <c r="J199" s="131"/>
      <c r="K199" s="131"/>
      <c r="L199" s="131"/>
      <c r="M199" s="131"/>
      <c r="N199" s="131"/>
      <c r="O199" s="131"/>
      <c r="P199" s="131"/>
      <c r="Q199" s="131"/>
      <c r="R199" s="131"/>
      <c r="S199" s="131"/>
      <c r="T199" s="131"/>
      <c r="U199" s="131"/>
      <c r="V199" s="131"/>
      <c r="W199" s="131"/>
      <c r="X199" s="131"/>
    </row>
    <row r="200" spans="1:24" ht="13.5" customHeight="1">
      <c r="A200" s="141"/>
      <c r="B200" s="146" t="s">
        <v>700</v>
      </c>
      <c r="C200" s="146" t="str">
        <f>C199</f>
        <v>N.A.</v>
      </c>
      <c r="D200" s="148" t="s">
        <v>694</v>
      </c>
      <c r="E200" s="149"/>
      <c r="F200" s="145"/>
      <c r="G200" s="145"/>
      <c r="H200" s="141" t="s">
        <v>327</v>
      </c>
      <c r="I200" s="131"/>
      <c r="J200" s="131"/>
      <c r="K200" s="131"/>
      <c r="L200" s="131"/>
      <c r="M200" s="131"/>
      <c r="N200" s="131"/>
      <c r="O200" s="131"/>
      <c r="P200" s="131"/>
      <c r="Q200" s="131"/>
      <c r="R200" s="131"/>
      <c r="S200" s="131"/>
      <c r="T200" s="131"/>
      <c r="U200" s="131"/>
      <c r="V200" s="131"/>
      <c r="W200" s="131"/>
      <c r="X200" s="131"/>
    </row>
    <row r="201" spans="1:24" ht="13.5" customHeight="1">
      <c r="A201" s="141"/>
      <c r="B201" s="146" t="s">
        <v>702</v>
      </c>
      <c r="C201" s="146" t="str">
        <f>C190</f>
        <v>N.A.</v>
      </c>
      <c r="D201" s="156" t="s">
        <v>694</v>
      </c>
      <c r="E201" s="149"/>
      <c r="F201" s="145"/>
      <c r="G201" s="145"/>
      <c r="H201" s="141" t="s">
        <v>327</v>
      </c>
      <c r="I201" s="131"/>
      <c r="J201" s="131"/>
      <c r="K201" s="131"/>
      <c r="L201" s="131"/>
      <c r="M201" s="131"/>
      <c r="N201" s="131"/>
      <c r="O201" s="131"/>
      <c r="P201" s="131"/>
      <c r="Q201" s="131"/>
      <c r="R201" s="131"/>
      <c r="S201" s="131"/>
      <c r="T201" s="131"/>
      <c r="U201" s="131"/>
      <c r="V201" s="131"/>
      <c r="W201" s="131"/>
      <c r="X201" s="131"/>
    </row>
    <row r="202" spans="1:24" ht="13.5" customHeight="1">
      <c r="A202" s="141"/>
      <c r="B202" s="146" t="s">
        <v>703</v>
      </c>
      <c r="C202" s="146" t="str">
        <f>C191</f>
        <v>N.A.</v>
      </c>
      <c r="D202" s="148" t="s">
        <v>694</v>
      </c>
      <c r="E202" s="149"/>
      <c r="F202" s="145"/>
      <c r="G202" s="145"/>
      <c r="H202" s="141" t="s">
        <v>327</v>
      </c>
      <c r="I202" s="131"/>
      <c r="J202" s="131"/>
      <c r="K202" s="131"/>
      <c r="L202" s="131"/>
      <c r="M202" s="131"/>
      <c r="N202" s="131"/>
      <c r="O202" s="131"/>
      <c r="P202" s="131"/>
      <c r="Q202" s="131"/>
      <c r="R202" s="131"/>
      <c r="S202" s="131"/>
      <c r="T202" s="131"/>
      <c r="U202" s="131"/>
      <c r="V202" s="131"/>
      <c r="W202" s="131"/>
      <c r="X202" s="131"/>
    </row>
    <row r="203" spans="1:24" ht="13.5" customHeight="1">
      <c r="A203" s="141"/>
      <c r="B203" s="146" t="s">
        <v>704</v>
      </c>
      <c r="C203" s="146" t="str">
        <f>C192</f>
        <v>Cement Paint</v>
      </c>
      <c r="D203" s="148" t="s">
        <v>694</v>
      </c>
      <c r="E203" s="149">
        <v>16</v>
      </c>
      <c r="F203" s="145"/>
      <c r="G203" s="145">
        <f t="shared" ref="G203" si="22">(E203+F203)*10.764</f>
        <v>172.22399999999999</v>
      </c>
      <c r="H203" s="141" t="s">
        <v>327</v>
      </c>
      <c r="I203" s="131"/>
      <c r="J203" s="131"/>
      <c r="K203" s="131"/>
      <c r="L203" s="131"/>
      <c r="M203" s="131"/>
      <c r="N203" s="131"/>
      <c r="O203" s="131"/>
      <c r="P203" s="131"/>
      <c r="Q203" s="131"/>
      <c r="R203" s="131"/>
      <c r="S203" s="131"/>
      <c r="T203" s="131"/>
      <c r="U203" s="131"/>
      <c r="V203" s="131"/>
      <c r="W203" s="131"/>
      <c r="X203" s="131"/>
    </row>
    <row r="204" spans="1:24" ht="13.5" customHeight="1">
      <c r="A204" s="141"/>
      <c r="B204" s="146" t="s">
        <v>706</v>
      </c>
      <c r="C204" s="146" t="str">
        <f>C202</f>
        <v>N.A.</v>
      </c>
      <c r="D204" s="148" t="s">
        <v>694</v>
      </c>
      <c r="E204" s="149"/>
      <c r="F204" s="145"/>
      <c r="G204" s="145"/>
      <c r="H204" s="141" t="s">
        <v>327</v>
      </c>
      <c r="I204" s="131"/>
      <c r="J204" s="131"/>
      <c r="K204" s="131"/>
      <c r="L204" s="131"/>
      <c r="M204" s="131"/>
      <c r="N204" s="131"/>
      <c r="O204" s="131"/>
      <c r="P204" s="131"/>
      <c r="Q204" s="131"/>
      <c r="R204" s="131"/>
      <c r="S204" s="131"/>
      <c r="T204" s="131"/>
      <c r="U204" s="131"/>
      <c r="V204" s="131"/>
      <c r="W204" s="131"/>
      <c r="X204" s="131"/>
    </row>
    <row r="205" spans="1:24" ht="13.5" customHeight="1">
      <c r="A205" s="141"/>
      <c r="B205" s="146" t="s">
        <v>724</v>
      </c>
      <c r="C205" s="146" t="str">
        <f>C194</f>
        <v>N.A.</v>
      </c>
      <c r="D205" s="156" t="str">
        <f>D194</f>
        <v>R.Ft</v>
      </c>
      <c r="E205" s="149"/>
      <c r="F205" s="145"/>
      <c r="G205" s="145"/>
      <c r="H205" s="141" t="str">
        <f>H194</f>
        <v>RM</v>
      </c>
      <c r="I205" s="131"/>
      <c r="J205" s="131"/>
      <c r="K205" s="131"/>
      <c r="L205" s="131"/>
      <c r="M205" s="131"/>
      <c r="N205" s="131"/>
      <c r="O205" s="131"/>
      <c r="P205" s="131"/>
      <c r="Q205" s="131"/>
      <c r="R205" s="131"/>
      <c r="S205" s="131"/>
      <c r="T205" s="131"/>
      <c r="U205" s="131"/>
      <c r="V205" s="131"/>
      <c r="W205" s="131"/>
      <c r="X205" s="131"/>
    </row>
    <row r="206" spans="1:24" ht="13.5" customHeight="1">
      <c r="A206" s="141"/>
      <c r="B206" s="146"/>
      <c r="C206" s="146"/>
      <c r="D206" s="156"/>
      <c r="E206" s="149"/>
      <c r="F206" s="145"/>
      <c r="G206" s="145"/>
      <c r="H206" s="141"/>
      <c r="I206" s="131"/>
      <c r="J206" s="131"/>
      <c r="K206" s="131"/>
      <c r="L206" s="131"/>
      <c r="M206" s="131"/>
      <c r="N206" s="131"/>
      <c r="O206" s="131"/>
      <c r="P206" s="131"/>
      <c r="Q206" s="131"/>
      <c r="R206" s="131"/>
      <c r="S206" s="131"/>
      <c r="T206" s="131"/>
      <c r="U206" s="131"/>
      <c r="V206" s="131"/>
      <c r="W206" s="131"/>
      <c r="X206" s="131"/>
    </row>
    <row r="207" spans="1:24" ht="13.5" customHeight="1">
      <c r="A207" s="142" t="s">
        <v>628</v>
      </c>
      <c r="B207" s="143" t="s">
        <v>725</v>
      </c>
      <c r="C207" s="144"/>
      <c r="D207" s="141"/>
      <c r="E207" s="141"/>
      <c r="F207" s="145"/>
      <c r="G207" s="145"/>
      <c r="H207" s="141"/>
      <c r="I207" s="131"/>
      <c r="J207" s="131"/>
      <c r="K207" s="131"/>
      <c r="L207" s="131"/>
      <c r="M207" s="131"/>
      <c r="N207" s="131"/>
      <c r="O207" s="131"/>
      <c r="P207" s="131"/>
      <c r="Q207" s="131"/>
      <c r="R207" s="131"/>
      <c r="S207" s="131"/>
      <c r="T207" s="131"/>
      <c r="U207" s="131"/>
      <c r="V207" s="131"/>
      <c r="W207" s="131"/>
      <c r="X207" s="131"/>
    </row>
    <row r="208" spans="1:24" ht="13.5" customHeight="1">
      <c r="A208" s="141"/>
      <c r="B208" s="146" t="s">
        <v>355</v>
      </c>
      <c r="C208" s="146" t="s">
        <v>726</v>
      </c>
      <c r="D208" s="148" t="s">
        <v>694</v>
      </c>
      <c r="E208" s="149">
        <v>60</v>
      </c>
      <c r="F208" s="145">
        <v>85</v>
      </c>
      <c r="G208" s="145">
        <f>+(E208*1.1+F208)*10.764</f>
        <v>1625.3639999999998</v>
      </c>
      <c r="H208" s="141" t="s">
        <v>327</v>
      </c>
      <c r="I208" s="131"/>
      <c r="J208" s="131"/>
      <c r="K208" s="131"/>
      <c r="L208" s="131"/>
      <c r="M208" s="131"/>
      <c r="N208" s="131"/>
      <c r="O208" s="131"/>
      <c r="P208" s="131"/>
      <c r="Q208" s="131"/>
      <c r="R208" s="131"/>
      <c r="S208" s="131"/>
      <c r="T208" s="131"/>
      <c r="U208" s="131"/>
      <c r="V208" s="131"/>
      <c r="W208" s="131"/>
      <c r="X208" s="131"/>
    </row>
    <row r="209" spans="1:24" ht="13.5" customHeight="1">
      <c r="A209" s="141"/>
      <c r="B209" s="146" t="s">
        <v>695</v>
      </c>
      <c r="C209" s="146" t="s">
        <v>727</v>
      </c>
      <c r="D209" s="148" t="s">
        <v>697</v>
      </c>
      <c r="E209" s="149">
        <v>60</v>
      </c>
      <c r="F209" s="145">
        <v>70</v>
      </c>
      <c r="G209" s="145">
        <f>(E209*1.1+F209)*3.28</f>
        <v>446.08</v>
      </c>
      <c r="H209" s="141" t="s">
        <v>711</v>
      </c>
      <c r="I209" s="131"/>
      <c r="J209" s="131"/>
      <c r="K209" s="131"/>
      <c r="L209" s="131"/>
      <c r="M209" s="131"/>
      <c r="N209" s="131"/>
      <c r="O209" s="131"/>
      <c r="P209" s="131"/>
      <c r="Q209" s="131"/>
      <c r="R209" s="131"/>
      <c r="S209" s="131"/>
      <c r="T209" s="131"/>
      <c r="U209" s="131"/>
      <c r="V209" s="131"/>
      <c r="W209" s="131"/>
      <c r="X209" s="131"/>
    </row>
    <row r="210" spans="1:24" s="165" customFormat="1">
      <c r="A210" s="141"/>
      <c r="B210" s="146" t="s">
        <v>698</v>
      </c>
      <c r="C210" s="146" t="s">
        <v>699</v>
      </c>
      <c r="D210" s="156" t="s">
        <v>697</v>
      </c>
      <c r="E210" s="149"/>
      <c r="F210" s="145"/>
      <c r="G210" s="145"/>
      <c r="H210" s="141" t="s">
        <v>358</v>
      </c>
      <c r="I210" s="164"/>
      <c r="J210" s="164"/>
      <c r="K210" s="164"/>
      <c r="L210" s="164"/>
      <c r="M210" s="164"/>
      <c r="N210" s="164"/>
      <c r="O210" s="164"/>
      <c r="P210" s="164"/>
      <c r="Q210" s="164"/>
      <c r="R210" s="164"/>
      <c r="S210" s="164"/>
      <c r="T210" s="164"/>
      <c r="U210" s="164"/>
      <c r="V210" s="164"/>
      <c r="W210" s="164"/>
      <c r="X210" s="164"/>
    </row>
    <row r="211" spans="1:24" s="165" customFormat="1">
      <c r="A211" s="141"/>
      <c r="B211" s="146" t="s">
        <v>761</v>
      </c>
      <c r="C211" s="146" t="s">
        <v>728</v>
      </c>
      <c r="D211" s="148" t="s">
        <v>694</v>
      </c>
      <c r="E211" s="149">
        <f>E178</f>
        <v>53</v>
      </c>
      <c r="F211" s="145"/>
      <c r="G211" s="145">
        <f>E211*10.764</f>
        <v>570.49199999999996</v>
      </c>
      <c r="H211" s="141" t="s">
        <v>327</v>
      </c>
      <c r="I211" s="164"/>
      <c r="J211" s="164"/>
      <c r="K211" s="164"/>
      <c r="L211" s="164"/>
      <c r="M211" s="164"/>
      <c r="N211" s="164"/>
      <c r="O211" s="164"/>
      <c r="P211" s="164"/>
      <c r="Q211" s="164"/>
      <c r="R211" s="164"/>
      <c r="S211" s="164"/>
      <c r="T211" s="164"/>
      <c r="U211" s="164"/>
      <c r="V211" s="164"/>
      <c r="W211" s="164"/>
      <c r="X211" s="164"/>
    </row>
    <row r="212" spans="1:24" s="165" customFormat="1">
      <c r="A212" s="141"/>
      <c r="B212" s="146" t="s">
        <v>702</v>
      </c>
      <c r="C212" s="146" t="s">
        <v>699</v>
      </c>
      <c r="D212" s="156" t="s">
        <v>694</v>
      </c>
      <c r="E212" s="149">
        <f>E179</f>
        <v>53</v>
      </c>
      <c r="F212" s="145"/>
      <c r="G212" s="145"/>
      <c r="H212" s="141" t="s">
        <v>327</v>
      </c>
      <c r="I212" s="164"/>
      <c r="J212" s="164"/>
      <c r="K212" s="164"/>
      <c r="L212" s="164"/>
      <c r="M212" s="164"/>
      <c r="N212" s="164"/>
      <c r="O212" s="164"/>
      <c r="P212" s="164"/>
      <c r="Q212" s="164"/>
      <c r="R212" s="164"/>
      <c r="S212" s="164"/>
      <c r="T212" s="164"/>
      <c r="U212" s="164"/>
      <c r="V212" s="164"/>
      <c r="W212" s="164"/>
      <c r="X212" s="164"/>
    </row>
    <row r="213" spans="1:24" s="165" customFormat="1" ht="19.5" customHeight="1">
      <c r="A213" s="141"/>
      <c r="B213" s="146" t="s">
        <v>703</v>
      </c>
      <c r="C213" s="146" t="s">
        <v>699</v>
      </c>
      <c r="D213" s="148" t="s">
        <v>694</v>
      </c>
      <c r="E213" s="149"/>
      <c r="F213" s="145"/>
      <c r="G213" s="145"/>
      <c r="H213" s="141" t="s">
        <v>327</v>
      </c>
      <c r="I213" s="170"/>
      <c r="J213" s="164"/>
      <c r="K213" s="164"/>
      <c r="L213" s="164"/>
      <c r="M213" s="164"/>
      <c r="N213" s="164"/>
      <c r="O213" s="164"/>
      <c r="P213" s="164"/>
      <c r="Q213" s="164"/>
      <c r="R213" s="164"/>
      <c r="S213" s="164"/>
      <c r="T213" s="164"/>
      <c r="U213" s="164"/>
      <c r="V213" s="164"/>
      <c r="W213" s="164"/>
      <c r="X213" s="164"/>
    </row>
    <row r="214" spans="1:24" s="165" customFormat="1">
      <c r="A214" s="141"/>
      <c r="B214" s="146" t="s">
        <v>704</v>
      </c>
      <c r="C214" s="146" t="s">
        <v>729</v>
      </c>
      <c r="D214" s="148" t="s">
        <v>694</v>
      </c>
      <c r="E214" s="149">
        <v>18</v>
      </c>
      <c r="F214" s="145"/>
      <c r="G214" s="145">
        <f t="shared" ref="G214:G215" si="23">+E214*10.764</f>
        <v>193.75199999999998</v>
      </c>
      <c r="H214" s="141" t="s">
        <v>327</v>
      </c>
      <c r="I214" s="170"/>
      <c r="J214" s="164"/>
      <c r="K214" s="164"/>
      <c r="L214" s="164"/>
      <c r="M214" s="164"/>
      <c r="N214" s="164"/>
      <c r="O214" s="164"/>
      <c r="P214" s="164"/>
      <c r="Q214" s="164"/>
      <c r="R214" s="164"/>
      <c r="S214" s="164"/>
      <c r="T214" s="164"/>
      <c r="U214" s="164"/>
      <c r="V214" s="164"/>
      <c r="W214" s="164"/>
      <c r="X214" s="164"/>
    </row>
    <row r="215" spans="1:24" s="165" customFormat="1">
      <c r="A215" s="141"/>
      <c r="B215" s="146" t="s">
        <v>706</v>
      </c>
      <c r="C215" s="146" t="str">
        <f>+C214</f>
        <v>Cement Paint</v>
      </c>
      <c r="D215" s="148" t="s">
        <v>694</v>
      </c>
      <c r="E215" s="149">
        <v>18</v>
      </c>
      <c r="F215" s="145"/>
      <c r="G215" s="145">
        <f t="shared" si="23"/>
        <v>193.75199999999998</v>
      </c>
      <c r="H215" s="141" t="s">
        <v>327</v>
      </c>
      <c r="I215" s="170"/>
      <c r="J215" s="164"/>
      <c r="K215" s="164"/>
      <c r="L215" s="164"/>
      <c r="M215" s="164"/>
      <c r="N215" s="164"/>
      <c r="O215" s="164"/>
      <c r="P215" s="164"/>
      <c r="Q215" s="164"/>
      <c r="R215" s="164"/>
      <c r="S215" s="164"/>
      <c r="T215" s="164"/>
      <c r="U215" s="164"/>
      <c r="V215" s="164"/>
      <c r="W215" s="164"/>
      <c r="X215" s="164"/>
    </row>
    <row r="216" spans="1:24" s="165" customFormat="1">
      <c r="A216" s="141"/>
      <c r="B216" s="146" t="s">
        <v>730</v>
      </c>
      <c r="C216" s="146" t="s">
        <v>699</v>
      </c>
      <c r="D216" s="156"/>
      <c r="E216" s="149"/>
      <c r="F216" s="145"/>
      <c r="G216" s="145"/>
      <c r="H216" s="141" t="s">
        <v>711</v>
      </c>
      <c r="I216" s="170"/>
      <c r="J216" s="164"/>
      <c r="K216" s="164"/>
      <c r="L216" s="164"/>
      <c r="M216" s="164"/>
      <c r="N216" s="164"/>
      <c r="O216" s="164"/>
      <c r="P216" s="164"/>
      <c r="Q216" s="164"/>
      <c r="R216" s="164"/>
      <c r="S216" s="164"/>
      <c r="T216" s="164"/>
      <c r="U216" s="164"/>
      <c r="V216" s="164"/>
      <c r="W216" s="164"/>
      <c r="X216" s="164"/>
    </row>
    <row r="217" spans="1:24" s="165" customFormat="1">
      <c r="A217" s="141"/>
      <c r="B217" s="146" t="s">
        <v>731</v>
      </c>
      <c r="C217" s="146" t="s">
        <v>732</v>
      </c>
      <c r="D217" s="156" t="s">
        <v>697</v>
      </c>
      <c r="E217" s="149"/>
      <c r="F217" s="145">
        <f>975*3.28</f>
        <v>3198</v>
      </c>
      <c r="G217" s="145">
        <f t="shared" ref="G217" si="24">E217+F217</f>
        <v>3198</v>
      </c>
      <c r="H217" s="141" t="s">
        <v>358</v>
      </c>
      <c r="I217" s="170"/>
      <c r="J217" s="164"/>
      <c r="K217" s="164"/>
      <c r="L217" s="164"/>
      <c r="M217" s="164"/>
      <c r="N217" s="164"/>
      <c r="O217" s="164"/>
      <c r="P217" s="164"/>
      <c r="Q217" s="164"/>
      <c r="R217" s="164"/>
      <c r="S217" s="164"/>
      <c r="T217" s="164"/>
      <c r="U217" s="164"/>
      <c r="V217" s="164"/>
      <c r="W217" s="164"/>
      <c r="X217" s="164"/>
    </row>
    <row r="218" spans="1:24" s="165" customFormat="1">
      <c r="A218" s="141"/>
      <c r="B218" s="146" t="s">
        <v>733</v>
      </c>
      <c r="C218" s="146" t="s">
        <v>726</v>
      </c>
      <c r="D218" s="156" t="s">
        <v>734</v>
      </c>
      <c r="E218" s="149">
        <v>85</v>
      </c>
      <c r="F218" s="145">
        <v>70</v>
      </c>
      <c r="G218" s="145">
        <f>+(E218+F218)*10.764</f>
        <v>1668.4199999999998</v>
      </c>
      <c r="H218" s="141" t="s">
        <v>327</v>
      </c>
      <c r="I218" s="170"/>
      <c r="J218" s="164"/>
      <c r="K218" s="164"/>
      <c r="L218" s="164"/>
      <c r="M218" s="164"/>
      <c r="N218" s="164"/>
      <c r="O218" s="164"/>
      <c r="P218" s="164"/>
      <c r="Q218" s="164"/>
      <c r="R218" s="164"/>
      <c r="S218" s="164"/>
      <c r="T218" s="164"/>
      <c r="U218" s="164"/>
      <c r="V218" s="164"/>
      <c r="W218" s="164"/>
      <c r="X218" s="164"/>
    </row>
    <row r="219" spans="1:24" s="165" customFormat="1">
      <c r="A219" s="141"/>
      <c r="B219" s="146" t="s">
        <v>735</v>
      </c>
      <c r="C219" s="146" t="s">
        <v>726</v>
      </c>
      <c r="D219" s="156" t="s">
        <v>734</v>
      </c>
      <c r="E219" s="149">
        <v>85</v>
      </c>
      <c r="F219" s="145">
        <v>70</v>
      </c>
      <c r="G219" s="145">
        <f>+(E219+F219)*10.764</f>
        <v>1668.4199999999998</v>
      </c>
      <c r="H219" s="141" t="s">
        <v>327</v>
      </c>
      <c r="I219" s="164"/>
      <c r="J219" s="164"/>
      <c r="K219" s="164"/>
      <c r="L219" s="164"/>
      <c r="M219" s="164"/>
      <c r="N219" s="164"/>
      <c r="O219" s="164"/>
      <c r="P219" s="164"/>
      <c r="Q219" s="164"/>
      <c r="R219" s="164"/>
      <c r="S219" s="164"/>
      <c r="T219" s="164"/>
      <c r="U219" s="164"/>
      <c r="V219" s="164"/>
      <c r="W219" s="164"/>
      <c r="X219" s="164"/>
    </row>
    <row r="220" spans="1:24" s="165" customFormat="1">
      <c r="A220" s="141"/>
      <c r="B220" s="131"/>
      <c r="C220" s="146"/>
      <c r="D220" s="156"/>
      <c r="E220" s="149"/>
      <c r="F220" s="145"/>
      <c r="G220" s="145"/>
      <c r="H220" s="141"/>
      <c r="I220" s="164"/>
      <c r="J220" s="164"/>
      <c r="K220" s="164"/>
      <c r="L220" s="164"/>
      <c r="M220" s="164"/>
      <c r="N220" s="164"/>
      <c r="O220" s="164"/>
      <c r="P220" s="164"/>
      <c r="Q220" s="164"/>
      <c r="R220" s="164"/>
      <c r="S220" s="164"/>
      <c r="T220" s="164"/>
      <c r="U220" s="164"/>
      <c r="V220" s="164"/>
      <c r="W220" s="164"/>
      <c r="X220" s="164"/>
    </row>
    <row r="221" spans="1:24" s="165" customFormat="1">
      <c r="A221" s="141"/>
      <c r="B221" s="144"/>
      <c r="C221" s="144"/>
      <c r="D221" s="141"/>
      <c r="E221" s="141"/>
      <c r="F221" s="145"/>
      <c r="G221" s="145"/>
      <c r="H221" s="141" t="s">
        <v>358</v>
      </c>
      <c r="I221" s="164"/>
      <c r="J221" s="164"/>
      <c r="K221" s="164"/>
      <c r="L221" s="164"/>
      <c r="M221" s="164"/>
      <c r="N221" s="164"/>
      <c r="O221" s="164"/>
      <c r="P221" s="164"/>
      <c r="Q221" s="164"/>
      <c r="R221" s="164"/>
      <c r="S221" s="164"/>
      <c r="T221" s="164"/>
      <c r="U221" s="164"/>
      <c r="V221" s="164"/>
      <c r="W221" s="164"/>
      <c r="X221" s="164"/>
    </row>
    <row r="222" spans="1:24" s="165" customFormat="1">
      <c r="A222" s="142" t="s">
        <v>628</v>
      </c>
      <c r="B222" s="143" t="s">
        <v>784</v>
      </c>
      <c r="C222" s="144"/>
      <c r="D222" s="141"/>
      <c r="E222" s="141"/>
      <c r="F222" s="145"/>
      <c r="G222" s="145"/>
      <c r="H222" s="141"/>
      <c r="I222" s="164"/>
      <c r="J222" s="164">
        <f>G248/10.764</f>
        <v>75</v>
      </c>
      <c r="K222" s="164"/>
      <c r="L222" s="164"/>
      <c r="M222" s="164"/>
      <c r="N222" s="164"/>
      <c r="O222" s="164"/>
      <c r="P222" s="164"/>
      <c r="Q222" s="164"/>
      <c r="R222" s="164"/>
      <c r="S222" s="164"/>
      <c r="T222" s="164"/>
      <c r="U222" s="164"/>
      <c r="V222" s="164"/>
      <c r="W222" s="164"/>
      <c r="X222" s="164"/>
    </row>
    <row r="223" spans="1:24" s="165" customFormat="1">
      <c r="A223" s="141"/>
      <c r="B223" s="146" t="s">
        <v>355</v>
      </c>
      <c r="C223" s="147" t="s">
        <v>693</v>
      </c>
      <c r="D223" s="148" t="s">
        <v>694</v>
      </c>
      <c r="E223" s="149">
        <v>50</v>
      </c>
      <c r="F223" s="149">
        <f>+F6</f>
        <v>75</v>
      </c>
      <c r="G223" s="145">
        <f>+(E223*1.1+F223)*10.764</f>
        <v>1399.32</v>
      </c>
      <c r="H223" s="141" t="s">
        <v>327</v>
      </c>
      <c r="I223" s="164"/>
      <c r="J223" s="164">
        <f>G249/10.764</f>
        <v>71.5</v>
      </c>
      <c r="K223" s="164"/>
      <c r="L223" s="164"/>
      <c r="M223" s="164"/>
      <c r="N223" s="164"/>
      <c r="O223" s="164"/>
      <c r="P223" s="164"/>
      <c r="Q223" s="164"/>
      <c r="R223" s="164"/>
      <c r="S223" s="164"/>
      <c r="T223" s="164"/>
      <c r="U223" s="164"/>
      <c r="V223" s="164"/>
      <c r="W223" s="164"/>
      <c r="X223" s="164"/>
    </row>
    <row r="224" spans="1:24" s="165" customFormat="1">
      <c r="A224" s="141"/>
      <c r="B224" s="146" t="s">
        <v>695</v>
      </c>
      <c r="C224" s="147" t="s">
        <v>696</v>
      </c>
      <c r="D224" s="148" t="s">
        <v>697</v>
      </c>
      <c r="E224" s="149">
        <v>50</v>
      </c>
      <c r="F224" s="149">
        <f>+F7</f>
        <v>70</v>
      </c>
      <c r="G224" s="145">
        <f>(E224*1.1+F224)*3.28</f>
        <v>410</v>
      </c>
      <c r="H224" s="141" t="s">
        <v>711</v>
      </c>
      <c r="I224" s="164"/>
      <c r="J224" s="164">
        <f>1547/10.764</f>
        <v>143.71980676328502</v>
      </c>
      <c r="K224" s="164"/>
      <c r="L224" s="164"/>
      <c r="M224" s="164"/>
      <c r="N224" s="164"/>
      <c r="O224" s="164"/>
      <c r="P224" s="164"/>
      <c r="Q224" s="164"/>
      <c r="R224" s="164"/>
      <c r="S224" s="164"/>
      <c r="T224" s="164"/>
      <c r="U224" s="164"/>
      <c r="V224" s="164"/>
      <c r="W224" s="164"/>
      <c r="X224" s="164"/>
    </row>
    <row r="225" spans="1:24" s="165" customFormat="1">
      <c r="A225" s="141"/>
      <c r="B225" s="146" t="s">
        <v>698</v>
      </c>
      <c r="C225" s="146" t="s">
        <v>699</v>
      </c>
      <c r="D225" s="150"/>
      <c r="E225" s="149"/>
      <c r="F225" s="145"/>
      <c r="G225" s="145"/>
      <c r="H225" s="141"/>
      <c r="I225" s="164"/>
      <c r="J225" s="164"/>
      <c r="K225" s="164"/>
      <c r="L225" s="164"/>
      <c r="M225" s="164"/>
      <c r="N225" s="164"/>
      <c r="O225" s="164"/>
      <c r="P225" s="164"/>
      <c r="Q225" s="164"/>
      <c r="R225" s="164"/>
      <c r="S225" s="164"/>
      <c r="T225" s="164"/>
      <c r="U225" s="164"/>
      <c r="V225" s="164"/>
      <c r="W225" s="164"/>
      <c r="X225" s="164"/>
    </row>
    <row r="226" spans="1:24" s="165" customFormat="1">
      <c r="A226" s="141"/>
      <c r="B226" s="146" t="s">
        <v>700</v>
      </c>
      <c r="C226" s="146" t="s">
        <v>785</v>
      </c>
      <c r="D226" s="148" t="s">
        <v>694</v>
      </c>
      <c r="E226" s="149">
        <f>E211</f>
        <v>53</v>
      </c>
      <c r="F226" s="145"/>
      <c r="G226" s="145">
        <f>+E226*10.764</f>
        <v>570.49199999999996</v>
      </c>
      <c r="H226" s="141" t="s">
        <v>327</v>
      </c>
      <c r="I226" s="164"/>
      <c r="J226" s="164"/>
      <c r="K226" s="164"/>
      <c r="L226" s="164"/>
      <c r="M226" s="164"/>
      <c r="N226" s="164"/>
      <c r="O226" s="164"/>
      <c r="P226" s="164"/>
      <c r="Q226" s="164"/>
      <c r="R226" s="164"/>
      <c r="S226" s="164"/>
      <c r="T226" s="164"/>
      <c r="U226" s="164"/>
      <c r="V226" s="164"/>
      <c r="W226" s="164"/>
      <c r="X226" s="164"/>
    </row>
    <row r="227" spans="1:24" s="165" customFormat="1">
      <c r="A227" s="141"/>
      <c r="B227" s="146" t="s">
        <v>702</v>
      </c>
      <c r="C227" s="146" t="s">
        <v>785</v>
      </c>
      <c r="D227" s="148" t="s">
        <v>694</v>
      </c>
      <c r="E227" s="149">
        <f>E212</f>
        <v>53</v>
      </c>
      <c r="F227" s="145"/>
      <c r="G227" s="145">
        <f t="shared" ref="G227:G230" si="25">+E227*10.764</f>
        <v>570.49199999999996</v>
      </c>
      <c r="H227" s="141" t="s">
        <v>327</v>
      </c>
      <c r="I227" s="164"/>
      <c r="J227" s="164">
        <f>2818/10.764</f>
        <v>261.79858788554441</v>
      </c>
      <c r="K227" s="164"/>
      <c r="L227" s="164"/>
      <c r="M227" s="164"/>
      <c r="N227" s="164"/>
      <c r="O227" s="164"/>
      <c r="P227" s="164"/>
      <c r="Q227" s="164"/>
      <c r="R227" s="164"/>
      <c r="S227" s="164"/>
      <c r="T227" s="164"/>
      <c r="U227" s="164"/>
      <c r="V227" s="164"/>
      <c r="W227" s="164"/>
      <c r="X227" s="164"/>
    </row>
    <row r="228" spans="1:24" s="165" customFormat="1">
      <c r="A228" s="141"/>
      <c r="B228" s="151" t="s">
        <v>703</v>
      </c>
      <c r="C228" s="146" t="s">
        <v>699</v>
      </c>
      <c r="D228" s="148" t="s">
        <v>694</v>
      </c>
      <c r="E228" s="149"/>
      <c r="F228" s="145"/>
      <c r="G228" s="145">
        <f t="shared" si="25"/>
        <v>0</v>
      </c>
      <c r="H228" s="141" t="s">
        <v>327</v>
      </c>
      <c r="I228" s="164"/>
      <c r="J228" s="164"/>
      <c r="K228" s="164"/>
      <c r="L228" s="164"/>
      <c r="M228" s="164"/>
      <c r="N228" s="164"/>
      <c r="O228" s="164"/>
      <c r="P228" s="164"/>
      <c r="Q228" s="164"/>
      <c r="R228" s="164"/>
      <c r="S228" s="164"/>
      <c r="T228" s="164"/>
      <c r="U228" s="164"/>
      <c r="V228" s="164"/>
      <c r="W228" s="164"/>
      <c r="X228" s="164"/>
    </row>
    <row r="229" spans="1:24" s="165" customFormat="1">
      <c r="A229" s="141"/>
      <c r="B229" s="146" t="s">
        <v>704</v>
      </c>
      <c r="C229" s="146" t="s">
        <v>705</v>
      </c>
      <c r="D229" s="148" t="s">
        <v>694</v>
      </c>
      <c r="E229" s="149">
        <v>22</v>
      </c>
      <c r="F229" s="145"/>
      <c r="G229" s="145">
        <f t="shared" si="25"/>
        <v>236.80799999999999</v>
      </c>
      <c r="H229" s="141" t="s">
        <v>327</v>
      </c>
      <c r="I229" s="164"/>
      <c r="J229" s="164"/>
      <c r="K229" s="164"/>
      <c r="L229" s="164"/>
      <c r="M229" s="164"/>
      <c r="N229" s="164"/>
      <c r="O229" s="164"/>
      <c r="P229" s="164"/>
      <c r="Q229" s="164"/>
      <c r="R229" s="164"/>
      <c r="S229" s="164"/>
      <c r="T229" s="164"/>
      <c r="U229" s="164"/>
      <c r="V229" s="164"/>
      <c r="W229" s="164"/>
      <c r="X229" s="164"/>
    </row>
    <row r="230" spans="1:24" s="165" customFormat="1">
      <c r="A230" s="141"/>
      <c r="B230" s="146" t="s">
        <v>706</v>
      </c>
      <c r="C230" s="146" t="s">
        <v>705</v>
      </c>
      <c r="D230" s="148" t="s">
        <v>694</v>
      </c>
      <c r="E230" s="149">
        <v>22</v>
      </c>
      <c r="F230" s="145"/>
      <c r="G230" s="145">
        <f t="shared" si="25"/>
        <v>236.80799999999999</v>
      </c>
      <c r="H230" s="141" t="s">
        <v>327</v>
      </c>
      <c r="I230" s="164"/>
      <c r="J230" s="164"/>
      <c r="K230" s="164"/>
      <c r="L230" s="164"/>
      <c r="M230" s="164"/>
      <c r="N230" s="164"/>
      <c r="O230" s="164"/>
      <c r="P230" s="164"/>
      <c r="Q230" s="164"/>
      <c r="R230" s="164"/>
      <c r="S230" s="164"/>
      <c r="T230" s="164"/>
      <c r="U230" s="164"/>
      <c r="V230" s="164"/>
      <c r="W230" s="164"/>
      <c r="X230" s="164"/>
    </row>
    <row r="231" spans="1:24" s="165" customFormat="1">
      <c r="A231" s="141"/>
      <c r="B231" s="146" t="s">
        <v>713</v>
      </c>
      <c r="C231" s="146" t="s">
        <v>699</v>
      </c>
      <c r="D231" s="148" t="s">
        <v>694</v>
      </c>
      <c r="E231" s="149"/>
      <c r="F231" s="145"/>
      <c r="G231" s="145"/>
      <c r="H231" s="141"/>
      <c r="I231" s="164"/>
      <c r="J231" s="164"/>
      <c r="K231" s="164"/>
      <c r="L231" s="164"/>
      <c r="M231" s="164"/>
      <c r="N231" s="164"/>
      <c r="O231" s="164"/>
      <c r="P231" s="164"/>
      <c r="Q231" s="164"/>
      <c r="R231" s="164"/>
      <c r="S231" s="164"/>
      <c r="T231" s="164"/>
      <c r="U231" s="164"/>
      <c r="V231" s="164"/>
      <c r="W231" s="164"/>
      <c r="X231" s="164"/>
    </row>
    <row r="232" spans="1:24" s="165" customFormat="1">
      <c r="A232" s="141"/>
      <c r="B232" s="146" t="s">
        <v>715</v>
      </c>
      <c r="C232" s="146" t="s">
        <v>699</v>
      </c>
      <c r="D232" s="150" t="s">
        <v>694</v>
      </c>
      <c r="E232" s="149"/>
      <c r="F232" s="145"/>
      <c r="G232" s="145">
        <f>+(E232*10.764*1.1+F232*10.764)*0.3</f>
        <v>0</v>
      </c>
      <c r="H232" s="141" t="s">
        <v>358</v>
      </c>
      <c r="I232" s="164"/>
      <c r="J232" s="164"/>
      <c r="K232" s="164"/>
      <c r="L232" s="164"/>
      <c r="M232" s="164"/>
      <c r="N232" s="164"/>
      <c r="O232" s="164"/>
      <c r="P232" s="164"/>
      <c r="Q232" s="164"/>
      <c r="R232" s="164"/>
      <c r="S232" s="164"/>
      <c r="T232" s="164"/>
      <c r="U232" s="164"/>
      <c r="V232" s="164"/>
      <c r="W232" s="164"/>
      <c r="X232" s="164"/>
    </row>
    <row r="233" spans="1:24" s="165" customFormat="1">
      <c r="A233" s="141"/>
      <c r="B233" s="146" t="s">
        <v>716</v>
      </c>
      <c r="C233" s="146" t="s">
        <v>699</v>
      </c>
      <c r="D233" s="150" t="s">
        <v>694</v>
      </c>
      <c r="E233" s="149"/>
      <c r="F233" s="145"/>
      <c r="G233" s="145">
        <f>+(E233*10.764*1.1+F233*10.764)*0.3</f>
        <v>0</v>
      </c>
      <c r="H233" s="141" t="s">
        <v>358</v>
      </c>
      <c r="I233" s="164"/>
      <c r="J233" s="164"/>
      <c r="K233" s="164"/>
      <c r="L233" s="164"/>
      <c r="M233" s="164"/>
      <c r="N233" s="164"/>
      <c r="O233" s="164"/>
      <c r="P233" s="164"/>
      <c r="Q233" s="164"/>
      <c r="R233" s="164"/>
      <c r="S233" s="164"/>
      <c r="T233" s="164"/>
      <c r="U233" s="164"/>
      <c r="V233" s="164"/>
      <c r="W233" s="164"/>
      <c r="X233" s="164"/>
    </row>
    <row r="234" spans="1:24" s="165" customFormat="1">
      <c r="A234" s="141"/>
      <c r="B234" s="146"/>
      <c r="C234" s="155"/>
      <c r="D234" s="156"/>
      <c r="E234" s="149"/>
      <c r="F234" s="145"/>
      <c r="G234" s="145"/>
      <c r="H234" s="141"/>
      <c r="I234" s="164"/>
      <c r="J234" s="164"/>
      <c r="K234" s="164"/>
      <c r="L234" s="164"/>
      <c r="M234" s="164"/>
      <c r="N234" s="164"/>
      <c r="O234" s="164"/>
      <c r="P234" s="164"/>
      <c r="Q234" s="164"/>
      <c r="R234" s="164"/>
      <c r="S234" s="164"/>
      <c r="T234" s="164"/>
      <c r="U234" s="164"/>
      <c r="V234" s="164"/>
      <c r="W234" s="164"/>
      <c r="X234" s="164"/>
    </row>
    <row r="235" spans="1:24" s="165" customFormat="1">
      <c r="A235" s="142" t="s">
        <v>628</v>
      </c>
      <c r="B235" s="143" t="s">
        <v>786</v>
      </c>
      <c r="C235" s="144"/>
      <c r="D235" s="141"/>
      <c r="E235" s="141"/>
      <c r="F235" s="145"/>
      <c r="G235" s="145"/>
      <c r="H235" s="141"/>
      <c r="I235" s="164"/>
      <c r="J235" s="164"/>
      <c r="K235" s="164"/>
      <c r="L235" s="164"/>
      <c r="M235" s="164"/>
      <c r="N235" s="164"/>
      <c r="O235" s="164"/>
      <c r="P235" s="164"/>
      <c r="Q235" s="164"/>
      <c r="R235" s="164"/>
      <c r="S235" s="164"/>
      <c r="T235" s="164"/>
      <c r="U235" s="164"/>
      <c r="V235" s="164"/>
      <c r="W235" s="164"/>
      <c r="X235" s="164"/>
    </row>
    <row r="236" spans="1:24" s="165" customFormat="1">
      <c r="A236" s="163"/>
      <c r="B236" s="146" t="s">
        <v>787</v>
      </c>
      <c r="C236" s="144"/>
      <c r="D236" s="141"/>
      <c r="E236" s="141"/>
      <c r="F236" s="145"/>
      <c r="G236" s="145"/>
      <c r="H236" s="141"/>
      <c r="I236" s="164"/>
      <c r="J236" s="164"/>
      <c r="K236" s="164"/>
      <c r="L236" s="164"/>
      <c r="M236" s="164"/>
      <c r="N236" s="164"/>
      <c r="O236" s="164"/>
      <c r="P236" s="164"/>
      <c r="Q236" s="164"/>
      <c r="R236" s="164"/>
      <c r="S236" s="164"/>
      <c r="T236" s="164"/>
      <c r="U236" s="164"/>
      <c r="V236" s="164"/>
      <c r="W236" s="164"/>
      <c r="X236" s="164"/>
    </row>
    <row r="237" spans="1:24" s="165" customFormat="1">
      <c r="A237" s="163"/>
      <c r="B237" s="166" t="s">
        <v>788</v>
      </c>
      <c r="C237" s="146"/>
      <c r="D237" s="167" t="s">
        <v>322</v>
      </c>
      <c r="E237" s="168"/>
      <c r="F237" s="169">
        <v>6800</v>
      </c>
      <c r="G237" s="169">
        <f>6800-250</f>
        <v>6550</v>
      </c>
      <c r="H237" s="150" t="s">
        <v>322</v>
      </c>
      <c r="I237" s="164"/>
      <c r="J237" s="164"/>
      <c r="K237" s="164"/>
      <c r="L237" s="164"/>
      <c r="M237" s="164"/>
      <c r="N237" s="164"/>
      <c r="O237" s="164"/>
      <c r="P237" s="164"/>
      <c r="Q237" s="164"/>
      <c r="R237" s="164"/>
      <c r="S237" s="164"/>
      <c r="T237" s="164"/>
      <c r="U237" s="164"/>
      <c r="V237" s="164"/>
      <c r="W237" s="164"/>
      <c r="X237" s="164"/>
    </row>
    <row r="238" spans="1:24" s="165" customFormat="1">
      <c r="A238" s="163"/>
      <c r="B238" s="166" t="s">
        <v>789</v>
      </c>
      <c r="C238" s="146"/>
      <c r="D238" s="167" t="s">
        <v>322</v>
      </c>
      <c r="E238" s="168"/>
      <c r="F238" s="169">
        <v>8610</v>
      </c>
      <c r="G238" s="169">
        <f>(E238+F238)-250</f>
        <v>8360</v>
      </c>
      <c r="H238" s="150" t="s">
        <v>322</v>
      </c>
      <c r="I238" s="164"/>
      <c r="J238" s="164"/>
      <c r="K238" s="164"/>
      <c r="L238" s="164"/>
      <c r="M238" s="164"/>
      <c r="N238" s="164"/>
      <c r="O238" s="164"/>
      <c r="P238" s="164"/>
      <c r="Q238" s="164"/>
      <c r="R238" s="164"/>
      <c r="S238" s="164"/>
      <c r="T238" s="164"/>
      <c r="U238" s="164"/>
      <c r="V238" s="164"/>
      <c r="W238" s="164"/>
      <c r="X238" s="164"/>
    </row>
    <row r="239" spans="1:24" s="165" customFormat="1">
      <c r="A239" s="163"/>
      <c r="B239" s="166" t="s">
        <v>790</v>
      </c>
      <c r="C239" s="146"/>
      <c r="D239" s="150" t="s">
        <v>322</v>
      </c>
      <c r="E239" s="169">
        <f>8190-F239</f>
        <v>5842</v>
      </c>
      <c r="F239" s="169">
        <v>2348</v>
      </c>
      <c r="G239" s="169">
        <f>8290-250</f>
        <v>8040</v>
      </c>
      <c r="H239" s="150" t="s">
        <v>322</v>
      </c>
      <c r="I239" s="164"/>
      <c r="J239" s="164"/>
      <c r="K239" s="164"/>
      <c r="L239" s="164"/>
      <c r="M239" s="164"/>
      <c r="N239" s="164"/>
      <c r="O239" s="164"/>
      <c r="P239" s="164"/>
      <c r="Q239" s="164"/>
      <c r="R239" s="164"/>
      <c r="S239" s="164"/>
      <c r="T239" s="164"/>
      <c r="U239" s="164"/>
      <c r="V239" s="164"/>
      <c r="W239" s="164"/>
      <c r="X239" s="164"/>
    </row>
    <row r="240" spans="1:24" s="165" customFormat="1">
      <c r="A240" s="163"/>
      <c r="B240" s="166" t="s">
        <v>791</v>
      </c>
      <c r="C240" s="144"/>
      <c r="D240" s="167" t="s">
        <v>322</v>
      </c>
      <c r="E240" s="169">
        <f>8610-F240</f>
        <v>6156</v>
      </c>
      <c r="F240" s="169">
        <v>2454</v>
      </c>
      <c r="G240" s="169">
        <f>(E240+F240)-250</f>
        <v>8360</v>
      </c>
      <c r="H240" s="150" t="s">
        <v>322</v>
      </c>
      <c r="I240" s="164">
        <v>9975</v>
      </c>
      <c r="J240" s="164"/>
      <c r="K240" s="203"/>
      <c r="L240" s="164"/>
      <c r="M240" s="164"/>
      <c r="N240" s="164"/>
      <c r="O240" s="164"/>
      <c r="P240" s="164"/>
      <c r="Q240" s="164"/>
      <c r="R240" s="164"/>
      <c r="S240" s="164"/>
      <c r="T240" s="164"/>
      <c r="U240" s="164"/>
      <c r="V240" s="164"/>
      <c r="W240" s="164"/>
      <c r="X240" s="164"/>
    </row>
    <row r="241" spans="1:24" ht="13.5" customHeight="1">
      <c r="A241" s="163"/>
      <c r="B241" s="166" t="s">
        <v>53</v>
      </c>
      <c r="C241" s="146"/>
      <c r="D241" s="167" t="s">
        <v>322</v>
      </c>
      <c r="E241" s="169">
        <f>10802-F241</f>
        <v>8348</v>
      </c>
      <c r="F241" s="169">
        <v>2454</v>
      </c>
      <c r="G241" s="169">
        <f>9597-250</f>
        <v>9347</v>
      </c>
      <c r="H241" s="150" t="s">
        <v>322</v>
      </c>
      <c r="I241" s="131">
        <v>10175</v>
      </c>
      <c r="J241" s="131"/>
      <c r="K241" s="131"/>
      <c r="L241" s="131"/>
      <c r="M241" s="131"/>
      <c r="N241" s="131"/>
      <c r="O241" s="131"/>
      <c r="P241" s="131"/>
      <c r="Q241" s="131"/>
      <c r="R241" s="131"/>
      <c r="S241" s="131"/>
      <c r="T241" s="131"/>
      <c r="U241" s="131"/>
      <c r="V241" s="131"/>
      <c r="W241" s="131"/>
      <c r="X241" s="131"/>
    </row>
    <row r="242" spans="1:24" s="165" customFormat="1">
      <c r="A242" s="163"/>
      <c r="B242" s="166" t="s">
        <v>48</v>
      </c>
      <c r="C242" s="146"/>
      <c r="D242" s="167" t="s">
        <v>322</v>
      </c>
      <c r="E242" s="169">
        <f>11598-F242</f>
        <v>9144</v>
      </c>
      <c r="F242" s="169">
        <v>2454</v>
      </c>
      <c r="G242" s="169">
        <f>10300-250</f>
        <v>10050</v>
      </c>
      <c r="H242" s="150" t="s">
        <v>322</v>
      </c>
      <c r="I242" s="164">
        <v>10705</v>
      </c>
      <c r="J242" s="164"/>
      <c r="K242" s="164"/>
      <c r="L242" s="164"/>
      <c r="M242" s="164"/>
      <c r="N242" s="164"/>
      <c r="O242" s="164"/>
      <c r="P242" s="164"/>
      <c r="Q242" s="164"/>
      <c r="R242" s="164"/>
      <c r="S242" s="164"/>
      <c r="T242" s="164"/>
      <c r="U242" s="164"/>
      <c r="V242" s="164"/>
      <c r="W242" s="164"/>
      <c r="X242" s="164"/>
    </row>
    <row r="243" spans="1:24" s="165" customFormat="1">
      <c r="A243" s="163"/>
      <c r="B243" s="166" t="s">
        <v>47</v>
      </c>
      <c r="C243" s="146"/>
      <c r="D243" s="167" t="s">
        <v>322</v>
      </c>
      <c r="E243" s="169">
        <f>12394-F243</f>
        <v>9940</v>
      </c>
      <c r="F243" s="169">
        <v>2454</v>
      </c>
      <c r="G243" s="169">
        <f>11004-250</f>
        <v>10754</v>
      </c>
      <c r="H243" s="150" t="s">
        <v>322</v>
      </c>
      <c r="I243" s="164">
        <v>11530</v>
      </c>
      <c r="J243" s="164">
        <v>11580</v>
      </c>
      <c r="K243" s="203">
        <f>J243-F243</f>
        <v>9126</v>
      </c>
      <c r="L243" s="164"/>
      <c r="M243" s="164"/>
      <c r="N243" s="164"/>
      <c r="O243" s="164"/>
      <c r="P243" s="164"/>
      <c r="Q243" s="164"/>
      <c r="R243" s="164"/>
      <c r="S243" s="164"/>
      <c r="T243" s="164"/>
      <c r="U243" s="164"/>
      <c r="V243" s="164"/>
      <c r="W243" s="164"/>
      <c r="X243" s="164"/>
    </row>
    <row r="244" spans="1:24" s="165" customFormat="1">
      <c r="A244" s="163"/>
      <c r="B244" s="166" t="s">
        <v>46</v>
      </c>
      <c r="C244" s="146"/>
      <c r="D244" s="167" t="s">
        <v>322</v>
      </c>
      <c r="E244" s="169">
        <f>12871-F244</f>
        <v>10417</v>
      </c>
      <c r="F244" s="169">
        <v>2454</v>
      </c>
      <c r="G244" s="169">
        <f>11246-250</f>
        <v>10996</v>
      </c>
      <c r="H244" s="150" t="s">
        <v>322</v>
      </c>
      <c r="I244" s="164">
        <v>11970</v>
      </c>
      <c r="J244" s="164"/>
      <c r="K244" s="164"/>
      <c r="L244" s="164"/>
      <c r="M244" s="164"/>
      <c r="N244" s="164"/>
      <c r="O244" s="164"/>
      <c r="P244" s="164"/>
      <c r="Q244" s="164"/>
      <c r="R244" s="164"/>
      <c r="S244" s="164"/>
      <c r="T244" s="164"/>
      <c r="U244" s="164"/>
      <c r="V244" s="164"/>
      <c r="W244" s="164"/>
      <c r="X244" s="164"/>
    </row>
    <row r="245" spans="1:24" s="165" customFormat="1">
      <c r="A245" s="163"/>
      <c r="B245" s="166" t="s">
        <v>83</v>
      </c>
      <c r="C245" s="144"/>
      <c r="D245" s="141" t="s">
        <v>330</v>
      </c>
      <c r="E245" s="1000">
        <v>54000</v>
      </c>
      <c r="F245" s="1002">
        <v>23000</v>
      </c>
      <c r="G245" s="169">
        <f t="shared" ref="G245" si="26">(E245+F245)*1.03</f>
        <v>79310</v>
      </c>
      <c r="H245" s="141" t="s">
        <v>330</v>
      </c>
      <c r="I245" s="164"/>
      <c r="J245" s="164"/>
      <c r="K245" s="164"/>
      <c r="L245" s="164"/>
      <c r="M245" s="164"/>
      <c r="N245" s="164"/>
      <c r="O245" s="164"/>
      <c r="P245" s="164"/>
      <c r="Q245" s="164"/>
      <c r="R245" s="164"/>
      <c r="S245" s="164"/>
      <c r="T245" s="164"/>
      <c r="U245" s="164"/>
      <c r="V245" s="164"/>
      <c r="W245" s="164"/>
      <c r="X245" s="164"/>
    </row>
    <row r="246" spans="1:24" s="165" customFormat="1">
      <c r="A246" s="163"/>
      <c r="B246" s="146" t="s">
        <v>334</v>
      </c>
      <c r="C246" s="146"/>
      <c r="D246" s="171" t="s">
        <v>327</v>
      </c>
      <c r="E246" s="141"/>
      <c r="F246" s="145"/>
      <c r="G246" s="145">
        <v>1086</v>
      </c>
      <c r="H246" s="150" t="s">
        <v>327</v>
      </c>
      <c r="I246" s="164"/>
      <c r="J246" s="164"/>
      <c r="K246" s="164"/>
      <c r="L246" s="164"/>
      <c r="M246" s="164"/>
      <c r="N246" s="164"/>
      <c r="O246" s="164"/>
      <c r="P246" s="164"/>
      <c r="Q246" s="164"/>
      <c r="R246" s="164"/>
      <c r="S246" s="164"/>
      <c r="T246" s="164"/>
      <c r="U246" s="164"/>
      <c r="V246" s="164"/>
      <c r="W246" s="164"/>
      <c r="X246" s="164"/>
    </row>
    <row r="247" spans="1:24" s="165" customFormat="1">
      <c r="A247" s="163"/>
      <c r="B247" s="146" t="s">
        <v>333</v>
      </c>
      <c r="C247" s="146"/>
      <c r="D247" s="171" t="s">
        <v>327</v>
      </c>
      <c r="E247" s="141"/>
      <c r="F247" s="145"/>
      <c r="G247" s="145">
        <v>750</v>
      </c>
      <c r="H247" s="150" t="s">
        <v>327</v>
      </c>
      <c r="I247" s="164"/>
      <c r="J247" s="164"/>
      <c r="K247" s="164"/>
      <c r="L247" s="164"/>
      <c r="M247" s="164"/>
      <c r="N247" s="164"/>
      <c r="O247" s="164"/>
      <c r="P247" s="164"/>
      <c r="Q247" s="164"/>
      <c r="R247" s="164"/>
      <c r="S247" s="164"/>
      <c r="T247" s="164"/>
      <c r="U247" s="164"/>
      <c r="V247" s="164"/>
      <c r="W247" s="164"/>
      <c r="X247" s="164"/>
    </row>
    <row r="248" spans="1:24" s="165" customFormat="1">
      <c r="A248" s="163"/>
      <c r="B248" s="146" t="s">
        <v>792</v>
      </c>
      <c r="C248" s="144"/>
      <c r="D248" s="171" t="s">
        <v>327</v>
      </c>
      <c r="E248" s="145">
        <v>75</v>
      </c>
      <c r="F248" s="145"/>
      <c r="G248" s="145">
        <f>E248*10.764</f>
        <v>807.3</v>
      </c>
      <c r="H248" s="150" t="s">
        <v>327</v>
      </c>
      <c r="I248" s="164"/>
      <c r="J248" s="164"/>
      <c r="K248" s="164"/>
      <c r="L248" s="164"/>
      <c r="M248" s="164"/>
      <c r="N248" s="164"/>
      <c r="O248" s="164"/>
      <c r="P248" s="164"/>
      <c r="Q248" s="164"/>
      <c r="R248" s="164"/>
      <c r="S248" s="164"/>
      <c r="T248" s="164"/>
      <c r="U248" s="164"/>
      <c r="V248" s="164"/>
      <c r="W248" s="164"/>
      <c r="X248" s="164"/>
    </row>
    <row r="249" spans="1:24" s="165" customFormat="1">
      <c r="A249" s="163"/>
      <c r="B249" s="146" t="s">
        <v>341</v>
      </c>
      <c r="C249" s="146"/>
      <c r="D249" s="171" t="s">
        <v>327</v>
      </c>
      <c r="E249" s="145">
        <v>65</v>
      </c>
      <c r="F249" s="145"/>
      <c r="G249" s="145">
        <f>(E249*1.1+F249)*10.764</f>
        <v>769.62599999999998</v>
      </c>
      <c r="H249" s="150" t="s">
        <v>327</v>
      </c>
      <c r="I249" s="164"/>
      <c r="J249" s="164"/>
      <c r="K249" s="164"/>
      <c r="L249" s="164"/>
      <c r="M249" s="164"/>
      <c r="N249" s="164"/>
      <c r="O249" s="164"/>
      <c r="P249" s="164"/>
      <c r="Q249" s="164"/>
      <c r="R249" s="164"/>
      <c r="S249" s="164"/>
      <c r="T249" s="164"/>
      <c r="U249" s="164"/>
      <c r="V249" s="164"/>
      <c r="W249" s="164"/>
      <c r="X249" s="164"/>
    </row>
    <row r="250" spans="1:24" s="165" customFormat="1">
      <c r="A250" s="163"/>
      <c r="B250" s="146" t="s">
        <v>793</v>
      </c>
      <c r="C250" s="146"/>
      <c r="D250" s="171" t="s">
        <v>327</v>
      </c>
      <c r="E250" s="149">
        <v>125</v>
      </c>
      <c r="F250" s="145"/>
      <c r="G250" s="145">
        <f>(E250+F250)*10.764</f>
        <v>1345.5</v>
      </c>
      <c r="H250" s="150" t="str">
        <f>+D250</f>
        <v>Sq M</v>
      </c>
      <c r="I250" s="164"/>
      <c r="J250" s="164"/>
      <c r="K250" s="164"/>
      <c r="L250" s="164"/>
      <c r="M250" s="164"/>
      <c r="N250" s="164"/>
      <c r="O250" s="164"/>
      <c r="P250" s="164"/>
      <c r="Q250" s="164"/>
      <c r="R250" s="164"/>
      <c r="S250" s="164"/>
      <c r="T250" s="164"/>
      <c r="U250" s="164"/>
      <c r="V250" s="164"/>
      <c r="W250" s="164"/>
      <c r="X250" s="164"/>
    </row>
    <row r="251" spans="1:24" s="165" customFormat="1">
      <c r="A251" s="163"/>
      <c r="B251" s="146" t="s">
        <v>794</v>
      </c>
      <c r="C251" s="146"/>
      <c r="D251" s="171" t="s">
        <v>322</v>
      </c>
      <c r="E251" s="149">
        <v>8500</v>
      </c>
      <c r="F251" s="145"/>
      <c r="G251" s="145">
        <f t="shared" ref="G251:G265" si="27">E251+F251</f>
        <v>8500</v>
      </c>
      <c r="H251" s="150" t="str">
        <f t="shared" ref="H251:H257" si="28">+D251</f>
        <v>Cu M</v>
      </c>
      <c r="I251" s="164"/>
      <c r="J251" s="164"/>
      <c r="K251" s="164"/>
      <c r="L251" s="164"/>
      <c r="M251" s="164"/>
      <c r="N251" s="164"/>
      <c r="O251" s="164"/>
      <c r="P251" s="164"/>
      <c r="Q251" s="164"/>
      <c r="R251" s="164"/>
      <c r="S251" s="164"/>
      <c r="T251" s="164"/>
      <c r="U251" s="164"/>
      <c r="V251" s="164"/>
      <c r="W251" s="164"/>
      <c r="X251" s="164"/>
    </row>
    <row r="252" spans="1:24" s="165" customFormat="1">
      <c r="A252" s="163"/>
      <c r="B252" s="146" t="s">
        <v>795</v>
      </c>
      <c r="C252" s="146"/>
      <c r="D252" s="171" t="s">
        <v>327</v>
      </c>
      <c r="E252" s="149">
        <v>125</v>
      </c>
      <c r="F252" s="145"/>
      <c r="G252" s="145">
        <f t="shared" ref="G252:G257" si="29">(E252+F252)*10.764</f>
        <v>1345.5</v>
      </c>
      <c r="H252" s="150" t="str">
        <f t="shared" si="28"/>
        <v>Sq M</v>
      </c>
      <c r="I252" s="164"/>
      <c r="J252" s="164"/>
      <c r="K252" s="164"/>
      <c r="L252" s="164"/>
      <c r="M252" s="164"/>
      <c r="N252" s="164"/>
      <c r="O252" s="164"/>
      <c r="P252" s="164"/>
      <c r="Q252" s="164"/>
      <c r="R252" s="164"/>
      <c r="S252" s="164"/>
      <c r="T252" s="164"/>
      <c r="U252" s="164"/>
      <c r="V252" s="164"/>
      <c r="W252" s="164"/>
      <c r="X252" s="164"/>
    </row>
    <row r="253" spans="1:24" ht="13.5" customHeight="1">
      <c r="A253" s="163"/>
      <c r="B253" s="146" t="s">
        <v>796</v>
      </c>
      <c r="C253" s="146"/>
      <c r="D253" s="171" t="s">
        <v>327</v>
      </c>
      <c r="E253" s="149">
        <v>260</v>
      </c>
      <c r="F253" s="145"/>
      <c r="G253" s="145">
        <f t="shared" si="29"/>
        <v>2798.64</v>
      </c>
      <c r="H253" s="150" t="str">
        <f t="shared" si="28"/>
        <v>Sq M</v>
      </c>
      <c r="I253" s="131"/>
      <c r="J253" s="131"/>
      <c r="K253" s="131"/>
      <c r="L253" s="131"/>
      <c r="M253" s="131"/>
      <c r="N253" s="131"/>
      <c r="O253" s="131"/>
      <c r="P253" s="131"/>
      <c r="Q253" s="131"/>
      <c r="R253" s="131"/>
      <c r="S253" s="131"/>
      <c r="T253" s="131"/>
      <c r="U253" s="131"/>
      <c r="V253" s="131"/>
      <c r="W253" s="131"/>
      <c r="X253" s="131"/>
    </row>
    <row r="254" spans="1:24" ht="13.5" customHeight="1">
      <c r="A254" s="163"/>
      <c r="B254" s="146" t="s">
        <v>797</v>
      </c>
      <c r="C254" s="146"/>
      <c r="D254" s="171" t="s">
        <v>327</v>
      </c>
      <c r="E254" s="149">
        <v>260</v>
      </c>
      <c r="F254" s="145"/>
      <c r="G254" s="145">
        <f t="shared" si="29"/>
        <v>2798.64</v>
      </c>
      <c r="H254" s="150" t="str">
        <f t="shared" si="28"/>
        <v>Sq M</v>
      </c>
      <c r="I254" s="131"/>
      <c r="J254" s="131"/>
      <c r="K254" s="131"/>
      <c r="L254" s="131"/>
      <c r="M254" s="131"/>
      <c r="N254" s="131"/>
      <c r="O254" s="131"/>
      <c r="P254" s="131"/>
      <c r="Q254" s="131"/>
      <c r="R254" s="131"/>
      <c r="S254" s="131"/>
      <c r="T254" s="131"/>
      <c r="U254" s="131"/>
      <c r="V254" s="131"/>
      <c r="W254" s="131"/>
      <c r="X254" s="131"/>
    </row>
    <row r="255" spans="1:24" ht="13.5" customHeight="1">
      <c r="A255" s="163"/>
      <c r="B255" s="146" t="s">
        <v>603</v>
      </c>
      <c r="C255" s="146"/>
      <c r="D255" s="171" t="s">
        <v>327</v>
      </c>
      <c r="E255" s="149">
        <v>125</v>
      </c>
      <c r="F255" s="145"/>
      <c r="G255" s="145">
        <f t="shared" si="29"/>
        <v>1345.5</v>
      </c>
      <c r="H255" s="150" t="str">
        <f t="shared" si="28"/>
        <v>Sq M</v>
      </c>
      <c r="I255" s="131"/>
      <c r="J255" s="131"/>
      <c r="K255" s="131"/>
      <c r="L255" s="131"/>
      <c r="M255" s="131"/>
      <c r="N255" s="131"/>
      <c r="O255" s="131"/>
      <c r="P255" s="131"/>
      <c r="Q255" s="131"/>
      <c r="R255" s="131"/>
      <c r="S255" s="131"/>
      <c r="T255" s="131"/>
      <c r="U255" s="131"/>
      <c r="V255" s="131"/>
      <c r="W255" s="131"/>
      <c r="X255" s="131"/>
    </row>
    <row r="256" spans="1:24" ht="13.5" customHeight="1">
      <c r="A256" s="163"/>
      <c r="B256" s="146" t="s">
        <v>798</v>
      </c>
      <c r="C256" s="146"/>
      <c r="D256" s="171" t="s">
        <v>327</v>
      </c>
      <c r="E256" s="149">
        <v>125</v>
      </c>
      <c r="F256" s="145"/>
      <c r="G256" s="145">
        <f t="shared" si="29"/>
        <v>1345.5</v>
      </c>
      <c r="H256" s="150" t="str">
        <f t="shared" si="28"/>
        <v>Sq M</v>
      </c>
      <c r="I256" s="131"/>
      <c r="J256" s="131"/>
      <c r="K256" s="131"/>
      <c r="L256" s="131"/>
      <c r="M256" s="131"/>
      <c r="N256" s="131"/>
      <c r="O256" s="131"/>
      <c r="P256" s="131"/>
      <c r="Q256" s="131"/>
      <c r="R256" s="131"/>
      <c r="S256" s="131"/>
      <c r="T256" s="131"/>
      <c r="U256" s="131"/>
      <c r="V256" s="131"/>
      <c r="W256" s="131"/>
      <c r="X256" s="131"/>
    </row>
    <row r="257" spans="1:24" ht="13.5" customHeight="1">
      <c r="A257" s="163"/>
      <c r="B257" s="146" t="s">
        <v>799</v>
      </c>
      <c r="C257" s="146"/>
      <c r="D257" s="171" t="s">
        <v>327</v>
      </c>
      <c r="E257" s="149">
        <v>125</v>
      </c>
      <c r="F257" s="145"/>
      <c r="G257" s="145">
        <f t="shared" si="29"/>
        <v>1345.5</v>
      </c>
      <c r="H257" s="150" t="str">
        <f t="shared" si="28"/>
        <v>Sq M</v>
      </c>
      <c r="I257" s="131"/>
      <c r="J257" s="131"/>
      <c r="K257" s="131"/>
      <c r="L257" s="131"/>
      <c r="M257" s="131"/>
      <c r="N257" s="131"/>
      <c r="O257" s="131"/>
      <c r="P257" s="131"/>
      <c r="Q257" s="131"/>
      <c r="R257" s="131"/>
      <c r="S257" s="131"/>
      <c r="T257" s="131"/>
      <c r="U257" s="131"/>
      <c r="V257" s="131"/>
      <c r="W257" s="131"/>
      <c r="X257" s="131"/>
    </row>
    <row r="258" spans="1:24" ht="13.5" customHeight="1">
      <c r="A258" s="163"/>
      <c r="B258" s="146" t="s">
        <v>800</v>
      </c>
      <c r="C258" s="146"/>
      <c r="D258" s="171" t="s">
        <v>327</v>
      </c>
      <c r="E258" s="149">
        <v>1150</v>
      </c>
      <c r="F258" s="145"/>
      <c r="G258" s="145">
        <f t="shared" si="27"/>
        <v>1150</v>
      </c>
      <c r="H258" s="150" t="str">
        <f>+D258</f>
        <v>Sq M</v>
      </c>
      <c r="I258" s="131"/>
      <c r="J258" s="131"/>
      <c r="K258" s="131"/>
      <c r="L258" s="131"/>
      <c r="M258" s="131"/>
      <c r="N258" s="131"/>
      <c r="O258" s="131"/>
      <c r="P258" s="131"/>
      <c r="Q258" s="131"/>
      <c r="R258" s="131"/>
      <c r="S258" s="131"/>
      <c r="T258" s="131"/>
      <c r="U258" s="131"/>
      <c r="V258" s="131"/>
      <c r="W258" s="131"/>
      <c r="X258" s="131"/>
    </row>
    <row r="259" spans="1:24" ht="13.5" customHeight="1">
      <c r="A259" s="163"/>
      <c r="B259" s="146" t="s">
        <v>348</v>
      </c>
      <c r="C259" s="146"/>
      <c r="D259" s="171" t="s">
        <v>327</v>
      </c>
      <c r="E259" s="149">
        <v>800</v>
      </c>
      <c r="F259" s="145"/>
      <c r="G259" s="145">
        <f t="shared" si="27"/>
        <v>800</v>
      </c>
      <c r="H259" s="150" t="str">
        <f>+D259</f>
        <v>Sq M</v>
      </c>
      <c r="I259" s="131"/>
      <c r="J259" s="131"/>
      <c r="K259" s="131"/>
      <c r="L259" s="131"/>
      <c r="M259" s="131"/>
      <c r="N259" s="131"/>
      <c r="O259" s="131"/>
      <c r="P259" s="131"/>
      <c r="Q259" s="131"/>
      <c r="R259" s="131"/>
      <c r="S259" s="131"/>
      <c r="T259" s="131"/>
      <c r="U259" s="131"/>
      <c r="V259" s="131"/>
      <c r="W259" s="131"/>
      <c r="X259" s="131"/>
    </row>
    <row r="260" spans="1:24" ht="13.5" customHeight="1">
      <c r="A260" s="163"/>
      <c r="B260" s="146" t="s">
        <v>150</v>
      </c>
      <c r="C260" s="146"/>
      <c r="D260" s="171" t="s">
        <v>327</v>
      </c>
      <c r="E260" s="149">
        <v>650</v>
      </c>
      <c r="F260" s="145"/>
      <c r="G260" s="145">
        <f t="shared" si="27"/>
        <v>650</v>
      </c>
      <c r="H260" s="150" t="str">
        <f>+D260</f>
        <v>Sq M</v>
      </c>
      <c r="I260" s="131"/>
      <c r="J260" s="131"/>
      <c r="K260" s="131"/>
      <c r="L260" s="131"/>
      <c r="M260" s="131"/>
      <c r="N260" s="131"/>
      <c r="O260" s="131"/>
      <c r="P260" s="131"/>
      <c r="Q260" s="131"/>
      <c r="R260" s="131"/>
      <c r="S260" s="131"/>
      <c r="T260" s="131"/>
      <c r="U260" s="131"/>
      <c r="V260" s="131"/>
      <c r="W260" s="131"/>
      <c r="X260" s="131"/>
    </row>
    <row r="261" spans="1:24" ht="13.5" customHeight="1">
      <c r="A261" s="163"/>
      <c r="B261" s="146" t="s">
        <v>382</v>
      </c>
      <c r="C261" s="146" t="s">
        <v>801</v>
      </c>
      <c r="D261" s="171" t="s">
        <v>327</v>
      </c>
      <c r="E261" s="149"/>
      <c r="F261" s="145">
        <v>484.38</v>
      </c>
      <c r="G261" s="145">
        <f t="shared" si="27"/>
        <v>484.38</v>
      </c>
      <c r="H261" s="150" t="s">
        <v>327</v>
      </c>
      <c r="I261" s="131"/>
      <c r="J261" s="131"/>
      <c r="K261" s="131"/>
      <c r="L261" s="131"/>
      <c r="M261" s="131"/>
      <c r="N261" s="131"/>
      <c r="O261" s="131"/>
      <c r="P261" s="131"/>
      <c r="Q261" s="131"/>
      <c r="R261" s="131"/>
      <c r="S261" s="131"/>
      <c r="T261" s="131"/>
      <c r="U261" s="131"/>
      <c r="V261" s="131"/>
      <c r="W261" s="131"/>
      <c r="X261" s="131"/>
    </row>
    <row r="262" spans="1:24" ht="13.5" customHeight="1">
      <c r="A262" s="163"/>
      <c r="B262" s="146" t="s">
        <v>802</v>
      </c>
      <c r="C262" s="146" t="s">
        <v>803</v>
      </c>
      <c r="D262" s="171" t="s">
        <v>327</v>
      </c>
      <c r="E262" s="149"/>
      <c r="F262" s="145">
        <v>322.91999999999996</v>
      </c>
      <c r="G262" s="145">
        <f t="shared" si="27"/>
        <v>322.91999999999996</v>
      </c>
      <c r="H262" s="150" t="s">
        <v>327</v>
      </c>
      <c r="I262" s="131"/>
      <c r="J262" s="131"/>
      <c r="K262" s="131"/>
      <c r="L262" s="131"/>
      <c r="M262" s="131"/>
      <c r="N262" s="131"/>
      <c r="O262" s="131"/>
      <c r="P262" s="131"/>
      <c r="Q262" s="131"/>
      <c r="R262" s="131"/>
      <c r="S262" s="131"/>
      <c r="T262" s="131"/>
      <c r="U262" s="131"/>
      <c r="V262" s="131"/>
      <c r="W262" s="131"/>
      <c r="X262" s="131"/>
    </row>
    <row r="263" spans="1:24" ht="13.5" customHeight="1">
      <c r="A263" s="163"/>
      <c r="B263" s="146" t="s">
        <v>804</v>
      </c>
      <c r="C263" s="146"/>
      <c r="D263" s="171" t="s">
        <v>327</v>
      </c>
      <c r="E263" s="149">
        <v>52.11</v>
      </c>
      <c r="F263" s="145"/>
      <c r="G263" s="145">
        <f>(E263*1.05+F263)*10.764</f>
        <v>588.95764199999996</v>
      </c>
      <c r="H263" s="150" t="s">
        <v>327</v>
      </c>
      <c r="I263" s="131"/>
      <c r="J263" s="131"/>
      <c r="K263" s="131"/>
      <c r="L263" s="131"/>
      <c r="M263" s="131"/>
      <c r="N263" s="131"/>
      <c r="O263" s="131"/>
      <c r="P263" s="131"/>
      <c r="Q263" s="131"/>
      <c r="R263" s="131"/>
      <c r="S263" s="131"/>
      <c r="T263" s="131"/>
      <c r="U263" s="172" t="s">
        <v>805</v>
      </c>
      <c r="V263" s="131"/>
      <c r="W263" s="131"/>
      <c r="X263" s="131"/>
    </row>
    <row r="264" spans="1:24" ht="13.5" customHeight="1">
      <c r="A264" s="163"/>
      <c r="B264" s="146" t="s">
        <v>806</v>
      </c>
      <c r="C264" s="146"/>
      <c r="D264" s="171" t="s">
        <v>327</v>
      </c>
      <c r="E264" s="145">
        <v>2870</v>
      </c>
      <c r="F264" s="145"/>
      <c r="G264" s="145">
        <f t="shared" si="27"/>
        <v>2870</v>
      </c>
      <c r="H264" s="150" t="s">
        <v>327</v>
      </c>
      <c r="I264" s="131"/>
      <c r="J264" s="131"/>
      <c r="K264" s="131"/>
      <c r="L264" s="131"/>
      <c r="M264" s="131"/>
      <c r="N264" s="131"/>
      <c r="O264" s="131"/>
      <c r="P264" s="131"/>
      <c r="Q264" s="131"/>
      <c r="R264" s="131"/>
      <c r="S264" s="131"/>
      <c r="T264" s="131"/>
      <c r="U264"/>
      <c r="V264" s="131"/>
      <c r="W264" s="131"/>
      <c r="X264" s="131"/>
    </row>
    <row r="265" spans="1:24" ht="13.5" customHeight="1">
      <c r="A265" s="163"/>
      <c r="B265" s="146" t="s">
        <v>383</v>
      </c>
      <c r="C265" s="146"/>
      <c r="D265" s="150" t="s">
        <v>322</v>
      </c>
      <c r="E265" s="145">
        <v>450</v>
      </c>
      <c r="F265" s="145"/>
      <c r="G265" s="145">
        <f t="shared" si="27"/>
        <v>450</v>
      </c>
      <c r="H265" s="150" t="s">
        <v>322</v>
      </c>
      <c r="I265" s="131"/>
      <c r="J265" s="131"/>
      <c r="K265" s="131"/>
      <c r="L265" s="131"/>
      <c r="M265" s="131"/>
      <c r="N265" s="131"/>
      <c r="O265" s="131"/>
      <c r="P265" s="131"/>
      <c r="Q265" s="131"/>
      <c r="R265" s="131"/>
      <c r="S265" s="131"/>
      <c r="T265" s="131"/>
      <c r="U265" s="172" t="s">
        <v>807</v>
      </c>
      <c r="V265" s="131"/>
      <c r="W265" s="131"/>
      <c r="X265" s="131"/>
    </row>
    <row r="266" spans="1:24" ht="13.5" customHeight="1">
      <c r="A266" s="163"/>
      <c r="B266" s="146" t="s">
        <v>384</v>
      </c>
      <c r="C266" s="146"/>
      <c r="D266" s="150" t="s">
        <v>322</v>
      </c>
      <c r="E266" s="145">
        <v>35</v>
      </c>
      <c r="F266" s="145"/>
      <c r="G266" s="145">
        <f>E266*10.764</f>
        <v>376.73999999999995</v>
      </c>
      <c r="H266" s="150" t="s">
        <v>322</v>
      </c>
      <c r="I266" s="131"/>
      <c r="J266" s="131"/>
      <c r="K266" s="131"/>
      <c r="L266" s="131"/>
      <c r="M266" s="131"/>
      <c r="N266" s="131"/>
      <c r="O266" s="131"/>
      <c r="P266" s="131"/>
      <c r="Q266" s="131"/>
      <c r="R266" s="131"/>
      <c r="S266" s="131"/>
      <c r="T266" s="131"/>
      <c r="U266"/>
      <c r="V266" s="131"/>
      <c r="W266" s="131"/>
      <c r="X266" s="131"/>
    </row>
    <row r="267" spans="1:24" ht="13.5" customHeight="1">
      <c r="A267" s="163"/>
      <c r="B267" s="146" t="s">
        <v>352</v>
      </c>
      <c r="C267" s="146"/>
      <c r="D267" s="150" t="s">
        <v>694</v>
      </c>
      <c r="E267" s="145">
        <v>1485</v>
      </c>
      <c r="F267" s="145"/>
      <c r="G267" s="145">
        <f>E267</f>
        <v>1485</v>
      </c>
      <c r="H267" s="150" t="s">
        <v>327</v>
      </c>
      <c r="I267" s="131"/>
      <c r="J267" s="131"/>
      <c r="K267" s="131"/>
      <c r="L267" s="131"/>
      <c r="M267" s="131"/>
      <c r="N267" s="131"/>
      <c r="O267" s="131"/>
      <c r="P267" s="131"/>
      <c r="Q267" s="131"/>
      <c r="R267" s="131"/>
      <c r="S267" s="131"/>
      <c r="T267" s="131"/>
      <c r="U267" s="172" t="s">
        <v>808</v>
      </c>
      <c r="V267" s="131"/>
      <c r="W267" s="131"/>
      <c r="X267" s="131"/>
    </row>
    <row r="268" spans="1:24" ht="13.5" customHeight="1">
      <c r="A268" s="163"/>
      <c r="B268" s="146"/>
      <c r="C268" s="146"/>
      <c r="D268" s="150"/>
      <c r="E268" s="145"/>
      <c r="F268" s="145"/>
      <c r="G268" s="145"/>
      <c r="H268" s="150"/>
      <c r="I268" s="131"/>
      <c r="J268" s="131"/>
      <c r="K268" s="131"/>
      <c r="L268" s="131"/>
      <c r="M268" s="131"/>
      <c r="N268" s="131"/>
      <c r="O268" s="131"/>
      <c r="P268" s="131"/>
      <c r="Q268" s="131"/>
      <c r="R268" s="131"/>
      <c r="S268" s="131"/>
      <c r="T268" s="131"/>
      <c r="U268"/>
      <c r="V268" s="131"/>
      <c r="W268" s="131"/>
      <c r="X268" s="131"/>
    </row>
    <row r="269" spans="1:24" ht="13.5" customHeight="1">
      <c r="A269" s="142" t="s">
        <v>628</v>
      </c>
      <c r="B269" s="143" t="s">
        <v>809</v>
      </c>
      <c r="C269" s="144"/>
      <c r="D269" s="141"/>
      <c r="E269" s="141"/>
      <c r="F269" s="145"/>
      <c r="G269" s="145"/>
      <c r="H269" s="141"/>
      <c r="I269" s="131"/>
      <c r="J269" s="131"/>
      <c r="K269" s="131"/>
      <c r="L269" s="131"/>
      <c r="M269" s="131"/>
      <c r="N269" s="131"/>
      <c r="O269" s="131"/>
      <c r="P269" s="131"/>
      <c r="Q269" s="131"/>
      <c r="R269" s="131"/>
      <c r="S269" s="131"/>
      <c r="T269" s="131"/>
      <c r="U269" s="172" t="s">
        <v>810</v>
      </c>
      <c r="V269" s="131"/>
      <c r="W269" s="131"/>
      <c r="X269" s="131"/>
    </row>
    <row r="270" spans="1:24" ht="13.5" customHeight="1">
      <c r="A270" s="163"/>
      <c r="B270" s="146" t="s">
        <v>811</v>
      </c>
      <c r="C270" s="146"/>
      <c r="D270" s="150"/>
      <c r="E270" s="149"/>
      <c r="F270" s="145"/>
      <c r="G270" s="145"/>
      <c r="H270" s="141"/>
      <c r="I270" s="131"/>
      <c r="J270" s="131"/>
      <c r="K270" s="131"/>
      <c r="L270" s="131"/>
      <c r="M270" s="131"/>
      <c r="N270" s="131"/>
      <c r="O270" s="131"/>
      <c r="P270" s="131"/>
      <c r="Q270" s="131"/>
      <c r="R270" s="131"/>
      <c r="S270" s="131"/>
      <c r="T270" s="131"/>
      <c r="U270"/>
      <c r="V270" s="131"/>
      <c r="W270" s="131"/>
      <c r="X270" s="131"/>
    </row>
    <row r="271" spans="1:24" ht="13.5" customHeight="1">
      <c r="A271" s="163"/>
      <c r="B271" s="166" t="s">
        <v>812</v>
      </c>
      <c r="C271" s="146"/>
      <c r="D271" s="150" t="s">
        <v>322</v>
      </c>
      <c r="E271" s="149"/>
      <c r="F271" s="145">
        <v>420</v>
      </c>
      <c r="G271" s="145">
        <f t="shared" ref="G271:G274" si="30">E271+F271</f>
        <v>420</v>
      </c>
      <c r="H271" s="150" t="s">
        <v>322</v>
      </c>
      <c r="I271" s="131"/>
      <c r="J271" s="131"/>
      <c r="K271" s="131"/>
      <c r="L271" s="131"/>
      <c r="M271" s="131"/>
      <c r="N271" s="131"/>
      <c r="O271" s="131"/>
      <c r="P271" s="131"/>
      <c r="Q271" s="131"/>
      <c r="R271" s="131"/>
      <c r="S271" s="131"/>
      <c r="T271" s="131"/>
      <c r="U271" s="172" t="s">
        <v>813</v>
      </c>
      <c r="V271" s="131"/>
      <c r="W271" s="131"/>
      <c r="X271" s="131"/>
    </row>
    <row r="272" spans="1:24" ht="13.5" customHeight="1">
      <c r="A272" s="163"/>
      <c r="B272" s="166" t="s">
        <v>814</v>
      </c>
      <c r="C272" s="146"/>
      <c r="D272" s="150" t="s">
        <v>322</v>
      </c>
      <c r="E272" s="149"/>
      <c r="F272" s="145">
        <v>1560</v>
      </c>
      <c r="G272" s="145">
        <f t="shared" si="30"/>
        <v>1560</v>
      </c>
      <c r="H272" s="150" t="s">
        <v>322</v>
      </c>
      <c r="I272" s="131"/>
      <c r="J272" s="131"/>
      <c r="K272" s="131"/>
      <c r="L272" s="131"/>
      <c r="M272" s="131"/>
      <c r="N272" s="131"/>
      <c r="O272" s="131"/>
      <c r="P272" s="131"/>
      <c r="Q272" s="131"/>
      <c r="R272" s="131"/>
      <c r="S272" s="131"/>
      <c r="T272" s="131"/>
      <c r="U272"/>
      <c r="V272" s="131"/>
      <c r="W272" s="131"/>
      <c r="X272" s="131"/>
    </row>
    <row r="273" spans="1:24" ht="13.5" customHeight="1">
      <c r="A273" s="163"/>
      <c r="B273" s="166" t="s">
        <v>815</v>
      </c>
      <c r="C273" s="146"/>
      <c r="D273" s="150" t="s">
        <v>322</v>
      </c>
      <c r="E273" s="149"/>
      <c r="F273" s="145">
        <v>3000</v>
      </c>
      <c r="G273" s="145">
        <f t="shared" si="30"/>
        <v>3000</v>
      </c>
      <c r="H273" s="150" t="s">
        <v>322</v>
      </c>
      <c r="I273" s="131"/>
      <c r="J273" s="131"/>
      <c r="K273" s="131"/>
      <c r="L273" s="131"/>
      <c r="M273" s="131"/>
      <c r="N273" s="131"/>
      <c r="O273" s="131"/>
      <c r="P273" s="131"/>
      <c r="Q273" s="131"/>
      <c r="R273" s="131"/>
      <c r="S273" s="131"/>
      <c r="T273" s="131"/>
      <c r="U273" s="172" t="s">
        <v>816</v>
      </c>
      <c r="V273" s="131"/>
      <c r="W273" s="131"/>
      <c r="X273" s="131"/>
    </row>
    <row r="274" spans="1:24" ht="13.5" customHeight="1">
      <c r="A274" s="163"/>
      <c r="B274" s="166" t="s">
        <v>817</v>
      </c>
      <c r="C274" s="146"/>
      <c r="D274" s="150" t="s">
        <v>330</v>
      </c>
      <c r="E274" s="149">
        <v>85000</v>
      </c>
      <c r="F274" s="145">
        <v>30000</v>
      </c>
      <c r="G274" s="145">
        <f t="shared" si="30"/>
        <v>115000</v>
      </c>
      <c r="H274" s="150" t="s">
        <v>322</v>
      </c>
      <c r="I274" s="131"/>
      <c r="J274" s="131"/>
      <c r="K274" s="131"/>
      <c r="L274" s="131"/>
      <c r="M274" s="131"/>
      <c r="N274" s="131"/>
      <c r="O274" s="131"/>
      <c r="P274" s="131"/>
      <c r="Q274" s="131"/>
      <c r="R274" s="131"/>
      <c r="S274" s="131"/>
      <c r="T274" s="131"/>
      <c r="U274" s="131"/>
      <c r="V274" s="131"/>
      <c r="W274" s="131"/>
      <c r="X274" s="131"/>
    </row>
    <row r="275" spans="1:24" ht="13.5" customHeight="1">
      <c r="A275" s="163"/>
      <c r="B275" s="146" t="s">
        <v>218</v>
      </c>
      <c r="C275" s="146"/>
      <c r="D275" s="150"/>
      <c r="E275" s="149"/>
      <c r="F275" s="145"/>
      <c r="G275" s="145"/>
      <c r="H275" s="150"/>
      <c r="I275" s="131"/>
      <c r="J275" s="131"/>
      <c r="K275" s="131"/>
      <c r="L275" s="131"/>
      <c r="M275" s="131"/>
      <c r="N275" s="131"/>
      <c r="O275" s="131"/>
      <c r="P275" s="131"/>
      <c r="Q275" s="131"/>
      <c r="R275" s="131"/>
      <c r="S275" s="131"/>
      <c r="T275" s="131"/>
      <c r="U275" s="131"/>
      <c r="V275" s="131"/>
      <c r="W275" s="131"/>
      <c r="X275" s="131"/>
    </row>
    <row r="276" spans="1:24" ht="13.5" customHeight="1">
      <c r="A276" s="163"/>
      <c r="B276" s="146" t="s">
        <v>818</v>
      </c>
      <c r="C276" s="146"/>
      <c r="D276" s="150" t="s">
        <v>322</v>
      </c>
      <c r="E276" s="149"/>
      <c r="F276" s="145">
        <v>480</v>
      </c>
      <c r="G276" s="145">
        <f>F276</f>
        <v>480</v>
      </c>
      <c r="H276" s="150" t="s">
        <v>322</v>
      </c>
      <c r="I276" s="131"/>
      <c r="J276" s="131"/>
      <c r="K276" s="131"/>
      <c r="L276" s="131"/>
      <c r="M276" s="131"/>
      <c r="N276" s="131"/>
      <c r="O276" s="131"/>
      <c r="P276" s="131"/>
      <c r="Q276" s="131"/>
      <c r="R276" s="131"/>
      <c r="S276" s="131"/>
      <c r="T276" s="131"/>
      <c r="U276" s="131"/>
      <c r="V276" s="131"/>
      <c r="W276" s="131"/>
      <c r="X276" s="131"/>
    </row>
    <row r="277" spans="1:24" ht="13.5" customHeight="1">
      <c r="A277" s="163"/>
      <c r="B277" s="146" t="s">
        <v>819</v>
      </c>
      <c r="C277" s="146"/>
      <c r="D277" s="150" t="s">
        <v>322</v>
      </c>
      <c r="E277" s="149"/>
      <c r="F277" s="145">
        <v>1119</v>
      </c>
      <c r="G277" s="145">
        <f>F277</f>
        <v>1119</v>
      </c>
      <c r="H277" s="150" t="s">
        <v>322</v>
      </c>
      <c r="I277" s="131"/>
      <c r="J277" s="131"/>
      <c r="K277" s="131"/>
      <c r="L277" s="131"/>
      <c r="M277" s="131"/>
      <c r="N277" s="131"/>
      <c r="O277" s="131"/>
      <c r="P277" s="131"/>
      <c r="Q277" s="131"/>
      <c r="R277" s="131"/>
      <c r="S277" s="131"/>
      <c r="T277" s="131"/>
      <c r="U277" s="131"/>
      <c r="V277" s="131"/>
      <c r="W277" s="131"/>
      <c r="X277" s="131"/>
    </row>
    <row r="278" spans="1:24" ht="13.5" customHeight="1">
      <c r="A278" s="163"/>
      <c r="B278" s="146" t="s">
        <v>24</v>
      </c>
      <c r="C278" s="146"/>
      <c r="D278" s="150" t="s">
        <v>322</v>
      </c>
      <c r="E278" s="149"/>
      <c r="F278" s="145">
        <v>2364</v>
      </c>
      <c r="G278" s="145">
        <f>F278</f>
        <v>2364</v>
      </c>
      <c r="H278" s="150" t="s">
        <v>322</v>
      </c>
      <c r="I278" s="131"/>
      <c r="J278" s="131"/>
      <c r="K278" s="131"/>
      <c r="L278" s="131"/>
      <c r="M278" s="131"/>
      <c r="N278" s="131"/>
      <c r="O278" s="131"/>
      <c r="P278" s="131"/>
      <c r="Q278" s="131"/>
      <c r="R278" s="131"/>
      <c r="S278" s="131"/>
      <c r="T278" s="131"/>
      <c r="U278" s="131"/>
      <c r="V278" s="131"/>
      <c r="W278" s="131"/>
      <c r="X278" s="131"/>
    </row>
    <row r="279" spans="1:24" ht="13.5" customHeight="1">
      <c r="A279" s="163"/>
      <c r="B279" s="146" t="s">
        <v>820</v>
      </c>
      <c r="C279" s="146"/>
      <c r="D279" s="150" t="s">
        <v>327</v>
      </c>
      <c r="E279" s="149"/>
      <c r="F279" s="145">
        <v>94</v>
      </c>
      <c r="G279" s="145">
        <f t="shared" ref="G279" si="31">E279+F279</f>
        <v>94</v>
      </c>
      <c r="H279" s="150" t="s">
        <v>327</v>
      </c>
      <c r="I279" s="131"/>
      <c r="J279" s="131"/>
      <c r="K279" s="131"/>
      <c r="L279" s="131"/>
      <c r="M279" s="131"/>
      <c r="N279" s="131"/>
      <c r="O279" s="131"/>
      <c r="P279" s="131"/>
      <c r="Q279" s="131"/>
      <c r="R279" s="131"/>
      <c r="S279" s="131"/>
      <c r="T279" s="131"/>
      <c r="U279" s="131"/>
      <c r="V279" s="131"/>
      <c r="W279" s="131"/>
      <c r="X279" s="131"/>
    </row>
    <row r="280" spans="1:24" ht="13.5" customHeight="1">
      <c r="A280" s="132"/>
      <c r="B280" s="131"/>
      <c r="C280" s="131"/>
      <c r="D280" s="132"/>
      <c r="E280" s="132"/>
      <c r="F280" s="132"/>
      <c r="G280" s="132"/>
      <c r="H280" s="132"/>
      <c r="I280" s="131"/>
      <c r="J280" s="131"/>
      <c r="K280" s="131"/>
      <c r="L280" s="131"/>
      <c r="M280" s="131"/>
      <c r="N280" s="131"/>
      <c r="O280" s="131"/>
      <c r="P280" s="131"/>
      <c r="Q280" s="131"/>
      <c r="R280" s="131"/>
      <c r="S280" s="131"/>
      <c r="T280" s="131"/>
      <c r="U280" s="131"/>
      <c r="V280" s="131"/>
      <c r="W280" s="131"/>
      <c r="X280" s="131"/>
    </row>
    <row r="281" spans="1:24" ht="13.5" customHeight="1">
      <c r="A281" s="132"/>
      <c r="B281" s="131"/>
      <c r="C281" s="131"/>
      <c r="D281" s="132"/>
      <c r="E281" s="132"/>
      <c r="F281" s="132"/>
      <c r="G281" s="132"/>
      <c r="H281" s="132"/>
      <c r="I281" s="131"/>
      <c r="J281" s="131"/>
      <c r="K281" s="131"/>
      <c r="L281" s="131"/>
      <c r="M281" s="131"/>
      <c r="N281" s="131"/>
      <c r="O281" s="131"/>
      <c r="P281" s="131"/>
      <c r="Q281" s="131"/>
      <c r="R281" s="131"/>
      <c r="S281" s="131"/>
      <c r="T281" s="131"/>
      <c r="U281" s="131"/>
      <c r="V281" s="131"/>
      <c r="W281" s="131"/>
      <c r="X281" s="131"/>
    </row>
    <row r="282" spans="1:24" ht="13.5" customHeight="1">
      <c r="A282" s="132"/>
      <c r="B282" s="131"/>
      <c r="C282" s="131"/>
      <c r="D282" s="132"/>
      <c r="E282" s="132"/>
      <c r="F282" s="132"/>
      <c r="G282" s="132"/>
      <c r="H282" s="132"/>
      <c r="I282" s="131"/>
      <c r="J282" s="131"/>
      <c r="K282" s="131"/>
      <c r="L282" s="131"/>
      <c r="M282" s="131"/>
      <c r="N282" s="131"/>
      <c r="O282" s="131"/>
      <c r="P282" s="131"/>
      <c r="Q282" s="131"/>
      <c r="R282" s="131"/>
      <c r="S282" s="131"/>
      <c r="T282" s="131"/>
      <c r="U282" s="131"/>
      <c r="V282" s="131"/>
      <c r="W282" s="131"/>
      <c r="X282" s="131"/>
    </row>
    <row r="283" spans="1:24" ht="13.5" customHeight="1">
      <c r="A283" s="132"/>
      <c r="B283" s="131"/>
      <c r="C283" s="131"/>
      <c r="D283" s="132"/>
      <c r="E283" s="132"/>
      <c r="F283" s="132"/>
      <c r="G283" s="132"/>
      <c r="H283" s="132"/>
      <c r="I283" s="131"/>
      <c r="J283" s="131"/>
      <c r="K283" s="131"/>
      <c r="L283" s="131"/>
      <c r="M283" s="131"/>
      <c r="N283" s="131"/>
      <c r="O283" s="131"/>
      <c r="P283" s="131"/>
      <c r="Q283" s="131"/>
      <c r="R283" s="131"/>
      <c r="S283" s="131"/>
      <c r="T283" s="131"/>
      <c r="U283" s="131"/>
      <c r="V283" s="131"/>
      <c r="W283" s="131"/>
      <c r="X283" s="131"/>
    </row>
    <row r="284" spans="1:24" ht="13.5" customHeight="1">
      <c r="A284" s="132"/>
      <c r="B284" s="131"/>
      <c r="C284" s="131"/>
      <c r="D284" s="132"/>
      <c r="E284" s="132"/>
      <c r="F284" s="132"/>
      <c r="G284" s="132"/>
      <c r="H284" s="132"/>
      <c r="I284" s="131"/>
      <c r="J284" s="131"/>
      <c r="K284" s="131"/>
      <c r="L284" s="131"/>
      <c r="M284" s="131"/>
      <c r="N284" s="131"/>
      <c r="O284" s="131"/>
      <c r="P284" s="131"/>
      <c r="Q284" s="131"/>
      <c r="R284" s="131"/>
      <c r="S284" s="131"/>
      <c r="T284" s="131"/>
      <c r="U284" s="131"/>
      <c r="V284" s="131"/>
      <c r="W284" s="131"/>
      <c r="X284" s="131"/>
    </row>
    <row r="285" spans="1:24" ht="13.5" customHeight="1">
      <c r="A285" s="132"/>
      <c r="B285" s="131"/>
      <c r="C285" s="131"/>
      <c r="D285" s="132"/>
      <c r="E285" s="132"/>
      <c r="F285" s="132"/>
      <c r="G285" s="132"/>
      <c r="H285" s="132"/>
      <c r="I285" s="131"/>
      <c r="J285" s="131"/>
      <c r="K285" s="131"/>
      <c r="L285" s="131"/>
      <c r="M285" s="131"/>
      <c r="N285" s="131"/>
      <c r="O285" s="131"/>
      <c r="P285" s="131"/>
      <c r="Q285" s="131"/>
      <c r="R285" s="131"/>
      <c r="S285" s="131"/>
      <c r="T285" s="131"/>
      <c r="U285" s="131"/>
      <c r="V285" s="131"/>
      <c r="W285" s="131"/>
      <c r="X285" s="131"/>
    </row>
    <row r="286" spans="1:24" ht="13.5" customHeight="1">
      <c r="A286" s="132"/>
      <c r="B286" s="131"/>
      <c r="C286" s="131"/>
      <c r="D286" s="132"/>
      <c r="E286" s="132"/>
      <c r="F286" s="132"/>
      <c r="G286" s="132"/>
      <c r="H286" s="132"/>
      <c r="I286" s="131"/>
      <c r="J286" s="131"/>
      <c r="K286" s="131"/>
      <c r="L286" s="131"/>
      <c r="M286" s="131"/>
      <c r="N286" s="131"/>
      <c r="O286" s="131"/>
      <c r="P286" s="131"/>
      <c r="Q286" s="131"/>
      <c r="R286" s="131"/>
      <c r="S286" s="131"/>
      <c r="T286" s="131"/>
      <c r="U286" s="131"/>
      <c r="V286" s="131"/>
      <c r="W286" s="131"/>
      <c r="X286" s="131"/>
    </row>
    <row r="287" spans="1:24" ht="13.5" customHeight="1">
      <c r="A287" s="132"/>
      <c r="B287" s="131"/>
      <c r="C287" s="131"/>
      <c r="D287" s="132"/>
      <c r="E287" s="132"/>
      <c r="F287" s="132"/>
      <c r="G287" s="132"/>
      <c r="H287" s="132"/>
      <c r="I287" s="131"/>
      <c r="J287" s="131"/>
      <c r="K287" s="131"/>
      <c r="L287" s="131"/>
      <c r="M287" s="131"/>
      <c r="N287" s="131"/>
      <c r="O287" s="131"/>
      <c r="P287" s="131"/>
      <c r="Q287" s="131"/>
      <c r="R287" s="131"/>
      <c r="S287" s="131"/>
      <c r="T287" s="131"/>
      <c r="U287" s="131"/>
      <c r="V287" s="131"/>
      <c r="W287" s="131"/>
      <c r="X287" s="131"/>
    </row>
    <row r="288" spans="1:24" ht="13.5" customHeight="1">
      <c r="A288" s="132"/>
      <c r="B288" s="131"/>
      <c r="C288" s="131"/>
      <c r="D288" s="132"/>
      <c r="E288" s="132"/>
      <c r="F288" s="132"/>
      <c r="G288" s="132"/>
      <c r="H288" s="132"/>
      <c r="I288" s="131"/>
      <c r="J288" s="131"/>
      <c r="K288" s="131"/>
      <c r="L288" s="131"/>
      <c r="M288" s="131"/>
      <c r="N288" s="131"/>
      <c r="O288" s="131"/>
      <c r="P288" s="131"/>
      <c r="Q288" s="131"/>
      <c r="R288" s="131"/>
      <c r="S288" s="131"/>
      <c r="T288" s="131"/>
      <c r="U288" s="131"/>
      <c r="V288" s="131"/>
      <c r="W288" s="131"/>
      <c r="X288" s="131"/>
    </row>
    <row r="289" spans="1:24" ht="13.5" customHeight="1">
      <c r="A289" s="132"/>
      <c r="B289" s="131"/>
      <c r="C289" s="131"/>
      <c r="D289" s="132"/>
      <c r="E289" s="132"/>
      <c r="F289" s="132"/>
      <c r="G289" s="132"/>
      <c r="H289" s="132"/>
      <c r="I289" s="131"/>
      <c r="J289" s="131"/>
      <c r="K289" s="131"/>
      <c r="L289" s="131"/>
      <c r="M289" s="131"/>
      <c r="N289" s="131"/>
      <c r="O289" s="131"/>
      <c r="P289" s="131"/>
      <c r="Q289" s="131"/>
      <c r="R289" s="131"/>
      <c r="S289" s="131"/>
      <c r="T289" s="131"/>
      <c r="U289" s="131"/>
      <c r="V289" s="131"/>
      <c r="W289" s="131"/>
      <c r="X289" s="131"/>
    </row>
    <row r="290" spans="1:24" ht="13.5" customHeight="1">
      <c r="A290" s="132"/>
      <c r="B290" s="131"/>
      <c r="C290" s="131"/>
      <c r="D290" s="132"/>
      <c r="E290" s="132"/>
      <c r="F290" s="132"/>
      <c r="G290" s="132"/>
      <c r="H290" s="132"/>
      <c r="I290" s="131"/>
      <c r="J290" s="131"/>
      <c r="K290" s="131"/>
      <c r="L290" s="131"/>
      <c r="M290" s="131"/>
      <c r="N290" s="131"/>
      <c r="O290" s="131"/>
      <c r="P290" s="131"/>
      <c r="Q290" s="131"/>
      <c r="R290" s="131"/>
      <c r="S290" s="131"/>
      <c r="T290" s="131"/>
      <c r="U290" s="131"/>
      <c r="V290" s="131"/>
      <c r="W290" s="131"/>
      <c r="X290" s="131"/>
    </row>
    <row r="291" spans="1:24" ht="13.5" customHeight="1">
      <c r="A291" s="132"/>
      <c r="B291" s="131"/>
      <c r="C291" s="131"/>
      <c r="D291" s="132"/>
      <c r="E291" s="132"/>
      <c r="F291" s="132"/>
      <c r="G291" s="132"/>
      <c r="H291" s="132"/>
      <c r="I291" s="131"/>
      <c r="J291" s="131"/>
      <c r="K291" s="131"/>
      <c r="L291" s="131"/>
      <c r="M291" s="131"/>
      <c r="N291" s="131"/>
      <c r="O291" s="131"/>
      <c r="P291" s="131"/>
      <c r="Q291" s="131"/>
      <c r="R291" s="131"/>
      <c r="S291" s="131"/>
      <c r="T291" s="131"/>
      <c r="U291" s="131"/>
      <c r="V291" s="131"/>
      <c r="W291" s="131"/>
      <c r="X291" s="131"/>
    </row>
    <row r="292" spans="1:24" ht="13.5" customHeight="1">
      <c r="A292" s="132"/>
      <c r="B292" s="131"/>
      <c r="C292" s="131"/>
      <c r="D292" s="132"/>
      <c r="E292" s="132"/>
      <c r="F292" s="132"/>
      <c r="G292" s="132"/>
      <c r="H292" s="132"/>
      <c r="I292" s="131"/>
      <c r="J292" s="131"/>
      <c r="K292" s="131"/>
      <c r="L292" s="131"/>
      <c r="M292" s="131"/>
      <c r="N292" s="131"/>
      <c r="O292" s="131"/>
      <c r="P292" s="131"/>
      <c r="Q292" s="131"/>
      <c r="R292" s="131"/>
      <c r="S292" s="131"/>
      <c r="T292" s="131"/>
      <c r="U292" s="131"/>
      <c r="V292" s="131"/>
      <c r="W292" s="131"/>
      <c r="X292" s="131"/>
    </row>
    <row r="293" spans="1:24" ht="13.5" customHeight="1">
      <c r="A293" s="132"/>
      <c r="B293" s="131"/>
      <c r="C293" s="131"/>
      <c r="D293" s="132"/>
      <c r="E293" s="132"/>
      <c r="F293" s="132"/>
      <c r="G293" s="132"/>
      <c r="H293" s="132"/>
      <c r="I293" s="131"/>
      <c r="J293" s="131"/>
      <c r="K293" s="131"/>
      <c r="L293" s="131"/>
      <c r="M293" s="131"/>
      <c r="N293" s="131"/>
      <c r="O293" s="131"/>
      <c r="P293" s="131"/>
      <c r="Q293" s="131"/>
      <c r="R293" s="131"/>
      <c r="S293" s="131"/>
      <c r="T293" s="131"/>
      <c r="U293" s="131"/>
      <c r="V293" s="131"/>
      <c r="W293" s="131"/>
      <c r="X293" s="131"/>
    </row>
    <row r="294" spans="1:24" ht="13.5" customHeight="1">
      <c r="A294" s="132"/>
      <c r="B294" s="131"/>
      <c r="C294" s="131"/>
      <c r="D294" s="132"/>
      <c r="E294" s="132"/>
      <c r="F294" s="132"/>
      <c r="G294" s="132"/>
      <c r="H294" s="132"/>
      <c r="I294" s="131"/>
      <c r="J294" s="131"/>
      <c r="K294" s="131"/>
      <c r="L294" s="131"/>
      <c r="M294" s="131"/>
      <c r="N294" s="131"/>
      <c r="O294" s="131"/>
      <c r="P294" s="131"/>
      <c r="Q294" s="131"/>
      <c r="R294" s="131"/>
      <c r="S294" s="131"/>
      <c r="T294" s="131"/>
      <c r="U294" s="131"/>
      <c r="V294" s="131"/>
      <c r="W294" s="131"/>
      <c r="X294" s="131"/>
    </row>
    <row r="295" spans="1:24" ht="13.5" customHeight="1">
      <c r="A295" s="132"/>
      <c r="B295" s="131"/>
      <c r="C295" s="131"/>
      <c r="D295" s="132"/>
      <c r="E295" s="132"/>
      <c r="F295" s="132"/>
      <c r="G295" s="132"/>
      <c r="H295" s="132"/>
      <c r="I295" s="131"/>
      <c r="J295" s="131"/>
      <c r="K295" s="131"/>
      <c r="L295" s="131"/>
      <c r="M295" s="131"/>
      <c r="N295" s="131"/>
      <c r="O295" s="131"/>
      <c r="P295" s="131"/>
      <c r="Q295" s="131"/>
      <c r="R295" s="131"/>
      <c r="S295" s="131"/>
      <c r="T295" s="131"/>
      <c r="U295" s="131"/>
      <c r="V295" s="131"/>
      <c r="W295" s="131"/>
      <c r="X295" s="131"/>
    </row>
    <row r="296" spans="1:24" ht="13.5" customHeight="1">
      <c r="A296" s="132"/>
      <c r="B296" s="131"/>
      <c r="C296" s="131"/>
      <c r="D296" s="132"/>
      <c r="E296" s="132"/>
      <c r="F296" s="132"/>
      <c r="G296" s="132"/>
      <c r="H296" s="132"/>
      <c r="I296" s="131"/>
      <c r="J296" s="131"/>
      <c r="K296" s="131"/>
      <c r="L296" s="131"/>
      <c r="M296" s="131"/>
      <c r="N296" s="131"/>
      <c r="O296" s="131"/>
      <c r="P296" s="131"/>
      <c r="Q296" s="131"/>
      <c r="R296" s="131"/>
      <c r="S296" s="131"/>
      <c r="T296" s="131"/>
      <c r="U296" s="131"/>
      <c r="V296" s="131"/>
      <c r="W296" s="131"/>
      <c r="X296" s="131"/>
    </row>
    <row r="297" spans="1:24" ht="13.5" customHeight="1">
      <c r="A297" s="132"/>
      <c r="B297" s="131"/>
      <c r="C297" s="131"/>
      <c r="D297" s="132"/>
      <c r="E297" s="132"/>
      <c r="F297" s="132"/>
      <c r="G297" s="132"/>
      <c r="H297" s="132"/>
      <c r="I297" s="131"/>
      <c r="J297" s="131"/>
      <c r="K297" s="131"/>
      <c r="L297" s="131"/>
      <c r="M297" s="131"/>
      <c r="N297" s="131"/>
      <c r="O297" s="131"/>
      <c r="P297" s="131"/>
      <c r="Q297" s="131"/>
      <c r="R297" s="131"/>
      <c r="S297" s="131"/>
      <c r="T297" s="131"/>
      <c r="U297" s="131"/>
      <c r="V297" s="131"/>
      <c r="W297" s="131"/>
      <c r="X297" s="131"/>
    </row>
    <row r="298" spans="1:24" ht="13.5" customHeight="1">
      <c r="A298" s="132"/>
      <c r="B298" s="131"/>
      <c r="C298" s="131"/>
      <c r="D298" s="132"/>
      <c r="E298" s="132"/>
      <c r="F298" s="132"/>
      <c r="G298" s="132"/>
      <c r="H298" s="132"/>
      <c r="I298" s="131"/>
      <c r="J298" s="131"/>
      <c r="K298" s="131"/>
      <c r="L298" s="131"/>
      <c r="M298" s="131"/>
      <c r="N298" s="131"/>
      <c r="O298" s="131"/>
      <c r="P298" s="131"/>
      <c r="Q298" s="131"/>
      <c r="R298" s="131"/>
      <c r="S298" s="131"/>
      <c r="T298" s="131"/>
      <c r="U298" s="131"/>
      <c r="V298" s="131"/>
      <c r="W298" s="131"/>
      <c r="X298" s="131"/>
    </row>
    <row r="299" spans="1:24" ht="13.5" customHeight="1">
      <c r="A299" s="132"/>
      <c r="B299" s="131"/>
      <c r="C299" s="131"/>
      <c r="D299" s="132"/>
      <c r="E299" s="132"/>
      <c r="F299" s="132"/>
      <c r="G299" s="132"/>
      <c r="H299" s="132"/>
      <c r="I299" s="131"/>
      <c r="J299" s="131"/>
      <c r="K299" s="131"/>
      <c r="L299" s="131"/>
      <c r="M299" s="131"/>
      <c r="N299" s="131"/>
      <c r="O299" s="131"/>
      <c r="P299" s="131"/>
      <c r="Q299" s="131"/>
      <c r="R299" s="131"/>
      <c r="S299" s="131"/>
      <c r="T299" s="131"/>
      <c r="U299" s="131"/>
      <c r="V299" s="131"/>
      <c r="W299" s="131"/>
      <c r="X299" s="131"/>
    </row>
    <row r="300" spans="1:24" ht="13.5" customHeight="1">
      <c r="A300" s="132"/>
      <c r="B300" s="131"/>
      <c r="C300" s="131"/>
      <c r="D300" s="132"/>
      <c r="E300" s="132"/>
      <c r="F300" s="132"/>
      <c r="G300" s="132"/>
      <c r="H300" s="132"/>
      <c r="I300" s="131"/>
      <c r="J300" s="131"/>
      <c r="K300" s="131"/>
      <c r="L300" s="131"/>
      <c r="M300" s="131"/>
      <c r="N300" s="131"/>
      <c r="O300" s="131"/>
      <c r="P300" s="131"/>
      <c r="Q300" s="131"/>
      <c r="R300" s="131"/>
      <c r="S300" s="131"/>
      <c r="T300" s="131"/>
      <c r="U300" s="131"/>
      <c r="V300" s="131"/>
      <c r="W300" s="131"/>
      <c r="X300" s="131"/>
    </row>
    <row r="301" spans="1:24" ht="13.5" customHeight="1">
      <c r="A301" s="132"/>
      <c r="B301" s="131"/>
      <c r="C301" s="131"/>
      <c r="D301" s="132"/>
      <c r="E301" s="132"/>
      <c r="F301" s="132"/>
      <c r="G301" s="132"/>
      <c r="H301" s="132"/>
      <c r="I301" s="131"/>
      <c r="J301" s="131"/>
      <c r="K301" s="131"/>
      <c r="L301" s="131"/>
      <c r="M301" s="131"/>
      <c r="N301" s="131"/>
      <c r="O301" s="131"/>
      <c r="P301" s="131"/>
      <c r="Q301" s="131"/>
      <c r="R301" s="131"/>
      <c r="S301" s="131"/>
      <c r="T301" s="131"/>
      <c r="U301" s="131"/>
      <c r="V301" s="131"/>
      <c r="W301" s="131"/>
      <c r="X301" s="131"/>
    </row>
    <row r="302" spans="1:24" ht="13.5" customHeight="1">
      <c r="A302" s="132"/>
      <c r="B302" s="131"/>
      <c r="C302" s="131"/>
      <c r="D302" s="132"/>
      <c r="E302" s="132"/>
      <c r="F302" s="132"/>
      <c r="G302" s="132"/>
      <c r="H302" s="132"/>
      <c r="I302" s="131"/>
      <c r="J302" s="131"/>
      <c r="K302" s="131"/>
      <c r="L302" s="131"/>
      <c r="M302" s="131"/>
      <c r="N302" s="131"/>
      <c r="O302" s="131"/>
      <c r="P302" s="131"/>
      <c r="Q302" s="131"/>
      <c r="R302" s="131"/>
      <c r="S302" s="131"/>
      <c r="T302" s="131"/>
      <c r="U302" s="131"/>
      <c r="V302" s="131"/>
      <c r="W302" s="131"/>
      <c r="X302" s="131"/>
    </row>
    <row r="303" spans="1:24" ht="13.5" customHeight="1">
      <c r="A303" s="132"/>
      <c r="B303" s="131"/>
      <c r="C303" s="131"/>
      <c r="D303" s="132"/>
      <c r="E303" s="132"/>
      <c r="F303" s="132"/>
      <c r="G303" s="132"/>
      <c r="H303" s="132"/>
      <c r="I303" s="131"/>
      <c r="J303" s="131"/>
      <c r="K303" s="131"/>
      <c r="L303" s="131"/>
      <c r="M303" s="131"/>
      <c r="N303" s="131"/>
      <c r="O303" s="131"/>
      <c r="P303" s="131"/>
      <c r="Q303" s="131"/>
      <c r="R303" s="131"/>
      <c r="S303" s="131"/>
      <c r="T303" s="131"/>
      <c r="U303" s="131"/>
      <c r="V303" s="131"/>
      <c r="W303" s="131"/>
      <c r="X303" s="131"/>
    </row>
    <row r="304" spans="1:24" ht="13.5" customHeight="1">
      <c r="A304" s="132"/>
      <c r="B304" s="131"/>
      <c r="C304" s="131"/>
      <c r="D304" s="132"/>
      <c r="E304" s="132"/>
      <c r="F304" s="132"/>
      <c r="G304" s="132"/>
      <c r="H304" s="132"/>
      <c r="I304" s="131"/>
      <c r="J304" s="131"/>
      <c r="K304" s="131"/>
      <c r="L304" s="131"/>
      <c r="M304" s="131"/>
      <c r="N304" s="131"/>
      <c r="O304" s="131"/>
      <c r="P304" s="131"/>
      <c r="Q304" s="131"/>
      <c r="R304" s="131"/>
      <c r="S304" s="131"/>
      <c r="T304" s="131"/>
      <c r="U304" s="131"/>
      <c r="V304" s="131"/>
      <c r="W304" s="131"/>
      <c r="X304" s="131"/>
    </row>
    <row r="305" spans="1:24" ht="13.5" customHeight="1">
      <c r="A305" s="132"/>
      <c r="B305" s="131"/>
      <c r="C305" s="131"/>
      <c r="D305" s="132"/>
      <c r="E305" s="132"/>
      <c r="F305" s="132"/>
      <c r="G305" s="132"/>
      <c r="H305" s="132"/>
      <c r="I305" s="131"/>
      <c r="J305" s="131"/>
      <c r="K305" s="131"/>
      <c r="L305" s="131"/>
      <c r="M305" s="131"/>
      <c r="N305" s="131"/>
      <c r="O305" s="131"/>
      <c r="P305" s="131"/>
      <c r="Q305" s="131"/>
      <c r="R305" s="131"/>
      <c r="S305" s="131"/>
      <c r="T305" s="131"/>
      <c r="U305" s="131"/>
      <c r="V305" s="131"/>
      <c r="W305" s="131"/>
      <c r="X305" s="131"/>
    </row>
    <row r="306" spans="1:24" ht="13.5" customHeight="1">
      <c r="A306" s="132"/>
      <c r="B306" s="131"/>
      <c r="C306" s="131"/>
      <c r="D306" s="132"/>
      <c r="E306" s="132"/>
      <c r="F306" s="132"/>
      <c r="G306" s="132"/>
      <c r="H306" s="132"/>
      <c r="I306" s="131"/>
      <c r="J306" s="131"/>
      <c r="K306" s="131"/>
      <c r="L306" s="131"/>
      <c r="M306" s="131"/>
      <c r="N306" s="131"/>
      <c r="O306" s="131"/>
      <c r="P306" s="131"/>
      <c r="Q306" s="131"/>
      <c r="R306" s="131"/>
      <c r="S306" s="131"/>
      <c r="T306" s="131"/>
      <c r="U306" s="131"/>
      <c r="V306" s="131"/>
      <c r="W306" s="131"/>
      <c r="X306" s="131"/>
    </row>
    <row r="307" spans="1:24" ht="13.5" customHeight="1">
      <c r="A307" s="132"/>
      <c r="B307" s="131"/>
      <c r="C307" s="131"/>
      <c r="D307" s="132"/>
      <c r="E307" s="132"/>
      <c r="F307" s="132"/>
      <c r="G307" s="132"/>
      <c r="H307" s="132"/>
      <c r="I307" s="131"/>
      <c r="J307" s="131"/>
      <c r="K307" s="131"/>
      <c r="L307" s="131"/>
      <c r="M307" s="131"/>
      <c r="N307" s="131"/>
      <c r="O307" s="131"/>
      <c r="P307" s="131"/>
      <c r="Q307" s="131"/>
      <c r="R307" s="131"/>
      <c r="S307" s="131"/>
      <c r="T307" s="131"/>
      <c r="U307" s="131"/>
      <c r="V307" s="131"/>
      <c r="W307" s="131"/>
      <c r="X307" s="131"/>
    </row>
    <row r="308" spans="1:24" ht="13.5" customHeight="1">
      <c r="A308" s="132"/>
      <c r="B308" s="131"/>
      <c r="C308" s="131"/>
      <c r="D308" s="132"/>
      <c r="E308" s="132"/>
      <c r="F308" s="132"/>
      <c r="G308" s="132"/>
      <c r="H308" s="132"/>
      <c r="I308" s="131"/>
      <c r="J308" s="131"/>
      <c r="K308" s="131"/>
      <c r="L308" s="131"/>
      <c r="M308" s="131"/>
      <c r="N308" s="131"/>
      <c r="O308" s="131"/>
      <c r="P308" s="131"/>
      <c r="Q308" s="131"/>
      <c r="R308" s="131"/>
      <c r="S308" s="131"/>
      <c r="T308" s="131"/>
      <c r="U308" s="131"/>
      <c r="V308" s="131"/>
      <c r="W308" s="131"/>
      <c r="X308" s="131"/>
    </row>
    <row r="309" spans="1:24" ht="13.5" customHeight="1">
      <c r="A309" s="132"/>
      <c r="B309" s="131"/>
      <c r="C309" s="131"/>
      <c r="D309" s="132"/>
      <c r="E309" s="132"/>
      <c r="F309" s="132"/>
      <c r="G309" s="132"/>
      <c r="H309" s="132"/>
      <c r="I309" s="131"/>
      <c r="J309" s="131"/>
      <c r="K309" s="131"/>
      <c r="L309" s="131"/>
      <c r="M309" s="131"/>
      <c r="N309" s="131"/>
      <c r="O309" s="131"/>
      <c r="P309" s="131"/>
      <c r="Q309" s="131"/>
      <c r="R309" s="131"/>
      <c r="S309" s="131"/>
      <c r="T309" s="131"/>
      <c r="U309" s="131"/>
      <c r="V309" s="131"/>
      <c r="W309" s="131"/>
      <c r="X309" s="131"/>
    </row>
    <row r="310" spans="1:24" ht="13.5" customHeight="1">
      <c r="A310" s="132"/>
      <c r="B310" s="131"/>
      <c r="C310" s="131"/>
      <c r="D310" s="132"/>
      <c r="E310" s="132"/>
      <c r="F310" s="132"/>
      <c r="G310" s="132"/>
      <c r="H310" s="132"/>
      <c r="I310" s="131"/>
      <c r="J310" s="131"/>
      <c r="K310" s="131"/>
      <c r="L310" s="131"/>
      <c r="M310" s="131"/>
      <c r="N310" s="131"/>
      <c r="O310" s="131"/>
      <c r="P310" s="131"/>
      <c r="Q310" s="131"/>
      <c r="R310" s="131"/>
      <c r="S310" s="131"/>
      <c r="T310" s="131"/>
      <c r="U310" s="131"/>
      <c r="V310" s="131"/>
      <c r="W310" s="131"/>
      <c r="X310" s="131"/>
    </row>
    <row r="311" spans="1:24" ht="13.5" customHeight="1">
      <c r="A311" s="132"/>
      <c r="B311" s="131"/>
      <c r="C311" s="131"/>
      <c r="D311" s="132"/>
      <c r="E311" s="132"/>
      <c r="F311" s="132"/>
      <c r="G311" s="132"/>
      <c r="H311" s="132"/>
      <c r="I311" s="131"/>
      <c r="J311" s="131"/>
      <c r="K311" s="131"/>
      <c r="L311" s="131"/>
      <c r="M311" s="131"/>
      <c r="N311" s="131"/>
      <c r="O311" s="131"/>
      <c r="P311" s="131"/>
      <c r="Q311" s="131"/>
      <c r="R311" s="131"/>
      <c r="S311" s="131"/>
      <c r="T311" s="131"/>
      <c r="U311" s="131"/>
      <c r="V311" s="131"/>
      <c r="W311" s="131"/>
      <c r="X311" s="131"/>
    </row>
    <row r="312" spans="1:24" ht="13.5" customHeight="1">
      <c r="A312" s="132"/>
      <c r="B312" s="131"/>
      <c r="C312" s="131"/>
      <c r="D312" s="132"/>
      <c r="E312" s="132"/>
      <c r="F312" s="132"/>
      <c r="G312" s="132"/>
      <c r="H312" s="132"/>
      <c r="I312" s="131"/>
      <c r="J312" s="131"/>
      <c r="K312" s="131"/>
      <c r="L312" s="131"/>
      <c r="M312" s="131"/>
      <c r="N312" s="131"/>
      <c r="O312" s="131"/>
      <c r="P312" s="131"/>
      <c r="Q312" s="131"/>
      <c r="R312" s="131"/>
      <c r="S312" s="131"/>
      <c r="T312" s="131"/>
      <c r="U312" s="131"/>
      <c r="V312" s="131"/>
      <c r="W312" s="131"/>
      <c r="X312" s="131"/>
    </row>
    <row r="313" spans="1:24" ht="13.5" customHeight="1">
      <c r="A313" s="132"/>
      <c r="B313" s="131"/>
      <c r="C313" s="131"/>
      <c r="D313" s="132"/>
      <c r="E313" s="132"/>
      <c r="F313" s="132"/>
      <c r="G313" s="132"/>
      <c r="H313" s="132"/>
      <c r="I313" s="131"/>
      <c r="J313" s="131"/>
      <c r="K313" s="131"/>
      <c r="L313" s="131"/>
      <c r="M313" s="131"/>
      <c r="N313" s="131"/>
      <c r="O313" s="131"/>
      <c r="P313" s="131"/>
      <c r="Q313" s="131"/>
      <c r="R313" s="131"/>
      <c r="S313" s="131"/>
      <c r="T313" s="131"/>
      <c r="U313" s="131"/>
      <c r="V313" s="131"/>
      <c r="W313" s="131"/>
      <c r="X313" s="131"/>
    </row>
    <row r="314" spans="1:24" ht="13.5" customHeight="1">
      <c r="A314" s="132"/>
      <c r="B314" s="131"/>
      <c r="C314" s="131"/>
      <c r="D314" s="132"/>
      <c r="E314" s="132"/>
      <c r="F314" s="132"/>
      <c r="G314" s="132"/>
      <c r="H314" s="132"/>
      <c r="I314" s="131"/>
      <c r="J314" s="131"/>
      <c r="K314" s="131"/>
      <c r="L314" s="131"/>
      <c r="M314" s="131"/>
      <c r="N314" s="131"/>
      <c r="O314" s="131"/>
      <c r="P314" s="131"/>
      <c r="Q314" s="131"/>
      <c r="R314" s="131"/>
      <c r="S314" s="131"/>
      <c r="T314" s="131"/>
      <c r="U314" s="131"/>
      <c r="V314" s="131"/>
      <c r="W314" s="131"/>
      <c r="X314" s="131"/>
    </row>
    <row r="315" spans="1:24" ht="13.5" customHeight="1">
      <c r="A315" s="132"/>
      <c r="B315" s="131"/>
      <c r="C315" s="131"/>
      <c r="D315" s="132"/>
      <c r="E315" s="132"/>
      <c r="F315" s="132"/>
      <c r="G315" s="132"/>
      <c r="H315" s="132"/>
      <c r="I315" s="131"/>
      <c r="J315" s="131"/>
      <c r="K315" s="131"/>
      <c r="L315" s="131"/>
      <c r="M315" s="131"/>
      <c r="N315" s="131"/>
      <c r="O315" s="131"/>
      <c r="P315" s="131"/>
      <c r="Q315" s="131"/>
      <c r="R315" s="131"/>
      <c r="S315" s="131"/>
      <c r="T315" s="131"/>
      <c r="U315" s="131"/>
      <c r="V315" s="131"/>
      <c r="W315" s="131"/>
      <c r="X315" s="131"/>
    </row>
    <row r="316" spans="1:24" ht="13.5" customHeight="1">
      <c r="A316" s="132"/>
      <c r="B316" s="131"/>
      <c r="C316" s="131"/>
      <c r="D316" s="132"/>
      <c r="E316" s="132"/>
      <c r="F316" s="132"/>
      <c r="G316" s="132"/>
      <c r="H316" s="132"/>
      <c r="I316" s="131"/>
      <c r="J316" s="131"/>
      <c r="K316" s="131"/>
      <c r="L316" s="131"/>
      <c r="M316" s="131"/>
      <c r="N316" s="131"/>
      <c r="O316" s="131"/>
      <c r="P316" s="131"/>
      <c r="Q316" s="131"/>
      <c r="R316" s="131"/>
      <c r="S316" s="131"/>
      <c r="T316" s="131"/>
      <c r="U316" s="131"/>
      <c r="V316" s="131"/>
      <c r="W316" s="131"/>
      <c r="X316" s="131"/>
    </row>
    <row r="317" spans="1:24" ht="13.5" customHeight="1">
      <c r="A317" s="132"/>
      <c r="B317" s="131"/>
      <c r="C317" s="131"/>
      <c r="D317" s="132"/>
      <c r="E317" s="132"/>
      <c r="F317" s="132"/>
      <c r="G317" s="132"/>
      <c r="H317" s="132"/>
      <c r="I317" s="131"/>
      <c r="J317" s="131"/>
      <c r="K317" s="131"/>
      <c r="L317" s="131"/>
      <c r="M317" s="131"/>
      <c r="N317" s="131"/>
      <c r="O317" s="131"/>
      <c r="P317" s="131"/>
      <c r="Q317" s="131"/>
      <c r="R317" s="131"/>
      <c r="S317" s="131"/>
      <c r="T317" s="131"/>
      <c r="U317" s="131"/>
      <c r="V317" s="131"/>
      <c r="W317" s="131"/>
      <c r="X317" s="131"/>
    </row>
    <row r="318" spans="1:24" ht="13.5" customHeight="1">
      <c r="A318" s="132"/>
      <c r="B318" s="131"/>
      <c r="C318" s="131"/>
      <c r="D318" s="132"/>
      <c r="E318" s="132"/>
      <c r="F318" s="132"/>
      <c r="G318" s="132"/>
      <c r="H318" s="132"/>
      <c r="I318" s="131"/>
      <c r="J318" s="131"/>
      <c r="K318" s="131"/>
      <c r="L318" s="131"/>
      <c r="M318" s="131"/>
      <c r="N318" s="131"/>
      <c r="O318" s="131"/>
      <c r="P318" s="131"/>
      <c r="Q318" s="131"/>
      <c r="R318" s="131"/>
      <c r="S318" s="131"/>
      <c r="T318" s="131"/>
      <c r="U318" s="131"/>
      <c r="V318" s="131"/>
      <c r="W318" s="131"/>
      <c r="X318" s="131"/>
    </row>
    <row r="319" spans="1:24" ht="13.5" customHeight="1">
      <c r="A319" s="132"/>
      <c r="B319" s="131"/>
      <c r="C319" s="131"/>
      <c r="D319" s="132"/>
      <c r="E319" s="132"/>
      <c r="F319" s="132"/>
      <c r="G319" s="132"/>
      <c r="H319" s="132"/>
      <c r="I319" s="131"/>
      <c r="J319" s="131"/>
      <c r="K319" s="131"/>
      <c r="L319" s="131"/>
      <c r="M319" s="131"/>
      <c r="N319" s="131"/>
      <c r="O319" s="131"/>
      <c r="P319" s="131"/>
      <c r="Q319" s="131"/>
      <c r="R319" s="131"/>
      <c r="S319" s="131"/>
      <c r="T319" s="131"/>
      <c r="U319" s="131"/>
      <c r="V319" s="131"/>
      <c r="W319" s="131"/>
      <c r="X319" s="131"/>
    </row>
    <row r="320" spans="1:24" ht="13.5" customHeight="1">
      <c r="A320" s="132"/>
      <c r="B320" s="131"/>
      <c r="C320" s="131"/>
      <c r="D320" s="132"/>
      <c r="E320" s="132"/>
      <c r="F320" s="132"/>
      <c r="G320" s="132"/>
      <c r="H320" s="132"/>
      <c r="I320" s="131"/>
      <c r="J320" s="131"/>
      <c r="K320" s="131"/>
      <c r="L320" s="131"/>
      <c r="M320" s="131"/>
      <c r="N320" s="131"/>
      <c r="O320" s="131"/>
      <c r="P320" s="131"/>
      <c r="Q320" s="131"/>
      <c r="R320" s="131"/>
      <c r="S320" s="131"/>
      <c r="T320" s="131"/>
      <c r="U320" s="131"/>
      <c r="V320" s="131"/>
      <c r="W320" s="131"/>
      <c r="X320" s="131"/>
    </row>
    <row r="321" spans="1:24" ht="13.5" customHeight="1">
      <c r="A321" s="132"/>
      <c r="B321" s="131"/>
      <c r="C321" s="131"/>
      <c r="D321" s="132"/>
      <c r="E321" s="132"/>
      <c r="F321" s="132"/>
      <c r="G321" s="132"/>
      <c r="H321" s="132"/>
      <c r="I321" s="131"/>
      <c r="J321" s="131"/>
      <c r="K321" s="131"/>
      <c r="L321" s="131"/>
      <c r="M321" s="131"/>
      <c r="N321" s="131"/>
      <c r="O321" s="131"/>
      <c r="P321" s="131"/>
      <c r="Q321" s="131"/>
      <c r="R321" s="131"/>
      <c r="S321" s="131"/>
      <c r="T321" s="131"/>
      <c r="U321" s="131"/>
      <c r="V321" s="131"/>
      <c r="W321" s="131"/>
      <c r="X321" s="131"/>
    </row>
    <row r="322" spans="1:24" ht="13.5" customHeight="1">
      <c r="A322" s="132"/>
      <c r="B322" s="131"/>
      <c r="C322" s="131"/>
      <c r="D322" s="132"/>
      <c r="E322" s="132"/>
      <c r="F322" s="132"/>
      <c r="G322" s="132"/>
      <c r="H322" s="132"/>
      <c r="I322" s="131"/>
      <c r="J322" s="131"/>
      <c r="K322" s="131"/>
      <c r="L322" s="131"/>
      <c r="M322" s="131"/>
      <c r="N322" s="131"/>
      <c r="O322" s="131"/>
      <c r="P322" s="131"/>
      <c r="Q322" s="131"/>
      <c r="R322" s="131"/>
      <c r="S322" s="131"/>
      <c r="T322" s="131"/>
      <c r="U322" s="131"/>
      <c r="V322" s="131"/>
      <c r="W322" s="131"/>
      <c r="X322" s="131"/>
    </row>
    <row r="323" spans="1:24" ht="13.5" customHeight="1">
      <c r="A323" s="132"/>
      <c r="B323" s="131"/>
      <c r="C323" s="131"/>
      <c r="D323" s="132"/>
      <c r="E323" s="132"/>
      <c r="F323" s="132"/>
      <c r="G323" s="132"/>
      <c r="H323" s="132"/>
      <c r="I323" s="131"/>
      <c r="J323" s="131"/>
      <c r="K323" s="131"/>
      <c r="L323" s="131"/>
      <c r="M323" s="131"/>
      <c r="N323" s="131"/>
      <c r="O323" s="131"/>
      <c r="P323" s="131"/>
      <c r="Q323" s="131"/>
      <c r="R323" s="131"/>
      <c r="S323" s="131"/>
      <c r="T323" s="131"/>
      <c r="U323" s="131"/>
      <c r="V323" s="131"/>
      <c r="W323" s="131"/>
      <c r="X323" s="131"/>
    </row>
    <row r="324" spans="1:24" ht="13.5" customHeight="1">
      <c r="A324" s="132"/>
      <c r="B324" s="131"/>
      <c r="C324" s="131"/>
      <c r="D324" s="132"/>
      <c r="E324" s="132"/>
      <c r="F324" s="132"/>
      <c r="G324" s="132"/>
      <c r="H324" s="132"/>
      <c r="I324" s="131"/>
      <c r="J324" s="131"/>
      <c r="K324" s="131"/>
      <c r="L324" s="131"/>
      <c r="M324" s="131"/>
      <c r="N324" s="131"/>
      <c r="O324" s="131"/>
      <c r="P324" s="131"/>
      <c r="Q324" s="131"/>
      <c r="R324" s="131"/>
      <c r="S324" s="131"/>
      <c r="T324" s="131"/>
      <c r="U324" s="131"/>
      <c r="V324" s="131"/>
      <c r="W324" s="131"/>
      <c r="X324" s="131"/>
    </row>
    <row r="325" spans="1:24" ht="13.5" customHeight="1">
      <c r="A325" s="132"/>
      <c r="B325" s="131"/>
      <c r="C325" s="131"/>
      <c r="D325" s="132"/>
      <c r="E325" s="132"/>
      <c r="F325" s="132"/>
      <c r="G325" s="132"/>
      <c r="H325" s="132"/>
      <c r="I325" s="131"/>
      <c r="J325" s="131"/>
      <c r="K325" s="131"/>
      <c r="L325" s="131"/>
      <c r="M325" s="131"/>
      <c r="N325" s="131"/>
      <c r="O325" s="131"/>
      <c r="P325" s="131"/>
      <c r="Q325" s="131"/>
      <c r="R325" s="131"/>
      <c r="S325" s="131"/>
      <c r="T325" s="131"/>
      <c r="U325" s="131"/>
      <c r="V325" s="131"/>
      <c r="W325" s="131"/>
      <c r="X325" s="131"/>
    </row>
    <row r="326" spans="1:24" ht="13.5" customHeight="1">
      <c r="A326" s="132"/>
      <c r="B326" s="131"/>
      <c r="C326" s="131"/>
      <c r="D326" s="132"/>
      <c r="E326" s="132"/>
      <c r="F326" s="132"/>
      <c r="G326" s="132"/>
      <c r="H326" s="132"/>
      <c r="I326" s="131"/>
      <c r="J326" s="131"/>
      <c r="K326" s="131"/>
      <c r="L326" s="131"/>
      <c r="M326" s="131"/>
      <c r="N326" s="131"/>
      <c r="O326" s="131"/>
      <c r="P326" s="131"/>
      <c r="Q326" s="131"/>
      <c r="R326" s="131"/>
      <c r="S326" s="131"/>
      <c r="T326" s="131"/>
      <c r="U326" s="131"/>
      <c r="V326" s="131"/>
      <c r="W326" s="131"/>
      <c r="X326" s="131"/>
    </row>
    <row r="327" spans="1:24" ht="13.5" customHeight="1">
      <c r="A327" s="132"/>
      <c r="B327" s="131"/>
      <c r="C327" s="131"/>
      <c r="D327" s="132"/>
      <c r="E327" s="132"/>
      <c r="F327" s="132"/>
      <c r="G327" s="132"/>
      <c r="H327" s="132"/>
      <c r="I327" s="131"/>
      <c r="J327" s="131"/>
      <c r="K327" s="131"/>
      <c r="L327" s="131"/>
      <c r="M327" s="131"/>
      <c r="N327" s="131"/>
      <c r="O327" s="131"/>
      <c r="P327" s="131"/>
      <c r="Q327" s="131"/>
      <c r="R327" s="131"/>
      <c r="S327" s="131"/>
      <c r="T327" s="131"/>
      <c r="U327" s="131"/>
      <c r="V327" s="131"/>
      <c r="W327" s="131"/>
      <c r="X327" s="131"/>
    </row>
    <row r="328" spans="1:24" ht="13.5" customHeight="1">
      <c r="A328" s="132"/>
      <c r="B328" s="131"/>
      <c r="C328" s="131"/>
      <c r="D328" s="132"/>
      <c r="E328" s="132"/>
      <c r="F328" s="132"/>
      <c r="G328" s="132"/>
      <c r="H328" s="132"/>
      <c r="I328" s="131"/>
      <c r="J328" s="131"/>
      <c r="K328" s="131"/>
      <c r="L328" s="131"/>
      <c r="M328" s="131"/>
      <c r="N328" s="131"/>
      <c r="O328" s="131"/>
      <c r="P328" s="131"/>
      <c r="Q328" s="131"/>
      <c r="R328" s="131"/>
      <c r="S328" s="131"/>
      <c r="T328" s="131"/>
      <c r="U328" s="131"/>
      <c r="V328" s="131"/>
      <c r="W328" s="131"/>
      <c r="X328" s="131"/>
    </row>
    <row r="329" spans="1:24" ht="13.5" customHeight="1">
      <c r="A329" s="132"/>
      <c r="B329" s="131"/>
      <c r="C329" s="131"/>
      <c r="D329" s="132"/>
      <c r="E329" s="132"/>
      <c r="F329" s="132"/>
      <c r="G329" s="132"/>
      <c r="H329" s="132"/>
      <c r="I329" s="131"/>
      <c r="J329" s="131"/>
      <c r="K329" s="131"/>
      <c r="L329" s="131"/>
      <c r="M329" s="131"/>
      <c r="N329" s="131"/>
      <c r="O329" s="131"/>
      <c r="P329" s="131"/>
      <c r="Q329" s="131"/>
      <c r="R329" s="131"/>
      <c r="S329" s="131"/>
      <c r="T329" s="131"/>
      <c r="U329" s="131"/>
      <c r="V329" s="131"/>
      <c r="W329" s="131"/>
      <c r="X329" s="131"/>
    </row>
    <row r="330" spans="1:24" ht="13.5" customHeight="1">
      <c r="A330" s="132"/>
      <c r="B330" s="131"/>
      <c r="C330" s="131"/>
      <c r="D330" s="132"/>
      <c r="E330" s="132"/>
      <c r="F330" s="132"/>
      <c r="G330" s="132"/>
      <c r="H330" s="132"/>
      <c r="I330" s="131"/>
      <c r="J330" s="131"/>
      <c r="K330" s="131"/>
      <c r="L330" s="131"/>
      <c r="M330" s="131"/>
      <c r="N330" s="131"/>
      <c r="O330" s="131"/>
      <c r="P330" s="131"/>
      <c r="Q330" s="131"/>
      <c r="R330" s="131"/>
      <c r="S330" s="131"/>
      <c r="T330" s="131"/>
      <c r="U330" s="131"/>
      <c r="V330" s="131"/>
      <c r="W330" s="131"/>
      <c r="X330" s="131"/>
    </row>
    <row r="331" spans="1:24" ht="13.5" customHeight="1">
      <c r="A331" s="132"/>
      <c r="B331" s="131"/>
      <c r="C331" s="131"/>
      <c r="D331" s="132"/>
      <c r="E331" s="132"/>
      <c r="F331" s="132"/>
      <c r="G331" s="132"/>
      <c r="H331" s="132"/>
      <c r="I331" s="131"/>
      <c r="J331" s="131"/>
      <c r="K331" s="131"/>
      <c r="L331" s="131"/>
      <c r="M331" s="131"/>
      <c r="N331" s="131"/>
      <c r="O331" s="131"/>
      <c r="P331" s="131"/>
      <c r="Q331" s="131"/>
      <c r="R331" s="131"/>
      <c r="S331" s="131"/>
      <c r="T331" s="131"/>
      <c r="U331" s="131"/>
      <c r="V331" s="131"/>
      <c r="W331" s="131"/>
      <c r="X331" s="131"/>
    </row>
    <row r="332" spans="1:24" ht="13.5" customHeight="1">
      <c r="A332" s="132"/>
      <c r="B332" s="131"/>
      <c r="C332" s="131"/>
      <c r="D332" s="132"/>
      <c r="E332" s="132"/>
      <c r="F332" s="132"/>
      <c r="G332" s="132"/>
      <c r="H332" s="132"/>
      <c r="I332" s="131"/>
      <c r="J332" s="131"/>
      <c r="K332" s="131"/>
      <c r="L332" s="131"/>
      <c r="M332" s="131"/>
      <c r="N332" s="131"/>
      <c r="O332" s="131"/>
      <c r="P332" s="131"/>
      <c r="Q332" s="131"/>
      <c r="R332" s="131"/>
      <c r="S332" s="131"/>
      <c r="T332" s="131"/>
      <c r="U332" s="131"/>
      <c r="V332" s="131"/>
      <c r="W332" s="131"/>
      <c r="X332" s="131"/>
    </row>
    <row r="333" spans="1:24" ht="13.5" customHeight="1">
      <c r="A333" s="132"/>
      <c r="B333" s="131"/>
      <c r="C333" s="131"/>
      <c r="D333" s="132"/>
      <c r="E333" s="132"/>
      <c r="F333" s="132"/>
      <c r="G333" s="132"/>
      <c r="H333" s="132"/>
      <c r="I333" s="131"/>
      <c r="J333" s="131"/>
      <c r="K333" s="131"/>
      <c r="L333" s="131"/>
      <c r="M333" s="131"/>
      <c r="N333" s="131"/>
      <c r="O333" s="131"/>
      <c r="P333" s="131"/>
      <c r="Q333" s="131"/>
      <c r="R333" s="131"/>
      <c r="S333" s="131"/>
      <c r="T333" s="131"/>
      <c r="U333" s="131"/>
      <c r="V333" s="131"/>
      <c r="W333" s="131"/>
      <c r="X333" s="131"/>
    </row>
    <row r="334" spans="1:24" ht="13.5" customHeight="1">
      <c r="A334" s="132"/>
      <c r="B334" s="131"/>
      <c r="C334" s="131"/>
      <c r="D334" s="132"/>
      <c r="E334" s="132"/>
      <c r="F334" s="132"/>
      <c r="G334" s="132"/>
      <c r="H334" s="132"/>
      <c r="I334" s="131"/>
      <c r="J334" s="131"/>
      <c r="K334" s="131"/>
      <c r="L334" s="131"/>
      <c r="M334" s="131"/>
      <c r="N334" s="131"/>
      <c r="O334" s="131"/>
      <c r="P334" s="131"/>
      <c r="Q334" s="131"/>
      <c r="R334" s="131"/>
      <c r="S334" s="131"/>
      <c r="T334" s="131"/>
      <c r="U334" s="131"/>
      <c r="V334" s="131"/>
      <c r="W334" s="131"/>
      <c r="X334" s="131"/>
    </row>
    <row r="335" spans="1:24" ht="13.5" customHeight="1">
      <c r="A335" s="132"/>
      <c r="B335" s="131"/>
      <c r="C335" s="131"/>
      <c r="D335" s="132"/>
      <c r="E335" s="132"/>
      <c r="F335" s="132"/>
      <c r="G335" s="132"/>
      <c r="H335" s="132"/>
      <c r="I335" s="131"/>
      <c r="J335" s="131"/>
      <c r="K335" s="131"/>
      <c r="L335" s="131"/>
      <c r="M335" s="131"/>
      <c r="N335" s="131"/>
      <c r="O335" s="131"/>
      <c r="P335" s="131"/>
      <c r="Q335" s="131"/>
      <c r="R335" s="131"/>
      <c r="S335" s="131"/>
      <c r="T335" s="131"/>
      <c r="U335" s="131"/>
      <c r="V335" s="131"/>
      <c r="W335" s="131"/>
      <c r="X335" s="131"/>
    </row>
    <row r="336" spans="1:24" ht="13.5" customHeight="1">
      <c r="A336" s="132"/>
      <c r="B336" s="131"/>
      <c r="C336" s="131"/>
      <c r="D336" s="132"/>
      <c r="E336" s="132"/>
      <c r="F336" s="132"/>
      <c r="G336" s="132"/>
      <c r="H336" s="132"/>
      <c r="I336" s="131"/>
      <c r="J336" s="131"/>
      <c r="K336" s="131"/>
      <c r="L336" s="131"/>
      <c r="M336" s="131"/>
      <c r="N336" s="131"/>
      <c r="O336" s="131"/>
      <c r="P336" s="131"/>
      <c r="Q336" s="131"/>
      <c r="R336" s="131"/>
      <c r="S336" s="131"/>
      <c r="T336" s="131"/>
      <c r="U336" s="131"/>
      <c r="V336" s="131"/>
      <c r="W336" s="131"/>
      <c r="X336" s="131"/>
    </row>
    <row r="337" spans="1:24" ht="13.5" customHeight="1">
      <c r="A337" s="132"/>
      <c r="B337" s="131"/>
      <c r="C337" s="131"/>
      <c r="D337" s="132"/>
      <c r="E337" s="132"/>
      <c r="F337" s="132"/>
      <c r="G337" s="132"/>
      <c r="H337" s="132"/>
      <c r="I337" s="131"/>
      <c r="J337" s="131"/>
      <c r="K337" s="131"/>
      <c r="L337" s="131"/>
      <c r="M337" s="131"/>
      <c r="N337" s="131"/>
      <c r="O337" s="131"/>
      <c r="P337" s="131"/>
      <c r="Q337" s="131"/>
      <c r="R337" s="131"/>
      <c r="S337" s="131"/>
      <c r="T337" s="131"/>
      <c r="U337" s="131"/>
      <c r="V337" s="131"/>
      <c r="W337" s="131"/>
      <c r="X337" s="131"/>
    </row>
    <row r="338" spans="1:24" ht="13.5" customHeight="1">
      <c r="A338" s="132"/>
      <c r="B338" s="131"/>
      <c r="C338" s="131"/>
      <c r="D338" s="132"/>
      <c r="E338" s="132"/>
      <c r="F338" s="132"/>
      <c r="G338" s="132"/>
      <c r="H338" s="132"/>
      <c r="I338" s="131"/>
      <c r="J338" s="131"/>
      <c r="K338" s="131"/>
      <c r="L338" s="131"/>
      <c r="M338" s="131"/>
      <c r="N338" s="131"/>
      <c r="O338" s="131"/>
      <c r="P338" s="131"/>
      <c r="Q338" s="131"/>
      <c r="R338" s="131"/>
      <c r="S338" s="131"/>
      <c r="T338" s="131"/>
      <c r="U338" s="131"/>
      <c r="V338" s="131"/>
      <c r="W338" s="131"/>
      <c r="X338" s="131"/>
    </row>
    <row r="339" spans="1:24" ht="13.5" customHeight="1">
      <c r="A339" s="132"/>
      <c r="B339" s="131"/>
      <c r="C339" s="131"/>
      <c r="D339" s="132"/>
      <c r="E339" s="132"/>
      <c r="F339" s="132"/>
      <c r="G339" s="132"/>
      <c r="H339" s="132"/>
      <c r="I339" s="131"/>
      <c r="J339" s="131"/>
      <c r="K339" s="131"/>
      <c r="L339" s="131"/>
      <c r="M339" s="131"/>
      <c r="N339" s="131"/>
      <c r="O339" s="131"/>
      <c r="P339" s="131"/>
      <c r="Q339" s="131"/>
      <c r="R339" s="131"/>
      <c r="S339" s="131"/>
      <c r="T339" s="131"/>
      <c r="U339" s="131"/>
      <c r="V339" s="131"/>
      <c r="W339" s="131"/>
      <c r="X339" s="131"/>
    </row>
    <row r="340" spans="1:24" ht="13.5" customHeight="1">
      <c r="A340" s="132"/>
      <c r="B340" s="131"/>
      <c r="C340" s="131"/>
      <c r="D340" s="132"/>
      <c r="E340" s="132"/>
      <c r="F340" s="132"/>
      <c r="G340" s="132"/>
      <c r="H340" s="132"/>
      <c r="I340" s="131"/>
      <c r="J340" s="131"/>
      <c r="K340" s="131"/>
      <c r="L340" s="131"/>
      <c r="M340" s="131"/>
      <c r="N340" s="131"/>
      <c r="O340" s="131"/>
      <c r="P340" s="131"/>
      <c r="Q340" s="131"/>
      <c r="R340" s="131"/>
      <c r="S340" s="131"/>
      <c r="T340" s="131"/>
      <c r="U340" s="131"/>
      <c r="V340" s="131"/>
      <c r="W340" s="131"/>
      <c r="X340" s="131"/>
    </row>
    <row r="341" spans="1:24" ht="13.5" customHeight="1">
      <c r="A341" s="132"/>
      <c r="B341" s="131"/>
      <c r="C341" s="131"/>
      <c r="D341" s="132"/>
      <c r="E341" s="132"/>
      <c r="F341" s="132"/>
      <c r="G341" s="132"/>
      <c r="H341" s="132"/>
      <c r="I341" s="131"/>
      <c r="J341" s="131"/>
      <c r="K341" s="131"/>
      <c r="L341" s="131"/>
      <c r="M341" s="131"/>
      <c r="N341" s="131"/>
      <c r="O341" s="131"/>
      <c r="P341" s="131"/>
      <c r="Q341" s="131"/>
      <c r="R341" s="131"/>
      <c r="S341" s="131"/>
      <c r="T341" s="131"/>
      <c r="U341" s="131"/>
      <c r="V341" s="131"/>
      <c r="W341" s="131"/>
      <c r="X341" s="131"/>
    </row>
    <row r="342" spans="1:24" ht="13.5" customHeight="1">
      <c r="A342" s="132"/>
      <c r="B342" s="131"/>
      <c r="C342" s="131"/>
      <c r="D342" s="132"/>
      <c r="E342" s="132"/>
      <c r="F342" s="132"/>
      <c r="G342" s="132"/>
      <c r="H342" s="132"/>
      <c r="I342" s="131"/>
      <c r="J342" s="131"/>
      <c r="K342" s="131"/>
      <c r="L342" s="131"/>
      <c r="M342" s="131"/>
      <c r="N342" s="131"/>
      <c r="O342" s="131"/>
      <c r="P342" s="131"/>
      <c r="Q342" s="131"/>
      <c r="R342" s="131"/>
      <c r="S342" s="131"/>
      <c r="T342" s="131"/>
      <c r="U342" s="131"/>
      <c r="V342" s="131"/>
      <c r="W342" s="131"/>
      <c r="X342" s="131"/>
    </row>
    <row r="343" spans="1:24" ht="13.5" customHeight="1">
      <c r="A343" s="132"/>
      <c r="B343" s="131"/>
      <c r="C343" s="131"/>
      <c r="D343" s="132"/>
      <c r="E343" s="132"/>
      <c r="F343" s="132"/>
      <c r="G343" s="132"/>
      <c r="H343" s="132"/>
      <c r="I343" s="131"/>
      <c r="J343" s="131"/>
      <c r="K343" s="131"/>
      <c r="L343" s="131"/>
      <c r="M343" s="131"/>
      <c r="N343" s="131"/>
      <c r="O343" s="131"/>
      <c r="P343" s="131"/>
      <c r="Q343" s="131"/>
      <c r="R343" s="131"/>
      <c r="S343" s="131"/>
      <c r="T343" s="131"/>
      <c r="U343" s="131"/>
      <c r="V343" s="131"/>
      <c r="W343" s="131"/>
      <c r="X343" s="131"/>
    </row>
    <row r="344" spans="1:24" ht="13.5" customHeight="1">
      <c r="A344" s="132"/>
      <c r="B344" s="131"/>
      <c r="C344" s="131"/>
      <c r="D344" s="132"/>
      <c r="E344" s="132"/>
      <c r="F344" s="132"/>
      <c r="G344" s="132"/>
      <c r="H344" s="132"/>
      <c r="I344" s="131"/>
      <c r="J344" s="131"/>
      <c r="K344" s="131"/>
      <c r="L344" s="131"/>
      <c r="M344" s="131"/>
      <c r="N344" s="131"/>
      <c r="O344" s="131"/>
      <c r="P344" s="131"/>
      <c r="Q344" s="131"/>
      <c r="R344" s="131"/>
      <c r="S344" s="131"/>
      <c r="T344" s="131"/>
      <c r="U344" s="131"/>
      <c r="V344" s="131"/>
      <c r="W344" s="131"/>
      <c r="X344" s="131"/>
    </row>
    <row r="345" spans="1:24" ht="13.5" customHeight="1">
      <c r="A345" s="132"/>
      <c r="B345" s="131"/>
      <c r="C345" s="131"/>
      <c r="D345" s="132"/>
      <c r="E345" s="132"/>
      <c r="F345" s="132"/>
      <c r="G345" s="132"/>
      <c r="H345" s="132"/>
      <c r="I345" s="131"/>
      <c r="J345" s="131"/>
      <c r="K345" s="131"/>
      <c r="L345" s="131"/>
      <c r="M345" s="131"/>
      <c r="N345" s="131"/>
      <c r="O345" s="131"/>
      <c r="P345" s="131"/>
      <c r="Q345" s="131"/>
      <c r="R345" s="131"/>
      <c r="S345" s="131"/>
      <c r="T345" s="131"/>
      <c r="U345" s="131"/>
      <c r="V345" s="131"/>
      <c r="W345" s="131"/>
      <c r="X345" s="131"/>
    </row>
    <row r="346" spans="1:24" ht="13.5" customHeight="1">
      <c r="A346" s="132"/>
      <c r="B346" s="131"/>
      <c r="C346" s="131"/>
      <c r="D346" s="132"/>
      <c r="E346" s="132"/>
      <c r="F346" s="132"/>
      <c r="G346" s="132"/>
      <c r="H346" s="132"/>
      <c r="I346" s="131"/>
      <c r="J346" s="131"/>
      <c r="K346" s="131"/>
      <c r="L346" s="131"/>
      <c r="M346" s="131"/>
      <c r="N346" s="131"/>
      <c r="O346" s="131"/>
      <c r="P346" s="131"/>
      <c r="Q346" s="131"/>
      <c r="R346" s="131"/>
      <c r="S346" s="131"/>
      <c r="T346" s="131"/>
      <c r="U346" s="131"/>
      <c r="V346" s="131"/>
      <c r="W346" s="131"/>
      <c r="X346" s="131"/>
    </row>
    <row r="347" spans="1:24" ht="13.5" customHeight="1">
      <c r="A347" s="132"/>
      <c r="B347" s="131"/>
      <c r="C347" s="131"/>
      <c r="D347" s="132"/>
      <c r="E347" s="132"/>
      <c r="F347" s="132"/>
      <c r="G347" s="132"/>
      <c r="H347" s="132"/>
      <c r="I347" s="131"/>
      <c r="J347" s="131"/>
      <c r="K347" s="131"/>
      <c r="L347" s="131"/>
      <c r="M347" s="131"/>
      <c r="N347" s="131"/>
      <c r="O347" s="131"/>
      <c r="P347" s="131"/>
      <c r="Q347" s="131"/>
      <c r="R347" s="131"/>
      <c r="S347" s="131"/>
      <c r="T347" s="131"/>
      <c r="U347" s="131"/>
      <c r="V347" s="131"/>
      <c r="W347" s="131"/>
      <c r="X347" s="131"/>
    </row>
    <row r="348" spans="1:24" ht="13.5" customHeight="1">
      <c r="A348" s="132"/>
      <c r="B348" s="131"/>
      <c r="C348" s="131"/>
      <c r="D348" s="132"/>
      <c r="E348" s="132"/>
      <c r="F348" s="132"/>
      <c r="G348" s="132"/>
      <c r="H348" s="132"/>
      <c r="I348" s="131"/>
      <c r="J348" s="131"/>
      <c r="K348" s="131"/>
      <c r="L348" s="131"/>
      <c r="M348" s="131"/>
      <c r="N348" s="131"/>
      <c r="O348" s="131"/>
      <c r="P348" s="131"/>
      <c r="Q348" s="131"/>
      <c r="R348" s="131"/>
      <c r="S348" s="131"/>
      <c r="T348" s="131"/>
      <c r="U348" s="131"/>
      <c r="V348" s="131"/>
      <c r="W348" s="131"/>
      <c r="X348" s="131"/>
    </row>
    <row r="349" spans="1:24" ht="13.5" customHeight="1">
      <c r="A349" s="132"/>
      <c r="B349" s="131"/>
      <c r="C349" s="131"/>
      <c r="D349" s="132"/>
      <c r="E349" s="132"/>
      <c r="F349" s="132"/>
      <c r="G349" s="132"/>
      <c r="H349" s="132"/>
      <c r="I349" s="131"/>
      <c r="J349" s="131"/>
      <c r="K349" s="131"/>
      <c r="L349" s="131"/>
      <c r="M349" s="131"/>
      <c r="N349" s="131"/>
      <c r="O349" s="131"/>
      <c r="P349" s="131"/>
      <c r="Q349" s="131"/>
      <c r="R349" s="131"/>
      <c r="S349" s="131"/>
      <c r="T349" s="131"/>
      <c r="U349" s="131"/>
      <c r="V349" s="131"/>
      <c r="W349" s="131"/>
      <c r="X349" s="131"/>
    </row>
    <row r="350" spans="1:24" ht="13.5" customHeight="1">
      <c r="A350" s="132"/>
      <c r="B350" s="131"/>
      <c r="C350" s="131"/>
      <c r="D350" s="132"/>
      <c r="E350" s="132"/>
      <c r="F350" s="132"/>
      <c r="G350" s="132"/>
      <c r="H350" s="132"/>
      <c r="I350" s="131"/>
      <c r="J350" s="131"/>
      <c r="K350" s="131"/>
      <c r="L350" s="131"/>
      <c r="M350" s="131"/>
      <c r="N350" s="131"/>
      <c r="O350" s="131"/>
      <c r="P350" s="131"/>
      <c r="Q350" s="131"/>
      <c r="R350" s="131"/>
      <c r="S350" s="131"/>
      <c r="T350" s="131"/>
      <c r="U350" s="131"/>
      <c r="V350" s="131"/>
      <c r="W350" s="131"/>
      <c r="X350" s="131"/>
    </row>
    <row r="351" spans="1:24" ht="13.5" customHeight="1">
      <c r="A351" s="132"/>
      <c r="B351" s="131"/>
      <c r="C351" s="131"/>
      <c r="D351" s="132"/>
      <c r="E351" s="132"/>
      <c r="F351" s="132"/>
      <c r="G351" s="132"/>
      <c r="H351" s="132"/>
      <c r="I351" s="131"/>
      <c r="J351" s="131"/>
      <c r="K351" s="131"/>
      <c r="L351" s="131"/>
      <c r="M351" s="131"/>
      <c r="N351" s="131"/>
      <c r="O351" s="131"/>
      <c r="P351" s="131"/>
      <c r="Q351" s="131"/>
      <c r="R351" s="131"/>
      <c r="S351" s="131"/>
      <c r="T351" s="131"/>
      <c r="U351" s="131"/>
      <c r="V351" s="131"/>
      <c r="W351" s="131"/>
      <c r="X351" s="131"/>
    </row>
    <row r="352" spans="1:24" ht="13.5" customHeight="1">
      <c r="A352" s="132"/>
      <c r="B352" s="131"/>
      <c r="C352" s="131"/>
      <c r="D352" s="132"/>
      <c r="E352" s="132"/>
      <c r="F352" s="132"/>
      <c r="G352" s="132"/>
      <c r="H352" s="132"/>
      <c r="I352" s="131"/>
      <c r="J352" s="131"/>
      <c r="K352" s="131"/>
      <c r="L352" s="131"/>
      <c r="M352" s="131"/>
      <c r="N352" s="131"/>
      <c r="O352" s="131"/>
      <c r="P352" s="131"/>
      <c r="Q352" s="131"/>
      <c r="R352" s="131"/>
      <c r="S352" s="131"/>
      <c r="T352" s="131"/>
      <c r="U352" s="131"/>
      <c r="V352" s="131"/>
      <c r="W352" s="131"/>
      <c r="X352" s="131"/>
    </row>
    <row r="353" spans="1:24" ht="13.5" customHeight="1">
      <c r="A353" s="132"/>
      <c r="B353" s="131"/>
      <c r="C353" s="131"/>
      <c r="D353" s="132"/>
      <c r="E353" s="132"/>
      <c r="F353" s="132"/>
      <c r="G353" s="132"/>
      <c r="H353" s="132"/>
      <c r="I353" s="131"/>
      <c r="J353" s="131"/>
      <c r="K353" s="131"/>
      <c r="L353" s="131"/>
      <c r="M353" s="131"/>
      <c r="N353" s="131"/>
      <c r="O353" s="131"/>
      <c r="P353" s="131"/>
      <c r="Q353" s="131"/>
      <c r="R353" s="131"/>
      <c r="S353" s="131"/>
      <c r="T353" s="131"/>
      <c r="U353" s="131"/>
      <c r="V353" s="131"/>
      <c r="W353" s="131"/>
      <c r="X353" s="131"/>
    </row>
    <row r="354" spans="1:24" ht="13.5" customHeight="1">
      <c r="A354" s="132"/>
      <c r="B354" s="131"/>
      <c r="C354" s="131"/>
      <c r="D354" s="132"/>
      <c r="E354" s="132"/>
      <c r="F354" s="132"/>
      <c r="G354" s="132"/>
      <c r="H354" s="132"/>
      <c r="I354" s="131"/>
      <c r="J354" s="131"/>
      <c r="K354" s="131"/>
      <c r="L354" s="131"/>
      <c r="M354" s="131"/>
      <c r="N354" s="131"/>
      <c r="O354" s="131"/>
      <c r="P354" s="131"/>
      <c r="Q354" s="131"/>
      <c r="R354" s="131"/>
      <c r="S354" s="131"/>
      <c r="T354" s="131"/>
      <c r="U354" s="131"/>
      <c r="V354" s="131"/>
      <c r="W354" s="131"/>
      <c r="X354" s="131"/>
    </row>
    <row r="355" spans="1:24" ht="13.5" customHeight="1">
      <c r="A355" s="132"/>
      <c r="B355" s="131"/>
      <c r="C355" s="131"/>
      <c r="D355" s="132"/>
      <c r="E355" s="132"/>
      <c r="F355" s="132"/>
      <c r="G355" s="132"/>
      <c r="H355" s="132"/>
      <c r="I355" s="131"/>
      <c r="J355" s="131"/>
      <c r="K355" s="131"/>
      <c r="L355" s="131"/>
      <c r="M355" s="131"/>
      <c r="N355" s="131"/>
      <c r="O355" s="131"/>
      <c r="P355" s="131"/>
      <c r="Q355" s="131"/>
      <c r="R355" s="131"/>
      <c r="S355" s="131"/>
      <c r="T355" s="131"/>
      <c r="U355" s="131"/>
      <c r="V355" s="131"/>
      <c r="W355" s="131"/>
      <c r="X355" s="131"/>
    </row>
    <row r="356" spans="1:24" ht="13.5" customHeight="1">
      <c r="A356" s="132"/>
      <c r="B356" s="131"/>
      <c r="C356" s="131"/>
      <c r="D356" s="132"/>
      <c r="E356" s="132"/>
      <c r="F356" s="132"/>
      <c r="G356" s="132"/>
      <c r="H356" s="132"/>
      <c r="I356" s="131"/>
      <c r="J356" s="131"/>
      <c r="K356" s="131"/>
      <c r="L356" s="131"/>
      <c r="M356" s="131"/>
      <c r="N356" s="131"/>
      <c r="O356" s="131"/>
      <c r="P356" s="131"/>
      <c r="Q356" s="131"/>
      <c r="R356" s="131"/>
      <c r="S356" s="131"/>
      <c r="T356" s="131"/>
      <c r="U356" s="131"/>
      <c r="V356" s="131"/>
      <c r="W356" s="131"/>
      <c r="X356" s="131"/>
    </row>
    <row r="357" spans="1:24" ht="13.5" customHeight="1">
      <c r="A357" s="132"/>
      <c r="B357" s="131"/>
      <c r="C357" s="131"/>
      <c r="D357" s="132"/>
      <c r="E357" s="132"/>
      <c r="F357" s="132"/>
      <c r="G357" s="132"/>
      <c r="H357" s="132"/>
      <c r="I357" s="131"/>
      <c r="J357" s="131"/>
      <c r="K357" s="131"/>
      <c r="L357" s="131"/>
      <c r="M357" s="131"/>
      <c r="N357" s="131"/>
      <c r="O357" s="131"/>
      <c r="P357" s="131"/>
      <c r="Q357" s="131"/>
      <c r="R357" s="131"/>
      <c r="S357" s="131"/>
      <c r="T357" s="131"/>
      <c r="U357" s="131"/>
      <c r="V357" s="131"/>
      <c r="W357" s="131"/>
      <c r="X357" s="131"/>
    </row>
    <row r="358" spans="1:24" ht="13.5" customHeight="1">
      <c r="A358" s="132"/>
      <c r="B358" s="131"/>
      <c r="C358" s="131"/>
      <c r="D358" s="132"/>
      <c r="E358" s="132"/>
      <c r="F358" s="132"/>
      <c r="G358" s="132"/>
      <c r="H358" s="132"/>
      <c r="I358" s="131"/>
      <c r="J358" s="131"/>
      <c r="K358" s="131"/>
      <c r="L358" s="131"/>
      <c r="M358" s="131"/>
      <c r="N358" s="131"/>
      <c r="O358" s="131"/>
      <c r="P358" s="131"/>
      <c r="Q358" s="131"/>
      <c r="R358" s="131"/>
      <c r="S358" s="131"/>
      <c r="T358" s="131"/>
      <c r="U358" s="131"/>
      <c r="V358" s="131"/>
      <c r="W358" s="131"/>
      <c r="X358" s="131"/>
    </row>
    <row r="359" spans="1:24" ht="13.5" customHeight="1">
      <c r="A359" s="132"/>
      <c r="B359" s="131"/>
      <c r="C359" s="131"/>
      <c r="D359" s="132"/>
      <c r="E359" s="132"/>
      <c r="F359" s="132"/>
      <c r="G359" s="132"/>
      <c r="H359" s="132"/>
      <c r="I359" s="131"/>
      <c r="J359" s="131"/>
      <c r="K359" s="131"/>
      <c r="L359" s="131"/>
      <c r="M359" s="131"/>
      <c r="N359" s="131"/>
      <c r="O359" s="131"/>
      <c r="P359" s="131"/>
      <c r="Q359" s="131"/>
      <c r="R359" s="131"/>
      <c r="S359" s="131"/>
      <c r="T359" s="131"/>
      <c r="U359" s="131"/>
      <c r="V359" s="131"/>
      <c r="W359" s="131"/>
      <c r="X359" s="131"/>
    </row>
    <row r="360" spans="1:24" ht="13.5" customHeight="1">
      <c r="A360" s="132"/>
      <c r="B360" s="131"/>
      <c r="C360" s="131"/>
      <c r="D360" s="132"/>
      <c r="E360" s="132"/>
      <c r="F360" s="132"/>
      <c r="G360" s="132"/>
      <c r="H360" s="132"/>
      <c r="I360" s="131"/>
      <c r="J360" s="131"/>
      <c r="K360" s="131"/>
      <c r="L360" s="131"/>
      <c r="M360" s="131"/>
      <c r="N360" s="131"/>
      <c r="O360" s="131"/>
      <c r="P360" s="131"/>
      <c r="Q360" s="131"/>
      <c r="R360" s="131"/>
      <c r="S360" s="131"/>
      <c r="T360" s="131"/>
      <c r="U360" s="131"/>
      <c r="V360" s="131"/>
      <c r="W360" s="131"/>
      <c r="X360" s="131"/>
    </row>
    <row r="361" spans="1:24" ht="13.5" customHeight="1">
      <c r="A361" s="132"/>
      <c r="B361" s="131"/>
      <c r="C361" s="131"/>
      <c r="D361" s="132"/>
      <c r="E361" s="132"/>
      <c r="F361" s="132"/>
      <c r="G361" s="132"/>
      <c r="H361" s="132"/>
      <c r="I361" s="131"/>
      <c r="J361" s="131"/>
      <c r="K361" s="131"/>
      <c r="L361" s="131"/>
      <c r="M361" s="131"/>
      <c r="N361" s="131"/>
      <c r="O361" s="131"/>
      <c r="P361" s="131"/>
      <c r="Q361" s="131"/>
      <c r="R361" s="131"/>
      <c r="S361" s="131"/>
      <c r="T361" s="131"/>
      <c r="U361" s="131"/>
      <c r="V361" s="131"/>
      <c r="W361" s="131"/>
      <c r="X361" s="131"/>
    </row>
    <row r="362" spans="1:24" ht="13.5" customHeight="1">
      <c r="A362" s="132"/>
      <c r="B362" s="131"/>
      <c r="C362" s="131"/>
      <c r="D362" s="132"/>
      <c r="E362" s="132"/>
      <c r="F362" s="132"/>
      <c r="G362" s="132"/>
      <c r="H362" s="132"/>
      <c r="I362" s="131"/>
      <c r="J362" s="131"/>
      <c r="K362" s="131"/>
      <c r="L362" s="131"/>
      <c r="M362" s="131"/>
      <c r="N362" s="131"/>
      <c r="O362" s="131"/>
      <c r="P362" s="131"/>
      <c r="Q362" s="131"/>
      <c r="R362" s="131"/>
      <c r="S362" s="131"/>
      <c r="T362" s="131"/>
      <c r="U362" s="131"/>
      <c r="V362" s="131"/>
      <c r="W362" s="131"/>
      <c r="X362" s="131"/>
    </row>
    <row r="363" spans="1:24" ht="13.5" customHeight="1">
      <c r="A363" s="132"/>
      <c r="B363" s="131"/>
      <c r="C363" s="131"/>
      <c r="D363" s="132"/>
      <c r="E363" s="132"/>
      <c r="F363" s="132"/>
      <c r="G363" s="132"/>
      <c r="H363" s="132"/>
      <c r="I363" s="131"/>
      <c r="J363" s="131"/>
      <c r="K363" s="131"/>
      <c r="L363" s="131"/>
      <c r="M363" s="131"/>
      <c r="N363" s="131"/>
      <c r="O363" s="131"/>
      <c r="P363" s="131"/>
      <c r="Q363" s="131"/>
      <c r="R363" s="131"/>
      <c r="S363" s="131"/>
      <c r="T363" s="131"/>
      <c r="U363" s="131"/>
      <c r="V363" s="131"/>
      <c r="W363" s="131"/>
      <c r="X363" s="131"/>
    </row>
    <row r="364" spans="1:24" ht="13.5" customHeight="1">
      <c r="A364" s="132"/>
      <c r="B364" s="131"/>
      <c r="C364" s="131"/>
      <c r="D364" s="132"/>
      <c r="E364" s="132"/>
      <c r="F364" s="132"/>
      <c r="G364" s="132"/>
      <c r="H364" s="132"/>
      <c r="I364" s="131"/>
      <c r="J364" s="131"/>
      <c r="K364" s="131"/>
      <c r="L364" s="131"/>
      <c r="M364" s="131"/>
      <c r="N364" s="131"/>
      <c r="O364" s="131"/>
      <c r="P364" s="131"/>
      <c r="Q364" s="131"/>
      <c r="R364" s="131"/>
      <c r="S364" s="131"/>
      <c r="T364" s="131"/>
      <c r="U364" s="131"/>
      <c r="V364" s="131"/>
      <c r="W364" s="131"/>
      <c r="X364" s="131"/>
    </row>
    <row r="365" spans="1:24" ht="13.5" customHeight="1">
      <c r="A365" s="132"/>
      <c r="B365" s="131"/>
      <c r="C365" s="131"/>
      <c r="D365" s="132"/>
      <c r="E365" s="132"/>
      <c r="F365" s="132"/>
      <c r="G365" s="132"/>
      <c r="H365" s="132"/>
      <c r="I365" s="131"/>
      <c r="J365" s="131"/>
      <c r="K365" s="131"/>
      <c r="L365" s="131"/>
      <c r="M365" s="131"/>
      <c r="N365" s="131"/>
      <c r="O365" s="131"/>
      <c r="P365" s="131"/>
      <c r="Q365" s="131"/>
      <c r="R365" s="131"/>
      <c r="S365" s="131"/>
      <c r="T365" s="131"/>
      <c r="U365" s="131"/>
      <c r="V365" s="131"/>
      <c r="W365" s="131"/>
      <c r="X365" s="131"/>
    </row>
    <row r="366" spans="1:24" ht="13.5" customHeight="1">
      <c r="A366" s="132"/>
      <c r="B366" s="131"/>
      <c r="C366" s="131"/>
      <c r="D366" s="132"/>
      <c r="E366" s="132"/>
      <c r="F366" s="132"/>
      <c r="G366" s="132"/>
      <c r="H366" s="132"/>
      <c r="I366" s="131"/>
      <c r="J366" s="131"/>
      <c r="K366" s="131"/>
      <c r="L366" s="131"/>
      <c r="M366" s="131"/>
      <c r="N366" s="131"/>
      <c r="O366" s="131"/>
      <c r="P366" s="131"/>
      <c r="Q366" s="131"/>
      <c r="R366" s="131"/>
      <c r="S366" s="131"/>
      <c r="T366" s="131"/>
      <c r="U366" s="131"/>
      <c r="V366" s="131"/>
      <c r="W366" s="131"/>
      <c r="X366" s="131"/>
    </row>
    <row r="367" spans="1:24" ht="13.5" customHeight="1">
      <c r="A367" s="132"/>
      <c r="B367" s="131"/>
      <c r="C367" s="131"/>
      <c r="D367" s="132"/>
      <c r="E367" s="132"/>
      <c r="F367" s="132"/>
      <c r="G367" s="132"/>
      <c r="H367" s="132"/>
      <c r="I367" s="131"/>
      <c r="J367" s="131"/>
      <c r="K367" s="131"/>
      <c r="L367" s="131"/>
      <c r="M367" s="131"/>
      <c r="N367" s="131"/>
      <c r="O367" s="131"/>
      <c r="P367" s="131"/>
      <c r="Q367" s="131"/>
      <c r="R367" s="131"/>
      <c r="S367" s="131"/>
      <c r="T367" s="131"/>
      <c r="U367" s="131"/>
      <c r="V367" s="131"/>
      <c r="W367" s="131"/>
      <c r="X367" s="131"/>
    </row>
    <row r="368" spans="1:24" ht="13.5" customHeight="1">
      <c r="A368" s="132"/>
      <c r="B368" s="131"/>
      <c r="C368" s="131"/>
      <c r="D368" s="132"/>
      <c r="E368" s="132"/>
      <c r="F368" s="132"/>
      <c r="G368" s="132"/>
      <c r="H368" s="132"/>
      <c r="I368" s="131"/>
      <c r="J368" s="131"/>
      <c r="K368" s="131"/>
      <c r="L368" s="131"/>
      <c r="M368" s="131"/>
      <c r="N368" s="131"/>
      <c r="O368" s="131"/>
      <c r="P368" s="131"/>
      <c r="Q368" s="131"/>
      <c r="R368" s="131"/>
      <c r="S368" s="131"/>
      <c r="T368" s="131"/>
      <c r="U368" s="131"/>
      <c r="V368" s="131"/>
      <c r="W368" s="131"/>
      <c r="X368" s="131"/>
    </row>
    <row r="369" spans="1:24" ht="13.5" customHeight="1">
      <c r="A369" s="132"/>
      <c r="B369" s="131"/>
      <c r="C369" s="131"/>
      <c r="D369" s="132"/>
      <c r="E369" s="132"/>
      <c r="F369" s="132"/>
      <c r="G369" s="132"/>
      <c r="H369" s="132"/>
      <c r="I369" s="131"/>
      <c r="J369" s="131"/>
      <c r="K369" s="131"/>
      <c r="L369" s="131"/>
      <c r="M369" s="131"/>
      <c r="N369" s="131"/>
      <c r="O369" s="131"/>
      <c r="P369" s="131"/>
      <c r="Q369" s="131"/>
      <c r="R369" s="131"/>
      <c r="S369" s="131"/>
      <c r="T369" s="131"/>
      <c r="U369" s="131"/>
      <c r="V369" s="131"/>
      <c r="W369" s="131"/>
      <c r="X369" s="131"/>
    </row>
    <row r="370" spans="1:24" ht="13.5" customHeight="1">
      <c r="A370" s="132"/>
      <c r="B370" s="131"/>
      <c r="C370" s="131"/>
      <c r="D370" s="132"/>
      <c r="E370" s="132"/>
      <c r="F370" s="132"/>
      <c r="G370" s="132"/>
      <c r="H370" s="132"/>
      <c r="I370" s="131"/>
      <c r="J370" s="131"/>
      <c r="K370" s="131"/>
      <c r="L370" s="131"/>
      <c r="M370" s="131"/>
      <c r="N370" s="131"/>
      <c r="O370" s="131"/>
      <c r="P370" s="131"/>
      <c r="Q370" s="131"/>
      <c r="R370" s="131"/>
      <c r="S370" s="131"/>
      <c r="T370" s="131"/>
      <c r="U370" s="131"/>
      <c r="V370" s="131"/>
      <c r="W370" s="131"/>
      <c r="X370" s="131"/>
    </row>
    <row r="371" spans="1:24" ht="13.5" customHeight="1">
      <c r="A371" s="132"/>
      <c r="B371" s="131"/>
      <c r="C371" s="131"/>
      <c r="D371" s="132"/>
      <c r="E371" s="132"/>
      <c r="F371" s="132"/>
      <c r="G371" s="132"/>
      <c r="H371" s="132"/>
      <c r="I371" s="131"/>
      <c r="J371" s="131"/>
      <c r="K371" s="131"/>
      <c r="L371" s="131"/>
      <c r="M371" s="131"/>
      <c r="N371" s="131"/>
      <c r="O371" s="131"/>
      <c r="P371" s="131"/>
      <c r="Q371" s="131"/>
      <c r="R371" s="131"/>
      <c r="S371" s="131"/>
      <c r="T371" s="131"/>
      <c r="U371" s="131"/>
      <c r="V371" s="131"/>
      <c r="W371" s="131"/>
      <c r="X371" s="131"/>
    </row>
    <row r="372" spans="1:24" ht="13.5" customHeight="1">
      <c r="A372" s="132"/>
      <c r="B372" s="131"/>
      <c r="C372" s="131"/>
      <c r="D372" s="132"/>
      <c r="E372" s="132"/>
      <c r="F372" s="132"/>
      <c r="G372" s="132"/>
      <c r="H372" s="132"/>
      <c r="I372" s="131"/>
      <c r="J372" s="131"/>
      <c r="K372" s="131"/>
      <c r="L372" s="131"/>
      <c r="M372" s="131"/>
      <c r="N372" s="131"/>
      <c r="O372" s="131"/>
      <c r="P372" s="131"/>
      <c r="Q372" s="131"/>
      <c r="R372" s="131"/>
      <c r="S372" s="131"/>
      <c r="T372" s="131"/>
      <c r="U372" s="131"/>
      <c r="V372" s="131"/>
      <c r="W372" s="131"/>
      <c r="X372" s="131"/>
    </row>
    <row r="373" spans="1:24" ht="13.5" customHeight="1">
      <c r="A373" s="132"/>
      <c r="B373" s="131"/>
      <c r="C373" s="131"/>
      <c r="D373" s="132"/>
      <c r="E373" s="132"/>
      <c r="F373" s="132"/>
      <c r="G373" s="132"/>
      <c r="H373" s="132"/>
      <c r="I373" s="131"/>
      <c r="J373" s="131"/>
      <c r="K373" s="131"/>
      <c r="L373" s="131"/>
      <c r="M373" s="131"/>
      <c r="N373" s="131"/>
      <c r="O373" s="131"/>
      <c r="P373" s="131"/>
      <c r="Q373" s="131"/>
      <c r="R373" s="131"/>
      <c r="S373" s="131"/>
      <c r="T373" s="131"/>
      <c r="U373" s="131"/>
      <c r="V373" s="131"/>
      <c r="W373" s="131"/>
      <c r="X373" s="131"/>
    </row>
    <row r="374" spans="1:24" ht="13.5" customHeight="1">
      <c r="A374" s="132"/>
      <c r="B374" s="131"/>
      <c r="C374" s="131"/>
      <c r="D374" s="132"/>
      <c r="E374" s="132"/>
      <c r="F374" s="132"/>
      <c r="G374" s="132"/>
      <c r="H374" s="132"/>
      <c r="I374" s="131"/>
      <c r="J374" s="131"/>
      <c r="K374" s="131"/>
      <c r="L374" s="131"/>
      <c r="M374" s="131"/>
      <c r="N374" s="131"/>
      <c r="O374" s="131"/>
      <c r="P374" s="131"/>
      <c r="Q374" s="131"/>
      <c r="R374" s="131"/>
      <c r="S374" s="131"/>
      <c r="T374" s="131"/>
      <c r="U374" s="131"/>
      <c r="V374" s="131"/>
      <c r="W374" s="131"/>
      <c r="X374" s="131"/>
    </row>
    <row r="375" spans="1:24" ht="13.5" customHeight="1">
      <c r="A375" s="132"/>
      <c r="B375" s="131"/>
      <c r="C375" s="131"/>
      <c r="D375" s="132"/>
      <c r="E375" s="132"/>
      <c r="F375" s="132"/>
      <c r="G375" s="132"/>
      <c r="H375" s="132"/>
      <c r="I375" s="131"/>
      <c r="J375" s="131"/>
      <c r="K375" s="131"/>
      <c r="L375" s="131"/>
      <c r="M375" s="131"/>
      <c r="N375" s="131"/>
      <c r="O375" s="131"/>
      <c r="P375" s="131"/>
      <c r="Q375" s="131"/>
      <c r="R375" s="131"/>
      <c r="S375" s="131"/>
      <c r="T375" s="131"/>
      <c r="U375" s="131"/>
      <c r="V375" s="131"/>
      <c r="W375" s="131"/>
      <c r="X375" s="131"/>
    </row>
    <row r="376" spans="1:24" ht="13.5" customHeight="1">
      <c r="A376" s="132"/>
      <c r="B376" s="131"/>
      <c r="C376" s="131"/>
      <c r="D376" s="132"/>
      <c r="E376" s="132"/>
      <c r="F376" s="132"/>
      <c r="G376" s="132"/>
      <c r="H376" s="132"/>
      <c r="I376" s="131"/>
      <c r="J376" s="131"/>
      <c r="K376" s="131"/>
      <c r="L376" s="131"/>
      <c r="M376" s="131"/>
      <c r="N376" s="131"/>
      <c r="O376" s="131"/>
      <c r="P376" s="131"/>
      <c r="Q376" s="131"/>
      <c r="R376" s="131"/>
      <c r="S376" s="131"/>
      <c r="T376" s="131"/>
      <c r="U376" s="131"/>
      <c r="V376" s="131"/>
      <c r="W376" s="131"/>
      <c r="X376" s="131"/>
    </row>
    <row r="377" spans="1:24" ht="13.5" customHeight="1">
      <c r="A377" s="132"/>
      <c r="B377" s="131"/>
      <c r="C377" s="131"/>
      <c r="D377" s="132"/>
      <c r="E377" s="132"/>
      <c r="F377" s="132"/>
      <c r="G377" s="132"/>
      <c r="H377" s="132"/>
      <c r="I377" s="131"/>
      <c r="J377" s="131"/>
      <c r="K377" s="131"/>
      <c r="L377" s="131"/>
      <c r="M377" s="131"/>
      <c r="N377" s="131"/>
      <c r="O377" s="131"/>
      <c r="P377" s="131"/>
      <c r="Q377" s="131"/>
      <c r="R377" s="131"/>
      <c r="S377" s="131"/>
      <c r="T377" s="131"/>
      <c r="U377" s="131"/>
      <c r="V377" s="131"/>
      <c r="W377" s="131"/>
      <c r="X377" s="131"/>
    </row>
    <row r="378" spans="1:24" ht="13.5" customHeight="1">
      <c r="A378" s="132"/>
      <c r="B378" s="131"/>
      <c r="C378" s="131"/>
      <c r="D378" s="132"/>
      <c r="E378" s="132"/>
      <c r="F378" s="132"/>
      <c r="G378" s="132"/>
      <c r="H378" s="132"/>
      <c r="I378" s="131"/>
      <c r="J378" s="131"/>
      <c r="K378" s="131"/>
      <c r="L378" s="131"/>
      <c r="M378" s="131"/>
      <c r="N378" s="131"/>
      <c r="O378" s="131"/>
      <c r="P378" s="131"/>
      <c r="Q378" s="131"/>
      <c r="R378" s="131"/>
      <c r="S378" s="131"/>
      <c r="T378" s="131"/>
      <c r="U378" s="131"/>
      <c r="V378" s="131"/>
      <c r="W378" s="131"/>
      <c r="X378" s="131"/>
    </row>
    <row r="379" spans="1:24" ht="13.5" customHeight="1">
      <c r="A379" s="132"/>
      <c r="B379" s="131"/>
      <c r="C379" s="131"/>
      <c r="D379" s="132"/>
      <c r="E379" s="132"/>
      <c r="F379" s="132"/>
      <c r="G379" s="132"/>
      <c r="H379" s="132"/>
      <c r="I379" s="131"/>
      <c r="J379" s="131"/>
      <c r="K379" s="131"/>
      <c r="L379" s="131"/>
      <c r="M379" s="131"/>
      <c r="N379" s="131"/>
      <c r="O379" s="131"/>
      <c r="P379" s="131"/>
      <c r="Q379" s="131"/>
      <c r="R379" s="131"/>
      <c r="S379" s="131"/>
      <c r="T379" s="131"/>
      <c r="U379" s="131"/>
      <c r="V379" s="131"/>
      <c r="W379" s="131"/>
      <c r="X379" s="131"/>
    </row>
    <row r="380" spans="1:24" ht="13.5" customHeight="1">
      <c r="A380" s="132"/>
      <c r="B380" s="131"/>
      <c r="C380" s="131"/>
      <c r="D380" s="132"/>
      <c r="E380" s="132"/>
      <c r="F380" s="132"/>
      <c r="G380" s="132"/>
      <c r="H380" s="132"/>
      <c r="I380" s="131"/>
      <c r="J380" s="131"/>
      <c r="K380" s="131"/>
      <c r="L380" s="131"/>
      <c r="M380" s="131"/>
      <c r="N380" s="131"/>
      <c r="O380" s="131"/>
      <c r="P380" s="131"/>
      <c r="Q380" s="131"/>
      <c r="R380" s="131"/>
      <c r="S380" s="131"/>
      <c r="T380" s="131"/>
      <c r="U380" s="131"/>
      <c r="V380" s="131"/>
      <c r="W380" s="131"/>
      <c r="X380" s="131"/>
    </row>
    <row r="381" spans="1:24" ht="13.5" customHeight="1">
      <c r="A381" s="132"/>
      <c r="B381" s="131"/>
      <c r="C381" s="131"/>
      <c r="D381" s="132"/>
      <c r="E381" s="132"/>
      <c r="F381" s="132"/>
      <c r="G381" s="132"/>
      <c r="H381" s="132"/>
      <c r="I381" s="131"/>
      <c r="J381" s="131"/>
      <c r="K381" s="131"/>
      <c r="L381" s="131"/>
      <c r="M381" s="131"/>
      <c r="N381" s="131"/>
      <c r="O381" s="131"/>
      <c r="P381" s="131"/>
      <c r="Q381" s="131"/>
      <c r="R381" s="131"/>
      <c r="S381" s="131"/>
      <c r="T381" s="131"/>
      <c r="U381" s="131"/>
      <c r="V381" s="131"/>
      <c r="W381" s="131"/>
      <c r="X381" s="131"/>
    </row>
    <row r="382" spans="1:24" ht="13.5" customHeight="1">
      <c r="A382" s="132"/>
      <c r="B382" s="131"/>
      <c r="C382" s="131"/>
      <c r="D382" s="132"/>
      <c r="E382" s="132"/>
      <c r="F382" s="132"/>
      <c r="G382" s="132"/>
      <c r="H382" s="132"/>
      <c r="I382" s="131"/>
      <c r="J382" s="131"/>
      <c r="K382" s="131"/>
      <c r="L382" s="131"/>
      <c r="M382" s="131"/>
      <c r="N382" s="131"/>
      <c r="O382" s="131"/>
      <c r="P382" s="131"/>
      <c r="Q382" s="131"/>
      <c r="R382" s="131"/>
      <c r="S382" s="131"/>
      <c r="T382" s="131"/>
      <c r="U382" s="131"/>
      <c r="V382" s="131"/>
      <c r="W382" s="131"/>
      <c r="X382" s="131"/>
    </row>
    <row r="383" spans="1:24" ht="13.5" customHeight="1">
      <c r="A383" s="132"/>
      <c r="B383" s="131"/>
      <c r="C383" s="131"/>
      <c r="D383" s="132"/>
      <c r="E383" s="132"/>
      <c r="F383" s="132"/>
      <c r="G383" s="132"/>
      <c r="H383" s="132"/>
      <c r="I383" s="131"/>
      <c r="J383" s="131"/>
      <c r="K383" s="131"/>
      <c r="L383" s="131"/>
      <c r="M383" s="131"/>
      <c r="N383" s="131"/>
      <c r="O383" s="131"/>
      <c r="P383" s="131"/>
      <c r="Q383" s="131"/>
      <c r="R383" s="131"/>
      <c r="S383" s="131"/>
      <c r="T383" s="131"/>
      <c r="U383" s="131"/>
      <c r="V383" s="131"/>
      <c r="W383" s="131"/>
      <c r="X383" s="131"/>
    </row>
    <row r="384" spans="1:24" ht="13.5" customHeight="1">
      <c r="A384" s="132"/>
      <c r="B384" s="131"/>
      <c r="C384" s="131"/>
      <c r="D384" s="132"/>
      <c r="E384" s="132"/>
      <c r="F384" s="132"/>
      <c r="G384" s="132"/>
      <c r="H384" s="132"/>
      <c r="I384" s="131"/>
      <c r="J384" s="131"/>
      <c r="K384" s="131"/>
      <c r="L384" s="131"/>
      <c r="M384" s="131"/>
      <c r="N384" s="131"/>
      <c r="O384" s="131"/>
      <c r="P384" s="131"/>
      <c r="Q384" s="131"/>
      <c r="R384" s="131"/>
      <c r="S384" s="131"/>
      <c r="T384" s="131"/>
      <c r="U384" s="131"/>
      <c r="V384" s="131"/>
      <c r="W384" s="131"/>
      <c r="X384" s="131"/>
    </row>
    <row r="385" spans="1:24" ht="13.5" customHeight="1">
      <c r="A385" s="132"/>
      <c r="B385" s="131"/>
      <c r="C385" s="131"/>
      <c r="D385" s="132"/>
      <c r="E385" s="132"/>
      <c r="F385" s="132"/>
      <c r="G385" s="132"/>
      <c r="H385" s="132"/>
      <c r="I385" s="131"/>
      <c r="J385" s="131"/>
      <c r="K385" s="131"/>
      <c r="L385" s="131"/>
      <c r="M385" s="131"/>
      <c r="N385" s="131"/>
      <c r="O385" s="131"/>
      <c r="P385" s="131"/>
      <c r="Q385" s="131"/>
      <c r="R385" s="131"/>
      <c r="S385" s="131"/>
      <c r="T385" s="131"/>
      <c r="U385" s="131"/>
      <c r="V385" s="131"/>
      <c r="W385" s="131"/>
      <c r="X385" s="131"/>
    </row>
    <row r="386" spans="1:24" ht="13.5" customHeight="1">
      <c r="A386" s="132"/>
      <c r="B386" s="131"/>
      <c r="C386" s="131"/>
      <c r="D386" s="132"/>
      <c r="E386" s="132"/>
      <c r="F386" s="132"/>
      <c r="G386" s="132"/>
      <c r="H386" s="132"/>
      <c r="I386" s="131"/>
      <c r="J386" s="131"/>
      <c r="K386" s="131"/>
      <c r="L386" s="131"/>
      <c r="M386" s="131"/>
      <c r="N386" s="131"/>
      <c r="O386" s="131"/>
      <c r="P386" s="131"/>
      <c r="Q386" s="131"/>
      <c r="R386" s="131"/>
      <c r="S386" s="131"/>
      <c r="T386" s="131"/>
      <c r="U386" s="131"/>
      <c r="V386" s="131"/>
      <c r="W386" s="131"/>
      <c r="X386" s="131"/>
    </row>
    <row r="387" spans="1:24" ht="13.5" customHeight="1">
      <c r="A387" s="132"/>
      <c r="B387" s="131"/>
      <c r="C387" s="131"/>
      <c r="D387" s="132"/>
      <c r="E387" s="132"/>
      <c r="F387" s="132"/>
      <c r="G387" s="132"/>
      <c r="H387" s="132"/>
      <c r="I387" s="131"/>
      <c r="J387" s="131"/>
      <c r="K387" s="131"/>
      <c r="L387" s="131"/>
      <c r="M387" s="131"/>
      <c r="N387" s="131"/>
      <c r="O387" s="131"/>
      <c r="P387" s="131"/>
      <c r="Q387" s="131"/>
      <c r="R387" s="131"/>
      <c r="S387" s="131"/>
      <c r="T387" s="131"/>
      <c r="U387" s="131"/>
      <c r="V387" s="131"/>
      <c r="W387" s="131"/>
      <c r="X387" s="131"/>
    </row>
    <row r="388" spans="1:24" ht="13.5" customHeight="1">
      <c r="A388" s="132"/>
      <c r="B388" s="131"/>
      <c r="C388" s="131"/>
      <c r="D388" s="132"/>
      <c r="E388" s="132"/>
      <c r="F388" s="132"/>
      <c r="G388" s="132"/>
      <c r="H388" s="132"/>
      <c r="I388" s="131"/>
      <c r="J388" s="131"/>
      <c r="K388" s="131"/>
      <c r="L388" s="131"/>
      <c r="M388" s="131"/>
      <c r="N388" s="131"/>
      <c r="O388" s="131"/>
      <c r="P388" s="131"/>
      <c r="Q388" s="131"/>
      <c r="R388" s="131"/>
      <c r="S388" s="131"/>
      <c r="T388" s="131"/>
      <c r="U388" s="131"/>
      <c r="V388" s="131"/>
      <c r="W388" s="131"/>
      <c r="X388" s="131"/>
    </row>
    <row r="389" spans="1:24" ht="13.5" customHeight="1">
      <c r="A389" s="132"/>
      <c r="B389" s="131"/>
      <c r="C389" s="131"/>
      <c r="D389" s="132"/>
      <c r="E389" s="132"/>
      <c r="F389" s="132"/>
      <c r="G389" s="132"/>
      <c r="H389" s="132"/>
      <c r="I389" s="131"/>
      <c r="J389" s="131"/>
      <c r="K389" s="131"/>
      <c r="L389" s="131"/>
      <c r="M389" s="131"/>
      <c r="N389" s="131"/>
      <c r="O389" s="131"/>
      <c r="P389" s="131"/>
      <c r="Q389" s="131"/>
      <c r="R389" s="131"/>
      <c r="S389" s="131"/>
      <c r="T389" s="131"/>
      <c r="U389" s="131"/>
      <c r="V389" s="131"/>
      <c r="W389" s="131"/>
      <c r="X389" s="131"/>
    </row>
    <row r="390" spans="1:24" ht="13.5" customHeight="1">
      <c r="A390" s="132"/>
      <c r="B390" s="131"/>
      <c r="C390" s="131"/>
      <c r="D390" s="132"/>
      <c r="E390" s="132"/>
      <c r="F390" s="132"/>
      <c r="G390" s="132"/>
      <c r="H390" s="132"/>
      <c r="I390" s="131"/>
      <c r="J390" s="131"/>
      <c r="K390" s="131"/>
      <c r="L390" s="131"/>
      <c r="M390" s="131"/>
      <c r="N390" s="131"/>
      <c r="O390" s="131"/>
      <c r="P390" s="131"/>
      <c r="Q390" s="131"/>
      <c r="R390" s="131"/>
      <c r="S390" s="131"/>
      <c r="T390" s="131"/>
      <c r="U390" s="131"/>
      <c r="V390" s="131"/>
      <c r="W390" s="131"/>
      <c r="X390" s="131"/>
    </row>
    <row r="391" spans="1:24" ht="13.5" customHeight="1">
      <c r="A391" s="132"/>
      <c r="B391" s="131"/>
      <c r="C391" s="131"/>
      <c r="D391" s="132"/>
      <c r="E391" s="132"/>
      <c r="F391" s="132"/>
      <c r="G391" s="132"/>
      <c r="H391" s="132"/>
      <c r="I391" s="131"/>
      <c r="J391" s="131"/>
      <c r="K391" s="131"/>
      <c r="L391" s="131"/>
      <c r="M391" s="131"/>
      <c r="N391" s="131"/>
      <c r="O391" s="131"/>
      <c r="P391" s="131"/>
      <c r="Q391" s="131"/>
      <c r="R391" s="131"/>
      <c r="S391" s="131"/>
      <c r="T391" s="131"/>
      <c r="U391" s="131"/>
      <c r="V391" s="131"/>
      <c r="W391" s="131"/>
      <c r="X391" s="131"/>
    </row>
    <row r="392" spans="1:24" ht="13.5" customHeight="1">
      <c r="A392" s="132"/>
      <c r="B392" s="131"/>
      <c r="C392" s="131"/>
      <c r="D392" s="132"/>
      <c r="E392" s="132"/>
      <c r="F392" s="132"/>
      <c r="G392" s="132"/>
      <c r="H392" s="132"/>
      <c r="I392" s="131"/>
      <c r="J392" s="131"/>
      <c r="K392" s="131"/>
      <c r="L392" s="131"/>
      <c r="M392" s="131"/>
      <c r="N392" s="131"/>
      <c r="O392" s="131"/>
      <c r="P392" s="131"/>
      <c r="Q392" s="131"/>
      <c r="R392" s="131"/>
      <c r="S392" s="131"/>
      <c r="T392" s="131"/>
      <c r="U392" s="131"/>
      <c r="V392" s="131"/>
      <c r="W392" s="131"/>
      <c r="X392" s="131"/>
    </row>
    <row r="393" spans="1:24" ht="13.5" customHeight="1">
      <c r="A393" s="132"/>
      <c r="B393" s="131"/>
      <c r="C393" s="131"/>
      <c r="D393" s="132"/>
      <c r="E393" s="132"/>
      <c r="F393" s="132"/>
      <c r="G393" s="132"/>
      <c r="H393" s="132"/>
      <c r="I393" s="131"/>
      <c r="J393" s="131"/>
      <c r="K393" s="131"/>
      <c r="L393" s="131"/>
      <c r="M393" s="131"/>
      <c r="N393" s="131"/>
      <c r="O393" s="131"/>
      <c r="P393" s="131"/>
      <c r="Q393" s="131"/>
      <c r="R393" s="131"/>
      <c r="S393" s="131"/>
      <c r="T393" s="131"/>
      <c r="U393" s="131"/>
      <c r="V393" s="131"/>
      <c r="W393" s="131"/>
      <c r="X393" s="131"/>
    </row>
    <row r="394" spans="1:24" ht="13.5" customHeight="1">
      <c r="A394" s="132"/>
      <c r="B394" s="131"/>
      <c r="C394" s="131"/>
      <c r="D394" s="132"/>
      <c r="E394" s="132"/>
      <c r="F394" s="132"/>
      <c r="G394" s="132"/>
      <c r="H394" s="132"/>
      <c r="I394" s="131"/>
      <c r="J394" s="131"/>
      <c r="K394" s="131"/>
      <c r="L394" s="131"/>
      <c r="M394" s="131"/>
      <c r="N394" s="131"/>
      <c r="O394" s="131"/>
      <c r="P394" s="131"/>
      <c r="Q394" s="131"/>
      <c r="R394" s="131"/>
      <c r="S394" s="131"/>
      <c r="T394" s="131"/>
      <c r="U394" s="131"/>
      <c r="V394" s="131"/>
      <c r="W394" s="131"/>
      <c r="X394" s="131"/>
    </row>
    <row r="395" spans="1:24" ht="13.5" customHeight="1">
      <c r="A395" s="132"/>
      <c r="B395" s="131"/>
      <c r="C395" s="131"/>
      <c r="D395" s="132"/>
      <c r="E395" s="132"/>
      <c r="F395" s="132"/>
      <c r="G395" s="132"/>
      <c r="H395" s="132"/>
      <c r="I395" s="131"/>
      <c r="J395" s="131"/>
      <c r="K395" s="131"/>
      <c r="L395" s="131"/>
      <c r="M395" s="131"/>
      <c r="N395" s="131"/>
      <c r="O395" s="131"/>
      <c r="P395" s="131"/>
      <c r="Q395" s="131"/>
      <c r="R395" s="131"/>
      <c r="S395" s="131"/>
      <c r="T395" s="131"/>
      <c r="U395" s="131"/>
      <c r="V395" s="131"/>
      <c r="W395" s="131"/>
      <c r="X395" s="131"/>
    </row>
    <row r="396" spans="1:24" ht="13.5" customHeight="1">
      <c r="A396" s="132"/>
      <c r="B396" s="131"/>
      <c r="C396" s="131"/>
      <c r="D396" s="132"/>
      <c r="E396" s="132"/>
      <c r="F396" s="132"/>
      <c r="G396" s="132"/>
      <c r="H396" s="132"/>
      <c r="I396" s="131"/>
      <c r="J396" s="131"/>
      <c r="K396" s="131"/>
      <c r="L396" s="131"/>
      <c r="M396" s="131"/>
      <c r="N396" s="131"/>
      <c r="O396" s="131"/>
      <c r="P396" s="131"/>
      <c r="Q396" s="131"/>
      <c r="R396" s="131"/>
      <c r="S396" s="131"/>
      <c r="T396" s="131"/>
      <c r="U396" s="131"/>
      <c r="V396" s="131"/>
      <c r="W396" s="131"/>
      <c r="X396" s="131"/>
    </row>
    <row r="397" spans="1:24" ht="13.5" customHeight="1">
      <c r="A397" s="132"/>
      <c r="B397" s="131"/>
      <c r="C397" s="131"/>
      <c r="D397" s="132"/>
      <c r="E397" s="132"/>
      <c r="F397" s="132"/>
      <c r="G397" s="132"/>
      <c r="H397" s="132"/>
      <c r="I397" s="131"/>
      <c r="J397" s="131"/>
      <c r="K397" s="131"/>
      <c r="L397" s="131"/>
      <c r="M397" s="131"/>
      <c r="N397" s="131"/>
      <c r="O397" s="131"/>
      <c r="P397" s="131"/>
      <c r="Q397" s="131"/>
      <c r="R397" s="131"/>
      <c r="S397" s="131"/>
      <c r="T397" s="131"/>
      <c r="U397" s="131"/>
      <c r="V397" s="131"/>
      <c r="W397" s="131"/>
      <c r="X397" s="131"/>
    </row>
    <row r="398" spans="1:24" ht="13.5" customHeight="1">
      <c r="A398" s="132"/>
      <c r="B398" s="131"/>
      <c r="C398" s="131"/>
      <c r="D398" s="132"/>
      <c r="E398" s="132"/>
      <c r="F398" s="132"/>
      <c r="G398" s="132"/>
      <c r="H398" s="132"/>
      <c r="I398" s="131"/>
      <c r="J398" s="131"/>
      <c r="K398" s="131"/>
      <c r="L398" s="131"/>
      <c r="M398" s="131"/>
      <c r="N398" s="131"/>
      <c r="O398" s="131"/>
      <c r="P398" s="131"/>
      <c r="Q398" s="131"/>
      <c r="R398" s="131"/>
      <c r="S398" s="131"/>
      <c r="T398" s="131"/>
      <c r="U398" s="131"/>
      <c r="V398" s="131"/>
      <c r="W398" s="131"/>
      <c r="X398" s="131"/>
    </row>
    <row r="399" spans="1:24" ht="13.5" customHeight="1">
      <c r="A399" s="132"/>
      <c r="B399" s="131"/>
      <c r="C399" s="131"/>
      <c r="D399" s="132"/>
      <c r="E399" s="132"/>
      <c r="F399" s="132"/>
      <c r="G399" s="132"/>
      <c r="H399" s="132"/>
      <c r="I399" s="131"/>
      <c r="J399" s="131"/>
      <c r="K399" s="131"/>
      <c r="L399" s="131"/>
      <c r="M399" s="131"/>
      <c r="N399" s="131"/>
      <c r="O399" s="131"/>
      <c r="P399" s="131"/>
      <c r="Q399" s="131"/>
      <c r="R399" s="131"/>
      <c r="S399" s="131"/>
      <c r="T399" s="131"/>
      <c r="U399" s="131"/>
      <c r="V399" s="131"/>
      <c r="W399" s="131"/>
      <c r="X399" s="131"/>
    </row>
    <row r="400" spans="1:24" ht="13.5" customHeight="1">
      <c r="A400" s="132"/>
      <c r="B400" s="131"/>
      <c r="C400" s="131"/>
      <c r="D400" s="132"/>
      <c r="E400" s="132"/>
      <c r="F400" s="132"/>
      <c r="G400" s="132"/>
      <c r="H400" s="132"/>
      <c r="I400" s="131"/>
      <c r="J400" s="131"/>
      <c r="K400" s="131"/>
      <c r="L400" s="131"/>
      <c r="M400" s="131"/>
      <c r="N400" s="131"/>
      <c r="O400" s="131"/>
      <c r="P400" s="131"/>
      <c r="Q400" s="131"/>
      <c r="R400" s="131"/>
      <c r="S400" s="131"/>
      <c r="T400" s="131"/>
      <c r="U400" s="131"/>
      <c r="V400" s="131"/>
      <c r="W400" s="131"/>
      <c r="X400" s="131"/>
    </row>
    <row r="401" spans="1:24" ht="13.5" customHeight="1">
      <c r="A401" s="132"/>
      <c r="B401" s="131"/>
      <c r="C401" s="131"/>
      <c r="D401" s="132"/>
      <c r="E401" s="132"/>
      <c r="F401" s="132"/>
      <c r="G401" s="132"/>
      <c r="H401" s="132"/>
      <c r="I401" s="131"/>
      <c r="J401" s="131"/>
      <c r="K401" s="131"/>
      <c r="L401" s="131"/>
      <c r="M401" s="131"/>
      <c r="N401" s="131"/>
      <c r="O401" s="131"/>
      <c r="P401" s="131"/>
      <c r="Q401" s="131"/>
      <c r="R401" s="131"/>
      <c r="S401" s="131"/>
      <c r="T401" s="131"/>
      <c r="U401" s="131"/>
      <c r="V401" s="131"/>
      <c r="W401" s="131"/>
      <c r="X401" s="131"/>
    </row>
    <row r="402" spans="1:24" ht="13.5" customHeight="1">
      <c r="A402" s="132"/>
      <c r="B402" s="131"/>
      <c r="C402" s="131"/>
      <c r="D402" s="132"/>
      <c r="E402" s="132"/>
      <c r="F402" s="132"/>
      <c r="G402" s="132"/>
      <c r="H402" s="132"/>
      <c r="I402" s="131"/>
      <c r="J402" s="131"/>
      <c r="K402" s="131"/>
      <c r="L402" s="131"/>
      <c r="M402" s="131"/>
      <c r="N402" s="131"/>
      <c r="O402" s="131"/>
      <c r="P402" s="131"/>
      <c r="Q402" s="131"/>
      <c r="R402" s="131"/>
      <c r="S402" s="131"/>
      <c r="T402" s="131"/>
      <c r="U402" s="131"/>
      <c r="V402" s="131"/>
      <c r="W402" s="131"/>
      <c r="X402" s="131"/>
    </row>
    <row r="403" spans="1:24" ht="13.5" customHeight="1">
      <c r="A403" s="132"/>
      <c r="B403" s="131"/>
      <c r="C403" s="131"/>
      <c r="D403" s="132"/>
      <c r="E403" s="132"/>
      <c r="F403" s="132"/>
      <c r="G403" s="132"/>
      <c r="H403" s="132"/>
      <c r="I403" s="131"/>
      <c r="J403" s="131"/>
      <c r="K403" s="131"/>
      <c r="L403" s="131"/>
      <c r="M403" s="131"/>
      <c r="N403" s="131"/>
      <c r="O403" s="131"/>
      <c r="P403" s="131"/>
      <c r="Q403" s="131"/>
      <c r="R403" s="131"/>
      <c r="S403" s="131"/>
      <c r="T403" s="131"/>
      <c r="U403" s="131"/>
      <c r="V403" s="131"/>
      <c r="W403" s="131"/>
      <c r="X403" s="131"/>
    </row>
    <row r="404" spans="1:24" ht="13.5" customHeight="1">
      <c r="A404" s="132"/>
      <c r="B404" s="131"/>
      <c r="C404" s="131"/>
      <c r="D404" s="132"/>
      <c r="E404" s="132"/>
      <c r="F404" s="132"/>
      <c r="G404" s="132"/>
      <c r="H404" s="132"/>
      <c r="I404" s="131"/>
      <c r="J404" s="131"/>
      <c r="K404" s="131"/>
      <c r="L404" s="131"/>
      <c r="M404" s="131"/>
      <c r="N404" s="131"/>
      <c r="O404" s="131"/>
      <c r="P404" s="131"/>
      <c r="Q404" s="131"/>
      <c r="R404" s="131"/>
      <c r="S404" s="131"/>
      <c r="T404" s="131"/>
      <c r="U404" s="131"/>
      <c r="V404" s="131"/>
      <c r="W404" s="131"/>
      <c r="X404" s="131"/>
    </row>
    <row r="405" spans="1:24" ht="13.5" customHeight="1">
      <c r="A405" s="132"/>
      <c r="B405" s="131"/>
      <c r="C405" s="131"/>
      <c r="D405" s="132"/>
      <c r="E405" s="132"/>
      <c r="F405" s="132"/>
      <c r="G405" s="132"/>
      <c r="H405" s="132"/>
      <c r="I405" s="131"/>
      <c r="J405" s="131"/>
      <c r="K405" s="131"/>
      <c r="L405" s="131"/>
      <c r="M405" s="131"/>
      <c r="N405" s="131"/>
      <c r="O405" s="131"/>
      <c r="P405" s="131"/>
      <c r="Q405" s="131"/>
      <c r="R405" s="131"/>
      <c r="S405" s="131"/>
      <c r="T405" s="131"/>
      <c r="U405" s="131"/>
      <c r="V405" s="131"/>
      <c r="W405" s="131"/>
      <c r="X405" s="131"/>
    </row>
    <row r="406" spans="1:24" ht="13.5" customHeight="1">
      <c r="A406" s="132"/>
      <c r="B406" s="131"/>
      <c r="C406" s="131"/>
      <c r="D406" s="132"/>
      <c r="E406" s="132"/>
      <c r="F406" s="132"/>
      <c r="G406" s="132"/>
      <c r="H406" s="132"/>
      <c r="I406" s="131"/>
      <c r="J406" s="131"/>
      <c r="K406" s="131"/>
      <c r="L406" s="131"/>
      <c r="M406" s="131"/>
      <c r="N406" s="131"/>
      <c r="O406" s="131"/>
      <c r="P406" s="131"/>
      <c r="Q406" s="131"/>
      <c r="R406" s="131"/>
      <c r="S406" s="131"/>
      <c r="T406" s="131"/>
      <c r="U406" s="131"/>
      <c r="V406" s="131"/>
      <c r="W406" s="131"/>
      <c r="X406" s="131"/>
    </row>
    <row r="407" spans="1:24" ht="13.5" customHeight="1">
      <c r="A407" s="132"/>
      <c r="B407" s="131"/>
      <c r="C407" s="131"/>
      <c r="D407" s="132"/>
      <c r="E407" s="132"/>
      <c r="F407" s="132"/>
      <c r="G407" s="132"/>
      <c r="H407" s="132"/>
      <c r="I407" s="131"/>
      <c r="J407" s="131"/>
      <c r="K407" s="131"/>
      <c r="L407" s="131"/>
      <c r="M407" s="131"/>
      <c r="N407" s="131"/>
      <c r="O407" s="131"/>
      <c r="P407" s="131"/>
      <c r="Q407" s="131"/>
      <c r="R407" s="131"/>
      <c r="S407" s="131"/>
      <c r="T407" s="131"/>
      <c r="U407" s="131"/>
      <c r="V407" s="131"/>
      <c r="W407" s="131"/>
      <c r="X407" s="131"/>
    </row>
    <row r="408" spans="1:24" ht="13.5" customHeight="1">
      <c r="A408" s="132"/>
      <c r="B408" s="131"/>
      <c r="C408" s="131"/>
      <c r="D408" s="132"/>
      <c r="E408" s="132"/>
      <c r="F408" s="132"/>
      <c r="G408" s="132"/>
      <c r="H408" s="132"/>
      <c r="I408" s="131"/>
      <c r="J408" s="131"/>
      <c r="K408" s="131"/>
      <c r="L408" s="131"/>
      <c r="M408" s="131"/>
      <c r="N408" s="131"/>
      <c r="O408" s="131"/>
      <c r="P408" s="131"/>
      <c r="Q408" s="131"/>
      <c r="R408" s="131"/>
      <c r="S408" s="131"/>
      <c r="T408" s="131"/>
      <c r="U408" s="131"/>
      <c r="V408" s="131"/>
      <c r="W408" s="131"/>
      <c r="X408" s="131"/>
    </row>
    <row r="409" spans="1:24" ht="13.5" customHeight="1">
      <c r="A409" s="132"/>
      <c r="B409" s="131"/>
      <c r="C409" s="131"/>
      <c r="D409" s="132"/>
      <c r="E409" s="132"/>
      <c r="F409" s="132"/>
      <c r="G409" s="132"/>
      <c r="H409" s="132"/>
      <c r="I409" s="131"/>
      <c r="J409" s="131"/>
      <c r="K409" s="131"/>
      <c r="L409" s="131"/>
      <c r="M409" s="131"/>
      <c r="N409" s="131"/>
      <c r="O409" s="131"/>
      <c r="P409" s="131"/>
      <c r="Q409" s="131"/>
      <c r="R409" s="131"/>
      <c r="S409" s="131"/>
      <c r="T409" s="131"/>
      <c r="U409" s="131"/>
      <c r="V409" s="131"/>
      <c r="W409" s="131"/>
      <c r="X409" s="131"/>
    </row>
    <row r="410" spans="1:24" ht="13.5" customHeight="1">
      <c r="A410" s="132"/>
      <c r="B410" s="131"/>
      <c r="C410" s="131"/>
      <c r="D410" s="132"/>
      <c r="E410" s="132"/>
      <c r="F410" s="132"/>
      <c r="G410" s="132"/>
      <c r="H410" s="132"/>
      <c r="I410" s="131"/>
      <c r="J410" s="131"/>
      <c r="K410" s="131"/>
      <c r="L410" s="131"/>
      <c r="M410" s="131"/>
      <c r="N410" s="131"/>
      <c r="O410" s="131"/>
      <c r="P410" s="131"/>
      <c r="Q410" s="131"/>
      <c r="R410" s="131"/>
      <c r="S410" s="131"/>
      <c r="T410" s="131"/>
      <c r="U410" s="131"/>
      <c r="V410" s="131"/>
      <c r="W410" s="131"/>
      <c r="X410" s="131"/>
    </row>
    <row r="411" spans="1:24" ht="13.5" customHeight="1">
      <c r="A411" s="132"/>
      <c r="B411" s="131"/>
      <c r="C411" s="131"/>
      <c r="D411" s="132"/>
      <c r="E411" s="132"/>
      <c r="F411" s="132"/>
      <c r="G411" s="132"/>
      <c r="H411" s="132"/>
      <c r="I411" s="131"/>
      <c r="J411" s="131"/>
      <c r="K411" s="131"/>
      <c r="L411" s="131"/>
      <c r="M411" s="131"/>
      <c r="N411" s="131"/>
      <c r="O411" s="131"/>
      <c r="P411" s="131"/>
      <c r="Q411" s="131"/>
      <c r="R411" s="131"/>
      <c r="S411" s="131"/>
      <c r="T411" s="131"/>
      <c r="U411" s="131"/>
      <c r="V411" s="131"/>
      <c r="W411" s="131"/>
      <c r="X411" s="131"/>
    </row>
    <row r="412" spans="1:24" ht="13.5" customHeight="1">
      <c r="A412" s="132"/>
      <c r="B412" s="131"/>
      <c r="C412" s="131"/>
      <c r="D412" s="132"/>
      <c r="E412" s="132"/>
      <c r="F412" s="132"/>
      <c r="G412" s="132"/>
      <c r="H412" s="132"/>
      <c r="I412" s="131"/>
      <c r="J412" s="131"/>
      <c r="K412" s="131"/>
      <c r="L412" s="131"/>
      <c r="M412" s="131"/>
      <c r="N412" s="131"/>
      <c r="O412" s="131"/>
      <c r="P412" s="131"/>
      <c r="Q412" s="131"/>
      <c r="R412" s="131"/>
      <c r="S412" s="131"/>
      <c r="T412" s="131"/>
      <c r="U412" s="131"/>
      <c r="V412" s="131"/>
      <c r="W412" s="131"/>
      <c r="X412" s="131"/>
    </row>
    <row r="413" spans="1:24" ht="13.5" customHeight="1">
      <c r="A413" s="132"/>
      <c r="B413" s="131"/>
      <c r="C413" s="131"/>
      <c r="D413" s="132"/>
      <c r="E413" s="132"/>
      <c r="F413" s="132"/>
      <c r="G413" s="132"/>
      <c r="H413" s="132"/>
      <c r="I413" s="131"/>
      <c r="J413" s="131"/>
      <c r="K413" s="131"/>
      <c r="L413" s="131"/>
      <c r="M413" s="131"/>
      <c r="N413" s="131"/>
      <c r="O413" s="131"/>
      <c r="P413" s="131"/>
      <c r="Q413" s="131"/>
      <c r="R413" s="131"/>
      <c r="S413" s="131"/>
      <c r="T413" s="131"/>
      <c r="U413" s="131"/>
      <c r="V413" s="131"/>
      <c r="W413" s="131"/>
      <c r="X413" s="131"/>
    </row>
    <row r="414" spans="1:24" ht="13.5" customHeight="1">
      <c r="A414" s="132"/>
      <c r="B414" s="131"/>
      <c r="C414" s="131"/>
      <c r="D414" s="132"/>
      <c r="E414" s="132"/>
      <c r="F414" s="132"/>
      <c r="G414" s="132"/>
      <c r="H414" s="132"/>
      <c r="I414" s="131"/>
      <c r="J414" s="131"/>
      <c r="K414" s="131"/>
      <c r="L414" s="131"/>
      <c r="M414" s="131"/>
      <c r="N414" s="131"/>
      <c r="O414" s="131"/>
      <c r="P414" s="131"/>
      <c r="Q414" s="131"/>
      <c r="R414" s="131"/>
      <c r="S414" s="131"/>
      <c r="T414" s="131"/>
      <c r="U414" s="131"/>
      <c r="V414" s="131"/>
      <c r="W414" s="131"/>
      <c r="X414" s="131"/>
    </row>
    <row r="415" spans="1:24" ht="13.5" customHeight="1">
      <c r="A415" s="132"/>
      <c r="B415" s="131"/>
      <c r="C415" s="131"/>
      <c r="D415" s="132"/>
      <c r="E415" s="132"/>
      <c r="F415" s="132"/>
      <c r="G415" s="132"/>
      <c r="H415" s="132"/>
      <c r="I415" s="131"/>
      <c r="J415" s="131"/>
      <c r="K415" s="131"/>
      <c r="L415" s="131"/>
      <c r="M415" s="131"/>
      <c r="N415" s="131"/>
      <c r="O415" s="131"/>
      <c r="P415" s="131"/>
      <c r="Q415" s="131"/>
      <c r="R415" s="131"/>
      <c r="S415" s="131"/>
      <c r="T415" s="131"/>
      <c r="U415" s="131"/>
      <c r="V415" s="131"/>
      <c r="W415" s="131"/>
      <c r="X415" s="131"/>
    </row>
    <row r="416" spans="1:24" ht="13.5" customHeight="1">
      <c r="A416" s="132"/>
      <c r="B416" s="131"/>
      <c r="C416" s="131"/>
      <c r="D416" s="132"/>
      <c r="E416" s="132"/>
      <c r="F416" s="132"/>
      <c r="G416" s="132"/>
      <c r="H416" s="132"/>
      <c r="I416" s="131"/>
      <c r="J416" s="131"/>
      <c r="K416" s="131"/>
      <c r="L416" s="131"/>
      <c r="M416" s="131"/>
      <c r="N416" s="131"/>
      <c r="O416" s="131"/>
      <c r="P416" s="131"/>
      <c r="Q416" s="131"/>
      <c r="R416" s="131"/>
      <c r="S416" s="131"/>
      <c r="T416" s="131"/>
      <c r="U416" s="131"/>
      <c r="V416" s="131"/>
      <c r="W416" s="131"/>
      <c r="X416" s="131"/>
    </row>
    <row r="417" spans="1:24" ht="13.5" customHeight="1">
      <c r="A417" s="132"/>
      <c r="B417" s="131"/>
      <c r="C417" s="131"/>
      <c r="D417" s="132"/>
      <c r="E417" s="132"/>
      <c r="F417" s="132"/>
      <c r="G417" s="132"/>
      <c r="H417" s="132"/>
      <c r="I417" s="131"/>
      <c r="J417" s="131"/>
      <c r="K417" s="131"/>
      <c r="L417" s="131"/>
      <c r="M417" s="131"/>
      <c r="N417" s="131"/>
      <c r="O417" s="131"/>
      <c r="P417" s="131"/>
      <c r="Q417" s="131"/>
      <c r="R417" s="131"/>
      <c r="S417" s="131"/>
      <c r="T417" s="131"/>
      <c r="U417" s="131"/>
      <c r="V417" s="131"/>
      <c r="W417" s="131"/>
      <c r="X417" s="131"/>
    </row>
    <row r="418" spans="1:24" ht="13.5" customHeight="1">
      <c r="A418" s="132"/>
      <c r="B418" s="131"/>
      <c r="C418" s="131"/>
      <c r="D418" s="132"/>
      <c r="E418" s="132"/>
      <c r="F418" s="132"/>
      <c r="G418" s="132"/>
      <c r="H418" s="132"/>
      <c r="I418" s="131"/>
      <c r="J418" s="131"/>
      <c r="K418" s="131"/>
      <c r="L418" s="131"/>
      <c r="M418" s="131"/>
      <c r="N418" s="131"/>
      <c r="O418" s="131"/>
      <c r="P418" s="131"/>
      <c r="Q418" s="131"/>
      <c r="R418" s="131"/>
      <c r="S418" s="131"/>
      <c r="T418" s="131"/>
      <c r="U418" s="131"/>
      <c r="V418" s="131"/>
      <c r="W418" s="131"/>
      <c r="X418" s="131"/>
    </row>
    <row r="419" spans="1:24" ht="13.5" customHeight="1">
      <c r="A419" s="132"/>
      <c r="B419" s="131"/>
      <c r="C419" s="131"/>
      <c r="D419" s="132"/>
      <c r="E419" s="132"/>
      <c r="F419" s="132"/>
      <c r="G419" s="132"/>
      <c r="H419" s="132"/>
      <c r="I419" s="131"/>
      <c r="J419" s="131"/>
      <c r="K419" s="131"/>
      <c r="L419" s="131"/>
      <c r="M419" s="131"/>
      <c r="N419" s="131"/>
      <c r="O419" s="131"/>
      <c r="P419" s="131"/>
      <c r="Q419" s="131"/>
      <c r="R419" s="131"/>
      <c r="S419" s="131"/>
      <c r="T419" s="131"/>
      <c r="U419" s="131"/>
      <c r="V419" s="131"/>
      <c r="W419" s="131"/>
      <c r="X419" s="131"/>
    </row>
    <row r="420" spans="1:24" ht="13.5" customHeight="1">
      <c r="A420" s="132"/>
      <c r="B420" s="131"/>
      <c r="C420" s="131"/>
      <c r="D420" s="132"/>
      <c r="E420" s="132"/>
      <c r="F420" s="132"/>
      <c r="G420" s="132"/>
      <c r="H420" s="132"/>
      <c r="I420" s="131"/>
      <c r="J420" s="131"/>
      <c r="K420" s="131"/>
      <c r="L420" s="131"/>
      <c r="M420" s="131"/>
      <c r="N420" s="131"/>
      <c r="O420" s="131"/>
      <c r="P420" s="131"/>
      <c r="Q420" s="131"/>
      <c r="R420" s="131"/>
      <c r="S420" s="131"/>
      <c r="T420" s="131"/>
      <c r="U420" s="131"/>
      <c r="V420" s="131"/>
      <c r="W420" s="131"/>
      <c r="X420" s="131"/>
    </row>
    <row r="421" spans="1:24" ht="13.5" customHeight="1">
      <c r="A421" s="132"/>
      <c r="B421" s="131"/>
      <c r="C421" s="131"/>
      <c r="D421" s="132"/>
      <c r="E421" s="132"/>
      <c r="F421" s="132"/>
      <c r="G421" s="132"/>
      <c r="H421" s="132"/>
      <c r="I421" s="131"/>
      <c r="J421" s="131"/>
      <c r="K421" s="131"/>
      <c r="L421" s="131"/>
      <c r="M421" s="131"/>
      <c r="N421" s="131"/>
      <c r="O421" s="131"/>
      <c r="P421" s="131"/>
      <c r="Q421" s="131"/>
      <c r="R421" s="131"/>
      <c r="S421" s="131"/>
      <c r="T421" s="131"/>
      <c r="U421" s="131"/>
      <c r="V421" s="131"/>
      <c r="W421" s="131"/>
      <c r="X421" s="131"/>
    </row>
    <row r="422" spans="1:24" ht="13.5" customHeight="1">
      <c r="A422" s="132"/>
      <c r="B422" s="131"/>
      <c r="C422" s="131"/>
      <c r="D422" s="132"/>
      <c r="E422" s="132"/>
      <c r="F422" s="132"/>
      <c r="G422" s="132"/>
      <c r="H422" s="132"/>
      <c r="I422" s="131"/>
      <c r="J422" s="131"/>
      <c r="K422" s="131"/>
      <c r="L422" s="131"/>
      <c r="M422" s="131"/>
      <c r="N422" s="131"/>
      <c r="O422" s="131"/>
      <c r="P422" s="131"/>
      <c r="Q422" s="131"/>
      <c r="R422" s="131"/>
      <c r="S422" s="131"/>
      <c r="T422" s="131"/>
      <c r="U422" s="131"/>
      <c r="V422" s="131"/>
      <c r="W422" s="131"/>
      <c r="X422" s="131"/>
    </row>
    <row r="423" spans="1:24" ht="13.5" customHeight="1">
      <c r="A423" s="132"/>
      <c r="B423" s="131"/>
      <c r="C423" s="131"/>
      <c r="D423" s="132"/>
      <c r="E423" s="132"/>
      <c r="F423" s="132"/>
      <c r="G423" s="132"/>
      <c r="H423" s="132"/>
      <c r="I423" s="131"/>
      <c r="J423" s="131"/>
      <c r="K423" s="131"/>
      <c r="L423" s="131"/>
      <c r="M423" s="131"/>
      <c r="N423" s="131"/>
      <c r="O423" s="131"/>
      <c r="P423" s="131"/>
      <c r="Q423" s="131"/>
      <c r="R423" s="131"/>
      <c r="S423" s="131"/>
      <c r="T423" s="131"/>
      <c r="U423" s="131"/>
      <c r="V423" s="131"/>
      <c r="W423" s="131"/>
      <c r="X423" s="131"/>
    </row>
    <row r="424" spans="1:24" ht="13.5" customHeight="1">
      <c r="A424" s="132"/>
      <c r="B424" s="131"/>
      <c r="C424" s="131"/>
      <c r="D424" s="132"/>
      <c r="E424" s="132"/>
      <c r="F424" s="132"/>
      <c r="G424" s="132"/>
      <c r="H424" s="132"/>
      <c r="I424" s="131"/>
      <c r="J424" s="131"/>
      <c r="K424" s="131"/>
      <c r="L424" s="131"/>
      <c r="M424" s="131"/>
      <c r="N424" s="131"/>
      <c r="O424" s="131"/>
      <c r="P424" s="131"/>
      <c r="Q424" s="131"/>
      <c r="R424" s="131"/>
      <c r="S424" s="131"/>
      <c r="T424" s="131"/>
      <c r="U424" s="131"/>
      <c r="V424" s="131"/>
      <c r="W424" s="131"/>
      <c r="X424" s="131"/>
    </row>
    <row r="425" spans="1:24" ht="13.5" customHeight="1">
      <c r="A425" s="132"/>
      <c r="B425" s="131"/>
      <c r="C425" s="131"/>
      <c r="D425" s="132"/>
      <c r="E425" s="132"/>
      <c r="F425" s="132"/>
      <c r="G425" s="132"/>
      <c r="H425" s="132"/>
      <c r="I425" s="131"/>
      <c r="J425" s="131"/>
      <c r="K425" s="131"/>
      <c r="L425" s="131"/>
      <c r="M425" s="131"/>
      <c r="N425" s="131"/>
      <c r="O425" s="131"/>
      <c r="P425" s="131"/>
      <c r="Q425" s="131"/>
      <c r="R425" s="131"/>
      <c r="S425" s="131"/>
      <c r="T425" s="131"/>
      <c r="U425" s="131"/>
      <c r="V425" s="131"/>
      <c r="W425" s="131"/>
      <c r="X425" s="131"/>
    </row>
    <row r="426" spans="1:24" ht="13.5" customHeight="1">
      <c r="A426" s="132"/>
      <c r="B426" s="131"/>
      <c r="C426" s="131"/>
      <c r="D426" s="132"/>
      <c r="E426" s="132"/>
      <c r="F426" s="132"/>
      <c r="G426" s="132"/>
      <c r="H426" s="132"/>
      <c r="I426" s="131"/>
      <c r="J426" s="131"/>
      <c r="K426" s="131"/>
      <c r="L426" s="131"/>
      <c r="M426" s="131"/>
      <c r="N426" s="131"/>
      <c r="O426" s="131"/>
      <c r="P426" s="131"/>
      <c r="Q426" s="131"/>
      <c r="R426" s="131"/>
      <c r="S426" s="131"/>
      <c r="T426" s="131"/>
      <c r="U426" s="131"/>
      <c r="V426" s="131"/>
      <c r="W426" s="131"/>
      <c r="X426" s="131"/>
    </row>
    <row r="427" spans="1:24" ht="13.5" customHeight="1">
      <c r="A427" s="132"/>
      <c r="B427" s="131"/>
      <c r="C427" s="131"/>
      <c r="D427" s="132"/>
      <c r="E427" s="132"/>
      <c r="F427" s="132"/>
      <c r="G427" s="132"/>
      <c r="H427" s="132"/>
      <c r="I427" s="131"/>
      <c r="J427" s="131"/>
      <c r="K427" s="131"/>
      <c r="L427" s="131"/>
      <c r="M427" s="131"/>
      <c r="N427" s="131"/>
      <c r="O427" s="131"/>
      <c r="P427" s="131"/>
      <c r="Q427" s="131"/>
      <c r="R427" s="131"/>
      <c r="S427" s="131"/>
      <c r="T427" s="131"/>
      <c r="U427" s="131"/>
      <c r="V427" s="131"/>
      <c r="W427" s="131"/>
      <c r="X427" s="131"/>
    </row>
    <row r="428" spans="1:24" ht="13.5" customHeight="1">
      <c r="A428" s="132"/>
      <c r="B428" s="131"/>
      <c r="C428" s="131"/>
      <c r="D428" s="132"/>
      <c r="E428" s="132"/>
      <c r="F428" s="132"/>
      <c r="G428" s="132"/>
      <c r="H428" s="132"/>
      <c r="I428" s="131"/>
      <c r="J428" s="131"/>
      <c r="K428" s="131"/>
      <c r="L428" s="131"/>
      <c r="M428" s="131"/>
      <c r="N428" s="131"/>
      <c r="O428" s="131"/>
      <c r="P428" s="131"/>
      <c r="Q428" s="131"/>
      <c r="R428" s="131"/>
      <c r="S428" s="131"/>
      <c r="T428" s="131"/>
      <c r="U428" s="131"/>
      <c r="V428" s="131"/>
      <c r="W428" s="131"/>
      <c r="X428" s="131"/>
    </row>
    <row r="429" spans="1:24" ht="13.5" customHeight="1">
      <c r="A429" s="132"/>
      <c r="B429" s="131"/>
      <c r="C429" s="131"/>
      <c r="D429" s="132"/>
      <c r="E429" s="132"/>
      <c r="F429" s="132"/>
      <c r="G429" s="132"/>
      <c r="H429" s="132"/>
      <c r="I429" s="131"/>
      <c r="J429" s="131"/>
      <c r="K429" s="131"/>
      <c r="L429" s="131"/>
      <c r="M429" s="131"/>
      <c r="N429" s="131"/>
      <c r="O429" s="131"/>
      <c r="P429" s="131"/>
      <c r="Q429" s="131"/>
      <c r="R429" s="131"/>
      <c r="S429" s="131"/>
      <c r="T429" s="131"/>
      <c r="U429" s="131"/>
      <c r="V429" s="131"/>
      <c r="W429" s="131"/>
      <c r="X429" s="131"/>
    </row>
    <row r="430" spans="1:24" ht="13.5" customHeight="1">
      <c r="A430" s="132"/>
      <c r="B430" s="131"/>
      <c r="C430" s="131"/>
      <c r="D430" s="132"/>
      <c r="E430" s="132"/>
      <c r="F430" s="132"/>
      <c r="G430" s="132"/>
      <c r="H430" s="132"/>
      <c r="I430" s="131"/>
      <c r="J430" s="131"/>
      <c r="K430" s="131"/>
      <c r="L430" s="131"/>
      <c r="M430" s="131"/>
      <c r="N430" s="131"/>
      <c r="O430" s="131"/>
      <c r="P430" s="131"/>
      <c r="Q430" s="131"/>
      <c r="R430" s="131"/>
      <c r="S430" s="131"/>
      <c r="T430" s="131"/>
      <c r="U430" s="131"/>
      <c r="V430" s="131"/>
      <c r="W430" s="131"/>
      <c r="X430" s="131"/>
    </row>
    <row r="431" spans="1:24" ht="13.5" customHeight="1">
      <c r="A431" s="132"/>
      <c r="B431" s="131"/>
      <c r="C431" s="131"/>
      <c r="D431" s="132"/>
      <c r="E431" s="132"/>
      <c r="F431" s="132"/>
      <c r="G431" s="132"/>
      <c r="H431" s="132"/>
      <c r="I431" s="131"/>
      <c r="J431" s="131"/>
      <c r="K431" s="131"/>
      <c r="L431" s="131"/>
      <c r="M431" s="131"/>
      <c r="N431" s="131"/>
      <c r="O431" s="131"/>
      <c r="P431" s="131"/>
      <c r="Q431" s="131"/>
      <c r="R431" s="131"/>
      <c r="S431" s="131"/>
      <c r="T431" s="131"/>
      <c r="U431" s="131"/>
      <c r="V431" s="131"/>
      <c r="W431" s="131"/>
      <c r="X431" s="131"/>
    </row>
    <row r="432" spans="1:24" ht="13.5" customHeight="1">
      <c r="A432" s="132"/>
      <c r="B432" s="131"/>
      <c r="C432" s="131"/>
      <c r="D432" s="132"/>
      <c r="E432" s="132"/>
      <c r="F432" s="132"/>
      <c r="G432" s="132"/>
      <c r="H432" s="132"/>
      <c r="I432" s="131"/>
      <c r="J432" s="131"/>
      <c r="K432" s="131"/>
      <c r="L432" s="131"/>
      <c r="M432" s="131"/>
      <c r="N432" s="131"/>
      <c r="O432" s="131"/>
      <c r="P432" s="131"/>
      <c r="Q432" s="131"/>
      <c r="R432" s="131"/>
      <c r="S432" s="131"/>
      <c r="T432" s="131"/>
      <c r="U432" s="131"/>
      <c r="V432" s="131"/>
      <c r="W432" s="131"/>
      <c r="X432" s="131"/>
    </row>
    <row r="433" spans="1:24" ht="13.5" customHeight="1">
      <c r="A433" s="132"/>
      <c r="B433" s="131"/>
      <c r="C433" s="131"/>
      <c r="D433" s="132"/>
      <c r="E433" s="132"/>
      <c r="F433" s="132"/>
      <c r="G433" s="132"/>
      <c r="H433" s="132"/>
      <c r="I433" s="131"/>
      <c r="J433" s="131"/>
      <c r="K433" s="131"/>
      <c r="L433" s="131"/>
      <c r="M433" s="131"/>
      <c r="N433" s="131"/>
      <c r="O433" s="131"/>
      <c r="P433" s="131"/>
      <c r="Q433" s="131"/>
      <c r="R433" s="131"/>
      <c r="S433" s="131"/>
      <c r="T433" s="131"/>
      <c r="U433" s="131"/>
      <c r="V433" s="131"/>
      <c r="W433" s="131"/>
      <c r="X433" s="131"/>
    </row>
    <row r="434" spans="1:24" ht="13.5" customHeight="1">
      <c r="A434" s="132"/>
      <c r="B434" s="131"/>
      <c r="C434" s="131"/>
      <c r="D434" s="132"/>
      <c r="E434" s="132"/>
      <c r="F434" s="132"/>
      <c r="G434" s="132"/>
      <c r="H434" s="132"/>
      <c r="I434" s="131"/>
      <c r="J434" s="131"/>
      <c r="K434" s="131"/>
      <c r="L434" s="131"/>
      <c r="M434" s="131"/>
      <c r="N434" s="131"/>
      <c r="O434" s="131"/>
      <c r="P434" s="131"/>
      <c r="Q434" s="131"/>
      <c r="R434" s="131"/>
      <c r="S434" s="131"/>
      <c r="T434" s="131"/>
      <c r="U434" s="131"/>
      <c r="V434" s="131"/>
      <c r="W434" s="131"/>
      <c r="X434" s="131"/>
    </row>
    <row r="435" spans="1:24" ht="13.5" customHeight="1">
      <c r="A435" s="132"/>
      <c r="B435" s="131"/>
      <c r="C435" s="131"/>
      <c r="D435" s="132"/>
      <c r="E435" s="132"/>
      <c r="F435" s="132"/>
      <c r="G435" s="132"/>
      <c r="H435" s="132"/>
      <c r="I435" s="131"/>
      <c r="J435" s="131"/>
      <c r="K435" s="131"/>
      <c r="L435" s="131"/>
      <c r="M435" s="131"/>
      <c r="N435" s="131"/>
      <c r="O435" s="131"/>
      <c r="P435" s="131"/>
      <c r="Q435" s="131"/>
      <c r="R435" s="131"/>
      <c r="S435" s="131"/>
      <c r="T435" s="131"/>
      <c r="U435" s="131"/>
      <c r="V435" s="131"/>
      <c r="W435" s="131"/>
      <c r="X435" s="131"/>
    </row>
    <row r="436" spans="1:24" ht="13.5" customHeight="1">
      <c r="A436" s="132"/>
      <c r="B436" s="131"/>
      <c r="C436" s="131"/>
      <c r="D436" s="132"/>
      <c r="E436" s="132"/>
      <c r="F436" s="132"/>
      <c r="G436" s="132"/>
      <c r="H436" s="132"/>
      <c r="I436" s="131"/>
      <c r="J436" s="131"/>
      <c r="K436" s="131"/>
      <c r="L436" s="131"/>
      <c r="M436" s="131"/>
      <c r="N436" s="131"/>
      <c r="O436" s="131"/>
      <c r="P436" s="131"/>
      <c r="Q436" s="131"/>
      <c r="R436" s="131"/>
      <c r="S436" s="131"/>
      <c r="T436" s="131"/>
      <c r="U436" s="131"/>
      <c r="V436" s="131"/>
      <c r="W436" s="131"/>
      <c r="X436" s="131"/>
    </row>
    <row r="437" spans="1:24" ht="13.5" customHeight="1">
      <c r="A437" s="132"/>
      <c r="B437" s="131"/>
      <c r="C437" s="131"/>
      <c r="D437" s="132"/>
      <c r="E437" s="132"/>
      <c r="F437" s="132"/>
      <c r="G437" s="132"/>
      <c r="H437" s="132"/>
      <c r="I437" s="131"/>
      <c r="J437" s="131"/>
      <c r="K437" s="131"/>
      <c r="L437" s="131"/>
      <c r="M437" s="131"/>
      <c r="N437" s="131"/>
      <c r="O437" s="131"/>
      <c r="P437" s="131"/>
      <c r="Q437" s="131"/>
      <c r="R437" s="131"/>
      <c r="S437" s="131"/>
      <c r="T437" s="131"/>
      <c r="U437" s="131"/>
      <c r="V437" s="131"/>
      <c r="W437" s="131"/>
      <c r="X437" s="131"/>
    </row>
    <row r="438" spans="1:24" ht="13.5" customHeight="1">
      <c r="A438" s="132"/>
      <c r="B438" s="131"/>
      <c r="C438" s="131"/>
      <c r="D438" s="132"/>
      <c r="E438" s="132"/>
      <c r="F438" s="132"/>
      <c r="G438" s="132"/>
      <c r="H438" s="132"/>
      <c r="I438" s="131"/>
      <c r="J438" s="131"/>
      <c r="K438" s="131"/>
      <c r="L438" s="131"/>
      <c r="M438" s="131"/>
      <c r="N438" s="131"/>
      <c r="O438" s="131"/>
      <c r="P438" s="131"/>
      <c r="Q438" s="131"/>
      <c r="R438" s="131"/>
      <c r="S438" s="131"/>
      <c r="T438" s="131"/>
      <c r="U438" s="131"/>
      <c r="V438" s="131"/>
      <c r="W438" s="131"/>
      <c r="X438" s="131"/>
    </row>
    <row r="439" spans="1:24" ht="13.5" customHeight="1">
      <c r="A439" s="132"/>
      <c r="B439" s="131"/>
      <c r="C439" s="131"/>
      <c r="D439" s="132"/>
      <c r="E439" s="132"/>
      <c r="F439" s="132"/>
      <c r="G439" s="132"/>
      <c r="H439" s="132"/>
      <c r="I439" s="131"/>
      <c r="J439" s="131"/>
      <c r="K439" s="131"/>
      <c r="L439" s="131"/>
      <c r="M439" s="131"/>
      <c r="N439" s="131"/>
      <c r="O439" s="131"/>
      <c r="P439" s="131"/>
      <c r="Q439" s="131"/>
      <c r="R439" s="131"/>
      <c r="S439" s="131"/>
      <c r="T439" s="131"/>
      <c r="U439" s="131"/>
      <c r="V439" s="131"/>
      <c r="W439" s="131"/>
      <c r="X439" s="131"/>
    </row>
    <row r="440" spans="1:24" ht="13.5" customHeight="1">
      <c r="A440" s="132"/>
      <c r="B440" s="131"/>
      <c r="C440" s="131"/>
      <c r="D440" s="132"/>
      <c r="E440" s="132"/>
      <c r="F440" s="132"/>
      <c r="G440" s="132"/>
      <c r="H440" s="132"/>
      <c r="I440" s="131"/>
      <c r="J440" s="131"/>
      <c r="K440" s="131"/>
      <c r="L440" s="131"/>
      <c r="M440" s="131"/>
      <c r="N440" s="131"/>
      <c r="O440" s="131"/>
      <c r="P440" s="131"/>
      <c r="Q440" s="131"/>
      <c r="R440" s="131"/>
      <c r="S440" s="131"/>
      <c r="T440" s="131"/>
      <c r="U440" s="131"/>
      <c r="V440" s="131"/>
      <c r="W440" s="131"/>
      <c r="X440" s="131"/>
    </row>
    <row r="441" spans="1:24" ht="13.5" customHeight="1">
      <c r="A441" s="132"/>
      <c r="B441" s="131"/>
      <c r="C441" s="131"/>
      <c r="D441" s="132"/>
      <c r="E441" s="132"/>
      <c r="F441" s="132"/>
      <c r="G441" s="132"/>
      <c r="H441" s="132"/>
      <c r="I441" s="131"/>
      <c r="J441" s="131"/>
      <c r="K441" s="131"/>
      <c r="L441" s="131"/>
      <c r="M441" s="131"/>
      <c r="N441" s="131"/>
      <c r="O441" s="131"/>
      <c r="P441" s="131"/>
      <c r="Q441" s="131"/>
      <c r="R441" s="131"/>
      <c r="S441" s="131"/>
      <c r="T441" s="131"/>
      <c r="U441" s="131"/>
      <c r="V441" s="131"/>
      <c r="W441" s="131"/>
      <c r="X441" s="131"/>
    </row>
    <row r="442" spans="1:24" ht="13.5" customHeight="1">
      <c r="A442" s="132"/>
      <c r="B442" s="131"/>
      <c r="C442" s="131"/>
      <c r="D442" s="132"/>
      <c r="E442" s="132"/>
      <c r="F442" s="132"/>
      <c r="G442" s="132"/>
      <c r="H442" s="132"/>
      <c r="I442" s="131"/>
      <c r="J442" s="131"/>
      <c r="K442" s="131"/>
      <c r="L442" s="131"/>
      <c r="M442" s="131"/>
      <c r="N442" s="131"/>
      <c r="O442" s="131"/>
      <c r="P442" s="131"/>
      <c r="Q442" s="131"/>
      <c r="R442" s="131"/>
      <c r="S442" s="131"/>
      <c r="T442" s="131"/>
      <c r="U442" s="131"/>
      <c r="V442" s="131"/>
      <c r="W442" s="131"/>
      <c r="X442" s="131"/>
    </row>
    <row r="443" spans="1:24" ht="13.5" customHeight="1">
      <c r="A443" s="132"/>
      <c r="B443" s="131"/>
      <c r="C443" s="131"/>
      <c r="D443" s="132"/>
      <c r="E443" s="132"/>
      <c r="F443" s="132"/>
      <c r="G443" s="132"/>
      <c r="H443" s="132"/>
      <c r="I443" s="131"/>
      <c r="J443" s="131"/>
      <c r="K443" s="131"/>
      <c r="L443" s="131"/>
      <c r="M443" s="131"/>
      <c r="N443" s="131"/>
      <c r="O443" s="131"/>
      <c r="P443" s="131"/>
      <c r="Q443" s="131"/>
      <c r="R443" s="131"/>
      <c r="S443" s="131"/>
      <c r="T443" s="131"/>
      <c r="U443" s="131"/>
      <c r="V443" s="131"/>
      <c r="W443" s="131"/>
      <c r="X443" s="131"/>
    </row>
    <row r="444" spans="1:24" ht="13.5" customHeight="1">
      <c r="A444" s="132"/>
      <c r="B444" s="131"/>
      <c r="C444" s="131"/>
      <c r="D444" s="132"/>
      <c r="E444" s="132"/>
      <c r="F444" s="132"/>
      <c r="G444" s="132"/>
      <c r="H444" s="132"/>
      <c r="I444" s="131"/>
      <c r="J444" s="131"/>
      <c r="K444" s="131"/>
      <c r="L444" s="131"/>
      <c r="M444" s="131"/>
      <c r="N444" s="131"/>
      <c r="O444" s="131"/>
      <c r="P444" s="131"/>
      <c r="Q444" s="131"/>
      <c r="R444" s="131"/>
      <c r="S444" s="131"/>
      <c r="T444" s="131"/>
      <c r="U444" s="131"/>
      <c r="V444" s="131"/>
      <c r="W444" s="131"/>
      <c r="X444" s="131"/>
    </row>
    <row r="445" spans="1:24" ht="13.5" customHeight="1">
      <c r="A445" s="132"/>
      <c r="B445" s="131"/>
      <c r="C445" s="131"/>
      <c r="D445" s="132"/>
      <c r="E445" s="132"/>
      <c r="F445" s="132"/>
      <c r="G445" s="132"/>
      <c r="H445" s="132"/>
      <c r="I445" s="131"/>
      <c r="J445" s="131"/>
      <c r="K445" s="131"/>
      <c r="L445" s="131"/>
      <c r="M445" s="131"/>
      <c r="N445" s="131"/>
      <c r="O445" s="131"/>
      <c r="P445" s="131"/>
      <c r="Q445" s="131"/>
      <c r="R445" s="131"/>
      <c r="S445" s="131"/>
      <c r="T445" s="131"/>
      <c r="U445" s="131"/>
      <c r="V445" s="131"/>
      <c r="W445" s="131"/>
      <c r="X445" s="131"/>
    </row>
    <row r="446" spans="1:24" ht="13.5" customHeight="1">
      <c r="A446" s="132"/>
      <c r="B446" s="131"/>
      <c r="C446" s="131"/>
      <c r="D446" s="132"/>
      <c r="E446" s="132"/>
      <c r="F446" s="132"/>
      <c r="G446" s="132"/>
      <c r="H446" s="132"/>
      <c r="I446" s="131"/>
      <c r="J446" s="131"/>
      <c r="K446" s="131"/>
      <c r="L446" s="131"/>
      <c r="M446" s="131"/>
      <c r="N446" s="131"/>
      <c r="O446" s="131"/>
      <c r="P446" s="131"/>
      <c r="Q446" s="131"/>
      <c r="R446" s="131"/>
      <c r="S446" s="131"/>
      <c r="T446" s="131"/>
      <c r="U446" s="131"/>
      <c r="V446" s="131"/>
      <c r="W446" s="131"/>
      <c r="X446" s="131"/>
    </row>
    <row r="447" spans="1:24" ht="13.5" customHeight="1">
      <c r="A447" s="132"/>
      <c r="B447" s="131"/>
      <c r="C447" s="131"/>
      <c r="D447" s="132"/>
      <c r="E447" s="132"/>
      <c r="F447" s="132"/>
      <c r="G447" s="132"/>
      <c r="H447" s="132"/>
      <c r="I447" s="131"/>
      <c r="J447" s="131"/>
      <c r="K447" s="131"/>
      <c r="L447" s="131"/>
      <c r="M447" s="131"/>
      <c r="N447" s="131"/>
      <c r="O447" s="131"/>
      <c r="P447" s="131"/>
      <c r="Q447" s="131"/>
      <c r="R447" s="131"/>
      <c r="S447" s="131"/>
      <c r="T447" s="131"/>
      <c r="U447" s="131"/>
      <c r="V447" s="131"/>
      <c r="W447" s="131"/>
      <c r="X447" s="131"/>
    </row>
    <row r="448" spans="1:24" ht="13.5" customHeight="1">
      <c r="A448" s="132"/>
      <c r="B448" s="131"/>
      <c r="C448" s="131"/>
      <c r="D448" s="132"/>
      <c r="E448" s="132"/>
      <c r="F448" s="132"/>
      <c r="G448" s="132"/>
      <c r="H448" s="132"/>
      <c r="I448" s="131"/>
      <c r="J448" s="131"/>
      <c r="K448" s="131"/>
      <c r="L448" s="131"/>
      <c r="M448" s="131"/>
      <c r="N448" s="131"/>
      <c r="O448" s="131"/>
      <c r="P448" s="131"/>
      <c r="Q448" s="131"/>
      <c r="R448" s="131"/>
      <c r="S448" s="131"/>
      <c r="T448" s="131"/>
      <c r="U448" s="131"/>
      <c r="V448" s="131"/>
      <c r="W448" s="131"/>
      <c r="X448" s="131"/>
    </row>
    <row r="449" spans="1:24" ht="13.5" customHeight="1">
      <c r="A449" s="132"/>
      <c r="B449" s="131"/>
      <c r="C449" s="131"/>
      <c r="D449" s="132"/>
      <c r="E449" s="132"/>
      <c r="F449" s="132"/>
      <c r="G449" s="132"/>
      <c r="H449" s="132"/>
      <c r="I449" s="131"/>
      <c r="J449" s="131"/>
      <c r="K449" s="131"/>
      <c r="L449" s="131"/>
      <c r="M449" s="131"/>
      <c r="N449" s="131"/>
      <c r="O449" s="131"/>
      <c r="P449" s="131"/>
      <c r="Q449" s="131"/>
      <c r="R449" s="131"/>
      <c r="S449" s="131"/>
      <c r="T449" s="131"/>
      <c r="U449" s="131"/>
      <c r="V449" s="131"/>
      <c r="W449" s="131"/>
      <c r="X449" s="131"/>
    </row>
    <row r="450" spans="1:24" ht="13.5" customHeight="1">
      <c r="A450" s="132"/>
      <c r="B450" s="131"/>
      <c r="C450" s="131"/>
      <c r="D450" s="132"/>
      <c r="E450" s="132"/>
      <c r="F450" s="132"/>
      <c r="G450" s="132"/>
      <c r="H450" s="132"/>
      <c r="I450" s="131"/>
      <c r="J450" s="131"/>
      <c r="K450" s="131"/>
      <c r="L450" s="131"/>
      <c r="M450" s="131"/>
      <c r="N450" s="131"/>
      <c r="O450" s="131"/>
      <c r="P450" s="131"/>
      <c r="Q450" s="131"/>
      <c r="R450" s="131"/>
      <c r="S450" s="131"/>
      <c r="T450" s="131"/>
      <c r="U450" s="131"/>
      <c r="V450" s="131"/>
      <c r="W450" s="131"/>
      <c r="X450" s="131"/>
    </row>
    <row r="451" spans="1:24" ht="13.5" customHeight="1">
      <c r="A451" s="132"/>
      <c r="B451" s="131"/>
      <c r="C451" s="131"/>
      <c r="D451" s="132"/>
      <c r="E451" s="132"/>
      <c r="F451" s="132"/>
      <c r="G451" s="132"/>
      <c r="H451" s="132"/>
      <c r="I451" s="131"/>
      <c r="J451" s="131"/>
      <c r="K451" s="131"/>
      <c r="L451" s="131"/>
      <c r="M451" s="131"/>
      <c r="N451" s="131"/>
      <c r="O451" s="131"/>
      <c r="P451" s="131"/>
      <c r="Q451" s="131"/>
      <c r="R451" s="131"/>
      <c r="S451" s="131"/>
      <c r="T451" s="131"/>
      <c r="U451" s="131"/>
      <c r="V451" s="131"/>
      <c r="W451" s="131"/>
      <c r="X451" s="131"/>
    </row>
    <row r="452" spans="1:24" ht="13.5" customHeight="1">
      <c r="A452" s="132"/>
      <c r="B452" s="131"/>
      <c r="C452" s="131"/>
      <c r="D452" s="132"/>
      <c r="E452" s="132"/>
      <c r="F452" s="132"/>
      <c r="G452" s="132"/>
      <c r="H452" s="132"/>
      <c r="I452" s="131"/>
      <c r="J452" s="131"/>
      <c r="K452" s="131"/>
      <c r="L452" s="131"/>
      <c r="M452" s="131"/>
      <c r="N452" s="131"/>
      <c r="O452" s="131"/>
      <c r="P452" s="131"/>
      <c r="Q452" s="131"/>
      <c r="R452" s="131"/>
      <c r="S452" s="131"/>
      <c r="T452" s="131"/>
      <c r="U452" s="131"/>
      <c r="V452" s="131"/>
      <c r="W452" s="131"/>
      <c r="X452" s="131"/>
    </row>
    <row r="453" spans="1:24" ht="13.5" customHeight="1">
      <c r="A453" s="132"/>
      <c r="B453" s="131"/>
      <c r="C453" s="131"/>
      <c r="D453" s="132"/>
      <c r="E453" s="132"/>
      <c r="F453" s="132"/>
      <c r="G453" s="132"/>
      <c r="H453" s="132"/>
      <c r="I453" s="131"/>
      <c r="J453" s="131"/>
      <c r="K453" s="131"/>
      <c r="L453" s="131"/>
      <c r="M453" s="131"/>
      <c r="N453" s="131"/>
      <c r="O453" s="131"/>
      <c r="P453" s="131"/>
      <c r="Q453" s="131"/>
      <c r="R453" s="131"/>
      <c r="S453" s="131"/>
      <c r="T453" s="131"/>
      <c r="U453" s="131"/>
      <c r="V453" s="131"/>
      <c r="W453" s="131"/>
      <c r="X453" s="131"/>
    </row>
    <row r="454" spans="1:24" ht="13.5" customHeight="1">
      <c r="A454" s="132"/>
      <c r="B454" s="131"/>
      <c r="C454" s="131"/>
      <c r="D454" s="132"/>
      <c r="E454" s="132"/>
      <c r="F454" s="132"/>
      <c r="G454" s="132"/>
      <c r="H454" s="132"/>
      <c r="I454" s="131"/>
      <c r="J454" s="131"/>
      <c r="K454" s="131"/>
      <c r="L454" s="131"/>
      <c r="M454" s="131"/>
      <c r="N454" s="131"/>
      <c r="O454" s="131"/>
      <c r="P454" s="131"/>
      <c r="Q454" s="131"/>
      <c r="R454" s="131"/>
      <c r="S454" s="131"/>
      <c r="T454" s="131"/>
      <c r="U454" s="131"/>
      <c r="V454" s="131"/>
      <c r="W454" s="131"/>
      <c r="X454" s="131"/>
    </row>
    <row r="455" spans="1:24" ht="13.5" customHeight="1">
      <c r="A455" s="132"/>
      <c r="B455" s="131"/>
      <c r="C455" s="131"/>
      <c r="D455" s="132"/>
      <c r="E455" s="132"/>
      <c r="F455" s="132"/>
      <c r="G455" s="132"/>
      <c r="H455" s="132"/>
      <c r="I455" s="131"/>
      <c r="J455" s="131"/>
      <c r="K455" s="131"/>
      <c r="L455" s="131"/>
      <c r="M455" s="131"/>
      <c r="N455" s="131"/>
      <c r="O455" s="131"/>
      <c r="P455" s="131"/>
      <c r="Q455" s="131"/>
      <c r="R455" s="131"/>
      <c r="S455" s="131"/>
      <c r="T455" s="131"/>
      <c r="U455" s="131"/>
      <c r="V455" s="131"/>
      <c r="W455" s="131"/>
      <c r="X455" s="131"/>
    </row>
    <row r="456" spans="1:24" ht="13.5" customHeight="1">
      <c r="A456" s="132"/>
      <c r="B456" s="131"/>
      <c r="C456" s="131"/>
      <c r="D456" s="132"/>
      <c r="E456" s="132"/>
      <c r="F456" s="132"/>
      <c r="G456" s="132"/>
      <c r="H456" s="132"/>
      <c r="I456" s="131"/>
      <c r="J456" s="131"/>
      <c r="K456" s="131"/>
      <c r="L456" s="131"/>
      <c r="M456" s="131"/>
      <c r="N456" s="131"/>
      <c r="O456" s="131"/>
      <c r="P456" s="131"/>
      <c r="Q456" s="131"/>
      <c r="R456" s="131"/>
      <c r="S456" s="131"/>
      <c r="T456" s="131"/>
      <c r="U456" s="131"/>
      <c r="V456" s="131"/>
      <c r="W456" s="131"/>
      <c r="X456" s="131"/>
    </row>
    <row r="457" spans="1:24" ht="13.5" customHeight="1">
      <c r="A457" s="132"/>
      <c r="B457" s="131"/>
      <c r="C457" s="131"/>
      <c r="D457" s="132"/>
      <c r="E457" s="132"/>
      <c r="F457" s="132"/>
      <c r="G457" s="132"/>
      <c r="H457" s="132"/>
      <c r="I457" s="131"/>
      <c r="J457" s="131"/>
      <c r="K457" s="131"/>
      <c r="L457" s="131"/>
      <c r="M457" s="131"/>
      <c r="N457" s="131"/>
      <c r="O457" s="131"/>
      <c r="P457" s="131"/>
      <c r="Q457" s="131"/>
      <c r="R457" s="131"/>
      <c r="S457" s="131"/>
      <c r="T457" s="131"/>
      <c r="U457" s="131"/>
      <c r="V457" s="131"/>
      <c r="W457" s="131"/>
      <c r="X457" s="131"/>
    </row>
    <row r="458" spans="1:24" ht="13.5" customHeight="1">
      <c r="A458" s="132"/>
      <c r="B458" s="131"/>
      <c r="C458" s="131"/>
      <c r="D458" s="132"/>
      <c r="E458" s="132"/>
      <c r="F458" s="132"/>
      <c r="G458" s="132"/>
      <c r="H458" s="132"/>
      <c r="I458" s="131"/>
      <c r="J458" s="131"/>
      <c r="K458" s="131"/>
      <c r="L458" s="131"/>
      <c r="M458" s="131"/>
      <c r="N458" s="131"/>
      <c r="O458" s="131"/>
      <c r="P458" s="131"/>
      <c r="Q458" s="131"/>
      <c r="R458" s="131"/>
      <c r="S458" s="131"/>
      <c r="T458" s="131"/>
      <c r="U458" s="131"/>
      <c r="V458" s="131"/>
      <c r="W458" s="131"/>
      <c r="X458" s="131"/>
    </row>
    <row r="459" spans="1:24" ht="13.5" customHeight="1">
      <c r="A459" s="132"/>
      <c r="B459" s="131"/>
      <c r="C459" s="131"/>
      <c r="D459" s="132"/>
      <c r="E459" s="132"/>
      <c r="F459" s="132"/>
      <c r="G459" s="132"/>
      <c r="H459" s="132"/>
      <c r="I459" s="131"/>
      <c r="J459" s="131"/>
      <c r="K459" s="131"/>
      <c r="L459" s="131"/>
      <c r="M459" s="131"/>
      <c r="N459" s="131"/>
      <c r="O459" s="131"/>
      <c r="P459" s="131"/>
      <c r="Q459" s="131"/>
      <c r="R459" s="131"/>
      <c r="S459" s="131"/>
      <c r="T459" s="131"/>
      <c r="U459" s="131"/>
      <c r="V459" s="131"/>
      <c r="W459" s="131"/>
      <c r="X459" s="131"/>
    </row>
    <row r="460" spans="1:24" ht="13.5" customHeight="1">
      <c r="A460" s="132"/>
      <c r="B460" s="131"/>
      <c r="C460" s="131"/>
      <c r="D460" s="132"/>
      <c r="E460" s="132"/>
      <c r="F460" s="132"/>
      <c r="G460" s="132"/>
      <c r="H460" s="132"/>
      <c r="I460" s="131"/>
      <c r="J460" s="131"/>
      <c r="K460" s="131"/>
      <c r="L460" s="131"/>
      <c r="M460" s="131"/>
      <c r="N460" s="131"/>
      <c r="O460" s="131"/>
      <c r="P460" s="131"/>
      <c r="Q460" s="131"/>
      <c r="R460" s="131"/>
      <c r="S460" s="131"/>
      <c r="T460" s="131"/>
      <c r="U460" s="131"/>
      <c r="V460" s="131"/>
      <c r="W460" s="131"/>
      <c r="X460" s="131"/>
    </row>
    <row r="461" spans="1:24" ht="13.5" customHeight="1">
      <c r="A461" s="132"/>
      <c r="B461" s="131"/>
      <c r="C461" s="131"/>
      <c r="D461" s="132"/>
      <c r="E461" s="132"/>
      <c r="F461" s="132"/>
      <c r="G461" s="132"/>
      <c r="H461" s="132"/>
      <c r="I461" s="131"/>
      <c r="J461" s="131"/>
      <c r="K461" s="131"/>
      <c r="L461" s="131"/>
      <c r="M461" s="131"/>
      <c r="N461" s="131"/>
      <c r="O461" s="131"/>
      <c r="P461" s="131"/>
      <c r="Q461" s="131"/>
      <c r="R461" s="131"/>
      <c r="S461" s="131"/>
      <c r="T461" s="131"/>
      <c r="U461" s="131"/>
      <c r="V461" s="131"/>
      <c r="W461" s="131"/>
      <c r="X461" s="131"/>
    </row>
    <row r="462" spans="1:24" ht="13.5" customHeight="1">
      <c r="A462" s="132"/>
      <c r="B462" s="131"/>
      <c r="C462" s="131"/>
      <c r="D462" s="132"/>
      <c r="E462" s="132"/>
      <c r="F462" s="132"/>
      <c r="G462" s="132"/>
      <c r="H462" s="132"/>
      <c r="I462" s="131"/>
      <c r="J462" s="131"/>
      <c r="K462" s="131"/>
      <c r="L462" s="131"/>
      <c r="M462" s="131"/>
      <c r="N462" s="131"/>
      <c r="O462" s="131"/>
      <c r="P462" s="131"/>
      <c r="Q462" s="131"/>
      <c r="R462" s="131"/>
      <c r="S462" s="131"/>
      <c r="T462" s="131"/>
      <c r="U462" s="131"/>
      <c r="V462" s="131"/>
      <c r="W462" s="131"/>
      <c r="X462" s="131"/>
    </row>
    <row r="463" spans="1:24" ht="13.5" customHeight="1">
      <c r="A463" s="132"/>
      <c r="B463" s="131"/>
      <c r="C463" s="131"/>
      <c r="D463" s="132"/>
      <c r="E463" s="132"/>
      <c r="F463" s="132"/>
      <c r="G463" s="132"/>
      <c r="H463" s="132"/>
      <c r="I463" s="131"/>
      <c r="J463" s="131"/>
      <c r="K463" s="131"/>
      <c r="L463" s="131"/>
      <c r="M463" s="131"/>
      <c r="N463" s="131"/>
      <c r="O463" s="131"/>
      <c r="P463" s="131"/>
      <c r="Q463" s="131"/>
      <c r="R463" s="131"/>
      <c r="S463" s="131"/>
      <c r="T463" s="131"/>
      <c r="U463" s="131"/>
      <c r="V463" s="131"/>
      <c r="W463" s="131"/>
      <c r="X463" s="131"/>
    </row>
    <row r="464" spans="1:24" ht="13.5" customHeight="1">
      <c r="A464" s="132"/>
      <c r="B464" s="131"/>
      <c r="C464" s="131"/>
      <c r="D464" s="132"/>
      <c r="E464" s="132"/>
      <c r="F464" s="132"/>
      <c r="G464" s="132"/>
      <c r="H464" s="132"/>
      <c r="I464" s="131"/>
      <c r="J464" s="131"/>
      <c r="K464" s="131"/>
      <c r="L464" s="131"/>
      <c r="M464" s="131"/>
      <c r="N464" s="131"/>
      <c r="O464" s="131"/>
      <c r="P464" s="131"/>
      <c r="Q464" s="131"/>
      <c r="R464" s="131"/>
      <c r="S464" s="131"/>
      <c r="T464" s="131"/>
      <c r="U464" s="131"/>
      <c r="V464" s="131"/>
      <c r="W464" s="131"/>
      <c r="X464" s="131"/>
    </row>
    <row r="465" spans="1:24" ht="13.5" customHeight="1">
      <c r="A465" s="132"/>
      <c r="B465" s="131"/>
      <c r="C465" s="131"/>
      <c r="D465" s="132"/>
      <c r="E465" s="132"/>
      <c r="F465" s="132"/>
      <c r="G465" s="132"/>
      <c r="H465" s="132"/>
      <c r="I465" s="131"/>
      <c r="J465" s="131"/>
      <c r="K465" s="131"/>
      <c r="L465" s="131"/>
      <c r="M465" s="131"/>
      <c r="N465" s="131"/>
      <c r="O465" s="131"/>
      <c r="P465" s="131"/>
      <c r="Q465" s="131"/>
      <c r="R465" s="131"/>
      <c r="S465" s="131"/>
      <c r="T465" s="131"/>
      <c r="U465" s="131"/>
      <c r="V465" s="131"/>
      <c r="W465" s="131"/>
      <c r="X465" s="131"/>
    </row>
    <row r="466" spans="1:24" ht="13.5" customHeight="1">
      <c r="A466" s="132"/>
      <c r="B466" s="131"/>
      <c r="C466" s="131"/>
      <c r="D466" s="132"/>
      <c r="E466" s="132"/>
      <c r="F466" s="132"/>
      <c r="G466" s="132"/>
      <c r="H466" s="132"/>
      <c r="I466" s="131"/>
      <c r="J466" s="131"/>
      <c r="K466" s="131"/>
      <c r="L466" s="131"/>
      <c r="M466" s="131"/>
      <c r="N466" s="131"/>
      <c r="O466" s="131"/>
      <c r="P466" s="131"/>
      <c r="Q466" s="131"/>
      <c r="R466" s="131"/>
      <c r="S466" s="131"/>
      <c r="T466" s="131"/>
      <c r="U466" s="131"/>
      <c r="V466" s="131"/>
      <c r="W466" s="131"/>
      <c r="X466" s="131"/>
    </row>
    <row r="467" spans="1:24" ht="13.5" customHeight="1">
      <c r="A467" s="132"/>
      <c r="B467" s="131"/>
      <c r="C467" s="131"/>
      <c r="D467" s="132"/>
      <c r="E467" s="132"/>
      <c r="F467" s="132"/>
      <c r="G467" s="132"/>
      <c r="H467" s="132"/>
      <c r="I467" s="131"/>
      <c r="J467" s="131"/>
      <c r="K467" s="131"/>
      <c r="L467" s="131"/>
      <c r="M467" s="131"/>
      <c r="N467" s="131"/>
      <c r="O467" s="131"/>
      <c r="P467" s="131"/>
      <c r="Q467" s="131"/>
      <c r="R467" s="131"/>
      <c r="S467" s="131"/>
      <c r="T467" s="131"/>
      <c r="U467" s="131"/>
      <c r="V467" s="131"/>
      <c r="W467" s="131"/>
      <c r="X467" s="131"/>
    </row>
    <row r="468" spans="1:24" ht="13.5" customHeight="1">
      <c r="A468" s="132"/>
      <c r="B468" s="131"/>
      <c r="C468" s="131"/>
      <c r="D468" s="132"/>
      <c r="E468" s="132"/>
      <c r="F468" s="132"/>
      <c r="G468" s="132"/>
      <c r="H468" s="132"/>
      <c r="I468" s="131"/>
      <c r="J468" s="131"/>
      <c r="K468" s="131"/>
      <c r="L468" s="131"/>
      <c r="M468" s="131"/>
      <c r="N468" s="131"/>
      <c r="O468" s="131"/>
      <c r="P468" s="131"/>
      <c r="Q468" s="131"/>
      <c r="R468" s="131"/>
      <c r="S468" s="131"/>
      <c r="T468" s="131"/>
      <c r="U468" s="131"/>
      <c r="V468" s="131"/>
      <c r="W468" s="131"/>
      <c r="X468" s="131"/>
    </row>
    <row r="469" spans="1:24" ht="13.5" customHeight="1">
      <c r="A469" s="132"/>
      <c r="B469" s="131"/>
      <c r="C469" s="131"/>
      <c r="D469" s="132"/>
      <c r="E469" s="132"/>
      <c r="F469" s="132"/>
      <c r="G469" s="132"/>
      <c r="H469" s="132"/>
      <c r="I469" s="131"/>
      <c r="J469" s="131"/>
      <c r="K469" s="131"/>
      <c r="L469" s="131"/>
      <c r="M469" s="131"/>
      <c r="N469" s="131"/>
      <c r="O469" s="131"/>
      <c r="P469" s="131"/>
      <c r="Q469" s="131"/>
      <c r="R469" s="131"/>
      <c r="S469" s="131"/>
      <c r="T469" s="131"/>
      <c r="U469" s="131"/>
      <c r="V469" s="131"/>
      <c r="W469" s="131"/>
      <c r="X469" s="131"/>
    </row>
    <row r="470" spans="1:24" ht="13.5" customHeight="1">
      <c r="A470" s="132"/>
      <c r="B470" s="131"/>
      <c r="C470" s="131"/>
      <c r="D470" s="132"/>
      <c r="E470" s="132"/>
      <c r="F470" s="132"/>
      <c r="G470" s="132"/>
      <c r="H470" s="132"/>
      <c r="I470" s="131"/>
      <c r="J470" s="131"/>
      <c r="K470" s="131"/>
      <c r="L470" s="131"/>
      <c r="M470" s="131"/>
      <c r="N470" s="131"/>
      <c r="O470" s="131"/>
      <c r="P470" s="131"/>
      <c r="Q470" s="131"/>
      <c r="R470" s="131"/>
      <c r="S470" s="131"/>
      <c r="T470" s="131"/>
      <c r="U470" s="131"/>
      <c r="V470" s="131"/>
      <c r="W470" s="131"/>
      <c r="X470" s="131"/>
    </row>
    <row r="471" spans="1:24" ht="13.5" customHeight="1">
      <c r="A471" s="132"/>
      <c r="B471" s="131"/>
      <c r="C471" s="131"/>
      <c r="D471" s="132"/>
      <c r="E471" s="132"/>
      <c r="F471" s="132"/>
      <c r="G471" s="132"/>
      <c r="H471" s="132"/>
      <c r="I471" s="131"/>
      <c r="J471" s="131"/>
      <c r="K471" s="131"/>
      <c r="L471" s="131"/>
      <c r="M471" s="131"/>
      <c r="N471" s="131"/>
      <c r="O471" s="131"/>
      <c r="P471" s="131"/>
      <c r="Q471" s="131"/>
      <c r="R471" s="131"/>
      <c r="S471" s="131"/>
      <c r="T471" s="131"/>
      <c r="U471" s="131"/>
      <c r="V471" s="131"/>
      <c r="W471" s="131"/>
      <c r="X471" s="131"/>
    </row>
    <row r="472" spans="1:24" ht="13.5" customHeight="1">
      <c r="A472" s="132"/>
      <c r="B472" s="131"/>
      <c r="C472" s="131"/>
      <c r="D472" s="132"/>
      <c r="E472" s="132"/>
      <c r="F472" s="132"/>
      <c r="G472" s="132"/>
      <c r="H472" s="132"/>
      <c r="I472" s="131"/>
      <c r="J472" s="131"/>
      <c r="K472" s="131"/>
      <c r="L472" s="131"/>
      <c r="M472" s="131"/>
      <c r="N472" s="131"/>
      <c r="O472" s="131"/>
      <c r="P472" s="131"/>
      <c r="Q472" s="131"/>
      <c r="R472" s="131"/>
      <c r="S472" s="131"/>
      <c r="T472" s="131"/>
      <c r="U472" s="131"/>
      <c r="V472" s="131"/>
      <c r="W472" s="131"/>
      <c r="X472" s="131"/>
    </row>
    <row r="473" spans="1:24" ht="13.5" customHeight="1">
      <c r="A473" s="132"/>
      <c r="B473" s="131"/>
      <c r="C473" s="131"/>
      <c r="D473" s="132"/>
      <c r="E473" s="132"/>
      <c r="F473" s="132"/>
      <c r="G473" s="132"/>
      <c r="H473" s="132"/>
      <c r="I473" s="131"/>
      <c r="J473" s="131"/>
      <c r="K473" s="131"/>
      <c r="L473" s="131"/>
      <c r="M473" s="131"/>
      <c r="N473" s="131"/>
      <c r="O473" s="131"/>
      <c r="P473" s="131"/>
      <c r="Q473" s="131"/>
      <c r="R473" s="131"/>
      <c r="S473" s="131"/>
      <c r="T473" s="131"/>
      <c r="U473" s="131"/>
      <c r="V473" s="131"/>
      <c r="W473" s="131"/>
      <c r="X473" s="131"/>
    </row>
    <row r="474" spans="1:24" ht="13.5" customHeight="1">
      <c r="A474" s="132"/>
      <c r="B474" s="131"/>
      <c r="C474" s="131"/>
      <c r="D474" s="132"/>
      <c r="E474" s="132"/>
      <c r="F474" s="132"/>
      <c r="G474" s="132"/>
      <c r="H474" s="132"/>
      <c r="I474" s="131"/>
      <c r="J474" s="131"/>
      <c r="K474" s="131"/>
      <c r="L474" s="131"/>
      <c r="M474" s="131"/>
      <c r="N474" s="131"/>
      <c r="O474" s="131"/>
      <c r="P474" s="131"/>
      <c r="Q474" s="131"/>
      <c r="R474" s="131"/>
      <c r="S474" s="131"/>
      <c r="T474" s="131"/>
      <c r="U474" s="131"/>
      <c r="V474" s="131"/>
      <c r="W474" s="131"/>
      <c r="X474" s="131"/>
    </row>
    <row r="475" spans="1:24" ht="13.5" customHeight="1">
      <c r="A475" s="132"/>
      <c r="B475" s="131"/>
      <c r="C475" s="131"/>
      <c r="D475" s="132"/>
      <c r="E475" s="132"/>
      <c r="F475" s="132"/>
      <c r="G475" s="132"/>
      <c r="H475" s="132"/>
      <c r="I475" s="131"/>
      <c r="J475" s="131"/>
      <c r="K475" s="131"/>
      <c r="L475" s="131"/>
      <c r="M475" s="131"/>
      <c r="N475" s="131"/>
      <c r="O475" s="131"/>
      <c r="P475" s="131"/>
      <c r="Q475" s="131"/>
      <c r="R475" s="131"/>
      <c r="S475" s="131"/>
      <c r="T475" s="131"/>
      <c r="U475" s="131"/>
      <c r="V475" s="131"/>
      <c r="W475" s="131"/>
      <c r="X475" s="131"/>
    </row>
    <row r="476" spans="1:24" ht="13.5" customHeight="1">
      <c r="A476" s="132"/>
      <c r="B476" s="131"/>
      <c r="C476" s="131"/>
      <c r="D476" s="132"/>
      <c r="E476" s="132"/>
      <c r="F476" s="132"/>
      <c r="G476" s="132"/>
      <c r="H476" s="132"/>
      <c r="I476" s="131"/>
      <c r="J476" s="131"/>
      <c r="K476" s="131"/>
      <c r="L476" s="131"/>
      <c r="M476" s="131"/>
      <c r="N476" s="131"/>
      <c r="O476" s="131"/>
      <c r="P476" s="131"/>
      <c r="Q476" s="131"/>
      <c r="R476" s="131"/>
      <c r="S476" s="131"/>
      <c r="T476" s="131"/>
      <c r="U476" s="131"/>
      <c r="V476" s="131"/>
      <c r="W476" s="131"/>
      <c r="X476" s="131"/>
    </row>
    <row r="477" spans="1:24" ht="13.5" customHeight="1">
      <c r="A477" s="132"/>
      <c r="B477" s="131"/>
      <c r="C477" s="131"/>
      <c r="D477" s="132"/>
      <c r="E477" s="132"/>
      <c r="F477" s="132"/>
      <c r="G477" s="132"/>
      <c r="H477" s="132"/>
      <c r="I477" s="131"/>
      <c r="J477" s="131"/>
      <c r="K477" s="131"/>
      <c r="L477" s="131"/>
      <c r="M477" s="131"/>
      <c r="N477" s="131"/>
      <c r="O477" s="131"/>
      <c r="P477" s="131"/>
      <c r="Q477" s="131"/>
      <c r="R477" s="131"/>
      <c r="S477" s="131"/>
      <c r="T477" s="131"/>
      <c r="U477" s="131"/>
      <c r="V477" s="131"/>
      <c r="W477" s="131"/>
      <c r="X477" s="131"/>
    </row>
    <row r="478" spans="1:24" ht="13.5" customHeight="1">
      <c r="A478" s="132"/>
      <c r="B478" s="131"/>
      <c r="C478" s="131"/>
      <c r="D478" s="132"/>
      <c r="E478" s="132"/>
      <c r="F478" s="132"/>
      <c r="G478" s="132"/>
      <c r="H478" s="132"/>
      <c r="I478" s="131"/>
      <c r="J478" s="131"/>
      <c r="K478" s="131"/>
      <c r="L478" s="131"/>
      <c r="M478" s="131"/>
      <c r="N478" s="131"/>
      <c r="O478" s="131"/>
      <c r="P478" s="131"/>
      <c r="Q478" s="131"/>
      <c r="R478" s="131"/>
      <c r="S478" s="131"/>
      <c r="T478" s="131"/>
      <c r="U478" s="131"/>
      <c r="V478" s="131"/>
      <c r="W478" s="131"/>
      <c r="X478" s="131"/>
    </row>
    <row r="479" spans="1:24" ht="13.5" customHeight="1">
      <c r="A479" s="132"/>
      <c r="B479" s="131"/>
      <c r="C479" s="131"/>
      <c r="D479" s="132"/>
      <c r="E479" s="132"/>
      <c r="F479" s="132"/>
      <c r="G479" s="132"/>
      <c r="H479" s="132"/>
      <c r="I479" s="131"/>
      <c r="J479" s="131"/>
      <c r="K479" s="131"/>
      <c r="L479" s="131"/>
      <c r="M479" s="131"/>
      <c r="N479" s="131"/>
      <c r="O479" s="131"/>
      <c r="P479" s="131"/>
      <c r="Q479" s="131"/>
      <c r="R479" s="131"/>
      <c r="S479" s="131"/>
      <c r="T479" s="131"/>
      <c r="U479" s="131"/>
      <c r="V479" s="131"/>
      <c r="W479" s="131"/>
      <c r="X479" s="131"/>
    </row>
    <row r="480" spans="1:24" ht="13.5" customHeight="1">
      <c r="A480" s="132"/>
      <c r="B480" s="131"/>
      <c r="C480" s="131"/>
      <c r="D480" s="132"/>
      <c r="E480" s="132"/>
      <c r="F480" s="132"/>
      <c r="G480" s="132"/>
      <c r="H480" s="132"/>
      <c r="I480" s="131"/>
      <c r="J480" s="131"/>
      <c r="K480" s="131"/>
      <c r="L480" s="131"/>
      <c r="M480" s="131"/>
      <c r="N480" s="131"/>
      <c r="O480" s="131"/>
      <c r="P480" s="131"/>
      <c r="Q480" s="131"/>
      <c r="R480" s="131"/>
      <c r="S480" s="131"/>
      <c r="T480" s="131"/>
      <c r="U480" s="131"/>
      <c r="V480" s="131"/>
      <c r="W480" s="131"/>
      <c r="X480" s="131"/>
    </row>
    <row r="481" spans="1:24" ht="13.5" customHeight="1">
      <c r="A481" s="132"/>
      <c r="B481" s="131"/>
      <c r="C481" s="131"/>
      <c r="D481" s="132"/>
      <c r="E481" s="132"/>
      <c r="F481" s="132"/>
      <c r="G481" s="132"/>
      <c r="H481" s="132"/>
      <c r="I481" s="131"/>
      <c r="J481" s="131"/>
      <c r="K481" s="131"/>
      <c r="L481" s="131"/>
      <c r="M481" s="131"/>
      <c r="N481" s="131"/>
      <c r="O481" s="131"/>
      <c r="P481" s="131"/>
      <c r="Q481" s="131"/>
      <c r="R481" s="131"/>
      <c r="S481" s="131"/>
      <c r="T481" s="131"/>
      <c r="U481" s="131"/>
      <c r="V481" s="131"/>
      <c r="W481" s="131"/>
      <c r="X481" s="131"/>
    </row>
    <row r="482" spans="1:24" ht="13.5" customHeight="1">
      <c r="A482" s="132"/>
      <c r="B482" s="131"/>
      <c r="C482" s="131"/>
      <c r="D482" s="132"/>
      <c r="E482" s="132"/>
      <c r="F482" s="132"/>
      <c r="G482" s="132"/>
      <c r="H482" s="132"/>
      <c r="I482" s="131"/>
      <c r="J482" s="131"/>
      <c r="K482" s="131"/>
      <c r="L482" s="131"/>
      <c r="M482" s="131"/>
      <c r="N482" s="131"/>
      <c r="O482" s="131"/>
      <c r="P482" s="131"/>
      <c r="Q482" s="131"/>
      <c r="R482" s="131"/>
      <c r="S482" s="131"/>
      <c r="T482" s="131"/>
      <c r="U482" s="131"/>
      <c r="V482" s="131"/>
      <c r="W482" s="131"/>
      <c r="X482" s="131"/>
    </row>
    <row r="483" spans="1:24" ht="13.5" customHeight="1">
      <c r="A483" s="132"/>
      <c r="B483" s="131"/>
      <c r="C483" s="131"/>
      <c r="D483" s="132"/>
      <c r="E483" s="132"/>
      <c r="F483" s="132"/>
      <c r="G483" s="132"/>
      <c r="H483" s="132"/>
      <c r="I483" s="131"/>
      <c r="J483" s="131"/>
      <c r="K483" s="131"/>
      <c r="L483" s="131"/>
      <c r="M483" s="131"/>
      <c r="N483" s="131"/>
      <c r="O483" s="131"/>
      <c r="P483" s="131"/>
      <c r="Q483" s="131"/>
      <c r="R483" s="131"/>
      <c r="S483" s="131"/>
      <c r="T483" s="131"/>
      <c r="U483" s="131"/>
      <c r="V483" s="131"/>
      <c r="W483" s="131"/>
      <c r="X483" s="131"/>
    </row>
    <row r="484" spans="1:24" ht="13.5" customHeight="1">
      <c r="A484" s="132"/>
      <c r="B484" s="131"/>
      <c r="C484" s="131"/>
      <c r="D484" s="132"/>
      <c r="E484" s="132"/>
      <c r="F484" s="132"/>
      <c r="G484" s="132"/>
      <c r="H484" s="132"/>
      <c r="I484" s="131"/>
      <c r="J484" s="131"/>
      <c r="K484" s="131"/>
      <c r="L484" s="131"/>
      <c r="M484" s="131"/>
      <c r="N484" s="131"/>
      <c r="O484" s="131"/>
      <c r="P484" s="131"/>
      <c r="Q484" s="131"/>
      <c r="R484" s="131"/>
      <c r="S484" s="131"/>
      <c r="T484" s="131"/>
      <c r="U484" s="131"/>
      <c r="V484" s="131"/>
      <c r="W484" s="131"/>
      <c r="X484" s="131"/>
    </row>
    <row r="485" spans="1:24" ht="13.5" customHeight="1">
      <c r="A485" s="132"/>
      <c r="B485" s="131"/>
      <c r="C485" s="131"/>
      <c r="D485" s="132"/>
      <c r="E485" s="132"/>
      <c r="F485" s="132"/>
      <c r="G485" s="132"/>
      <c r="H485" s="132"/>
      <c r="I485" s="131"/>
      <c r="J485" s="131"/>
      <c r="K485" s="131"/>
      <c r="L485" s="131"/>
      <c r="M485" s="131"/>
      <c r="N485" s="131"/>
      <c r="O485" s="131"/>
      <c r="P485" s="131"/>
      <c r="Q485" s="131"/>
      <c r="R485" s="131"/>
      <c r="S485" s="131"/>
      <c r="T485" s="131"/>
      <c r="U485" s="131"/>
      <c r="V485" s="131"/>
      <c r="W485" s="131"/>
      <c r="X485" s="131"/>
    </row>
    <row r="486" spans="1:24" ht="13.5" customHeight="1">
      <c r="A486" s="132"/>
      <c r="B486" s="131"/>
      <c r="C486" s="131"/>
      <c r="D486" s="132"/>
      <c r="E486" s="132"/>
      <c r="F486" s="132"/>
      <c r="G486" s="132"/>
      <c r="H486" s="132"/>
      <c r="I486" s="131"/>
      <c r="J486" s="131"/>
      <c r="K486" s="131"/>
      <c r="L486" s="131"/>
      <c r="M486" s="131"/>
      <c r="N486" s="131"/>
      <c r="O486" s="131"/>
      <c r="P486" s="131"/>
      <c r="Q486" s="131"/>
      <c r="R486" s="131"/>
      <c r="S486" s="131"/>
      <c r="T486" s="131"/>
      <c r="U486" s="131"/>
      <c r="V486" s="131"/>
      <c r="W486" s="131"/>
      <c r="X486" s="131"/>
    </row>
    <row r="487" spans="1:24" ht="13.5" customHeight="1">
      <c r="A487" s="132"/>
      <c r="B487" s="131"/>
      <c r="C487" s="131"/>
      <c r="D487" s="132"/>
      <c r="E487" s="132"/>
      <c r="F487" s="132"/>
      <c r="G487" s="132"/>
      <c r="H487" s="132"/>
      <c r="I487" s="131"/>
      <c r="J487" s="131"/>
      <c r="K487" s="131"/>
      <c r="L487" s="131"/>
      <c r="M487" s="131"/>
      <c r="N487" s="131"/>
      <c r="O487" s="131"/>
      <c r="P487" s="131"/>
      <c r="Q487" s="131"/>
      <c r="R487" s="131"/>
      <c r="S487" s="131"/>
      <c r="T487" s="131"/>
      <c r="U487" s="131"/>
      <c r="V487" s="131"/>
      <c r="W487" s="131"/>
      <c r="X487" s="131"/>
    </row>
    <row r="488" spans="1:24" ht="13.5" customHeight="1">
      <c r="A488" s="132"/>
      <c r="B488" s="131"/>
      <c r="C488" s="131"/>
      <c r="D488" s="132"/>
      <c r="E488" s="132"/>
      <c r="F488" s="132"/>
      <c r="G488" s="132"/>
      <c r="H488" s="132"/>
      <c r="I488" s="131"/>
      <c r="J488" s="131"/>
      <c r="K488" s="131"/>
      <c r="L488" s="131"/>
      <c r="M488" s="131"/>
      <c r="N488" s="131"/>
      <c r="O488" s="131"/>
      <c r="P488" s="131"/>
      <c r="Q488" s="131"/>
      <c r="R488" s="131"/>
      <c r="S488" s="131"/>
      <c r="T488" s="131"/>
      <c r="U488" s="131"/>
      <c r="V488" s="131"/>
      <c r="W488" s="131"/>
      <c r="X488" s="131"/>
    </row>
    <row r="489" spans="1:24" ht="13.5" customHeight="1">
      <c r="A489" s="132"/>
      <c r="B489" s="131"/>
      <c r="C489" s="131"/>
      <c r="D489" s="132"/>
      <c r="E489" s="132"/>
      <c r="F489" s="132"/>
      <c r="G489" s="132"/>
      <c r="H489" s="132"/>
      <c r="I489" s="131"/>
      <c r="J489" s="131"/>
      <c r="K489" s="131"/>
      <c r="L489" s="131"/>
      <c r="M489" s="131"/>
      <c r="N489" s="131"/>
      <c r="O489" s="131"/>
      <c r="P489" s="131"/>
      <c r="Q489" s="131"/>
      <c r="R489" s="131"/>
      <c r="S489" s="131"/>
      <c r="T489" s="131"/>
      <c r="U489" s="131"/>
      <c r="V489" s="131"/>
      <c r="W489" s="131"/>
      <c r="X489" s="131"/>
    </row>
    <row r="490" spans="1:24" ht="13.5" customHeight="1">
      <c r="A490" s="132"/>
      <c r="B490" s="131"/>
      <c r="C490" s="131"/>
      <c r="D490" s="132"/>
      <c r="E490" s="132"/>
      <c r="F490" s="132"/>
      <c r="G490" s="132"/>
      <c r="H490" s="132"/>
      <c r="I490" s="131"/>
      <c r="J490" s="131"/>
      <c r="K490" s="131"/>
      <c r="L490" s="131"/>
      <c r="M490" s="131"/>
      <c r="N490" s="131"/>
      <c r="O490" s="131"/>
      <c r="P490" s="131"/>
      <c r="Q490" s="131"/>
      <c r="R490" s="131"/>
      <c r="S490" s="131"/>
      <c r="T490" s="131"/>
      <c r="U490" s="131"/>
      <c r="V490" s="131"/>
      <c r="W490" s="131"/>
      <c r="X490" s="131"/>
    </row>
    <row r="491" spans="1:24" ht="13.5" customHeight="1">
      <c r="A491" s="132"/>
      <c r="B491" s="131"/>
      <c r="C491" s="131"/>
      <c r="D491" s="132"/>
      <c r="E491" s="132"/>
      <c r="F491" s="132"/>
      <c r="G491" s="132"/>
      <c r="H491" s="132"/>
      <c r="I491" s="131"/>
      <c r="J491" s="131"/>
      <c r="K491" s="131"/>
      <c r="L491" s="131"/>
      <c r="M491" s="131"/>
      <c r="N491" s="131"/>
      <c r="O491" s="131"/>
      <c r="P491" s="131"/>
      <c r="Q491" s="131"/>
      <c r="R491" s="131"/>
      <c r="S491" s="131"/>
      <c r="T491" s="131"/>
      <c r="U491" s="131"/>
      <c r="V491" s="131"/>
      <c r="W491" s="131"/>
      <c r="X491" s="131"/>
    </row>
    <row r="492" spans="1:24" ht="13.5" customHeight="1">
      <c r="A492" s="132"/>
      <c r="B492" s="131"/>
      <c r="C492" s="131"/>
      <c r="D492" s="132"/>
      <c r="E492" s="132"/>
      <c r="F492" s="132"/>
      <c r="G492" s="132"/>
      <c r="H492" s="132"/>
      <c r="I492" s="131"/>
      <c r="J492" s="131"/>
      <c r="K492" s="131"/>
      <c r="L492" s="131"/>
      <c r="M492" s="131"/>
      <c r="N492" s="131"/>
      <c r="O492" s="131"/>
      <c r="P492" s="131"/>
      <c r="Q492" s="131"/>
      <c r="R492" s="131"/>
      <c r="S492" s="131"/>
      <c r="T492" s="131"/>
      <c r="U492" s="131"/>
      <c r="V492" s="131"/>
      <c r="W492" s="131"/>
      <c r="X492" s="131"/>
    </row>
    <row r="493" spans="1:24" ht="13.5" customHeight="1">
      <c r="A493" s="132"/>
      <c r="B493" s="131"/>
      <c r="C493" s="131"/>
      <c r="D493" s="132"/>
      <c r="E493" s="132"/>
      <c r="F493" s="132"/>
      <c r="G493" s="132"/>
      <c r="H493" s="132"/>
      <c r="I493" s="131"/>
      <c r="J493" s="131"/>
      <c r="K493" s="131"/>
      <c r="L493" s="131"/>
      <c r="M493" s="131"/>
      <c r="N493" s="131"/>
      <c r="O493" s="131"/>
      <c r="P493" s="131"/>
      <c r="Q493" s="131"/>
      <c r="R493" s="131"/>
      <c r="S493" s="131"/>
      <c r="T493" s="131"/>
      <c r="U493" s="131"/>
      <c r="V493" s="131"/>
      <c r="W493" s="131"/>
      <c r="X493" s="131"/>
    </row>
    <row r="494" spans="1:24" ht="13.5" customHeight="1">
      <c r="A494" s="132"/>
      <c r="B494" s="131"/>
      <c r="C494" s="131"/>
      <c r="D494" s="132"/>
      <c r="E494" s="132"/>
      <c r="F494" s="132"/>
      <c r="G494" s="132"/>
      <c r="H494" s="132"/>
      <c r="I494" s="131"/>
      <c r="J494" s="131"/>
      <c r="K494" s="131"/>
      <c r="L494" s="131"/>
      <c r="M494" s="131"/>
      <c r="N494" s="131"/>
      <c r="O494" s="131"/>
      <c r="P494" s="131"/>
      <c r="Q494" s="131"/>
      <c r="R494" s="131"/>
      <c r="S494" s="131"/>
      <c r="T494" s="131"/>
      <c r="U494" s="131"/>
      <c r="V494" s="131"/>
      <c r="W494" s="131"/>
      <c r="X494" s="131"/>
    </row>
    <row r="495" spans="1:24" ht="13.5" customHeight="1">
      <c r="A495" s="132"/>
      <c r="B495" s="131"/>
      <c r="C495" s="131"/>
      <c r="D495" s="132"/>
      <c r="E495" s="132"/>
      <c r="F495" s="132"/>
      <c r="G495" s="132"/>
      <c r="H495" s="132"/>
      <c r="I495" s="131"/>
      <c r="J495" s="131"/>
      <c r="K495" s="131"/>
      <c r="L495" s="131"/>
      <c r="M495" s="131"/>
      <c r="N495" s="131"/>
      <c r="O495" s="131"/>
      <c r="P495" s="131"/>
      <c r="Q495" s="131"/>
      <c r="R495" s="131"/>
      <c r="S495" s="131"/>
      <c r="T495" s="131"/>
      <c r="U495" s="131"/>
      <c r="V495" s="131"/>
      <c r="W495" s="131"/>
      <c r="X495" s="131"/>
    </row>
    <row r="496" spans="1:24" ht="13.5" customHeight="1">
      <c r="A496" s="132"/>
      <c r="B496" s="131"/>
      <c r="C496" s="131"/>
      <c r="D496" s="132"/>
      <c r="E496" s="132"/>
      <c r="F496" s="132"/>
      <c r="G496" s="132"/>
      <c r="H496" s="132"/>
      <c r="I496" s="131"/>
      <c r="J496" s="131"/>
      <c r="K496" s="131"/>
      <c r="L496" s="131"/>
      <c r="M496" s="131"/>
      <c r="N496" s="131"/>
      <c r="O496" s="131"/>
      <c r="P496" s="131"/>
      <c r="Q496" s="131"/>
      <c r="R496" s="131"/>
      <c r="S496" s="131"/>
      <c r="T496" s="131"/>
      <c r="U496" s="131"/>
      <c r="V496" s="131"/>
      <c r="W496" s="131"/>
      <c r="X496" s="131"/>
    </row>
    <row r="497" spans="1:24" ht="13.5" customHeight="1">
      <c r="A497" s="132"/>
      <c r="B497" s="131"/>
      <c r="C497" s="131"/>
      <c r="D497" s="132"/>
      <c r="E497" s="132"/>
      <c r="F497" s="132"/>
      <c r="G497" s="132"/>
      <c r="H497" s="132"/>
      <c r="I497" s="131"/>
      <c r="J497" s="131"/>
      <c r="K497" s="131"/>
      <c r="L497" s="131"/>
      <c r="M497" s="131"/>
      <c r="N497" s="131"/>
      <c r="O497" s="131"/>
      <c r="P497" s="131"/>
      <c r="Q497" s="131"/>
      <c r="R497" s="131"/>
      <c r="S497" s="131"/>
      <c r="T497" s="131"/>
      <c r="U497" s="131"/>
      <c r="V497" s="131"/>
      <c r="W497" s="131"/>
      <c r="X497" s="131"/>
    </row>
    <row r="498" spans="1:24" ht="13.5" customHeight="1">
      <c r="A498" s="132"/>
      <c r="B498" s="131"/>
      <c r="C498" s="131"/>
      <c r="D498" s="132"/>
      <c r="E498" s="132"/>
      <c r="F498" s="132"/>
      <c r="G498" s="132"/>
      <c r="H498" s="132"/>
      <c r="I498" s="131"/>
      <c r="J498" s="131"/>
      <c r="K498" s="131"/>
      <c r="L498" s="131"/>
      <c r="M498" s="131"/>
      <c r="N498" s="131"/>
      <c r="O498" s="131"/>
      <c r="P498" s="131"/>
      <c r="Q498" s="131"/>
      <c r="R498" s="131"/>
      <c r="S498" s="131"/>
      <c r="T498" s="131"/>
      <c r="U498" s="131"/>
      <c r="V498" s="131"/>
      <c r="W498" s="131"/>
      <c r="X498" s="131"/>
    </row>
    <row r="499" spans="1:24" ht="13.5" customHeight="1">
      <c r="A499" s="132"/>
      <c r="B499" s="131"/>
      <c r="C499" s="131"/>
      <c r="D499" s="132"/>
      <c r="E499" s="132"/>
      <c r="F499" s="132"/>
      <c r="G499" s="132"/>
      <c r="H499" s="132"/>
      <c r="I499" s="131"/>
      <c r="J499" s="131"/>
      <c r="K499" s="131"/>
      <c r="L499" s="131"/>
      <c r="M499" s="131"/>
      <c r="N499" s="131"/>
      <c r="O499" s="131"/>
      <c r="P499" s="131"/>
      <c r="Q499" s="131"/>
      <c r="R499" s="131"/>
      <c r="S499" s="131"/>
      <c r="T499" s="131"/>
      <c r="U499" s="131"/>
      <c r="V499" s="131"/>
      <c r="W499" s="131"/>
      <c r="X499" s="131"/>
    </row>
    <row r="500" spans="1:24" ht="13.5" customHeight="1">
      <c r="A500" s="132"/>
      <c r="B500" s="131"/>
      <c r="C500" s="131"/>
      <c r="D500" s="132"/>
      <c r="E500" s="132"/>
      <c r="F500" s="132"/>
      <c r="G500" s="132"/>
      <c r="H500" s="132"/>
      <c r="I500" s="131"/>
      <c r="J500" s="131"/>
      <c r="K500" s="131"/>
      <c r="L500" s="131"/>
      <c r="M500" s="131"/>
      <c r="N500" s="131"/>
      <c r="O500" s="131"/>
      <c r="P500" s="131"/>
      <c r="Q500" s="131"/>
      <c r="R500" s="131"/>
      <c r="S500" s="131"/>
      <c r="T500" s="131"/>
      <c r="U500" s="131"/>
      <c r="V500" s="131"/>
      <c r="W500" s="131"/>
      <c r="X500" s="131"/>
    </row>
    <row r="501" spans="1:24" ht="13.5" customHeight="1">
      <c r="A501" s="132"/>
      <c r="B501" s="131"/>
      <c r="C501" s="131"/>
      <c r="D501" s="132"/>
      <c r="E501" s="132"/>
      <c r="F501" s="132"/>
      <c r="G501" s="132"/>
      <c r="H501" s="132"/>
      <c r="I501" s="131"/>
      <c r="J501" s="131"/>
      <c r="K501" s="131"/>
      <c r="L501" s="131"/>
      <c r="M501" s="131"/>
      <c r="N501" s="131"/>
      <c r="O501" s="131"/>
      <c r="P501" s="131"/>
      <c r="Q501" s="131"/>
      <c r="R501" s="131"/>
      <c r="S501" s="131"/>
      <c r="T501" s="131"/>
      <c r="U501" s="131"/>
      <c r="V501" s="131"/>
      <c r="W501" s="131"/>
      <c r="X501" s="131"/>
    </row>
    <row r="502" spans="1:24" ht="13.5" customHeight="1">
      <c r="A502" s="132"/>
      <c r="B502" s="131"/>
      <c r="C502" s="131"/>
      <c r="D502" s="132"/>
      <c r="E502" s="132"/>
      <c r="F502" s="132"/>
      <c r="G502" s="132"/>
      <c r="H502" s="132"/>
      <c r="I502" s="131"/>
      <c r="J502" s="131"/>
      <c r="K502" s="131"/>
      <c r="L502" s="131"/>
      <c r="M502" s="131"/>
      <c r="N502" s="131"/>
      <c r="O502" s="131"/>
      <c r="P502" s="131"/>
      <c r="Q502" s="131"/>
      <c r="R502" s="131"/>
      <c r="S502" s="131"/>
      <c r="T502" s="131"/>
      <c r="U502" s="131"/>
      <c r="V502" s="131"/>
      <c r="W502" s="131"/>
      <c r="X502" s="131"/>
    </row>
    <row r="503" spans="1:24" ht="13.5" customHeight="1">
      <c r="A503" s="132"/>
      <c r="B503" s="131"/>
      <c r="C503" s="131"/>
      <c r="D503" s="132"/>
      <c r="E503" s="132"/>
      <c r="F503" s="132"/>
      <c r="G503" s="132"/>
      <c r="H503" s="132"/>
      <c r="I503" s="131"/>
      <c r="J503" s="131"/>
      <c r="K503" s="131"/>
      <c r="L503" s="131"/>
      <c r="M503" s="131"/>
      <c r="N503" s="131"/>
      <c r="O503" s="131"/>
      <c r="P503" s="131"/>
      <c r="Q503" s="131"/>
      <c r="R503" s="131"/>
      <c r="S503" s="131"/>
      <c r="T503" s="131"/>
      <c r="U503" s="131"/>
      <c r="V503" s="131"/>
      <c r="W503" s="131"/>
      <c r="X503" s="131"/>
    </row>
    <row r="504" spans="1:24" ht="13.5" customHeight="1">
      <c r="A504" s="132"/>
      <c r="B504" s="131"/>
      <c r="C504" s="131"/>
      <c r="D504" s="132"/>
      <c r="E504" s="132"/>
      <c r="F504" s="132"/>
      <c r="G504" s="132"/>
      <c r="H504" s="132"/>
      <c r="I504" s="131"/>
      <c r="J504" s="131"/>
      <c r="K504" s="131"/>
      <c r="L504" s="131"/>
      <c r="M504" s="131"/>
      <c r="N504" s="131"/>
      <c r="O504" s="131"/>
      <c r="P504" s="131"/>
      <c r="Q504" s="131"/>
      <c r="R504" s="131"/>
      <c r="S504" s="131"/>
      <c r="T504" s="131"/>
      <c r="U504" s="131"/>
      <c r="V504" s="131"/>
      <c r="W504" s="131"/>
      <c r="X504" s="131"/>
    </row>
    <row r="505" spans="1:24" ht="13.5" customHeight="1">
      <c r="A505" s="132"/>
      <c r="B505" s="131"/>
      <c r="C505" s="131"/>
      <c r="D505" s="132"/>
      <c r="E505" s="132"/>
      <c r="F505" s="132"/>
      <c r="G505" s="132"/>
      <c r="H505" s="132"/>
      <c r="I505" s="131"/>
      <c r="J505" s="131"/>
      <c r="K505" s="131"/>
      <c r="L505" s="131"/>
      <c r="M505" s="131"/>
      <c r="N505" s="131"/>
      <c r="O505" s="131"/>
      <c r="P505" s="131"/>
      <c r="Q505" s="131"/>
      <c r="R505" s="131"/>
      <c r="S505" s="131"/>
      <c r="T505" s="131"/>
      <c r="U505" s="131"/>
      <c r="V505" s="131"/>
      <c r="W505" s="131"/>
      <c r="X505" s="131"/>
    </row>
    <row r="506" spans="1:24" ht="13.5" customHeight="1">
      <c r="A506" s="132"/>
      <c r="B506" s="131"/>
      <c r="C506" s="131"/>
      <c r="D506" s="132"/>
      <c r="E506" s="132"/>
      <c r="F506" s="132"/>
      <c r="G506" s="132"/>
      <c r="H506" s="132"/>
      <c r="I506" s="131"/>
      <c r="J506" s="131"/>
      <c r="K506" s="131"/>
      <c r="L506" s="131"/>
      <c r="M506" s="131"/>
      <c r="N506" s="131"/>
      <c r="O506" s="131"/>
      <c r="P506" s="131"/>
      <c r="Q506" s="131"/>
      <c r="R506" s="131"/>
      <c r="S506" s="131"/>
      <c r="T506" s="131"/>
      <c r="U506" s="131"/>
      <c r="V506" s="131"/>
      <c r="W506" s="131"/>
      <c r="X506" s="131"/>
    </row>
    <row r="507" spans="1:24" ht="13.5" customHeight="1">
      <c r="A507" s="132"/>
      <c r="B507" s="131"/>
      <c r="C507" s="131"/>
      <c r="D507" s="132"/>
      <c r="E507" s="132"/>
      <c r="F507" s="132"/>
      <c r="G507" s="132"/>
      <c r="H507" s="132"/>
      <c r="I507" s="131"/>
      <c r="J507" s="131"/>
      <c r="K507" s="131"/>
      <c r="L507" s="131"/>
      <c r="M507" s="131"/>
      <c r="N507" s="131"/>
      <c r="O507" s="131"/>
      <c r="P507" s="131"/>
      <c r="Q507" s="131"/>
      <c r="R507" s="131"/>
      <c r="S507" s="131"/>
      <c r="T507" s="131"/>
      <c r="U507" s="131"/>
      <c r="V507" s="131"/>
      <c r="W507" s="131"/>
      <c r="X507" s="131"/>
    </row>
    <row r="508" spans="1:24" ht="13.5" customHeight="1">
      <c r="A508" s="132"/>
      <c r="B508" s="131"/>
      <c r="C508" s="131"/>
      <c r="D508" s="132"/>
      <c r="E508" s="132"/>
      <c r="F508" s="132"/>
      <c r="G508" s="132"/>
      <c r="H508" s="132"/>
      <c r="I508" s="131"/>
      <c r="J508" s="131"/>
      <c r="K508" s="131"/>
      <c r="L508" s="131"/>
      <c r="M508" s="131"/>
      <c r="N508" s="131"/>
      <c r="O508" s="131"/>
      <c r="P508" s="131"/>
      <c r="Q508" s="131"/>
      <c r="R508" s="131"/>
      <c r="S508" s="131"/>
      <c r="T508" s="131"/>
      <c r="U508" s="131"/>
      <c r="V508" s="131"/>
      <c r="W508" s="131"/>
      <c r="X508" s="131"/>
    </row>
    <row r="509" spans="1:24" ht="13.5" customHeight="1">
      <c r="A509" s="132"/>
      <c r="B509" s="131"/>
      <c r="C509" s="131"/>
      <c r="D509" s="132"/>
      <c r="E509" s="132"/>
      <c r="F509" s="132"/>
      <c r="G509" s="132"/>
      <c r="H509" s="132"/>
      <c r="I509" s="131"/>
      <c r="J509" s="131"/>
      <c r="K509" s="131"/>
      <c r="L509" s="131"/>
      <c r="M509" s="131"/>
      <c r="N509" s="131"/>
      <c r="O509" s="131"/>
      <c r="P509" s="131"/>
      <c r="Q509" s="131"/>
      <c r="R509" s="131"/>
      <c r="S509" s="131"/>
      <c r="T509" s="131"/>
      <c r="U509" s="131"/>
      <c r="V509" s="131"/>
      <c r="W509" s="131"/>
      <c r="X509" s="131"/>
    </row>
    <row r="510" spans="1:24" ht="13.5" customHeight="1">
      <c r="A510" s="132"/>
      <c r="B510" s="131"/>
      <c r="C510" s="131"/>
      <c r="D510" s="132"/>
      <c r="E510" s="132"/>
      <c r="F510" s="132"/>
      <c r="G510" s="132"/>
      <c r="H510" s="132"/>
      <c r="I510" s="131"/>
      <c r="J510" s="131"/>
      <c r="K510" s="131"/>
      <c r="L510" s="131"/>
      <c r="M510" s="131"/>
      <c r="N510" s="131"/>
      <c r="O510" s="131"/>
      <c r="P510" s="131"/>
      <c r="Q510" s="131"/>
      <c r="R510" s="131"/>
      <c r="S510" s="131"/>
      <c r="T510" s="131"/>
      <c r="U510" s="131"/>
      <c r="V510" s="131"/>
      <c r="W510" s="131"/>
      <c r="X510" s="131"/>
    </row>
    <row r="511" spans="1:24" ht="13.5" customHeight="1">
      <c r="A511" s="132"/>
      <c r="B511" s="131"/>
      <c r="C511" s="131"/>
      <c r="D511" s="132"/>
      <c r="E511" s="132"/>
      <c r="F511" s="132"/>
      <c r="G511" s="132"/>
      <c r="H511" s="132"/>
      <c r="I511" s="131"/>
      <c r="J511" s="131"/>
      <c r="K511" s="131"/>
      <c r="L511" s="131"/>
      <c r="M511" s="131"/>
      <c r="N511" s="131"/>
      <c r="O511" s="131"/>
      <c r="P511" s="131"/>
      <c r="Q511" s="131"/>
      <c r="R511" s="131"/>
      <c r="S511" s="131"/>
      <c r="T511" s="131"/>
      <c r="U511" s="131"/>
      <c r="V511" s="131"/>
      <c r="W511" s="131"/>
      <c r="X511" s="131"/>
    </row>
    <row r="512" spans="1:24" ht="13.5" customHeight="1">
      <c r="A512" s="132"/>
      <c r="B512" s="131"/>
      <c r="C512" s="131"/>
      <c r="D512" s="132"/>
      <c r="E512" s="132"/>
      <c r="F512" s="132"/>
      <c r="G512" s="132"/>
      <c r="H512" s="132"/>
      <c r="I512" s="131"/>
      <c r="J512" s="131"/>
      <c r="K512" s="131"/>
      <c r="L512" s="131"/>
      <c r="M512" s="131"/>
      <c r="N512" s="131"/>
      <c r="O512" s="131"/>
      <c r="P512" s="131"/>
      <c r="Q512" s="131"/>
      <c r="R512" s="131"/>
      <c r="S512" s="131"/>
      <c r="T512" s="131"/>
      <c r="U512" s="131"/>
      <c r="V512" s="131"/>
      <c r="W512" s="131"/>
      <c r="X512" s="131"/>
    </row>
    <row r="513" spans="1:24" ht="13.5" customHeight="1">
      <c r="A513" s="132"/>
      <c r="B513" s="131"/>
      <c r="C513" s="131"/>
      <c r="D513" s="132"/>
      <c r="E513" s="132"/>
      <c r="F513" s="132"/>
      <c r="G513" s="132"/>
      <c r="H513" s="132"/>
      <c r="I513" s="131"/>
      <c r="J513" s="131"/>
      <c r="K513" s="131"/>
      <c r="L513" s="131"/>
      <c r="M513" s="131"/>
      <c r="N513" s="131"/>
      <c r="O513" s="131"/>
      <c r="P513" s="131"/>
      <c r="Q513" s="131"/>
      <c r="R513" s="131"/>
      <c r="S513" s="131"/>
      <c r="T513" s="131"/>
      <c r="U513" s="131"/>
      <c r="V513" s="131"/>
      <c r="W513" s="131"/>
      <c r="X513" s="131"/>
    </row>
    <row r="514" spans="1:24" ht="13.5" customHeight="1">
      <c r="A514" s="132"/>
      <c r="B514" s="131"/>
      <c r="C514" s="131"/>
      <c r="D514" s="132"/>
      <c r="E514" s="132"/>
      <c r="F514" s="132"/>
      <c r="G514" s="132"/>
      <c r="H514" s="132"/>
      <c r="I514" s="131"/>
      <c r="J514" s="131"/>
      <c r="K514" s="131"/>
      <c r="L514" s="131"/>
      <c r="M514" s="131"/>
      <c r="N514" s="131"/>
      <c r="O514" s="131"/>
      <c r="P514" s="131"/>
      <c r="Q514" s="131"/>
      <c r="R514" s="131"/>
      <c r="S514" s="131"/>
      <c r="T514" s="131"/>
      <c r="U514" s="131"/>
      <c r="V514" s="131"/>
      <c r="W514" s="131"/>
      <c r="X514" s="131"/>
    </row>
    <row r="515" spans="1:24" ht="13.5" customHeight="1">
      <c r="A515" s="132"/>
      <c r="B515" s="131"/>
      <c r="C515" s="131"/>
      <c r="D515" s="132"/>
      <c r="E515" s="132"/>
      <c r="F515" s="132"/>
      <c r="G515" s="132"/>
      <c r="H515" s="132"/>
      <c r="I515" s="131"/>
      <c r="J515" s="131"/>
      <c r="K515" s="131"/>
      <c r="L515" s="131"/>
      <c r="M515" s="131"/>
      <c r="N515" s="131"/>
      <c r="O515" s="131"/>
      <c r="P515" s="131"/>
      <c r="Q515" s="131"/>
      <c r="R515" s="131"/>
      <c r="S515" s="131"/>
      <c r="T515" s="131"/>
      <c r="U515" s="131"/>
      <c r="V515" s="131"/>
      <c r="W515" s="131"/>
      <c r="X515" s="131"/>
    </row>
    <row r="516" spans="1:24" ht="13.5" customHeight="1">
      <c r="A516" s="132"/>
      <c r="B516" s="131"/>
      <c r="C516" s="131"/>
      <c r="D516" s="132"/>
      <c r="E516" s="132"/>
      <c r="F516" s="132"/>
      <c r="G516" s="132"/>
      <c r="H516" s="132"/>
      <c r="I516" s="131"/>
      <c r="J516" s="131"/>
      <c r="K516" s="131"/>
      <c r="L516" s="131"/>
      <c r="M516" s="131"/>
      <c r="N516" s="131"/>
      <c r="O516" s="131"/>
      <c r="P516" s="131"/>
      <c r="Q516" s="131"/>
      <c r="R516" s="131"/>
      <c r="S516" s="131"/>
      <c r="T516" s="131"/>
      <c r="U516" s="131"/>
      <c r="V516" s="131"/>
      <c r="W516" s="131"/>
      <c r="X516" s="131"/>
    </row>
    <row r="517" spans="1:24" ht="13.5" customHeight="1">
      <c r="A517" s="132"/>
      <c r="B517" s="131"/>
      <c r="C517" s="131"/>
      <c r="D517" s="132"/>
      <c r="E517" s="132"/>
      <c r="F517" s="132"/>
      <c r="G517" s="132"/>
      <c r="H517" s="132"/>
      <c r="I517" s="131"/>
      <c r="J517" s="131"/>
      <c r="K517" s="131"/>
      <c r="L517" s="131"/>
      <c r="M517" s="131"/>
      <c r="N517" s="131"/>
      <c r="O517" s="131"/>
      <c r="P517" s="131"/>
      <c r="Q517" s="131"/>
      <c r="R517" s="131"/>
      <c r="S517" s="131"/>
      <c r="T517" s="131"/>
      <c r="U517" s="131"/>
      <c r="V517" s="131"/>
      <c r="W517" s="131"/>
      <c r="X517" s="131"/>
    </row>
    <row r="518" spans="1:24" ht="13.5" customHeight="1">
      <c r="A518" s="132"/>
      <c r="B518" s="131"/>
      <c r="C518" s="131"/>
      <c r="D518" s="132"/>
      <c r="E518" s="132"/>
      <c r="F518" s="132"/>
      <c r="G518" s="132"/>
      <c r="H518" s="132"/>
      <c r="I518" s="131"/>
      <c r="J518" s="131"/>
      <c r="K518" s="131"/>
      <c r="L518" s="131"/>
      <c r="M518" s="131"/>
      <c r="N518" s="131"/>
      <c r="O518" s="131"/>
      <c r="P518" s="131"/>
      <c r="Q518" s="131"/>
      <c r="R518" s="131"/>
      <c r="S518" s="131"/>
      <c r="T518" s="131"/>
      <c r="U518" s="131"/>
      <c r="V518" s="131"/>
      <c r="W518" s="131"/>
      <c r="X518" s="131"/>
    </row>
    <row r="519" spans="1:24" ht="13.5" customHeight="1">
      <c r="A519" s="132"/>
      <c r="B519" s="131"/>
      <c r="C519" s="131"/>
      <c r="D519" s="132"/>
      <c r="E519" s="132"/>
      <c r="F519" s="132"/>
      <c r="G519" s="132"/>
      <c r="H519" s="132"/>
      <c r="I519" s="131"/>
      <c r="J519" s="131"/>
      <c r="K519" s="131"/>
      <c r="L519" s="131"/>
      <c r="M519" s="131"/>
      <c r="N519" s="131"/>
      <c r="O519" s="131"/>
      <c r="P519" s="131"/>
      <c r="Q519" s="131"/>
      <c r="R519" s="131"/>
      <c r="S519" s="131"/>
      <c r="T519" s="131"/>
      <c r="U519" s="131"/>
      <c r="V519" s="131"/>
      <c r="W519" s="131"/>
      <c r="X519" s="131"/>
    </row>
    <row r="520" spans="1:24" ht="13.5" customHeight="1">
      <c r="A520" s="132"/>
      <c r="B520" s="131"/>
      <c r="C520" s="131"/>
      <c r="D520" s="132"/>
      <c r="E520" s="132"/>
      <c r="F520" s="132"/>
      <c r="G520" s="132"/>
      <c r="H520" s="132"/>
      <c r="I520" s="131"/>
      <c r="J520" s="131"/>
      <c r="K520" s="131"/>
      <c r="L520" s="131"/>
      <c r="M520" s="131"/>
      <c r="N520" s="131"/>
      <c r="O520" s="131"/>
      <c r="P520" s="131"/>
      <c r="Q520" s="131"/>
      <c r="R520" s="131"/>
      <c r="S520" s="131"/>
      <c r="T520" s="131"/>
      <c r="U520" s="131"/>
      <c r="V520" s="131"/>
      <c r="W520" s="131"/>
      <c r="X520" s="131"/>
    </row>
    <row r="521" spans="1:24" ht="13.5" customHeight="1">
      <c r="A521" s="132"/>
      <c r="B521" s="131"/>
      <c r="C521" s="131"/>
      <c r="D521" s="132"/>
      <c r="E521" s="132"/>
      <c r="F521" s="132"/>
      <c r="G521" s="132"/>
      <c r="H521" s="132"/>
      <c r="I521" s="131"/>
      <c r="J521" s="131"/>
      <c r="K521" s="131"/>
      <c r="L521" s="131"/>
      <c r="M521" s="131"/>
      <c r="N521" s="131"/>
      <c r="O521" s="131"/>
      <c r="P521" s="131"/>
      <c r="Q521" s="131"/>
      <c r="R521" s="131"/>
      <c r="S521" s="131"/>
      <c r="T521" s="131"/>
      <c r="U521" s="131"/>
      <c r="V521" s="131"/>
      <c r="W521" s="131"/>
      <c r="X521" s="131"/>
    </row>
    <row r="522" spans="1:24" ht="13.5" customHeight="1">
      <c r="A522" s="132"/>
      <c r="B522" s="131"/>
      <c r="C522" s="131"/>
      <c r="D522" s="132"/>
      <c r="E522" s="132"/>
      <c r="F522" s="132"/>
      <c r="G522" s="132"/>
      <c r="H522" s="132"/>
      <c r="I522" s="131"/>
      <c r="J522" s="131"/>
      <c r="K522" s="131"/>
      <c r="L522" s="131"/>
      <c r="M522" s="131"/>
      <c r="N522" s="131"/>
      <c r="O522" s="131"/>
      <c r="P522" s="131"/>
      <c r="Q522" s="131"/>
      <c r="R522" s="131"/>
      <c r="S522" s="131"/>
      <c r="T522" s="131"/>
      <c r="U522" s="131"/>
      <c r="V522" s="131"/>
      <c r="W522" s="131"/>
      <c r="X522" s="131"/>
    </row>
    <row r="523" spans="1:24" ht="13.5" customHeight="1">
      <c r="A523" s="132"/>
      <c r="B523" s="131"/>
      <c r="C523" s="131"/>
      <c r="D523" s="132"/>
      <c r="E523" s="132"/>
      <c r="F523" s="132"/>
      <c r="G523" s="132"/>
      <c r="H523" s="132"/>
      <c r="I523" s="131"/>
      <c r="J523" s="131"/>
      <c r="K523" s="131"/>
      <c r="L523" s="131"/>
      <c r="M523" s="131"/>
      <c r="N523" s="131"/>
      <c r="O523" s="131"/>
      <c r="P523" s="131"/>
      <c r="Q523" s="131"/>
      <c r="R523" s="131"/>
      <c r="S523" s="131"/>
      <c r="T523" s="131"/>
      <c r="U523" s="131"/>
      <c r="V523" s="131"/>
      <c r="W523" s="131"/>
      <c r="X523" s="131"/>
    </row>
    <row r="524" spans="1:24" ht="13.5" customHeight="1">
      <c r="A524" s="132"/>
      <c r="B524" s="131"/>
      <c r="C524" s="131"/>
      <c r="D524" s="132"/>
      <c r="E524" s="132"/>
      <c r="F524" s="132"/>
      <c r="G524" s="132"/>
      <c r="H524" s="132"/>
      <c r="I524" s="131"/>
      <c r="J524" s="131"/>
      <c r="K524" s="131"/>
      <c r="L524" s="131"/>
      <c r="M524" s="131"/>
      <c r="N524" s="131"/>
      <c r="O524" s="131"/>
      <c r="P524" s="131"/>
      <c r="Q524" s="131"/>
      <c r="R524" s="131"/>
      <c r="S524" s="131"/>
      <c r="T524" s="131"/>
      <c r="U524" s="131"/>
      <c r="V524" s="131"/>
      <c r="W524" s="131"/>
      <c r="X524" s="131"/>
    </row>
    <row r="525" spans="1:24" ht="13.5" customHeight="1">
      <c r="A525" s="132"/>
      <c r="B525" s="131"/>
      <c r="C525" s="131"/>
      <c r="D525" s="132"/>
      <c r="E525" s="132"/>
      <c r="F525" s="132"/>
      <c r="G525" s="132"/>
      <c r="H525" s="132"/>
      <c r="I525" s="131"/>
      <c r="J525" s="131"/>
      <c r="K525" s="131"/>
      <c r="L525" s="131"/>
      <c r="M525" s="131"/>
      <c r="N525" s="131"/>
      <c r="O525" s="131"/>
      <c r="P525" s="131"/>
      <c r="Q525" s="131"/>
      <c r="R525" s="131"/>
      <c r="S525" s="131"/>
      <c r="T525" s="131"/>
      <c r="U525" s="131"/>
      <c r="V525" s="131"/>
      <c r="W525" s="131"/>
      <c r="X525" s="131"/>
    </row>
    <row r="526" spans="1:24" ht="13.5" customHeight="1">
      <c r="A526" s="132"/>
      <c r="B526" s="131"/>
      <c r="C526" s="131"/>
      <c r="D526" s="132"/>
      <c r="E526" s="132"/>
      <c r="F526" s="132"/>
      <c r="G526" s="132"/>
      <c r="H526" s="132"/>
      <c r="I526" s="131"/>
      <c r="J526" s="131"/>
      <c r="K526" s="131"/>
      <c r="L526" s="131"/>
      <c r="M526" s="131"/>
      <c r="N526" s="131"/>
      <c r="O526" s="131"/>
      <c r="P526" s="131"/>
      <c r="Q526" s="131"/>
      <c r="R526" s="131"/>
      <c r="S526" s="131"/>
      <c r="T526" s="131"/>
      <c r="U526" s="131"/>
      <c r="V526" s="131"/>
      <c r="W526" s="131"/>
      <c r="X526" s="131"/>
    </row>
    <row r="527" spans="1:24" ht="13.5" customHeight="1">
      <c r="A527" s="132"/>
      <c r="B527" s="131"/>
      <c r="C527" s="131"/>
      <c r="D527" s="132"/>
      <c r="E527" s="132"/>
      <c r="F527" s="132"/>
      <c r="G527" s="132"/>
      <c r="H527" s="132"/>
      <c r="I527" s="131"/>
      <c r="J527" s="131"/>
      <c r="K527" s="131"/>
      <c r="L527" s="131"/>
      <c r="M527" s="131"/>
      <c r="N527" s="131"/>
      <c r="O527" s="131"/>
      <c r="P527" s="131"/>
      <c r="Q527" s="131"/>
      <c r="R527" s="131"/>
      <c r="S527" s="131"/>
      <c r="T527" s="131"/>
      <c r="U527" s="131"/>
      <c r="V527" s="131"/>
      <c r="W527" s="131"/>
      <c r="X527" s="131"/>
    </row>
    <row r="528" spans="1:24" ht="13.5" customHeight="1">
      <c r="A528" s="132"/>
      <c r="B528" s="131"/>
      <c r="C528" s="131"/>
      <c r="D528" s="132"/>
      <c r="E528" s="132"/>
      <c r="F528" s="132"/>
      <c r="G528" s="132"/>
      <c r="H528" s="132"/>
      <c r="I528" s="131"/>
      <c r="J528" s="131"/>
      <c r="K528" s="131"/>
      <c r="L528" s="131"/>
      <c r="M528" s="131"/>
      <c r="N528" s="131"/>
      <c r="O528" s="131"/>
      <c r="P528" s="131"/>
      <c r="Q528" s="131"/>
      <c r="R528" s="131"/>
      <c r="S528" s="131"/>
      <c r="T528" s="131"/>
      <c r="U528" s="131"/>
      <c r="V528" s="131"/>
      <c r="W528" s="131"/>
      <c r="X528" s="131"/>
    </row>
    <row r="529" spans="1:24" ht="13.5" customHeight="1">
      <c r="A529" s="132"/>
      <c r="B529" s="131"/>
      <c r="C529" s="131"/>
      <c r="D529" s="132"/>
      <c r="E529" s="132"/>
      <c r="F529" s="132"/>
      <c r="G529" s="132"/>
      <c r="H529" s="132"/>
      <c r="I529" s="131"/>
      <c r="J529" s="131"/>
      <c r="K529" s="131"/>
      <c r="L529" s="131"/>
      <c r="M529" s="131"/>
      <c r="N529" s="131"/>
      <c r="O529" s="131"/>
      <c r="P529" s="131"/>
      <c r="Q529" s="131"/>
      <c r="R529" s="131"/>
      <c r="S529" s="131"/>
      <c r="T529" s="131"/>
      <c r="U529" s="131"/>
      <c r="V529" s="131"/>
      <c r="W529" s="131"/>
      <c r="X529" s="131"/>
    </row>
    <row r="530" spans="1:24" ht="13.5" customHeight="1">
      <c r="A530" s="132"/>
      <c r="B530" s="131"/>
      <c r="C530" s="131"/>
      <c r="D530" s="132"/>
      <c r="E530" s="132"/>
      <c r="F530" s="132"/>
      <c r="G530" s="132"/>
      <c r="H530" s="132"/>
      <c r="I530" s="131"/>
      <c r="J530" s="131"/>
      <c r="K530" s="131"/>
      <c r="L530" s="131"/>
      <c r="M530" s="131"/>
      <c r="N530" s="131"/>
      <c r="O530" s="131"/>
      <c r="P530" s="131"/>
      <c r="Q530" s="131"/>
      <c r="R530" s="131"/>
      <c r="S530" s="131"/>
      <c r="T530" s="131"/>
      <c r="U530" s="131"/>
      <c r="V530" s="131"/>
      <c r="W530" s="131"/>
      <c r="X530" s="131"/>
    </row>
    <row r="531" spans="1:24" ht="13.5" customHeight="1">
      <c r="A531" s="132"/>
      <c r="B531" s="131"/>
      <c r="C531" s="131"/>
      <c r="D531" s="132"/>
      <c r="E531" s="132"/>
      <c r="F531" s="132"/>
      <c r="G531" s="132"/>
      <c r="H531" s="132"/>
      <c r="I531" s="131"/>
      <c r="J531" s="131"/>
      <c r="K531" s="131"/>
      <c r="L531" s="131"/>
      <c r="M531" s="131"/>
      <c r="N531" s="131"/>
      <c r="O531" s="131"/>
      <c r="P531" s="131"/>
      <c r="Q531" s="131"/>
      <c r="R531" s="131"/>
      <c r="S531" s="131"/>
      <c r="T531" s="131"/>
      <c r="U531" s="131"/>
      <c r="V531" s="131"/>
      <c r="W531" s="131"/>
      <c r="X531" s="131"/>
    </row>
    <row r="532" spans="1:24" ht="13.5" customHeight="1">
      <c r="A532" s="132"/>
      <c r="B532" s="131"/>
      <c r="C532" s="131"/>
      <c r="D532" s="132"/>
      <c r="E532" s="132"/>
      <c r="F532" s="132"/>
      <c r="G532" s="132"/>
      <c r="H532" s="132"/>
      <c r="I532" s="131"/>
      <c r="J532" s="131"/>
      <c r="K532" s="131"/>
      <c r="L532" s="131"/>
      <c r="M532" s="131"/>
      <c r="N532" s="131"/>
      <c r="O532" s="131"/>
      <c r="P532" s="131"/>
      <c r="Q532" s="131"/>
      <c r="R532" s="131"/>
      <c r="S532" s="131"/>
      <c r="T532" s="131"/>
      <c r="U532" s="131"/>
      <c r="V532" s="131"/>
      <c r="W532" s="131"/>
      <c r="X532" s="131"/>
    </row>
    <row r="533" spans="1:24" ht="13.5" customHeight="1">
      <c r="A533" s="132"/>
      <c r="B533" s="131"/>
      <c r="C533" s="131"/>
      <c r="D533" s="132"/>
      <c r="E533" s="132"/>
      <c r="F533" s="132"/>
      <c r="G533" s="132"/>
      <c r="H533" s="132"/>
      <c r="I533" s="131"/>
      <c r="J533" s="131"/>
      <c r="K533" s="131"/>
      <c r="L533" s="131"/>
      <c r="M533" s="131"/>
      <c r="N533" s="131"/>
      <c r="O533" s="131"/>
      <c r="P533" s="131"/>
      <c r="Q533" s="131"/>
      <c r="R533" s="131"/>
      <c r="S533" s="131"/>
      <c r="T533" s="131"/>
      <c r="U533" s="131"/>
      <c r="V533" s="131"/>
      <c r="W533" s="131"/>
      <c r="X533" s="131"/>
    </row>
    <row r="534" spans="1:24" ht="13.5" customHeight="1">
      <c r="A534" s="132"/>
      <c r="B534" s="131"/>
      <c r="C534" s="131"/>
      <c r="D534" s="132"/>
      <c r="E534" s="132"/>
      <c r="F534" s="132"/>
      <c r="G534" s="132"/>
      <c r="H534" s="132"/>
      <c r="I534" s="131"/>
      <c r="J534" s="131"/>
      <c r="K534" s="131"/>
      <c r="L534" s="131"/>
      <c r="M534" s="131"/>
      <c r="N534" s="131"/>
      <c r="O534" s="131"/>
      <c r="P534" s="131"/>
      <c r="Q534" s="131"/>
      <c r="R534" s="131"/>
      <c r="S534" s="131"/>
      <c r="T534" s="131"/>
      <c r="U534" s="131"/>
      <c r="V534" s="131"/>
      <c r="W534" s="131"/>
      <c r="X534" s="131"/>
    </row>
    <row r="535" spans="1:24" ht="13.5" customHeight="1">
      <c r="A535" s="132"/>
      <c r="B535" s="131"/>
      <c r="C535" s="131"/>
      <c r="D535" s="132"/>
      <c r="E535" s="132"/>
      <c r="F535" s="132"/>
      <c r="G535" s="132"/>
      <c r="H535" s="132"/>
      <c r="I535" s="131"/>
      <c r="J535" s="131"/>
      <c r="K535" s="131"/>
      <c r="L535" s="131"/>
      <c r="M535" s="131"/>
      <c r="N535" s="131"/>
      <c r="O535" s="131"/>
      <c r="P535" s="131"/>
      <c r="Q535" s="131"/>
      <c r="R535" s="131"/>
      <c r="S535" s="131"/>
      <c r="T535" s="131"/>
      <c r="U535" s="131"/>
      <c r="V535" s="131"/>
      <c r="W535" s="131"/>
      <c r="X535" s="131"/>
    </row>
    <row r="536" spans="1:24" ht="13.5" customHeight="1">
      <c r="A536" s="132"/>
      <c r="B536" s="131"/>
      <c r="C536" s="131"/>
      <c r="D536" s="132"/>
      <c r="E536" s="132"/>
      <c r="F536" s="132"/>
      <c r="G536" s="132"/>
      <c r="H536" s="132"/>
      <c r="I536" s="131"/>
      <c r="J536" s="131"/>
      <c r="K536" s="131"/>
      <c r="L536" s="131"/>
      <c r="M536" s="131"/>
      <c r="N536" s="131"/>
      <c r="O536" s="131"/>
      <c r="P536" s="131"/>
      <c r="Q536" s="131"/>
      <c r="R536" s="131"/>
      <c r="S536" s="131"/>
      <c r="T536" s="131"/>
      <c r="U536" s="131"/>
      <c r="V536" s="131"/>
      <c r="W536" s="131"/>
      <c r="X536" s="131"/>
    </row>
    <row r="537" spans="1:24" ht="13.5" customHeight="1">
      <c r="A537" s="132"/>
      <c r="B537" s="131"/>
      <c r="C537" s="131"/>
      <c r="D537" s="132"/>
      <c r="E537" s="132"/>
      <c r="F537" s="132"/>
      <c r="G537" s="132"/>
      <c r="H537" s="132"/>
      <c r="I537" s="131"/>
      <c r="J537" s="131"/>
      <c r="K537" s="131"/>
      <c r="L537" s="131"/>
      <c r="M537" s="131"/>
      <c r="N537" s="131"/>
      <c r="O537" s="131"/>
      <c r="P537" s="131"/>
      <c r="Q537" s="131"/>
      <c r="R537" s="131"/>
      <c r="S537" s="131"/>
      <c r="T537" s="131"/>
      <c r="U537" s="131"/>
      <c r="V537" s="131"/>
      <c r="W537" s="131"/>
      <c r="X537" s="131"/>
    </row>
    <row r="538" spans="1:24" ht="13.5" customHeight="1">
      <c r="A538" s="132"/>
      <c r="B538" s="131"/>
      <c r="C538" s="131"/>
      <c r="D538" s="132"/>
      <c r="E538" s="132"/>
      <c r="F538" s="132"/>
      <c r="G538" s="132"/>
      <c r="H538" s="132"/>
      <c r="I538" s="131"/>
      <c r="J538" s="131"/>
      <c r="K538" s="131"/>
      <c r="L538" s="131"/>
      <c r="M538" s="131"/>
      <c r="N538" s="131"/>
      <c r="O538" s="131"/>
      <c r="P538" s="131"/>
      <c r="Q538" s="131"/>
      <c r="R538" s="131"/>
      <c r="S538" s="131"/>
      <c r="T538" s="131"/>
      <c r="U538" s="131"/>
      <c r="V538" s="131"/>
      <c r="W538" s="131"/>
      <c r="X538" s="131"/>
    </row>
    <row r="539" spans="1:24" ht="13.5" customHeight="1">
      <c r="A539" s="132"/>
      <c r="B539" s="131"/>
      <c r="C539" s="131"/>
      <c r="D539" s="132"/>
      <c r="E539" s="132"/>
      <c r="F539" s="132"/>
      <c r="G539" s="132"/>
      <c r="H539" s="132"/>
      <c r="I539" s="131"/>
      <c r="J539" s="131"/>
      <c r="K539" s="131"/>
      <c r="L539" s="131"/>
      <c r="M539" s="131"/>
      <c r="N539" s="131"/>
      <c r="O539" s="131"/>
      <c r="P539" s="131"/>
      <c r="Q539" s="131"/>
      <c r="R539" s="131"/>
      <c r="S539" s="131"/>
      <c r="T539" s="131"/>
      <c r="U539" s="131"/>
      <c r="V539" s="131"/>
      <c r="W539" s="131"/>
      <c r="X539" s="131"/>
    </row>
    <row r="540" spans="1:24" ht="13.5" customHeight="1">
      <c r="A540" s="132"/>
      <c r="B540" s="131"/>
      <c r="C540" s="131"/>
      <c r="D540" s="132"/>
      <c r="E540" s="132"/>
      <c r="F540" s="132"/>
      <c r="G540" s="132"/>
      <c r="H540" s="132"/>
      <c r="I540" s="131"/>
      <c r="J540" s="131"/>
      <c r="K540" s="131"/>
      <c r="L540" s="131"/>
      <c r="M540" s="131"/>
      <c r="N540" s="131"/>
      <c r="O540" s="131"/>
      <c r="P540" s="131"/>
      <c r="Q540" s="131"/>
      <c r="R540" s="131"/>
      <c r="S540" s="131"/>
      <c r="T540" s="131"/>
      <c r="U540" s="131"/>
      <c r="V540" s="131"/>
      <c r="W540" s="131"/>
      <c r="X540" s="131"/>
    </row>
    <row r="541" spans="1:24" ht="13.5" customHeight="1">
      <c r="A541" s="132"/>
      <c r="B541" s="131"/>
      <c r="C541" s="131"/>
      <c r="D541" s="132"/>
      <c r="E541" s="132"/>
      <c r="F541" s="132"/>
      <c r="G541" s="132"/>
      <c r="H541" s="132"/>
      <c r="I541" s="131"/>
      <c r="J541" s="131"/>
      <c r="K541" s="131"/>
      <c r="L541" s="131"/>
      <c r="M541" s="131"/>
      <c r="N541" s="131"/>
      <c r="O541" s="131"/>
      <c r="P541" s="131"/>
      <c r="Q541" s="131"/>
      <c r="R541" s="131"/>
      <c r="S541" s="131"/>
      <c r="T541" s="131"/>
      <c r="U541" s="131"/>
      <c r="V541" s="131"/>
      <c r="W541" s="131"/>
      <c r="X541" s="131"/>
    </row>
    <row r="542" spans="1:24" ht="13.5" customHeight="1">
      <c r="A542" s="132"/>
      <c r="B542" s="131"/>
      <c r="C542" s="131"/>
      <c r="D542" s="132"/>
      <c r="E542" s="132"/>
      <c r="F542" s="132"/>
      <c r="G542" s="132"/>
      <c r="H542" s="132"/>
      <c r="I542" s="131"/>
      <c r="J542" s="131"/>
      <c r="K542" s="131"/>
      <c r="L542" s="131"/>
      <c r="M542" s="131"/>
      <c r="N542" s="131"/>
      <c r="O542" s="131"/>
      <c r="P542" s="131"/>
      <c r="Q542" s="131"/>
      <c r="R542" s="131"/>
      <c r="S542" s="131"/>
      <c r="T542" s="131"/>
      <c r="U542" s="131"/>
      <c r="V542" s="131"/>
      <c r="W542" s="131"/>
      <c r="X542" s="131"/>
    </row>
    <row r="543" spans="1:24" ht="13.5" customHeight="1">
      <c r="A543" s="132"/>
      <c r="B543" s="131"/>
      <c r="C543" s="131"/>
      <c r="D543" s="132"/>
      <c r="E543" s="132"/>
      <c r="F543" s="132"/>
      <c r="G543" s="132"/>
      <c r="H543" s="132"/>
      <c r="I543" s="131"/>
      <c r="J543" s="131"/>
      <c r="K543" s="131"/>
      <c r="L543" s="131"/>
      <c r="M543" s="131"/>
      <c r="N543" s="131"/>
      <c r="O543" s="131"/>
      <c r="P543" s="131"/>
      <c r="Q543" s="131"/>
      <c r="R543" s="131"/>
      <c r="S543" s="131"/>
      <c r="T543" s="131"/>
      <c r="U543" s="131"/>
      <c r="V543" s="131"/>
      <c r="W543" s="131"/>
      <c r="X543" s="131"/>
    </row>
    <row r="544" spans="1:24" ht="13.5" customHeight="1">
      <c r="A544" s="132"/>
      <c r="B544" s="131"/>
      <c r="C544" s="131"/>
      <c r="D544" s="132"/>
      <c r="E544" s="132"/>
      <c r="F544" s="132"/>
      <c r="G544" s="132"/>
      <c r="H544" s="132"/>
      <c r="I544" s="131"/>
      <c r="J544" s="131"/>
      <c r="K544" s="131"/>
      <c r="L544" s="131"/>
      <c r="M544" s="131"/>
      <c r="N544" s="131"/>
      <c r="O544" s="131"/>
      <c r="P544" s="131"/>
      <c r="Q544" s="131"/>
      <c r="R544" s="131"/>
      <c r="S544" s="131"/>
      <c r="T544" s="131"/>
      <c r="U544" s="131"/>
      <c r="V544" s="131"/>
      <c r="W544" s="131"/>
      <c r="X544" s="131"/>
    </row>
    <row r="545" spans="1:24" ht="13.5" customHeight="1">
      <c r="A545" s="132"/>
      <c r="B545" s="131"/>
      <c r="C545" s="131"/>
      <c r="D545" s="132"/>
      <c r="E545" s="132"/>
      <c r="F545" s="132"/>
      <c r="G545" s="132"/>
      <c r="H545" s="132"/>
      <c r="I545" s="131"/>
      <c r="J545" s="131"/>
      <c r="K545" s="131"/>
      <c r="L545" s="131"/>
      <c r="M545" s="131"/>
      <c r="N545" s="131"/>
      <c r="O545" s="131"/>
      <c r="P545" s="131"/>
      <c r="Q545" s="131"/>
      <c r="R545" s="131"/>
      <c r="S545" s="131"/>
      <c r="T545" s="131"/>
      <c r="U545" s="131"/>
      <c r="V545" s="131"/>
      <c r="W545" s="131"/>
      <c r="X545" s="131"/>
    </row>
    <row r="546" spans="1:24" ht="13.5" customHeight="1">
      <c r="A546" s="132"/>
      <c r="B546" s="131"/>
      <c r="C546" s="131"/>
      <c r="D546" s="132"/>
      <c r="E546" s="132"/>
      <c r="F546" s="132"/>
      <c r="G546" s="132"/>
      <c r="H546" s="132"/>
      <c r="I546" s="131"/>
      <c r="J546" s="131"/>
      <c r="K546" s="131"/>
      <c r="L546" s="131"/>
      <c r="M546" s="131"/>
      <c r="N546" s="131"/>
      <c r="O546" s="131"/>
      <c r="P546" s="131"/>
      <c r="Q546" s="131"/>
      <c r="R546" s="131"/>
      <c r="S546" s="131"/>
      <c r="T546" s="131"/>
      <c r="U546" s="131"/>
      <c r="V546" s="131"/>
      <c r="W546" s="131"/>
      <c r="X546" s="131"/>
    </row>
    <row r="547" spans="1:24" ht="13.5" customHeight="1">
      <c r="A547" s="132"/>
      <c r="B547" s="131"/>
      <c r="C547" s="131"/>
      <c r="D547" s="132"/>
      <c r="E547" s="132"/>
      <c r="F547" s="132"/>
      <c r="G547" s="132"/>
      <c r="H547" s="132"/>
      <c r="I547" s="131"/>
      <c r="J547" s="131"/>
      <c r="K547" s="131"/>
      <c r="L547" s="131"/>
      <c r="M547" s="131"/>
      <c r="N547" s="131"/>
      <c r="O547" s="131"/>
      <c r="P547" s="131"/>
      <c r="Q547" s="131"/>
      <c r="R547" s="131"/>
      <c r="S547" s="131"/>
      <c r="T547" s="131"/>
      <c r="U547" s="131"/>
      <c r="V547" s="131"/>
      <c r="W547" s="131"/>
      <c r="X547" s="131"/>
    </row>
    <row r="548" spans="1:24" ht="13.5" customHeight="1">
      <c r="A548" s="132"/>
      <c r="B548" s="131"/>
      <c r="C548" s="131"/>
      <c r="D548" s="132"/>
      <c r="E548" s="132"/>
      <c r="F548" s="132"/>
      <c r="G548" s="132"/>
      <c r="H548" s="132"/>
      <c r="I548" s="131"/>
      <c r="J548" s="131"/>
      <c r="K548" s="131"/>
      <c r="L548" s="131"/>
      <c r="M548" s="131"/>
      <c r="N548" s="131"/>
      <c r="O548" s="131"/>
      <c r="P548" s="131"/>
      <c r="Q548" s="131"/>
      <c r="R548" s="131"/>
      <c r="S548" s="131"/>
      <c r="T548" s="131"/>
      <c r="U548" s="131"/>
      <c r="V548" s="131"/>
      <c r="W548" s="131"/>
      <c r="X548" s="131"/>
    </row>
    <row r="549" spans="1:24" ht="13.5" customHeight="1">
      <c r="A549" s="132"/>
      <c r="B549" s="131"/>
      <c r="C549" s="131"/>
      <c r="D549" s="132"/>
      <c r="E549" s="132"/>
      <c r="F549" s="132"/>
      <c r="G549" s="132"/>
      <c r="H549" s="132"/>
      <c r="I549" s="131"/>
      <c r="J549" s="131"/>
      <c r="K549" s="131"/>
      <c r="L549" s="131"/>
      <c r="M549" s="131"/>
      <c r="N549" s="131"/>
      <c r="O549" s="131"/>
      <c r="P549" s="131"/>
      <c r="Q549" s="131"/>
      <c r="R549" s="131"/>
      <c r="S549" s="131"/>
      <c r="T549" s="131"/>
      <c r="U549" s="131"/>
      <c r="V549" s="131"/>
      <c r="W549" s="131"/>
      <c r="X549" s="131"/>
    </row>
    <row r="550" spans="1:24" ht="13.5" customHeight="1">
      <c r="A550" s="132"/>
      <c r="B550" s="131"/>
      <c r="C550" s="131"/>
      <c r="D550" s="132"/>
      <c r="E550" s="132"/>
      <c r="F550" s="132"/>
      <c r="G550" s="132"/>
      <c r="H550" s="132"/>
      <c r="I550" s="131"/>
      <c r="J550" s="131"/>
      <c r="K550" s="131"/>
      <c r="L550" s="131"/>
      <c r="M550" s="131"/>
      <c r="N550" s="131"/>
      <c r="O550" s="131"/>
      <c r="P550" s="131"/>
      <c r="Q550" s="131"/>
      <c r="R550" s="131"/>
      <c r="S550" s="131"/>
      <c r="T550" s="131"/>
      <c r="U550" s="131"/>
      <c r="V550" s="131"/>
      <c r="W550" s="131"/>
      <c r="X550" s="131"/>
    </row>
    <row r="551" spans="1:24" ht="13.5" customHeight="1">
      <c r="A551" s="132"/>
      <c r="B551" s="131"/>
      <c r="C551" s="131"/>
      <c r="D551" s="132"/>
      <c r="E551" s="132"/>
      <c r="F551" s="132"/>
      <c r="G551" s="132"/>
      <c r="H551" s="132"/>
      <c r="I551" s="131"/>
      <c r="J551" s="131"/>
      <c r="K551" s="131"/>
      <c r="L551" s="131"/>
      <c r="M551" s="131"/>
      <c r="N551" s="131"/>
      <c r="O551" s="131"/>
      <c r="P551" s="131"/>
      <c r="Q551" s="131"/>
      <c r="R551" s="131"/>
      <c r="S551" s="131"/>
      <c r="T551" s="131"/>
      <c r="U551" s="131"/>
      <c r="V551" s="131"/>
      <c r="W551" s="131"/>
      <c r="X551" s="131"/>
    </row>
    <row r="552" spans="1:24" ht="13.5" customHeight="1">
      <c r="A552" s="132"/>
      <c r="B552" s="131"/>
      <c r="C552" s="131"/>
      <c r="D552" s="132"/>
      <c r="E552" s="132"/>
      <c r="F552" s="132"/>
      <c r="G552" s="132"/>
      <c r="H552" s="132"/>
      <c r="I552" s="131"/>
      <c r="J552" s="131"/>
      <c r="K552" s="131"/>
      <c r="L552" s="131"/>
      <c r="M552" s="131"/>
      <c r="N552" s="131"/>
      <c r="O552" s="131"/>
      <c r="P552" s="131"/>
      <c r="Q552" s="131"/>
      <c r="R552" s="131"/>
      <c r="S552" s="131"/>
      <c r="T552" s="131"/>
      <c r="U552" s="131"/>
      <c r="V552" s="131"/>
      <c r="W552" s="131"/>
      <c r="X552" s="131"/>
    </row>
    <row r="553" spans="1:24" ht="13.5" customHeight="1">
      <c r="A553" s="132"/>
      <c r="B553" s="131"/>
      <c r="C553" s="131"/>
      <c r="D553" s="132"/>
      <c r="E553" s="132"/>
      <c r="F553" s="132"/>
      <c r="G553" s="132"/>
      <c r="H553" s="132"/>
      <c r="I553" s="131"/>
      <c r="J553" s="131"/>
      <c r="K553" s="131"/>
      <c r="L553" s="131"/>
      <c r="M553" s="131"/>
      <c r="N553" s="131"/>
      <c r="O553" s="131"/>
      <c r="P553" s="131"/>
      <c r="Q553" s="131"/>
      <c r="R553" s="131"/>
      <c r="S553" s="131"/>
      <c r="T553" s="131"/>
      <c r="U553" s="131"/>
      <c r="V553" s="131"/>
      <c r="W553" s="131"/>
      <c r="X553" s="131"/>
    </row>
    <row r="554" spans="1:24" ht="13.5" customHeight="1">
      <c r="A554" s="132"/>
      <c r="B554" s="131"/>
      <c r="C554" s="131"/>
      <c r="D554" s="132"/>
      <c r="E554" s="132"/>
      <c r="F554" s="132"/>
      <c r="G554" s="132"/>
      <c r="H554" s="132"/>
      <c r="I554" s="131"/>
      <c r="J554" s="131"/>
      <c r="K554" s="131"/>
      <c r="L554" s="131"/>
      <c r="M554" s="131"/>
      <c r="N554" s="131"/>
      <c r="O554" s="131"/>
      <c r="P554" s="131"/>
      <c r="Q554" s="131"/>
      <c r="R554" s="131"/>
      <c r="S554" s="131"/>
      <c r="T554" s="131"/>
      <c r="U554" s="131"/>
      <c r="V554" s="131"/>
      <c r="W554" s="131"/>
      <c r="X554" s="131"/>
    </row>
    <row r="555" spans="1:24" ht="13.5" customHeight="1">
      <c r="A555" s="132"/>
      <c r="B555" s="131"/>
      <c r="C555" s="131"/>
      <c r="D555" s="132"/>
      <c r="E555" s="132"/>
      <c r="F555" s="132"/>
      <c r="G555" s="132"/>
      <c r="H555" s="132"/>
      <c r="I555" s="131"/>
      <c r="J555" s="131"/>
      <c r="K555" s="131"/>
      <c r="L555" s="131"/>
      <c r="M555" s="131"/>
      <c r="N555" s="131"/>
      <c r="O555" s="131"/>
      <c r="P555" s="131"/>
      <c r="Q555" s="131"/>
      <c r="R555" s="131"/>
      <c r="S555" s="131"/>
      <c r="T555" s="131"/>
      <c r="U555" s="131"/>
      <c r="V555" s="131"/>
      <c r="W555" s="131"/>
      <c r="X555" s="131"/>
    </row>
    <row r="556" spans="1:24" ht="13.5" customHeight="1">
      <c r="A556" s="132"/>
      <c r="B556" s="131"/>
      <c r="C556" s="131"/>
      <c r="D556" s="132"/>
      <c r="E556" s="132"/>
      <c r="F556" s="132"/>
      <c r="G556" s="132"/>
      <c r="H556" s="132"/>
      <c r="I556" s="131"/>
      <c r="J556" s="131"/>
      <c r="K556" s="131"/>
      <c r="L556" s="131"/>
      <c r="M556" s="131"/>
      <c r="N556" s="131"/>
      <c r="O556" s="131"/>
      <c r="P556" s="131"/>
      <c r="Q556" s="131"/>
      <c r="R556" s="131"/>
      <c r="S556" s="131"/>
      <c r="T556" s="131"/>
      <c r="U556" s="131"/>
      <c r="V556" s="131"/>
      <c r="W556" s="131"/>
      <c r="X556" s="131"/>
    </row>
    <row r="557" spans="1:24" ht="13.5" customHeight="1">
      <c r="A557" s="132"/>
      <c r="B557" s="131"/>
      <c r="C557" s="131"/>
      <c r="D557" s="132"/>
      <c r="E557" s="132"/>
      <c r="F557" s="132"/>
      <c r="G557" s="132"/>
      <c r="H557" s="132"/>
      <c r="I557" s="131"/>
      <c r="J557" s="131"/>
      <c r="K557" s="131"/>
      <c r="L557" s="131"/>
      <c r="M557" s="131"/>
      <c r="N557" s="131"/>
      <c r="O557" s="131"/>
      <c r="P557" s="131"/>
      <c r="Q557" s="131"/>
      <c r="R557" s="131"/>
      <c r="S557" s="131"/>
      <c r="T557" s="131"/>
      <c r="U557" s="131"/>
      <c r="V557" s="131"/>
      <c r="W557" s="131"/>
      <c r="X557" s="131"/>
    </row>
    <row r="558" spans="1:24" ht="13.5" customHeight="1">
      <c r="A558" s="132"/>
      <c r="B558" s="131"/>
      <c r="C558" s="131"/>
      <c r="D558" s="132"/>
      <c r="E558" s="132"/>
      <c r="F558" s="132"/>
      <c r="G558" s="132"/>
      <c r="H558" s="132"/>
      <c r="I558" s="131"/>
      <c r="J558" s="131"/>
      <c r="K558" s="131"/>
      <c r="L558" s="131"/>
      <c r="M558" s="131"/>
      <c r="N558" s="131"/>
      <c r="O558" s="131"/>
      <c r="P558" s="131"/>
      <c r="Q558" s="131"/>
      <c r="R558" s="131"/>
      <c r="S558" s="131"/>
      <c r="T558" s="131"/>
      <c r="U558" s="131"/>
      <c r="V558" s="131"/>
      <c r="W558" s="131"/>
      <c r="X558" s="131"/>
    </row>
    <row r="559" spans="1:24" ht="13.5" customHeight="1">
      <c r="A559" s="132"/>
      <c r="B559" s="131"/>
      <c r="C559" s="131"/>
      <c r="D559" s="132"/>
      <c r="E559" s="132"/>
      <c r="F559" s="132"/>
      <c r="G559" s="132"/>
      <c r="H559" s="132"/>
      <c r="I559" s="131"/>
      <c r="J559" s="131"/>
      <c r="K559" s="131"/>
      <c r="L559" s="131"/>
      <c r="M559" s="131"/>
      <c r="N559" s="131"/>
      <c r="O559" s="131"/>
      <c r="P559" s="131"/>
      <c r="Q559" s="131"/>
      <c r="R559" s="131"/>
      <c r="S559" s="131"/>
      <c r="T559" s="131"/>
      <c r="U559" s="131"/>
      <c r="V559" s="131"/>
      <c r="W559" s="131"/>
      <c r="X559" s="131"/>
    </row>
    <row r="560" spans="1:24" ht="13.5" customHeight="1">
      <c r="A560" s="132"/>
      <c r="B560" s="131"/>
      <c r="C560" s="131"/>
      <c r="D560" s="132"/>
      <c r="E560" s="132"/>
      <c r="F560" s="132"/>
      <c r="G560" s="132"/>
      <c r="H560" s="132"/>
      <c r="I560" s="131"/>
      <c r="J560" s="131"/>
      <c r="K560" s="131"/>
      <c r="L560" s="131"/>
      <c r="M560" s="131"/>
      <c r="N560" s="131"/>
      <c r="O560" s="131"/>
      <c r="P560" s="131"/>
      <c r="Q560" s="131"/>
      <c r="R560" s="131"/>
      <c r="S560" s="131"/>
      <c r="T560" s="131"/>
      <c r="U560" s="131"/>
      <c r="V560" s="131"/>
      <c r="W560" s="131"/>
      <c r="X560" s="131"/>
    </row>
    <row r="561" spans="1:24" ht="13.5" customHeight="1">
      <c r="A561" s="132"/>
      <c r="B561" s="131"/>
      <c r="C561" s="131"/>
      <c r="D561" s="132"/>
      <c r="E561" s="132"/>
      <c r="F561" s="132"/>
      <c r="G561" s="132"/>
      <c r="H561" s="132"/>
      <c r="I561" s="131"/>
      <c r="J561" s="131"/>
      <c r="K561" s="131"/>
      <c r="L561" s="131"/>
      <c r="M561" s="131"/>
      <c r="N561" s="131"/>
      <c r="O561" s="131"/>
      <c r="P561" s="131"/>
      <c r="Q561" s="131"/>
      <c r="R561" s="131"/>
      <c r="S561" s="131"/>
      <c r="T561" s="131"/>
      <c r="U561" s="131"/>
      <c r="V561" s="131"/>
      <c r="W561" s="131"/>
      <c r="X561" s="131"/>
    </row>
    <row r="562" spans="1:24" ht="13.5" customHeight="1">
      <c r="A562" s="132"/>
      <c r="B562" s="131"/>
      <c r="C562" s="131"/>
      <c r="D562" s="132"/>
      <c r="E562" s="132"/>
      <c r="F562" s="132"/>
      <c r="G562" s="132"/>
      <c r="H562" s="132"/>
      <c r="I562" s="131"/>
      <c r="J562" s="131"/>
      <c r="K562" s="131"/>
      <c r="L562" s="131"/>
      <c r="M562" s="131"/>
      <c r="N562" s="131"/>
      <c r="O562" s="131"/>
      <c r="P562" s="131"/>
      <c r="Q562" s="131"/>
      <c r="R562" s="131"/>
      <c r="S562" s="131"/>
      <c r="T562" s="131"/>
      <c r="U562" s="131"/>
      <c r="V562" s="131"/>
      <c r="W562" s="131"/>
      <c r="X562" s="131"/>
    </row>
    <row r="563" spans="1:24" ht="13.5" customHeight="1">
      <c r="A563" s="132"/>
      <c r="B563" s="131"/>
      <c r="C563" s="131"/>
      <c r="D563" s="132"/>
      <c r="E563" s="132"/>
      <c r="F563" s="132"/>
      <c r="G563" s="132"/>
      <c r="H563" s="132"/>
      <c r="I563" s="131"/>
      <c r="J563" s="131"/>
      <c r="K563" s="131"/>
      <c r="L563" s="131"/>
      <c r="M563" s="131"/>
      <c r="N563" s="131"/>
      <c r="O563" s="131"/>
      <c r="P563" s="131"/>
      <c r="Q563" s="131"/>
      <c r="R563" s="131"/>
      <c r="S563" s="131"/>
      <c r="T563" s="131"/>
      <c r="U563" s="131"/>
      <c r="V563" s="131"/>
      <c r="W563" s="131"/>
      <c r="X563" s="131"/>
    </row>
    <row r="564" spans="1:24" ht="13.5" customHeight="1">
      <c r="A564" s="132"/>
      <c r="B564" s="131"/>
      <c r="C564" s="131"/>
      <c r="D564" s="132"/>
      <c r="E564" s="132"/>
      <c r="F564" s="132"/>
      <c r="G564" s="132"/>
      <c r="H564" s="132"/>
      <c r="I564" s="131"/>
      <c r="J564" s="131"/>
      <c r="K564" s="131"/>
      <c r="L564" s="131"/>
      <c r="M564" s="131"/>
      <c r="N564" s="131"/>
      <c r="O564" s="131"/>
      <c r="P564" s="131"/>
      <c r="Q564" s="131"/>
      <c r="R564" s="131"/>
      <c r="S564" s="131"/>
      <c r="T564" s="131"/>
      <c r="U564" s="131"/>
      <c r="V564" s="131"/>
      <c r="W564" s="131"/>
      <c r="X564" s="131"/>
    </row>
    <row r="565" spans="1:24" ht="13.5" customHeight="1">
      <c r="A565" s="132"/>
      <c r="B565" s="131"/>
      <c r="C565" s="131"/>
      <c r="D565" s="132"/>
      <c r="E565" s="132"/>
      <c r="F565" s="132"/>
      <c r="G565" s="132"/>
      <c r="H565" s="132"/>
      <c r="I565" s="131"/>
      <c r="J565" s="131"/>
      <c r="K565" s="131"/>
      <c r="L565" s="131"/>
      <c r="M565" s="131"/>
      <c r="N565" s="131"/>
      <c r="O565" s="131"/>
      <c r="P565" s="131"/>
      <c r="Q565" s="131"/>
      <c r="R565" s="131"/>
      <c r="S565" s="131"/>
      <c r="T565" s="131"/>
      <c r="U565" s="131"/>
      <c r="V565" s="131"/>
      <c r="W565" s="131"/>
      <c r="X565" s="131"/>
    </row>
    <row r="566" spans="1:24" ht="13.5" customHeight="1">
      <c r="A566" s="132"/>
      <c r="B566" s="131"/>
      <c r="C566" s="131"/>
      <c r="D566" s="132"/>
      <c r="E566" s="132"/>
      <c r="F566" s="132"/>
      <c r="G566" s="132"/>
      <c r="H566" s="132"/>
      <c r="I566" s="131"/>
      <c r="J566" s="131"/>
      <c r="K566" s="131"/>
      <c r="L566" s="131"/>
      <c r="M566" s="131"/>
      <c r="N566" s="131"/>
      <c r="O566" s="131"/>
      <c r="P566" s="131"/>
      <c r="Q566" s="131"/>
      <c r="R566" s="131"/>
      <c r="S566" s="131"/>
      <c r="T566" s="131"/>
      <c r="U566" s="131"/>
      <c r="V566" s="131"/>
      <c r="W566" s="131"/>
      <c r="X566" s="131"/>
    </row>
    <row r="567" spans="1:24" ht="13.5" customHeight="1">
      <c r="A567" s="132"/>
      <c r="B567" s="131"/>
      <c r="C567" s="131"/>
      <c r="D567" s="132"/>
      <c r="E567" s="132"/>
      <c r="F567" s="132"/>
      <c r="G567" s="132"/>
      <c r="H567" s="132"/>
      <c r="I567" s="131"/>
      <c r="J567" s="131"/>
      <c r="K567" s="131"/>
      <c r="L567" s="131"/>
      <c r="M567" s="131"/>
      <c r="N567" s="131"/>
      <c r="O567" s="131"/>
      <c r="P567" s="131"/>
      <c r="Q567" s="131"/>
      <c r="R567" s="131"/>
      <c r="S567" s="131"/>
      <c r="T567" s="131"/>
      <c r="U567" s="131"/>
      <c r="V567" s="131"/>
      <c r="W567" s="131"/>
      <c r="X567" s="131"/>
    </row>
    <row r="568" spans="1:24" ht="13.5" customHeight="1">
      <c r="A568" s="132"/>
      <c r="B568" s="131"/>
      <c r="C568" s="131"/>
      <c r="D568" s="132"/>
      <c r="E568" s="132"/>
      <c r="F568" s="132"/>
      <c r="G568" s="132"/>
      <c r="H568" s="132"/>
      <c r="I568" s="131"/>
      <c r="J568" s="131"/>
      <c r="K568" s="131"/>
      <c r="L568" s="131"/>
      <c r="M568" s="131"/>
      <c r="N568" s="131"/>
      <c r="O568" s="131"/>
      <c r="P568" s="131"/>
      <c r="Q568" s="131"/>
      <c r="R568" s="131"/>
      <c r="S568" s="131"/>
      <c r="T568" s="131"/>
      <c r="U568" s="131"/>
      <c r="V568" s="131"/>
      <c r="W568" s="131"/>
      <c r="X568" s="131"/>
    </row>
    <row r="569" spans="1:24" ht="13.5" customHeight="1">
      <c r="A569" s="132"/>
      <c r="B569" s="131"/>
      <c r="C569" s="131"/>
      <c r="D569" s="132"/>
      <c r="E569" s="132"/>
      <c r="F569" s="132"/>
      <c r="G569" s="132"/>
      <c r="H569" s="132"/>
      <c r="I569" s="131"/>
      <c r="J569" s="131"/>
      <c r="K569" s="131"/>
      <c r="L569" s="131"/>
      <c r="M569" s="131"/>
      <c r="N569" s="131"/>
      <c r="O569" s="131"/>
      <c r="P569" s="131"/>
      <c r="Q569" s="131"/>
      <c r="R569" s="131"/>
      <c r="S569" s="131"/>
      <c r="T569" s="131"/>
      <c r="U569" s="131"/>
      <c r="V569" s="131"/>
      <c r="W569" s="131"/>
      <c r="X569" s="131"/>
    </row>
    <row r="570" spans="1:24" ht="13.5" customHeight="1">
      <c r="A570" s="132"/>
      <c r="B570" s="131"/>
      <c r="C570" s="131"/>
      <c r="D570" s="132"/>
      <c r="E570" s="132"/>
      <c r="F570" s="132"/>
      <c r="G570" s="132"/>
      <c r="H570" s="132"/>
      <c r="I570" s="131"/>
      <c r="J570" s="131"/>
      <c r="K570" s="131"/>
      <c r="L570" s="131"/>
      <c r="M570" s="131"/>
      <c r="N570" s="131"/>
      <c r="O570" s="131"/>
      <c r="P570" s="131"/>
      <c r="Q570" s="131"/>
      <c r="R570" s="131"/>
      <c r="S570" s="131"/>
      <c r="T570" s="131"/>
      <c r="U570" s="131"/>
      <c r="V570" s="131"/>
      <c r="W570" s="131"/>
      <c r="X570" s="131"/>
    </row>
    <row r="571" spans="1:24" ht="13.5" customHeight="1">
      <c r="A571" s="132"/>
      <c r="B571" s="131"/>
      <c r="C571" s="131"/>
      <c r="D571" s="132"/>
      <c r="E571" s="132"/>
      <c r="F571" s="132"/>
      <c r="G571" s="132"/>
      <c r="H571" s="132"/>
      <c r="I571" s="131"/>
      <c r="J571" s="131"/>
      <c r="K571" s="131"/>
      <c r="L571" s="131"/>
      <c r="M571" s="131"/>
      <c r="N571" s="131"/>
      <c r="O571" s="131"/>
      <c r="P571" s="131"/>
      <c r="Q571" s="131"/>
      <c r="R571" s="131"/>
      <c r="S571" s="131"/>
      <c r="T571" s="131"/>
      <c r="U571" s="131"/>
      <c r="V571" s="131"/>
      <c r="W571" s="131"/>
      <c r="X571" s="131"/>
    </row>
    <row r="572" spans="1:24" ht="13.5" customHeight="1">
      <c r="A572" s="132"/>
      <c r="B572" s="131"/>
      <c r="C572" s="131"/>
      <c r="D572" s="132"/>
      <c r="E572" s="132"/>
      <c r="F572" s="132"/>
      <c r="G572" s="132"/>
      <c r="H572" s="132"/>
      <c r="I572" s="131"/>
      <c r="J572" s="131"/>
      <c r="K572" s="131"/>
      <c r="L572" s="131"/>
      <c r="M572" s="131"/>
      <c r="N572" s="131"/>
      <c r="O572" s="131"/>
      <c r="P572" s="131"/>
      <c r="Q572" s="131"/>
      <c r="R572" s="131"/>
      <c r="S572" s="131"/>
      <c r="T572" s="131"/>
      <c r="U572" s="131"/>
      <c r="V572" s="131"/>
      <c r="W572" s="131"/>
      <c r="X572" s="131"/>
    </row>
    <row r="573" spans="1:24" ht="13.5" customHeight="1">
      <c r="A573" s="132"/>
      <c r="B573" s="131"/>
      <c r="C573" s="131"/>
      <c r="D573" s="132"/>
      <c r="E573" s="132"/>
      <c r="F573" s="132"/>
      <c r="G573" s="132"/>
      <c r="H573" s="132"/>
      <c r="I573" s="131"/>
      <c r="J573" s="131"/>
      <c r="K573" s="131"/>
      <c r="L573" s="131"/>
      <c r="M573" s="131"/>
      <c r="N573" s="131"/>
      <c r="O573" s="131"/>
      <c r="P573" s="131"/>
      <c r="Q573" s="131"/>
      <c r="R573" s="131"/>
      <c r="S573" s="131"/>
      <c r="T573" s="131"/>
      <c r="U573" s="131"/>
      <c r="V573" s="131"/>
      <c r="W573" s="131"/>
      <c r="X573" s="131"/>
    </row>
    <row r="574" spans="1:24" ht="13.5" customHeight="1">
      <c r="A574" s="132"/>
      <c r="B574" s="131"/>
      <c r="C574" s="131"/>
      <c r="D574" s="132"/>
      <c r="E574" s="132"/>
      <c r="F574" s="132"/>
      <c r="G574" s="132"/>
      <c r="H574" s="132"/>
      <c r="I574" s="131"/>
      <c r="J574" s="131"/>
      <c r="K574" s="131"/>
      <c r="L574" s="131"/>
      <c r="M574" s="131"/>
      <c r="N574" s="131"/>
      <c r="O574" s="131"/>
      <c r="P574" s="131"/>
      <c r="Q574" s="131"/>
      <c r="R574" s="131"/>
      <c r="S574" s="131"/>
      <c r="T574" s="131"/>
      <c r="U574" s="131"/>
      <c r="V574" s="131"/>
      <c r="W574" s="131"/>
      <c r="X574" s="131"/>
    </row>
    <row r="575" spans="1:24" ht="13.5" customHeight="1">
      <c r="A575" s="132"/>
      <c r="B575" s="131"/>
      <c r="C575" s="131"/>
      <c r="D575" s="132"/>
      <c r="E575" s="132"/>
      <c r="F575" s="132"/>
      <c r="G575" s="132"/>
      <c r="H575" s="132"/>
      <c r="I575" s="131"/>
      <c r="J575" s="131"/>
      <c r="K575" s="131"/>
      <c r="L575" s="131"/>
      <c r="M575" s="131"/>
      <c r="N575" s="131"/>
      <c r="O575" s="131"/>
      <c r="P575" s="131"/>
      <c r="Q575" s="131"/>
      <c r="R575" s="131"/>
      <c r="S575" s="131"/>
      <c r="T575" s="131"/>
      <c r="U575" s="131"/>
      <c r="V575" s="131"/>
      <c r="W575" s="131"/>
      <c r="X575" s="131"/>
    </row>
    <row r="576" spans="1:24" ht="13.5" customHeight="1">
      <c r="A576" s="132"/>
      <c r="B576" s="131"/>
      <c r="C576" s="131"/>
      <c r="D576" s="132"/>
      <c r="E576" s="132"/>
      <c r="F576" s="132"/>
      <c r="G576" s="132"/>
      <c r="H576" s="132"/>
      <c r="I576" s="131"/>
      <c r="J576" s="131"/>
      <c r="K576" s="131"/>
      <c r="L576" s="131"/>
      <c r="M576" s="131"/>
      <c r="N576" s="131"/>
      <c r="O576" s="131"/>
      <c r="P576" s="131"/>
      <c r="Q576" s="131"/>
      <c r="R576" s="131"/>
      <c r="S576" s="131"/>
      <c r="T576" s="131"/>
      <c r="U576" s="131"/>
      <c r="V576" s="131"/>
      <c r="W576" s="131"/>
      <c r="X576" s="131"/>
    </row>
    <row r="577" spans="1:24" ht="13.5" customHeight="1">
      <c r="A577" s="132"/>
      <c r="B577" s="131"/>
      <c r="C577" s="131"/>
      <c r="D577" s="132"/>
      <c r="E577" s="132"/>
      <c r="F577" s="132"/>
      <c r="G577" s="132"/>
      <c r="H577" s="132"/>
      <c r="I577" s="131"/>
      <c r="J577" s="131"/>
      <c r="K577" s="131"/>
      <c r="L577" s="131"/>
      <c r="M577" s="131"/>
      <c r="N577" s="131"/>
      <c r="O577" s="131"/>
      <c r="P577" s="131"/>
      <c r="Q577" s="131"/>
      <c r="R577" s="131"/>
      <c r="S577" s="131"/>
      <c r="T577" s="131"/>
      <c r="U577" s="131"/>
      <c r="V577" s="131"/>
      <c r="W577" s="131"/>
      <c r="X577" s="131"/>
    </row>
    <row r="578" spans="1:24" ht="13.5" customHeight="1">
      <c r="A578" s="132"/>
      <c r="B578" s="131"/>
      <c r="C578" s="131"/>
      <c r="D578" s="132"/>
      <c r="E578" s="132"/>
      <c r="F578" s="132"/>
      <c r="G578" s="132"/>
      <c r="H578" s="132"/>
      <c r="I578" s="131"/>
      <c r="J578" s="131"/>
      <c r="K578" s="131"/>
      <c r="L578" s="131"/>
      <c r="M578" s="131"/>
      <c r="N578" s="131"/>
      <c r="O578" s="131"/>
      <c r="P578" s="131"/>
      <c r="Q578" s="131"/>
      <c r="R578" s="131"/>
      <c r="S578" s="131"/>
      <c r="T578" s="131"/>
      <c r="U578" s="131"/>
      <c r="V578" s="131"/>
      <c r="W578" s="131"/>
      <c r="X578" s="131"/>
    </row>
    <row r="579" spans="1:24" ht="13.5" customHeight="1">
      <c r="A579" s="132"/>
      <c r="B579" s="131"/>
      <c r="C579" s="131"/>
      <c r="D579" s="132"/>
      <c r="E579" s="132"/>
      <c r="F579" s="132"/>
      <c r="G579" s="132"/>
      <c r="H579" s="132"/>
      <c r="I579" s="131"/>
      <c r="J579" s="131"/>
      <c r="K579" s="131"/>
      <c r="L579" s="131"/>
      <c r="M579" s="131"/>
      <c r="N579" s="131"/>
      <c r="O579" s="131"/>
      <c r="P579" s="131"/>
      <c r="Q579" s="131"/>
      <c r="R579" s="131"/>
      <c r="S579" s="131"/>
      <c r="T579" s="131"/>
      <c r="U579" s="131"/>
      <c r="V579" s="131"/>
      <c r="W579" s="131"/>
      <c r="X579" s="131"/>
    </row>
    <row r="580" spans="1:24" ht="13.5" customHeight="1">
      <c r="A580" s="132"/>
      <c r="B580" s="131"/>
      <c r="C580" s="131"/>
      <c r="D580" s="132"/>
      <c r="E580" s="132"/>
      <c r="F580" s="132"/>
      <c r="G580" s="132"/>
      <c r="H580" s="132"/>
      <c r="I580" s="131"/>
      <c r="J580" s="131"/>
      <c r="K580" s="131"/>
      <c r="L580" s="131"/>
      <c r="M580" s="131"/>
      <c r="N580" s="131"/>
      <c r="O580" s="131"/>
      <c r="P580" s="131"/>
      <c r="Q580" s="131"/>
      <c r="R580" s="131"/>
      <c r="S580" s="131"/>
      <c r="T580" s="131"/>
      <c r="U580" s="131"/>
      <c r="V580" s="131"/>
      <c r="W580" s="131"/>
      <c r="X580" s="131"/>
    </row>
    <row r="581" spans="1:24" ht="13.5" customHeight="1">
      <c r="A581" s="132"/>
      <c r="B581" s="131"/>
      <c r="C581" s="131"/>
      <c r="D581" s="132"/>
      <c r="E581" s="132"/>
      <c r="F581" s="132"/>
      <c r="G581" s="132"/>
      <c r="H581" s="132"/>
      <c r="I581" s="131"/>
      <c r="J581" s="131"/>
      <c r="K581" s="131"/>
      <c r="L581" s="131"/>
      <c r="M581" s="131"/>
      <c r="N581" s="131"/>
      <c r="O581" s="131"/>
      <c r="P581" s="131"/>
      <c r="Q581" s="131"/>
      <c r="R581" s="131"/>
      <c r="S581" s="131"/>
      <c r="T581" s="131"/>
      <c r="U581" s="131"/>
      <c r="V581" s="131"/>
      <c r="W581" s="131"/>
      <c r="X581" s="131"/>
    </row>
    <row r="582" spans="1:24" ht="13.5" customHeight="1">
      <c r="A582" s="132"/>
      <c r="B582" s="131"/>
      <c r="C582" s="131"/>
      <c r="D582" s="132"/>
      <c r="E582" s="132"/>
      <c r="F582" s="132"/>
      <c r="G582" s="132"/>
      <c r="H582" s="132"/>
      <c r="I582" s="131"/>
      <c r="J582" s="131"/>
      <c r="K582" s="131"/>
      <c r="L582" s="131"/>
      <c r="M582" s="131"/>
      <c r="N582" s="131"/>
      <c r="O582" s="131"/>
      <c r="P582" s="131"/>
      <c r="Q582" s="131"/>
      <c r="R582" s="131"/>
      <c r="S582" s="131"/>
      <c r="T582" s="131"/>
      <c r="U582" s="131"/>
      <c r="V582" s="131"/>
      <c r="W582" s="131"/>
      <c r="X582" s="131"/>
    </row>
    <row r="583" spans="1:24" ht="13.5" customHeight="1">
      <c r="A583" s="132"/>
      <c r="B583" s="131"/>
      <c r="C583" s="131"/>
      <c r="D583" s="132"/>
      <c r="E583" s="132"/>
      <c r="F583" s="132"/>
      <c r="G583" s="132"/>
      <c r="H583" s="132"/>
      <c r="I583" s="131"/>
      <c r="J583" s="131"/>
      <c r="K583" s="131"/>
      <c r="L583" s="131"/>
      <c r="M583" s="131"/>
      <c r="N583" s="131"/>
      <c r="O583" s="131"/>
      <c r="P583" s="131"/>
      <c r="Q583" s="131"/>
      <c r="R583" s="131"/>
      <c r="S583" s="131"/>
      <c r="T583" s="131"/>
      <c r="U583" s="131"/>
      <c r="V583" s="131"/>
      <c r="W583" s="131"/>
      <c r="X583" s="131"/>
    </row>
    <row r="584" spans="1:24" ht="13.5" customHeight="1">
      <c r="A584" s="132"/>
      <c r="B584" s="131"/>
      <c r="C584" s="131"/>
      <c r="D584" s="132"/>
      <c r="E584" s="132"/>
      <c r="F584" s="132"/>
      <c r="G584" s="132"/>
      <c r="H584" s="132"/>
      <c r="I584" s="131"/>
      <c r="J584" s="131"/>
      <c r="K584" s="131"/>
      <c r="L584" s="131"/>
      <c r="M584" s="131"/>
      <c r="N584" s="131"/>
      <c r="O584" s="131"/>
      <c r="P584" s="131"/>
      <c r="Q584" s="131"/>
      <c r="R584" s="131"/>
      <c r="S584" s="131"/>
      <c r="T584" s="131"/>
      <c r="U584" s="131"/>
      <c r="V584" s="131"/>
      <c r="W584" s="131"/>
      <c r="X584" s="131"/>
    </row>
    <row r="585" spans="1:24" ht="13.5" customHeight="1">
      <c r="A585" s="132"/>
      <c r="B585" s="131"/>
      <c r="C585" s="131"/>
      <c r="D585" s="132"/>
      <c r="E585" s="132"/>
      <c r="F585" s="132"/>
      <c r="G585" s="132"/>
      <c r="H585" s="132"/>
      <c r="I585" s="131"/>
      <c r="J585" s="131"/>
      <c r="K585" s="131"/>
      <c r="L585" s="131"/>
      <c r="M585" s="131"/>
      <c r="N585" s="131"/>
      <c r="O585" s="131"/>
      <c r="P585" s="131"/>
      <c r="Q585" s="131"/>
      <c r="R585" s="131"/>
      <c r="S585" s="131"/>
      <c r="T585" s="131"/>
      <c r="U585" s="131"/>
      <c r="V585" s="131"/>
      <c r="W585" s="131"/>
      <c r="X585" s="131"/>
    </row>
    <row r="586" spans="1:24" ht="13.5" customHeight="1">
      <c r="A586" s="132"/>
      <c r="B586" s="131"/>
      <c r="C586" s="131"/>
      <c r="D586" s="132"/>
      <c r="E586" s="132"/>
      <c r="F586" s="132"/>
      <c r="G586" s="132"/>
      <c r="H586" s="132"/>
      <c r="I586" s="131"/>
      <c r="J586" s="131"/>
      <c r="K586" s="131"/>
      <c r="L586" s="131"/>
      <c r="M586" s="131"/>
      <c r="N586" s="131"/>
      <c r="O586" s="131"/>
      <c r="P586" s="131"/>
      <c r="Q586" s="131"/>
      <c r="R586" s="131"/>
      <c r="S586" s="131"/>
      <c r="T586" s="131"/>
      <c r="U586" s="131"/>
      <c r="V586" s="131"/>
      <c r="W586" s="131"/>
      <c r="X586" s="131"/>
    </row>
    <row r="587" spans="1:24" ht="13.5" customHeight="1">
      <c r="A587" s="132"/>
      <c r="B587" s="131"/>
      <c r="C587" s="131"/>
      <c r="D587" s="132"/>
      <c r="E587" s="132"/>
      <c r="F587" s="132"/>
      <c r="G587" s="132"/>
      <c r="H587" s="132"/>
      <c r="I587" s="131"/>
      <c r="J587" s="131"/>
      <c r="K587" s="131"/>
      <c r="L587" s="131"/>
      <c r="M587" s="131"/>
      <c r="N587" s="131"/>
      <c r="O587" s="131"/>
      <c r="P587" s="131"/>
      <c r="Q587" s="131"/>
      <c r="R587" s="131"/>
      <c r="S587" s="131"/>
      <c r="T587" s="131"/>
      <c r="U587" s="131"/>
      <c r="V587" s="131"/>
      <c r="W587" s="131"/>
      <c r="X587" s="131"/>
    </row>
    <row r="588" spans="1:24" ht="13.5" customHeight="1">
      <c r="A588" s="132"/>
      <c r="B588" s="131"/>
      <c r="C588" s="131"/>
      <c r="D588" s="132"/>
      <c r="E588" s="132"/>
      <c r="F588" s="132"/>
      <c r="G588" s="132"/>
      <c r="H588" s="132"/>
      <c r="I588" s="131"/>
      <c r="J588" s="131"/>
      <c r="K588" s="131"/>
      <c r="L588" s="131"/>
      <c r="M588" s="131"/>
      <c r="N588" s="131"/>
      <c r="O588" s="131"/>
      <c r="P588" s="131"/>
      <c r="Q588" s="131"/>
      <c r="R588" s="131"/>
      <c r="S588" s="131"/>
      <c r="T588" s="131"/>
      <c r="U588" s="131"/>
      <c r="V588" s="131"/>
      <c r="W588" s="131"/>
      <c r="X588" s="131"/>
    </row>
    <row r="589" spans="1:24" ht="13.5" customHeight="1">
      <c r="A589" s="132"/>
      <c r="B589" s="131"/>
      <c r="C589" s="131"/>
      <c r="D589" s="132"/>
      <c r="E589" s="132"/>
      <c r="F589" s="132"/>
      <c r="G589" s="132"/>
      <c r="H589" s="132"/>
      <c r="I589" s="131"/>
      <c r="J589" s="131"/>
      <c r="K589" s="131"/>
      <c r="L589" s="131"/>
      <c r="M589" s="131"/>
      <c r="N589" s="131"/>
      <c r="O589" s="131"/>
      <c r="P589" s="131"/>
      <c r="Q589" s="131"/>
      <c r="R589" s="131"/>
      <c r="S589" s="131"/>
      <c r="T589" s="131"/>
      <c r="U589" s="131"/>
      <c r="V589" s="131"/>
      <c r="W589" s="131"/>
      <c r="X589" s="131"/>
    </row>
    <row r="590" spans="1:24" ht="13.5" customHeight="1">
      <c r="A590" s="132"/>
      <c r="B590" s="131"/>
      <c r="C590" s="131"/>
      <c r="D590" s="132"/>
      <c r="E590" s="132"/>
      <c r="F590" s="132"/>
      <c r="G590" s="132"/>
      <c r="H590" s="132"/>
      <c r="I590" s="131"/>
      <c r="J590" s="131"/>
      <c r="K590" s="131"/>
      <c r="L590" s="131"/>
      <c r="M590" s="131"/>
      <c r="N590" s="131"/>
      <c r="O590" s="131"/>
      <c r="P590" s="131"/>
      <c r="Q590" s="131"/>
      <c r="R590" s="131"/>
      <c r="S590" s="131"/>
      <c r="T590" s="131"/>
      <c r="U590" s="131"/>
      <c r="V590" s="131"/>
      <c r="W590" s="131"/>
      <c r="X590" s="131"/>
    </row>
    <row r="591" spans="1:24" ht="13.5" customHeight="1">
      <c r="A591" s="132"/>
      <c r="B591" s="131"/>
      <c r="C591" s="131"/>
      <c r="D591" s="132"/>
      <c r="E591" s="132"/>
      <c r="F591" s="132"/>
      <c r="G591" s="132"/>
      <c r="H591" s="132"/>
      <c r="I591" s="131"/>
      <c r="J591" s="131"/>
      <c r="K591" s="131"/>
      <c r="L591" s="131"/>
      <c r="M591" s="131"/>
      <c r="N591" s="131"/>
      <c r="O591" s="131"/>
      <c r="P591" s="131"/>
      <c r="Q591" s="131"/>
      <c r="R591" s="131"/>
      <c r="S591" s="131"/>
      <c r="T591" s="131"/>
      <c r="U591" s="131"/>
      <c r="V591" s="131"/>
      <c r="W591" s="131"/>
      <c r="X591" s="131"/>
    </row>
    <row r="592" spans="1:24" ht="13.5" customHeight="1">
      <c r="A592" s="132"/>
      <c r="B592" s="131"/>
      <c r="C592" s="131"/>
      <c r="D592" s="132"/>
      <c r="E592" s="132"/>
      <c r="F592" s="132"/>
      <c r="G592" s="132"/>
      <c r="H592" s="132"/>
      <c r="I592" s="131"/>
      <c r="J592" s="131"/>
      <c r="K592" s="131"/>
      <c r="L592" s="131"/>
      <c r="M592" s="131"/>
      <c r="N592" s="131"/>
      <c r="O592" s="131"/>
      <c r="P592" s="131"/>
      <c r="Q592" s="131"/>
      <c r="R592" s="131"/>
      <c r="S592" s="131"/>
      <c r="T592" s="131"/>
      <c r="U592" s="131"/>
      <c r="V592" s="131"/>
      <c r="W592" s="131"/>
      <c r="X592" s="131"/>
    </row>
    <row r="593" spans="1:24" ht="13.5" customHeight="1">
      <c r="A593" s="132"/>
      <c r="B593" s="131"/>
      <c r="C593" s="131"/>
      <c r="D593" s="132"/>
      <c r="E593" s="132"/>
      <c r="F593" s="132"/>
      <c r="G593" s="132"/>
      <c r="H593" s="132"/>
      <c r="I593" s="131"/>
      <c r="J593" s="131"/>
      <c r="K593" s="131"/>
      <c r="L593" s="131"/>
      <c r="M593" s="131"/>
      <c r="N593" s="131"/>
      <c r="O593" s="131"/>
      <c r="P593" s="131"/>
      <c r="Q593" s="131"/>
      <c r="R593" s="131"/>
      <c r="S593" s="131"/>
      <c r="T593" s="131"/>
      <c r="U593" s="131"/>
      <c r="V593" s="131"/>
      <c r="W593" s="131"/>
      <c r="X593" s="131"/>
    </row>
    <row r="594" spans="1:24" ht="13.5" customHeight="1">
      <c r="A594" s="132"/>
      <c r="B594" s="131"/>
      <c r="C594" s="131"/>
      <c r="D594" s="132"/>
      <c r="E594" s="132"/>
      <c r="F594" s="132"/>
      <c r="G594" s="132"/>
      <c r="H594" s="132"/>
      <c r="I594" s="131"/>
      <c r="J594" s="131"/>
      <c r="K594" s="131"/>
      <c r="L594" s="131"/>
      <c r="M594" s="131"/>
      <c r="N594" s="131"/>
      <c r="O594" s="131"/>
      <c r="P594" s="131"/>
      <c r="Q594" s="131"/>
      <c r="R594" s="131"/>
      <c r="S594" s="131"/>
      <c r="T594" s="131"/>
      <c r="U594" s="131"/>
      <c r="V594" s="131"/>
      <c r="W594" s="131"/>
      <c r="X594" s="131"/>
    </row>
    <row r="595" spans="1:24" ht="13.5" customHeight="1">
      <c r="A595" s="132"/>
      <c r="B595" s="131"/>
      <c r="C595" s="131"/>
      <c r="D595" s="132"/>
      <c r="E595" s="132"/>
      <c r="F595" s="132"/>
      <c r="G595" s="132"/>
      <c r="H595" s="132"/>
      <c r="I595" s="131"/>
      <c r="J595" s="131"/>
      <c r="K595" s="131"/>
      <c r="L595" s="131"/>
      <c r="M595" s="131"/>
      <c r="N595" s="131"/>
      <c r="O595" s="131"/>
      <c r="P595" s="131"/>
      <c r="Q595" s="131"/>
      <c r="R595" s="131"/>
      <c r="S595" s="131"/>
      <c r="T595" s="131"/>
      <c r="U595" s="131"/>
      <c r="V595" s="131"/>
      <c r="W595" s="131"/>
      <c r="X595" s="131"/>
    </row>
    <row r="596" spans="1:24" ht="13.5" customHeight="1">
      <c r="A596" s="132"/>
      <c r="B596" s="131"/>
      <c r="C596" s="131"/>
      <c r="D596" s="132"/>
      <c r="E596" s="132"/>
      <c r="F596" s="132"/>
      <c r="G596" s="132"/>
      <c r="H596" s="132"/>
      <c r="I596" s="131"/>
      <c r="J596" s="131"/>
      <c r="K596" s="131"/>
      <c r="L596" s="131"/>
      <c r="M596" s="131"/>
      <c r="N596" s="131"/>
      <c r="O596" s="131"/>
      <c r="P596" s="131"/>
      <c r="Q596" s="131"/>
      <c r="R596" s="131"/>
      <c r="S596" s="131"/>
      <c r="T596" s="131"/>
      <c r="U596" s="131"/>
      <c r="V596" s="131"/>
      <c r="W596" s="131"/>
      <c r="X596" s="131"/>
    </row>
    <row r="597" spans="1:24" ht="13.5" customHeight="1">
      <c r="A597" s="132"/>
      <c r="B597" s="131"/>
      <c r="C597" s="131"/>
      <c r="D597" s="132"/>
      <c r="E597" s="132"/>
      <c r="F597" s="132"/>
      <c r="G597" s="132"/>
      <c r="H597" s="132"/>
      <c r="I597" s="131"/>
      <c r="J597" s="131"/>
      <c r="K597" s="131"/>
      <c r="L597" s="131"/>
      <c r="M597" s="131"/>
      <c r="N597" s="131"/>
      <c r="O597" s="131"/>
      <c r="P597" s="131"/>
      <c r="Q597" s="131"/>
      <c r="R597" s="131"/>
      <c r="S597" s="131"/>
      <c r="T597" s="131"/>
      <c r="U597" s="131"/>
      <c r="V597" s="131"/>
      <c r="W597" s="131"/>
      <c r="X597" s="131"/>
    </row>
    <row r="598" spans="1:24" ht="13.5" customHeight="1">
      <c r="A598" s="132"/>
      <c r="B598" s="131"/>
      <c r="C598" s="131"/>
      <c r="D598" s="132"/>
      <c r="E598" s="132"/>
      <c r="F598" s="132"/>
      <c r="G598" s="132"/>
      <c r="H598" s="132"/>
      <c r="I598" s="131"/>
      <c r="J598" s="131"/>
      <c r="K598" s="131"/>
      <c r="L598" s="131"/>
      <c r="M598" s="131"/>
      <c r="N598" s="131"/>
      <c r="O598" s="131"/>
      <c r="P598" s="131"/>
      <c r="Q598" s="131"/>
      <c r="R598" s="131"/>
      <c r="S598" s="131"/>
      <c r="T598" s="131"/>
      <c r="U598" s="131"/>
      <c r="V598" s="131"/>
      <c r="W598" s="131"/>
      <c r="X598" s="131"/>
    </row>
    <row r="599" spans="1:24" ht="13.5" customHeight="1">
      <c r="A599" s="132"/>
      <c r="B599" s="131"/>
      <c r="C599" s="131"/>
      <c r="D599" s="132"/>
      <c r="E599" s="132"/>
      <c r="F599" s="132"/>
      <c r="G599" s="132"/>
      <c r="H599" s="132"/>
      <c r="I599" s="131"/>
      <c r="J599" s="131"/>
      <c r="K599" s="131"/>
      <c r="L599" s="131"/>
      <c r="M599" s="131"/>
      <c r="N599" s="131"/>
      <c r="O599" s="131"/>
      <c r="P599" s="131"/>
      <c r="Q599" s="131"/>
      <c r="R599" s="131"/>
      <c r="S599" s="131"/>
      <c r="T599" s="131"/>
      <c r="U599" s="131"/>
      <c r="V599" s="131"/>
      <c r="W599" s="131"/>
      <c r="X599" s="131"/>
    </row>
    <row r="600" spans="1:24" ht="13.5" customHeight="1">
      <c r="A600" s="132"/>
      <c r="B600" s="131"/>
      <c r="C600" s="131"/>
      <c r="D600" s="132"/>
      <c r="E600" s="132"/>
      <c r="F600" s="132"/>
      <c r="G600" s="132"/>
      <c r="H600" s="132"/>
      <c r="I600" s="131"/>
      <c r="J600" s="131"/>
      <c r="K600" s="131"/>
      <c r="L600" s="131"/>
      <c r="M600" s="131"/>
      <c r="N600" s="131"/>
      <c r="O600" s="131"/>
      <c r="P600" s="131"/>
      <c r="Q600" s="131"/>
      <c r="R600" s="131"/>
      <c r="S600" s="131"/>
      <c r="T600" s="131"/>
      <c r="U600" s="131"/>
      <c r="V600" s="131"/>
      <c r="W600" s="131"/>
      <c r="X600" s="131"/>
    </row>
    <row r="601" spans="1:24" ht="13.5" customHeight="1">
      <c r="A601" s="132"/>
      <c r="B601" s="131"/>
      <c r="C601" s="131"/>
      <c r="D601" s="132"/>
      <c r="E601" s="132"/>
      <c r="F601" s="132"/>
      <c r="G601" s="132"/>
      <c r="H601" s="132"/>
      <c r="I601" s="131"/>
      <c r="J601" s="131"/>
      <c r="K601" s="131"/>
      <c r="L601" s="131"/>
      <c r="M601" s="131"/>
      <c r="N601" s="131"/>
      <c r="O601" s="131"/>
      <c r="P601" s="131"/>
      <c r="Q601" s="131"/>
      <c r="R601" s="131"/>
      <c r="S601" s="131"/>
      <c r="T601" s="131"/>
      <c r="U601" s="131"/>
      <c r="V601" s="131"/>
      <c r="W601" s="131"/>
      <c r="X601" s="131"/>
    </row>
    <row r="602" spans="1:24" ht="13.5" customHeight="1">
      <c r="A602" s="132"/>
      <c r="B602" s="131"/>
      <c r="C602" s="131"/>
      <c r="D602" s="132"/>
      <c r="E602" s="132"/>
      <c r="F602" s="132"/>
      <c r="G602" s="132"/>
      <c r="H602" s="132"/>
      <c r="I602" s="131"/>
      <c r="J602" s="131"/>
      <c r="K602" s="131"/>
      <c r="L602" s="131"/>
      <c r="M602" s="131"/>
      <c r="N602" s="131"/>
      <c r="O602" s="131"/>
      <c r="P602" s="131"/>
      <c r="Q602" s="131"/>
      <c r="R602" s="131"/>
      <c r="S602" s="131"/>
      <c r="T602" s="131"/>
      <c r="U602" s="131"/>
      <c r="V602" s="131"/>
      <c r="W602" s="131"/>
      <c r="X602" s="131"/>
    </row>
    <row r="603" spans="1:24" ht="13.5" customHeight="1">
      <c r="A603" s="132"/>
      <c r="B603" s="131"/>
      <c r="C603" s="131"/>
      <c r="D603" s="132"/>
      <c r="E603" s="132"/>
      <c r="F603" s="132"/>
      <c r="G603" s="132"/>
      <c r="H603" s="132"/>
      <c r="I603" s="131"/>
      <c r="J603" s="131"/>
      <c r="K603" s="131"/>
      <c r="L603" s="131"/>
      <c r="M603" s="131"/>
      <c r="N603" s="131"/>
      <c r="O603" s="131"/>
      <c r="P603" s="131"/>
      <c r="Q603" s="131"/>
      <c r="R603" s="131"/>
      <c r="S603" s="131"/>
      <c r="T603" s="131"/>
      <c r="U603" s="131"/>
      <c r="V603" s="131"/>
      <c r="W603" s="131"/>
      <c r="X603" s="131"/>
    </row>
    <row r="604" spans="1:24" ht="13.5" customHeight="1">
      <c r="A604" s="132"/>
      <c r="B604" s="131"/>
      <c r="C604" s="131"/>
      <c r="D604" s="132"/>
      <c r="E604" s="132"/>
      <c r="F604" s="132"/>
      <c r="G604" s="132"/>
      <c r="H604" s="132"/>
      <c r="I604" s="131"/>
      <c r="J604" s="131"/>
      <c r="K604" s="131"/>
      <c r="L604" s="131"/>
      <c r="M604" s="131"/>
      <c r="N604" s="131"/>
      <c r="O604" s="131"/>
      <c r="P604" s="131"/>
      <c r="Q604" s="131"/>
      <c r="R604" s="131"/>
      <c r="S604" s="131"/>
      <c r="T604" s="131"/>
      <c r="U604" s="131"/>
      <c r="V604" s="131"/>
      <c r="W604" s="131"/>
      <c r="X604" s="131"/>
    </row>
    <row r="605" spans="1:24" ht="13.5" customHeight="1">
      <c r="A605" s="132"/>
      <c r="B605" s="131"/>
      <c r="C605" s="131"/>
      <c r="D605" s="132"/>
      <c r="E605" s="132"/>
      <c r="F605" s="132"/>
      <c r="G605" s="132"/>
      <c r="H605" s="132"/>
      <c r="I605" s="131"/>
      <c r="J605" s="131"/>
      <c r="K605" s="131"/>
      <c r="L605" s="131"/>
      <c r="M605" s="131"/>
      <c r="N605" s="131"/>
      <c r="O605" s="131"/>
      <c r="P605" s="131"/>
      <c r="Q605" s="131"/>
      <c r="R605" s="131"/>
      <c r="S605" s="131"/>
      <c r="T605" s="131"/>
      <c r="U605" s="131"/>
      <c r="V605" s="131"/>
      <c r="W605" s="131"/>
      <c r="X605" s="131"/>
    </row>
    <row r="606" spans="1:24" ht="13.5" customHeight="1">
      <c r="A606" s="132"/>
      <c r="B606" s="131"/>
      <c r="C606" s="131"/>
      <c r="D606" s="132"/>
      <c r="E606" s="132"/>
      <c r="F606" s="132"/>
      <c r="G606" s="132"/>
      <c r="H606" s="132"/>
      <c r="I606" s="131"/>
      <c r="J606" s="131"/>
      <c r="K606" s="131"/>
      <c r="L606" s="131"/>
      <c r="M606" s="131"/>
      <c r="N606" s="131"/>
      <c r="O606" s="131"/>
      <c r="P606" s="131"/>
      <c r="Q606" s="131"/>
      <c r="R606" s="131"/>
      <c r="S606" s="131"/>
      <c r="T606" s="131"/>
      <c r="U606" s="131"/>
      <c r="V606" s="131"/>
      <c r="W606" s="131"/>
      <c r="X606" s="131"/>
    </row>
    <row r="607" spans="1:24" ht="13.5" customHeight="1">
      <c r="A607" s="132"/>
      <c r="B607" s="131"/>
      <c r="C607" s="131"/>
      <c r="D607" s="132"/>
      <c r="E607" s="132"/>
      <c r="F607" s="132"/>
      <c r="G607" s="132"/>
      <c r="H607" s="132"/>
      <c r="I607" s="131"/>
      <c r="J607" s="131"/>
      <c r="K607" s="131"/>
      <c r="L607" s="131"/>
      <c r="M607" s="131"/>
      <c r="N607" s="131"/>
      <c r="O607" s="131"/>
      <c r="P607" s="131"/>
      <c r="Q607" s="131"/>
      <c r="R607" s="131"/>
      <c r="S607" s="131"/>
      <c r="T607" s="131"/>
      <c r="U607" s="131"/>
      <c r="V607" s="131"/>
      <c r="W607" s="131"/>
      <c r="X607" s="131"/>
    </row>
    <row r="608" spans="1:24" ht="13.5" customHeight="1">
      <c r="A608" s="132"/>
      <c r="B608" s="131"/>
      <c r="C608" s="131"/>
      <c r="D608" s="132"/>
      <c r="E608" s="132"/>
      <c r="F608" s="132"/>
      <c r="G608" s="132"/>
      <c r="H608" s="132"/>
      <c r="I608" s="131"/>
      <c r="J608" s="131"/>
      <c r="K608" s="131"/>
      <c r="L608" s="131"/>
      <c r="M608" s="131"/>
      <c r="N608" s="131"/>
      <c r="O608" s="131"/>
      <c r="P608" s="131"/>
      <c r="Q608" s="131"/>
      <c r="R608" s="131"/>
      <c r="S608" s="131"/>
      <c r="T608" s="131"/>
      <c r="U608" s="131"/>
      <c r="V608" s="131"/>
      <c r="W608" s="131"/>
      <c r="X608" s="131"/>
    </row>
    <row r="609" spans="1:24" ht="13.5" customHeight="1">
      <c r="A609" s="132"/>
      <c r="B609" s="131"/>
      <c r="C609" s="131"/>
      <c r="D609" s="132"/>
      <c r="E609" s="132"/>
      <c r="F609" s="132"/>
      <c r="G609" s="132"/>
      <c r="H609" s="132"/>
      <c r="I609" s="131"/>
      <c r="J609" s="131"/>
      <c r="K609" s="131"/>
      <c r="L609" s="131"/>
      <c r="M609" s="131"/>
      <c r="N609" s="131"/>
      <c r="O609" s="131"/>
      <c r="P609" s="131"/>
      <c r="Q609" s="131"/>
      <c r="R609" s="131"/>
      <c r="S609" s="131"/>
      <c r="T609" s="131"/>
      <c r="U609" s="131"/>
      <c r="V609" s="131"/>
      <c r="W609" s="131"/>
      <c r="X609" s="131"/>
    </row>
    <row r="610" spans="1:24" ht="13.5" customHeight="1">
      <c r="A610" s="132"/>
      <c r="B610" s="131"/>
      <c r="C610" s="131"/>
      <c r="D610" s="132"/>
      <c r="E610" s="132"/>
      <c r="F610" s="132"/>
      <c r="G610" s="132"/>
      <c r="H610" s="132"/>
      <c r="I610" s="131"/>
      <c r="J610" s="131"/>
      <c r="K610" s="131"/>
      <c r="L610" s="131"/>
      <c r="M610" s="131"/>
      <c r="N610" s="131"/>
      <c r="O610" s="131"/>
      <c r="P610" s="131"/>
      <c r="Q610" s="131"/>
      <c r="R610" s="131"/>
      <c r="S610" s="131"/>
      <c r="T610" s="131"/>
      <c r="U610" s="131"/>
      <c r="V610" s="131"/>
      <c r="W610" s="131"/>
      <c r="X610" s="131"/>
    </row>
    <row r="611" spans="1:24" ht="13.5" customHeight="1">
      <c r="A611" s="132"/>
      <c r="B611" s="131"/>
      <c r="C611" s="131"/>
      <c r="D611" s="132"/>
      <c r="E611" s="132"/>
      <c r="F611" s="132"/>
      <c r="G611" s="132"/>
      <c r="H611" s="132"/>
      <c r="I611" s="131"/>
      <c r="J611" s="131"/>
      <c r="K611" s="131"/>
      <c r="L611" s="131"/>
      <c r="M611" s="131"/>
      <c r="N611" s="131"/>
      <c r="O611" s="131"/>
      <c r="P611" s="131"/>
      <c r="Q611" s="131"/>
      <c r="R611" s="131"/>
      <c r="S611" s="131"/>
      <c r="T611" s="131"/>
      <c r="U611" s="131"/>
      <c r="V611" s="131"/>
      <c r="W611" s="131"/>
      <c r="X611" s="131"/>
    </row>
    <row r="612" spans="1:24" ht="13.5" customHeight="1">
      <c r="A612" s="132"/>
      <c r="B612" s="131"/>
      <c r="C612" s="131"/>
      <c r="D612" s="132"/>
      <c r="E612" s="132"/>
      <c r="F612" s="132"/>
      <c r="G612" s="132"/>
      <c r="H612" s="132"/>
      <c r="I612" s="131"/>
      <c r="J612" s="131"/>
      <c r="K612" s="131"/>
      <c r="L612" s="131"/>
      <c r="M612" s="131"/>
      <c r="N612" s="131"/>
      <c r="O612" s="131"/>
      <c r="P612" s="131"/>
      <c r="Q612" s="131"/>
      <c r="R612" s="131"/>
      <c r="S612" s="131"/>
      <c r="T612" s="131"/>
      <c r="U612" s="131"/>
      <c r="V612" s="131"/>
      <c r="W612" s="131"/>
      <c r="X612" s="131"/>
    </row>
    <row r="613" spans="1:24" ht="13.5" customHeight="1">
      <c r="A613" s="132"/>
      <c r="B613" s="131"/>
      <c r="C613" s="131"/>
      <c r="D613" s="132"/>
      <c r="E613" s="132"/>
      <c r="F613" s="132"/>
      <c r="G613" s="132"/>
      <c r="H613" s="132"/>
      <c r="I613" s="131"/>
      <c r="J613" s="131"/>
      <c r="K613" s="131"/>
      <c r="L613" s="131"/>
      <c r="M613" s="131"/>
      <c r="N613" s="131"/>
      <c r="O613" s="131"/>
      <c r="P613" s="131"/>
      <c r="Q613" s="131"/>
      <c r="R613" s="131"/>
      <c r="S613" s="131"/>
      <c r="T613" s="131"/>
      <c r="U613" s="131"/>
      <c r="V613" s="131"/>
      <c r="W613" s="131"/>
      <c r="X613" s="131"/>
    </row>
    <row r="614" spans="1:24" ht="13.5" customHeight="1">
      <c r="A614" s="132"/>
      <c r="B614" s="131"/>
      <c r="C614" s="131"/>
      <c r="D614" s="132"/>
      <c r="E614" s="132"/>
      <c r="F614" s="132"/>
      <c r="G614" s="132"/>
      <c r="H614" s="132"/>
      <c r="I614" s="131"/>
      <c r="J614" s="131"/>
      <c r="K614" s="131"/>
      <c r="L614" s="131"/>
      <c r="M614" s="131"/>
      <c r="N614" s="131"/>
      <c r="O614" s="131"/>
      <c r="P614" s="131"/>
      <c r="Q614" s="131"/>
      <c r="R614" s="131"/>
      <c r="S614" s="131"/>
      <c r="T614" s="131"/>
      <c r="U614" s="131"/>
      <c r="V614" s="131"/>
      <c r="W614" s="131"/>
      <c r="X614" s="131"/>
    </row>
    <row r="615" spans="1:24" ht="13.5" customHeight="1">
      <c r="A615" s="132"/>
      <c r="B615" s="131"/>
      <c r="C615" s="131"/>
      <c r="D615" s="132"/>
      <c r="E615" s="132"/>
      <c r="F615" s="132"/>
      <c r="G615" s="132"/>
      <c r="H615" s="132"/>
      <c r="I615" s="131"/>
      <c r="J615" s="131"/>
      <c r="K615" s="131"/>
      <c r="L615" s="131"/>
      <c r="M615" s="131"/>
      <c r="N615" s="131"/>
      <c r="O615" s="131"/>
      <c r="P615" s="131"/>
      <c r="Q615" s="131"/>
      <c r="R615" s="131"/>
      <c r="S615" s="131"/>
      <c r="T615" s="131"/>
      <c r="U615" s="131"/>
      <c r="V615" s="131"/>
      <c r="W615" s="131"/>
      <c r="X615" s="131"/>
    </row>
    <row r="616" spans="1:24" ht="13.5" customHeight="1">
      <c r="A616" s="132"/>
      <c r="B616" s="131"/>
      <c r="C616" s="131"/>
      <c r="D616" s="132"/>
      <c r="E616" s="132"/>
      <c r="F616" s="132"/>
      <c r="G616" s="132"/>
      <c r="H616" s="132"/>
      <c r="I616" s="131"/>
      <c r="J616" s="131"/>
      <c r="K616" s="131"/>
      <c r="L616" s="131"/>
      <c r="M616" s="131"/>
      <c r="N616" s="131"/>
      <c r="O616" s="131"/>
      <c r="P616" s="131"/>
      <c r="Q616" s="131"/>
      <c r="R616" s="131"/>
      <c r="S616" s="131"/>
      <c r="T616" s="131"/>
      <c r="U616" s="131"/>
      <c r="V616" s="131"/>
      <c r="W616" s="131"/>
      <c r="X616" s="131"/>
    </row>
    <row r="617" spans="1:24" ht="13.5" customHeight="1">
      <c r="A617" s="132"/>
      <c r="B617" s="131"/>
      <c r="C617" s="131"/>
      <c r="D617" s="132"/>
      <c r="E617" s="132"/>
      <c r="F617" s="132"/>
      <c r="G617" s="132"/>
      <c r="H617" s="132"/>
      <c r="I617" s="131"/>
      <c r="J617" s="131"/>
      <c r="K617" s="131"/>
      <c r="L617" s="131"/>
      <c r="M617" s="131"/>
      <c r="N617" s="131"/>
      <c r="O617" s="131"/>
      <c r="P617" s="131"/>
      <c r="Q617" s="131"/>
      <c r="R617" s="131"/>
      <c r="S617" s="131"/>
      <c r="T617" s="131"/>
      <c r="U617" s="131"/>
      <c r="V617" s="131"/>
      <c r="W617" s="131"/>
      <c r="X617" s="131"/>
    </row>
    <row r="618" spans="1:24" ht="13.5" customHeight="1">
      <c r="A618" s="132"/>
      <c r="B618" s="131"/>
      <c r="C618" s="131"/>
      <c r="D618" s="132"/>
      <c r="E618" s="132"/>
      <c r="F618" s="132"/>
      <c r="G618" s="132"/>
      <c r="H618" s="132"/>
      <c r="I618" s="131"/>
      <c r="J618" s="131"/>
      <c r="K618" s="131"/>
      <c r="L618" s="131"/>
      <c r="M618" s="131"/>
      <c r="N618" s="131"/>
      <c r="O618" s="131"/>
      <c r="P618" s="131"/>
      <c r="Q618" s="131"/>
      <c r="R618" s="131"/>
      <c r="S618" s="131"/>
      <c r="T618" s="131"/>
      <c r="U618" s="131"/>
      <c r="V618" s="131"/>
      <c r="W618" s="131"/>
      <c r="X618" s="131"/>
    </row>
    <row r="619" spans="1:24" ht="13.5" customHeight="1">
      <c r="A619" s="132"/>
      <c r="B619" s="131"/>
      <c r="C619" s="131"/>
      <c r="D619" s="132"/>
      <c r="E619" s="132"/>
      <c r="F619" s="132"/>
      <c r="G619" s="132"/>
      <c r="H619" s="132"/>
      <c r="I619" s="131"/>
      <c r="J619" s="131"/>
      <c r="K619" s="131"/>
      <c r="L619" s="131"/>
      <c r="M619" s="131"/>
      <c r="N619" s="131"/>
      <c r="O619" s="131"/>
      <c r="P619" s="131"/>
      <c r="Q619" s="131"/>
      <c r="R619" s="131"/>
      <c r="S619" s="131"/>
      <c r="T619" s="131"/>
      <c r="U619" s="131"/>
      <c r="V619" s="131"/>
      <c r="W619" s="131"/>
      <c r="X619" s="131"/>
    </row>
    <row r="620" spans="1:24" ht="13.5" customHeight="1">
      <c r="A620" s="132"/>
      <c r="B620" s="131"/>
      <c r="C620" s="131"/>
      <c r="D620" s="132"/>
      <c r="E620" s="132"/>
      <c r="F620" s="132"/>
      <c r="G620" s="132"/>
      <c r="H620" s="132"/>
      <c r="I620" s="131"/>
      <c r="J620" s="131"/>
      <c r="K620" s="131"/>
      <c r="L620" s="131"/>
      <c r="M620" s="131"/>
      <c r="N620" s="131"/>
      <c r="O620" s="131"/>
      <c r="P620" s="131"/>
      <c r="Q620" s="131"/>
      <c r="R620" s="131"/>
      <c r="S620" s="131"/>
      <c r="T620" s="131"/>
      <c r="U620" s="131"/>
      <c r="V620" s="131"/>
      <c r="W620" s="131"/>
      <c r="X620" s="131"/>
    </row>
    <row r="621" spans="1:24" ht="13.5" customHeight="1">
      <c r="A621" s="132"/>
      <c r="B621" s="131"/>
      <c r="C621" s="131"/>
      <c r="D621" s="132"/>
      <c r="E621" s="132"/>
      <c r="F621" s="132"/>
      <c r="G621" s="132"/>
      <c r="H621" s="132"/>
      <c r="I621" s="131"/>
      <c r="J621" s="131"/>
      <c r="K621" s="131"/>
      <c r="L621" s="131"/>
      <c r="M621" s="131"/>
      <c r="N621" s="131"/>
      <c r="O621" s="131"/>
      <c r="P621" s="131"/>
      <c r="Q621" s="131"/>
      <c r="R621" s="131"/>
      <c r="S621" s="131"/>
      <c r="T621" s="131"/>
      <c r="U621" s="131"/>
      <c r="V621" s="131"/>
      <c r="W621" s="131"/>
      <c r="X621" s="131"/>
    </row>
    <row r="622" spans="1:24" ht="13.5" customHeight="1">
      <c r="A622" s="132"/>
      <c r="B622" s="131"/>
      <c r="C622" s="131"/>
      <c r="D622" s="132"/>
      <c r="E622" s="132"/>
      <c r="F622" s="132"/>
      <c r="G622" s="132"/>
      <c r="H622" s="132"/>
      <c r="I622" s="131"/>
      <c r="J622" s="131"/>
      <c r="K622" s="131"/>
      <c r="L622" s="131"/>
      <c r="M622" s="131"/>
      <c r="N622" s="131"/>
      <c r="O622" s="131"/>
      <c r="P622" s="131"/>
      <c r="Q622" s="131"/>
      <c r="R622" s="131"/>
      <c r="S622" s="131"/>
      <c r="T622" s="131"/>
      <c r="U622" s="131"/>
      <c r="V622" s="131"/>
      <c r="W622" s="131"/>
      <c r="X622" s="131"/>
    </row>
    <row r="623" spans="1:24" ht="13.5" customHeight="1">
      <c r="A623" s="132"/>
      <c r="B623" s="131"/>
      <c r="C623" s="131"/>
      <c r="D623" s="132"/>
      <c r="E623" s="132"/>
      <c r="F623" s="132"/>
      <c r="G623" s="132"/>
      <c r="H623" s="132"/>
      <c r="I623" s="131"/>
      <c r="J623" s="131"/>
      <c r="K623" s="131"/>
      <c r="L623" s="131"/>
      <c r="M623" s="131"/>
      <c r="N623" s="131"/>
      <c r="O623" s="131"/>
      <c r="P623" s="131"/>
      <c r="Q623" s="131"/>
      <c r="R623" s="131"/>
      <c r="S623" s="131"/>
      <c r="T623" s="131"/>
      <c r="U623" s="131"/>
      <c r="V623" s="131"/>
      <c r="W623" s="131"/>
      <c r="X623" s="131"/>
    </row>
    <row r="624" spans="1:24" ht="13.5" customHeight="1">
      <c r="A624" s="132"/>
      <c r="B624" s="131"/>
      <c r="C624" s="131"/>
      <c r="D624" s="132"/>
      <c r="E624" s="132"/>
      <c r="F624" s="132"/>
      <c r="G624" s="132"/>
      <c r="H624" s="132"/>
      <c r="I624" s="131"/>
      <c r="J624" s="131"/>
      <c r="K624" s="131"/>
      <c r="L624" s="131"/>
      <c r="M624" s="131"/>
      <c r="N624" s="131"/>
      <c r="O624" s="131"/>
      <c r="P624" s="131"/>
      <c r="Q624" s="131"/>
      <c r="R624" s="131"/>
      <c r="S624" s="131"/>
      <c r="T624" s="131"/>
      <c r="U624" s="131"/>
      <c r="V624" s="131"/>
      <c r="W624" s="131"/>
      <c r="X624" s="131"/>
    </row>
    <row r="625" spans="1:24" ht="13.5" customHeight="1">
      <c r="A625" s="132"/>
      <c r="B625" s="131"/>
      <c r="C625" s="131"/>
      <c r="D625" s="132"/>
      <c r="E625" s="132"/>
      <c r="F625" s="132"/>
      <c r="G625" s="132"/>
      <c r="H625" s="132"/>
      <c r="I625" s="131"/>
      <c r="J625" s="131"/>
      <c r="K625" s="131"/>
      <c r="L625" s="131"/>
      <c r="M625" s="131"/>
      <c r="N625" s="131"/>
      <c r="O625" s="131"/>
      <c r="P625" s="131"/>
      <c r="Q625" s="131"/>
      <c r="R625" s="131"/>
      <c r="S625" s="131"/>
      <c r="T625" s="131"/>
      <c r="U625" s="131"/>
      <c r="V625" s="131"/>
      <c r="W625" s="131"/>
      <c r="X625" s="131"/>
    </row>
    <row r="626" spans="1:24" ht="13.5" customHeight="1">
      <c r="A626" s="132"/>
      <c r="B626" s="131"/>
      <c r="C626" s="131"/>
      <c r="D626" s="132"/>
      <c r="E626" s="132"/>
      <c r="F626" s="132"/>
      <c r="G626" s="132"/>
      <c r="H626" s="132"/>
      <c r="I626" s="131"/>
      <c r="J626" s="131"/>
      <c r="K626" s="131"/>
      <c r="L626" s="131"/>
      <c r="M626" s="131"/>
      <c r="N626" s="131"/>
      <c r="O626" s="131"/>
      <c r="P626" s="131"/>
      <c r="Q626" s="131"/>
      <c r="R626" s="131"/>
      <c r="S626" s="131"/>
      <c r="T626" s="131"/>
      <c r="U626" s="131"/>
      <c r="V626" s="131"/>
      <c r="W626" s="131"/>
      <c r="X626" s="131"/>
    </row>
    <row r="627" spans="1:24" ht="13.5" customHeight="1">
      <c r="A627" s="132"/>
      <c r="B627" s="131"/>
      <c r="C627" s="131"/>
      <c r="D627" s="132"/>
      <c r="E627" s="132"/>
      <c r="F627" s="132"/>
      <c r="G627" s="132"/>
      <c r="H627" s="132"/>
      <c r="I627" s="131"/>
      <c r="J627" s="131"/>
      <c r="K627" s="131"/>
      <c r="L627" s="131"/>
      <c r="M627" s="131"/>
      <c r="N627" s="131"/>
      <c r="O627" s="131"/>
      <c r="P627" s="131"/>
      <c r="Q627" s="131"/>
      <c r="R627" s="131"/>
      <c r="S627" s="131"/>
      <c r="T627" s="131"/>
      <c r="U627" s="131"/>
      <c r="V627" s="131"/>
      <c r="W627" s="131"/>
      <c r="X627" s="131"/>
    </row>
    <row r="628" spans="1:24" ht="13.5" customHeight="1">
      <c r="A628" s="132"/>
      <c r="B628" s="131"/>
      <c r="C628" s="131"/>
      <c r="D628" s="132"/>
      <c r="E628" s="132"/>
      <c r="F628" s="132"/>
      <c r="G628" s="132"/>
      <c r="H628" s="132"/>
      <c r="I628" s="131"/>
      <c r="J628" s="131"/>
      <c r="K628" s="131"/>
      <c r="L628" s="131"/>
      <c r="M628" s="131"/>
      <c r="N628" s="131"/>
      <c r="O628" s="131"/>
      <c r="P628" s="131"/>
      <c r="Q628" s="131"/>
      <c r="R628" s="131"/>
      <c r="S628" s="131"/>
      <c r="T628" s="131"/>
      <c r="U628" s="131"/>
      <c r="V628" s="131"/>
      <c r="W628" s="131"/>
      <c r="X628" s="131"/>
    </row>
    <row r="629" spans="1:24" ht="13.5" customHeight="1">
      <c r="A629" s="132"/>
      <c r="B629" s="131"/>
      <c r="C629" s="131"/>
      <c r="D629" s="132"/>
      <c r="E629" s="132"/>
      <c r="F629" s="132"/>
      <c r="G629" s="132"/>
      <c r="H629" s="132"/>
      <c r="I629" s="131"/>
      <c r="J629" s="131"/>
      <c r="K629" s="131"/>
      <c r="L629" s="131"/>
      <c r="M629" s="131"/>
      <c r="N629" s="131"/>
      <c r="O629" s="131"/>
      <c r="P629" s="131"/>
      <c r="Q629" s="131"/>
      <c r="R629" s="131"/>
      <c r="S629" s="131"/>
      <c r="T629" s="131"/>
      <c r="U629" s="131"/>
      <c r="V629" s="131"/>
      <c r="W629" s="131"/>
      <c r="X629" s="131"/>
    </row>
    <row r="630" spans="1:24" ht="13.5" customHeight="1">
      <c r="A630" s="132"/>
      <c r="B630" s="131"/>
      <c r="C630" s="131"/>
      <c r="D630" s="132"/>
      <c r="E630" s="132"/>
      <c r="F630" s="132"/>
      <c r="G630" s="132"/>
      <c r="H630" s="132"/>
      <c r="I630" s="131"/>
      <c r="J630" s="131"/>
      <c r="K630" s="131"/>
      <c r="L630" s="131"/>
      <c r="M630" s="131"/>
      <c r="N630" s="131"/>
      <c r="O630" s="131"/>
      <c r="P630" s="131"/>
      <c r="Q630" s="131"/>
      <c r="R630" s="131"/>
      <c r="S630" s="131"/>
      <c r="T630" s="131"/>
      <c r="U630" s="131"/>
      <c r="V630" s="131"/>
      <c r="W630" s="131"/>
      <c r="X630" s="131"/>
    </row>
    <row r="631" spans="1:24" ht="13.5" customHeight="1">
      <c r="A631" s="132"/>
      <c r="B631" s="131"/>
      <c r="C631" s="131"/>
      <c r="D631" s="132"/>
      <c r="E631" s="132"/>
      <c r="F631" s="132"/>
      <c r="G631" s="132"/>
      <c r="H631" s="132"/>
      <c r="I631" s="131"/>
      <c r="J631" s="131"/>
      <c r="K631" s="131"/>
      <c r="L631" s="131"/>
      <c r="M631" s="131"/>
      <c r="N631" s="131"/>
      <c r="O631" s="131"/>
      <c r="P631" s="131"/>
      <c r="Q631" s="131"/>
      <c r="R631" s="131"/>
      <c r="S631" s="131"/>
      <c r="T631" s="131"/>
      <c r="U631" s="131"/>
      <c r="V631" s="131"/>
      <c r="W631" s="131"/>
      <c r="X631" s="131"/>
    </row>
    <row r="632" spans="1:24" ht="13.5" customHeight="1">
      <c r="A632" s="132"/>
      <c r="B632" s="131"/>
      <c r="C632" s="131"/>
      <c r="D632" s="132"/>
      <c r="E632" s="132"/>
      <c r="F632" s="132"/>
      <c r="G632" s="132"/>
      <c r="H632" s="132"/>
      <c r="I632" s="131"/>
      <c r="J632" s="131"/>
      <c r="K632" s="131"/>
      <c r="L632" s="131"/>
      <c r="M632" s="131"/>
      <c r="N632" s="131"/>
      <c r="O632" s="131"/>
      <c r="P632" s="131"/>
      <c r="Q632" s="131"/>
      <c r="R632" s="131"/>
      <c r="S632" s="131"/>
      <c r="T632" s="131"/>
      <c r="U632" s="131"/>
      <c r="V632" s="131"/>
      <c r="W632" s="131"/>
      <c r="X632" s="131"/>
    </row>
    <row r="633" spans="1:24" ht="13.5" customHeight="1">
      <c r="A633" s="132"/>
      <c r="B633" s="131"/>
      <c r="C633" s="131"/>
      <c r="D633" s="132"/>
      <c r="E633" s="132"/>
      <c r="F633" s="132"/>
      <c r="G633" s="132"/>
      <c r="H633" s="132"/>
      <c r="I633" s="131"/>
      <c r="J633" s="131"/>
      <c r="K633" s="131"/>
      <c r="L633" s="131"/>
      <c r="M633" s="131"/>
      <c r="N633" s="131"/>
      <c r="O633" s="131"/>
      <c r="P633" s="131"/>
      <c r="Q633" s="131"/>
      <c r="R633" s="131"/>
      <c r="S633" s="131"/>
      <c r="T633" s="131"/>
      <c r="U633" s="131"/>
      <c r="V633" s="131"/>
      <c r="W633" s="131"/>
      <c r="X633" s="131"/>
    </row>
    <row r="634" spans="1:24" ht="13.5" customHeight="1">
      <c r="A634" s="132"/>
      <c r="B634" s="131"/>
      <c r="C634" s="131"/>
      <c r="D634" s="132"/>
      <c r="E634" s="132"/>
      <c r="F634" s="132"/>
      <c r="G634" s="132"/>
      <c r="H634" s="132"/>
      <c r="I634" s="131"/>
      <c r="J634" s="131"/>
      <c r="K634" s="131"/>
      <c r="L634" s="131"/>
      <c r="M634" s="131"/>
      <c r="N634" s="131"/>
      <c r="O634" s="131"/>
      <c r="P634" s="131"/>
      <c r="Q634" s="131"/>
      <c r="R634" s="131"/>
      <c r="S634" s="131"/>
      <c r="T634" s="131"/>
      <c r="U634" s="131"/>
      <c r="V634" s="131"/>
      <c r="W634" s="131"/>
      <c r="X634" s="131"/>
    </row>
    <row r="635" spans="1:24" ht="13.5" customHeight="1">
      <c r="A635" s="132"/>
      <c r="B635" s="131"/>
      <c r="C635" s="131"/>
      <c r="D635" s="132"/>
      <c r="E635" s="132"/>
      <c r="F635" s="132"/>
      <c r="G635" s="132"/>
      <c r="H635" s="132"/>
      <c r="I635" s="131"/>
      <c r="J635" s="131"/>
      <c r="K635" s="131"/>
      <c r="L635" s="131"/>
      <c r="M635" s="131"/>
      <c r="N635" s="131"/>
      <c r="O635" s="131"/>
      <c r="P635" s="131"/>
      <c r="Q635" s="131"/>
      <c r="R635" s="131"/>
      <c r="S635" s="131"/>
      <c r="T635" s="131"/>
      <c r="U635" s="131"/>
      <c r="V635" s="131"/>
      <c r="W635" s="131"/>
      <c r="X635" s="131"/>
    </row>
    <row r="636" spans="1:24" ht="13.5" customHeight="1">
      <c r="A636" s="132"/>
      <c r="B636" s="131"/>
      <c r="C636" s="131"/>
      <c r="D636" s="132"/>
      <c r="E636" s="132"/>
      <c r="F636" s="132"/>
      <c r="G636" s="132"/>
      <c r="H636" s="132"/>
      <c r="I636" s="131"/>
      <c r="J636" s="131"/>
      <c r="K636" s="131"/>
      <c r="L636" s="131"/>
      <c r="M636" s="131"/>
      <c r="N636" s="131"/>
      <c r="O636" s="131"/>
      <c r="P636" s="131"/>
      <c r="Q636" s="131"/>
      <c r="R636" s="131"/>
      <c r="S636" s="131"/>
      <c r="T636" s="131"/>
      <c r="U636" s="131"/>
      <c r="V636" s="131"/>
      <c r="W636" s="131"/>
      <c r="X636" s="131"/>
    </row>
    <row r="637" spans="1:24" ht="13.5" customHeight="1">
      <c r="A637" s="132"/>
      <c r="B637" s="131"/>
      <c r="C637" s="131"/>
      <c r="D637" s="132"/>
      <c r="E637" s="132"/>
      <c r="F637" s="132"/>
      <c r="G637" s="132"/>
      <c r="H637" s="132"/>
      <c r="I637" s="131"/>
      <c r="J637" s="131"/>
      <c r="K637" s="131"/>
      <c r="L637" s="131"/>
      <c r="M637" s="131"/>
      <c r="N637" s="131"/>
      <c r="O637" s="131"/>
      <c r="P637" s="131"/>
      <c r="Q637" s="131"/>
      <c r="R637" s="131"/>
      <c r="S637" s="131"/>
      <c r="T637" s="131"/>
      <c r="U637" s="131"/>
      <c r="V637" s="131"/>
      <c r="W637" s="131"/>
      <c r="X637" s="131"/>
    </row>
    <row r="638" spans="1:24" ht="13.5" customHeight="1">
      <c r="A638" s="132"/>
      <c r="B638" s="131"/>
      <c r="C638" s="131"/>
      <c r="D638" s="132"/>
      <c r="E638" s="132"/>
      <c r="F638" s="132"/>
      <c r="G638" s="132"/>
      <c r="H638" s="132"/>
      <c r="I638" s="131"/>
      <c r="J638" s="131"/>
      <c r="K638" s="131"/>
      <c r="L638" s="131"/>
      <c r="M638" s="131"/>
      <c r="N638" s="131"/>
      <c r="O638" s="131"/>
      <c r="P638" s="131"/>
      <c r="Q638" s="131"/>
      <c r="R638" s="131"/>
      <c r="S638" s="131"/>
      <c r="T638" s="131"/>
      <c r="U638" s="131"/>
      <c r="V638" s="131"/>
      <c r="W638" s="131"/>
      <c r="X638" s="131"/>
    </row>
    <row r="639" spans="1:24" ht="13.5" customHeight="1">
      <c r="A639" s="132"/>
      <c r="B639" s="131"/>
      <c r="C639" s="131"/>
      <c r="D639" s="132"/>
      <c r="E639" s="132"/>
      <c r="F639" s="132"/>
      <c r="G639" s="132"/>
      <c r="H639" s="132"/>
      <c r="I639" s="131"/>
      <c r="J639" s="131"/>
      <c r="K639" s="131"/>
      <c r="L639" s="131"/>
      <c r="M639" s="131"/>
      <c r="N639" s="131"/>
      <c r="O639" s="131"/>
      <c r="P639" s="131"/>
      <c r="Q639" s="131"/>
      <c r="R639" s="131"/>
      <c r="S639" s="131"/>
      <c r="T639" s="131"/>
      <c r="U639" s="131"/>
      <c r="V639" s="131"/>
      <c r="W639" s="131"/>
      <c r="X639" s="131"/>
    </row>
    <row r="640" spans="1:24" ht="13.5" customHeight="1">
      <c r="A640" s="132"/>
      <c r="B640" s="131"/>
      <c r="C640" s="131"/>
      <c r="D640" s="132"/>
      <c r="E640" s="132"/>
      <c r="F640" s="132"/>
      <c r="G640" s="132"/>
      <c r="H640" s="132"/>
      <c r="I640" s="131"/>
      <c r="J640" s="131"/>
      <c r="K640" s="131"/>
      <c r="L640" s="131"/>
      <c r="M640" s="131"/>
      <c r="N640" s="131"/>
      <c r="O640" s="131"/>
      <c r="P640" s="131"/>
      <c r="Q640" s="131"/>
      <c r="R640" s="131"/>
      <c r="S640" s="131"/>
      <c r="T640" s="131"/>
      <c r="U640" s="131"/>
      <c r="V640" s="131"/>
      <c r="W640" s="131"/>
      <c r="X640" s="131"/>
    </row>
    <row r="641" spans="1:24" ht="13.5" customHeight="1">
      <c r="A641" s="132"/>
      <c r="B641" s="131"/>
      <c r="C641" s="131"/>
      <c r="D641" s="132"/>
      <c r="E641" s="132"/>
      <c r="F641" s="132"/>
      <c r="G641" s="132"/>
      <c r="H641" s="132"/>
      <c r="I641" s="131"/>
      <c r="J641" s="131"/>
      <c r="K641" s="131"/>
      <c r="L641" s="131"/>
      <c r="M641" s="131"/>
      <c r="N641" s="131"/>
      <c r="O641" s="131"/>
      <c r="P641" s="131"/>
      <c r="Q641" s="131"/>
      <c r="R641" s="131"/>
      <c r="S641" s="131"/>
      <c r="T641" s="131"/>
      <c r="U641" s="131"/>
      <c r="V641" s="131"/>
      <c r="W641" s="131"/>
      <c r="X641" s="131"/>
    </row>
    <row r="642" spans="1:24" ht="13.5" customHeight="1">
      <c r="A642" s="132"/>
      <c r="B642" s="131"/>
      <c r="C642" s="131"/>
      <c r="D642" s="132"/>
      <c r="E642" s="132"/>
      <c r="F642" s="132"/>
      <c r="G642" s="132"/>
      <c r="H642" s="132"/>
      <c r="I642" s="131"/>
      <c r="J642" s="131"/>
      <c r="K642" s="131"/>
      <c r="L642" s="131"/>
      <c r="M642" s="131"/>
      <c r="N642" s="131"/>
      <c r="O642" s="131"/>
      <c r="P642" s="131"/>
      <c r="Q642" s="131"/>
      <c r="R642" s="131"/>
      <c r="S642" s="131"/>
      <c r="T642" s="131"/>
      <c r="U642" s="131"/>
      <c r="V642" s="131"/>
      <c r="W642" s="131"/>
      <c r="X642" s="131"/>
    </row>
    <row r="643" spans="1:24" ht="13.5" customHeight="1">
      <c r="A643" s="132"/>
      <c r="B643" s="131"/>
      <c r="C643" s="131"/>
      <c r="D643" s="132"/>
      <c r="E643" s="132"/>
      <c r="F643" s="132"/>
      <c r="G643" s="132"/>
      <c r="H643" s="132"/>
      <c r="I643" s="131"/>
      <c r="J643" s="131"/>
      <c r="K643" s="131"/>
      <c r="L643" s="131"/>
      <c r="M643" s="131"/>
      <c r="N643" s="131"/>
      <c r="O643" s="131"/>
      <c r="P643" s="131"/>
      <c r="Q643" s="131"/>
      <c r="R643" s="131"/>
      <c r="S643" s="131"/>
      <c r="T643" s="131"/>
      <c r="U643" s="131"/>
      <c r="V643" s="131"/>
      <c r="W643" s="131"/>
      <c r="X643" s="131"/>
    </row>
    <row r="644" spans="1:24" ht="13.5" customHeight="1">
      <c r="A644" s="132"/>
      <c r="B644" s="131"/>
      <c r="C644" s="131"/>
      <c r="D644" s="132"/>
      <c r="E644" s="132"/>
      <c r="F644" s="132"/>
      <c r="G644" s="132"/>
      <c r="H644" s="132"/>
      <c r="I644" s="131"/>
      <c r="J644" s="131"/>
      <c r="K644" s="131"/>
      <c r="L644" s="131"/>
      <c r="M644" s="131"/>
      <c r="N644" s="131"/>
      <c r="O644" s="131"/>
      <c r="P644" s="131"/>
      <c r="Q644" s="131"/>
      <c r="R644" s="131"/>
      <c r="S644" s="131"/>
      <c r="T644" s="131"/>
      <c r="U644" s="131"/>
      <c r="V644" s="131"/>
      <c r="W644" s="131"/>
      <c r="X644" s="131"/>
    </row>
    <row r="645" spans="1:24" ht="13.5" customHeight="1">
      <c r="A645" s="132"/>
      <c r="B645" s="131"/>
      <c r="C645" s="131"/>
      <c r="D645" s="132"/>
      <c r="E645" s="132"/>
      <c r="F645" s="132"/>
      <c r="G645" s="132"/>
      <c r="H645" s="132"/>
      <c r="I645" s="131"/>
      <c r="J645" s="131"/>
      <c r="K645" s="131"/>
      <c r="L645" s="131"/>
      <c r="M645" s="131"/>
      <c r="N645" s="131"/>
      <c r="O645" s="131"/>
      <c r="P645" s="131"/>
      <c r="Q645" s="131"/>
      <c r="R645" s="131"/>
      <c r="S645" s="131"/>
      <c r="T645" s="131"/>
      <c r="U645" s="131"/>
      <c r="V645" s="131"/>
      <c r="W645" s="131"/>
      <c r="X645" s="131"/>
    </row>
    <row r="646" spans="1:24" ht="13.5" customHeight="1">
      <c r="A646" s="132"/>
      <c r="B646" s="131"/>
      <c r="C646" s="131"/>
      <c r="D646" s="132"/>
      <c r="E646" s="132"/>
      <c r="F646" s="132"/>
      <c r="G646" s="132"/>
      <c r="H646" s="132"/>
      <c r="I646" s="131"/>
      <c r="J646" s="131"/>
      <c r="K646" s="131"/>
      <c r="L646" s="131"/>
      <c r="M646" s="131"/>
      <c r="N646" s="131"/>
      <c r="O646" s="131"/>
      <c r="P646" s="131"/>
      <c r="Q646" s="131"/>
      <c r="R646" s="131"/>
      <c r="S646" s="131"/>
      <c r="T646" s="131"/>
      <c r="U646" s="131"/>
      <c r="V646" s="131"/>
      <c r="W646" s="131"/>
      <c r="X646" s="131"/>
    </row>
    <row r="647" spans="1:24" ht="13.5" customHeight="1">
      <c r="A647" s="132"/>
      <c r="B647" s="131"/>
      <c r="C647" s="131"/>
      <c r="D647" s="132"/>
      <c r="E647" s="132"/>
      <c r="F647" s="132"/>
      <c r="G647" s="132"/>
      <c r="H647" s="132"/>
      <c r="I647" s="131"/>
      <c r="J647" s="131"/>
      <c r="K647" s="131"/>
      <c r="L647" s="131"/>
      <c r="M647" s="131"/>
      <c r="N647" s="131"/>
      <c r="O647" s="131"/>
      <c r="P647" s="131"/>
      <c r="Q647" s="131"/>
      <c r="R647" s="131"/>
      <c r="S647" s="131"/>
      <c r="T647" s="131"/>
      <c r="U647" s="131"/>
      <c r="V647" s="131"/>
      <c r="W647" s="131"/>
      <c r="X647" s="131"/>
    </row>
    <row r="648" spans="1:24" ht="13.5" customHeight="1">
      <c r="A648" s="132"/>
      <c r="B648" s="131"/>
      <c r="C648" s="131"/>
      <c r="D648" s="132"/>
      <c r="E648" s="132"/>
      <c r="F648" s="132"/>
      <c r="G648" s="132"/>
      <c r="H648" s="132"/>
      <c r="I648" s="131"/>
      <c r="J648" s="131"/>
      <c r="K648" s="131"/>
      <c r="L648" s="131"/>
      <c r="M648" s="131"/>
      <c r="N648" s="131"/>
      <c r="O648" s="131"/>
      <c r="P648" s="131"/>
      <c r="Q648" s="131"/>
      <c r="R648" s="131"/>
      <c r="S648" s="131"/>
      <c r="T648" s="131"/>
      <c r="U648" s="131"/>
      <c r="V648" s="131"/>
      <c r="W648" s="131"/>
      <c r="X648" s="131"/>
    </row>
    <row r="649" spans="1:24" ht="13.5" customHeight="1">
      <c r="A649" s="132"/>
      <c r="B649" s="131"/>
      <c r="C649" s="131"/>
      <c r="D649" s="132"/>
      <c r="E649" s="132"/>
      <c r="F649" s="132"/>
      <c r="G649" s="132"/>
      <c r="H649" s="132"/>
      <c r="I649" s="131"/>
      <c r="J649" s="131"/>
      <c r="K649" s="131"/>
      <c r="L649" s="131"/>
      <c r="M649" s="131"/>
      <c r="N649" s="131"/>
      <c r="O649" s="131"/>
      <c r="P649" s="131"/>
      <c r="Q649" s="131"/>
      <c r="R649" s="131"/>
      <c r="S649" s="131"/>
      <c r="T649" s="131"/>
      <c r="U649" s="131"/>
      <c r="V649" s="131"/>
      <c r="W649" s="131"/>
      <c r="X649" s="131"/>
    </row>
    <row r="650" spans="1:24" ht="13.5" customHeight="1">
      <c r="A650" s="132"/>
      <c r="B650" s="131"/>
      <c r="C650" s="131"/>
      <c r="D650" s="132"/>
      <c r="E650" s="132"/>
      <c r="F650" s="132"/>
      <c r="G650" s="132"/>
      <c r="H650" s="132"/>
      <c r="I650" s="131"/>
      <c r="J650" s="131"/>
      <c r="K650" s="131"/>
      <c r="L650" s="131"/>
      <c r="M650" s="131"/>
      <c r="N650" s="131"/>
      <c r="O650" s="131"/>
      <c r="P650" s="131"/>
      <c r="Q650" s="131"/>
      <c r="R650" s="131"/>
      <c r="S650" s="131"/>
      <c r="T650" s="131"/>
      <c r="U650" s="131"/>
      <c r="V650" s="131"/>
      <c r="W650" s="131"/>
      <c r="X650" s="131"/>
    </row>
    <row r="651" spans="1:24" ht="13.5" customHeight="1">
      <c r="A651" s="132"/>
      <c r="B651" s="131"/>
      <c r="C651" s="131"/>
      <c r="D651" s="132"/>
      <c r="E651" s="132"/>
      <c r="F651" s="132"/>
      <c r="G651" s="132"/>
      <c r="H651" s="132"/>
      <c r="I651" s="131"/>
      <c r="J651" s="131"/>
      <c r="K651" s="131"/>
      <c r="L651" s="131"/>
      <c r="M651" s="131"/>
      <c r="N651" s="131"/>
      <c r="O651" s="131"/>
      <c r="P651" s="131"/>
      <c r="Q651" s="131"/>
      <c r="R651" s="131"/>
      <c r="S651" s="131"/>
      <c r="T651" s="131"/>
      <c r="U651" s="131"/>
      <c r="V651" s="131"/>
      <c r="W651" s="131"/>
      <c r="X651" s="131"/>
    </row>
    <row r="652" spans="1:24" ht="13.5" customHeight="1">
      <c r="A652" s="132"/>
      <c r="B652" s="131"/>
      <c r="C652" s="131"/>
      <c r="D652" s="132"/>
      <c r="E652" s="132"/>
      <c r="F652" s="132"/>
      <c r="G652" s="132"/>
      <c r="H652" s="132"/>
      <c r="I652" s="131"/>
      <c r="J652" s="131"/>
      <c r="K652" s="131"/>
      <c r="L652" s="131"/>
      <c r="M652" s="131"/>
      <c r="N652" s="131"/>
      <c r="O652" s="131"/>
      <c r="P652" s="131"/>
      <c r="Q652" s="131"/>
      <c r="R652" s="131"/>
      <c r="S652" s="131"/>
      <c r="T652" s="131"/>
      <c r="U652" s="131"/>
      <c r="V652" s="131"/>
      <c r="W652" s="131"/>
      <c r="X652" s="131"/>
    </row>
    <row r="653" spans="1:24" ht="13.5" customHeight="1">
      <c r="A653" s="132"/>
      <c r="B653" s="131"/>
      <c r="C653" s="131"/>
      <c r="D653" s="132"/>
      <c r="E653" s="132"/>
      <c r="F653" s="132"/>
      <c r="G653" s="132"/>
      <c r="H653" s="132"/>
      <c r="I653" s="131"/>
      <c r="J653" s="131"/>
      <c r="K653" s="131"/>
      <c r="L653" s="131"/>
      <c r="M653" s="131"/>
      <c r="N653" s="131"/>
      <c r="O653" s="131"/>
      <c r="P653" s="131"/>
      <c r="Q653" s="131"/>
      <c r="R653" s="131"/>
      <c r="S653" s="131"/>
      <c r="T653" s="131"/>
      <c r="U653" s="131"/>
      <c r="V653" s="131"/>
      <c r="W653" s="131"/>
      <c r="X653" s="131"/>
    </row>
    <row r="654" spans="1:24" ht="13.5" customHeight="1">
      <c r="A654" s="132"/>
      <c r="B654" s="131"/>
      <c r="C654" s="131"/>
      <c r="D654" s="132"/>
      <c r="E654" s="132"/>
      <c r="F654" s="132"/>
      <c r="G654" s="132"/>
      <c r="H654" s="132"/>
      <c r="I654" s="131"/>
      <c r="J654" s="131"/>
      <c r="K654" s="131"/>
      <c r="L654" s="131"/>
      <c r="M654" s="131"/>
      <c r="N654" s="131"/>
      <c r="O654" s="131"/>
      <c r="P654" s="131"/>
      <c r="Q654" s="131"/>
      <c r="R654" s="131"/>
      <c r="S654" s="131"/>
      <c r="T654" s="131"/>
      <c r="U654" s="131"/>
      <c r="V654" s="131"/>
      <c r="W654" s="131"/>
      <c r="X654" s="131"/>
    </row>
    <row r="655" spans="1:24" ht="13.5" customHeight="1">
      <c r="A655" s="132"/>
      <c r="B655" s="131"/>
      <c r="C655" s="131"/>
      <c r="D655" s="132"/>
      <c r="E655" s="132"/>
      <c r="F655" s="132"/>
      <c r="G655" s="132"/>
      <c r="H655" s="132"/>
      <c r="I655" s="131"/>
      <c r="J655" s="131"/>
      <c r="K655" s="131"/>
      <c r="L655" s="131"/>
      <c r="M655" s="131"/>
      <c r="N655" s="131"/>
      <c r="O655" s="131"/>
      <c r="P655" s="131"/>
      <c r="Q655" s="131"/>
      <c r="R655" s="131"/>
      <c r="S655" s="131"/>
      <c r="T655" s="131"/>
      <c r="U655" s="131"/>
      <c r="V655" s="131"/>
      <c r="W655" s="131"/>
      <c r="X655" s="131"/>
    </row>
    <row r="656" spans="1:24" ht="13.5" customHeight="1">
      <c r="A656" s="132"/>
      <c r="B656" s="131"/>
      <c r="C656" s="131"/>
      <c r="D656" s="132"/>
      <c r="E656" s="132"/>
      <c r="F656" s="132"/>
      <c r="G656" s="132"/>
      <c r="H656" s="132"/>
      <c r="I656" s="131"/>
      <c r="J656" s="131"/>
      <c r="K656" s="131"/>
      <c r="L656" s="131"/>
      <c r="M656" s="131"/>
      <c r="N656" s="131"/>
      <c r="O656" s="131"/>
      <c r="P656" s="131"/>
      <c r="Q656" s="131"/>
      <c r="R656" s="131"/>
      <c r="S656" s="131"/>
      <c r="T656" s="131"/>
      <c r="U656" s="131"/>
      <c r="V656" s="131"/>
      <c r="W656" s="131"/>
      <c r="X656" s="131"/>
    </row>
    <row r="657" spans="1:24" ht="13.5" customHeight="1">
      <c r="A657" s="132"/>
      <c r="B657" s="131"/>
      <c r="C657" s="131"/>
      <c r="D657" s="132"/>
      <c r="E657" s="132"/>
      <c r="F657" s="132"/>
      <c r="G657" s="132"/>
      <c r="H657" s="132"/>
      <c r="I657" s="131"/>
      <c r="J657" s="131"/>
      <c r="K657" s="131"/>
      <c r="L657" s="131"/>
      <c r="M657" s="131"/>
      <c r="N657" s="131"/>
      <c r="O657" s="131"/>
      <c r="P657" s="131"/>
      <c r="Q657" s="131"/>
      <c r="R657" s="131"/>
      <c r="S657" s="131"/>
      <c r="T657" s="131"/>
      <c r="U657" s="131"/>
      <c r="V657" s="131"/>
      <c r="W657" s="131"/>
      <c r="X657" s="131"/>
    </row>
    <row r="658" spans="1:24" ht="13.5" customHeight="1">
      <c r="A658" s="132"/>
      <c r="B658" s="131"/>
      <c r="C658" s="131"/>
      <c r="D658" s="132"/>
      <c r="E658" s="132"/>
      <c r="F658" s="132"/>
      <c r="G658" s="132"/>
      <c r="H658" s="132"/>
      <c r="I658" s="131"/>
      <c r="J658" s="131"/>
      <c r="K658" s="131"/>
      <c r="L658" s="131"/>
      <c r="M658" s="131"/>
      <c r="N658" s="131"/>
      <c r="O658" s="131"/>
      <c r="P658" s="131"/>
      <c r="Q658" s="131"/>
      <c r="R658" s="131"/>
      <c r="S658" s="131"/>
      <c r="T658" s="131"/>
      <c r="U658" s="131"/>
      <c r="V658" s="131"/>
      <c r="W658" s="131"/>
      <c r="X658" s="131"/>
    </row>
    <row r="659" spans="1:24" ht="13.5" customHeight="1">
      <c r="A659" s="132"/>
      <c r="B659" s="131"/>
      <c r="C659" s="131"/>
      <c r="D659" s="132"/>
      <c r="E659" s="132"/>
      <c r="F659" s="132"/>
      <c r="G659" s="132"/>
      <c r="H659" s="132"/>
      <c r="I659" s="131"/>
      <c r="J659" s="131"/>
      <c r="K659" s="131"/>
      <c r="L659" s="131"/>
      <c r="M659" s="131"/>
      <c r="N659" s="131"/>
      <c r="O659" s="131"/>
      <c r="P659" s="131"/>
      <c r="Q659" s="131"/>
      <c r="R659" s="131"/>
      <c r="S659" s="131"/>
      <c r="T659" s="131"/>
      <c r="U659" s="131"/>
      <c r="V659" s="131"/>
      <c r="W659" s="131"/>
      <c r="X659" s="131"/>
    </row>
    <row r="660" spans="1:24" ht="13.5" customHeight="1">
      <c r="A660" s="132"/>
      <c r="B660" s="131"/>
      <c r="C660" s="131"/>
      <c r="D660" s="132"/>
      <c r="E660" s="132"/>
      <c r="F660" s="132"/>
      <c r="G660" s="132"/>
      <c r="H660" s="132"/>
      <c r="I660" s="131"/>
      <c r="J660" s="131"/>
      <c r="K660" s="131"/>
      <c r="L660" s="131"/>
      <c r="M660" s="131"/>
      <c r="N660" s="131"/>
      <c r="O660" s="131"/>
      <c r="P660" s="131"/>
      <c r="Q660" s="131"/>
      <c r="R660" s="131"/>
      <c r="S660" s="131"/>
      <c r="T660" s="131"/>
      <c r="U660" s="131"/>
      <c r="V660" s="131"/>
      <c r="W660" s="131"/>
      <c r="X660" s="131"/>
    </row>
    <row r="661" spans="1:24" ht="13.5" customHeight="1">
      <c r="A661" s="132"/>
      <c r="B661" s="131"/>
      <c r="C661" s="131"/>
      <c r="D661" s="132"/>
      <c r="E661" s="132"/>
      <c r="F661" s="132"/>
      <c r="G661" s="132"/>
      <c r="H661" s="132"/>
      <c r="I661" s="131"/>
      <c r="J661" s="131"/>
      <c r="K661" s="131"/>
      <c r="L661" s="131"/>
      <c r="M661" s="131"/>
      <c r="N661" s="131"/>
      <c r="O661" s="131"/>
      <c r="P661" s="131"/>
      <c r="Q661" s="131"/>
      <c r="R661" s="131"/>
      <c r="S661" s="131"/>
      <c r="T661" s="131"/>
      <c r="U661" s="131"/>
      <c r="V661" s="131"/>
      <c r="W661" s="131"/>
      <c r="X661" s="131"/>
    </row>
    <row r="662" spans="1:24" ht="13.5" customHeight="1">
      <c r="A662" s="132"/>
      <c r="B662" s="131"/>
      <c r="C662" s="131"/>
      <c r="D662" s="132"/>
      <c r="E662" s="132"/>
      <c r="F662" s="132"/>
      <c r="G662" s="132"/>
      <c r="H662" s="132"/>
      <c r="I662" s="131"/>
      <c r="J662" s="131"/>
      <c r="K662" s="131"/>
      <c r="L662" s="131"/>
      <c r="M662" s="131"/>
      <c r="N662" s="131"/>
      <c r="O662" s="131"/>
      <c r="P662" s="131"/>
      <c r="Q662" s="131"/>
      <c r="R662" s="131"/>
      <c r="S662" s="131"/>
      <c r="T662" s="131"/>
      <c r="U662" s="131"/>
      <c r="V662" s="131"/>
      <c r="W662" s="131"/>
      <c r="X662" s="131"/>
    </row>
    <row r="663" spans="1:24" ht="13.5" customHeight="1">
      <c r="A663" s="132"/>
      <c r="B663" s="131"/>
      <c r="C663" s="131"/>
      <c r="D663" s="132"/>
      <c r="E663" s="132"/>
      <c r="F663" s="132"/>
      <c r="G663" s="132"/>
      <c r="H663" s="132"/>
      <c r="I663" s="131"/>
      <c r="J663" s="131"/>
      <c r="K663" s="131"/>
      <c r="L663" s="131"/>
      <c r="M663" s="131"/>
      <c r="N663" s="131"/>
      <c r="O663" s="131"/>
      <c r="P663" s="131"/>
      <c r="Q663" s="131"/>
      <c r="R663" s="131"/>
      <c r="S663" s="131"/>
      <c r="T663" s="131"/>
      <c r="U663" s="131"/>
      <c r="V663" s="131"/>
      <c r="W663" s="131"/>
      <c r="X663" s="131"/>
    </row>
    <row r="664" spans="1:24" ht="13.5" customHeight="1">
      <c r="A664" s="132"/>
      <c r="B664" s="131"/>
      <c r="C664" s="131"/>
      <c r="D664" s="132"/>
      <c r="E664" s="132"/>
      <c r="F664" s="132"/>
      <c r="G664" s="132"/>
      <c r="H664" s="132"/>
      <c r="I664" s="131"/>
      <c r="J664" s="131"/>
      <c r="K664" s="131"/>
      <c r="L664" s="131"/>
      <c r="M664" s="131"/>
      <c r="N664" s="131"/>
      <c r="O664" s="131"/>
      <c r="P664" s="131"/>
      <c r="Q664" s="131"/>
      <c r="R664" s="131"/>
      <c r="S664" s="131"/>
      <c r="T664" s="131"/>
      <c r="U664" s="131"/>
      <c r="V664" s="131"/>
      <c r="W664" s="131"/>
      <c r="X664" s="131"/>
    </row>
    <row r="665" spans="1:24" ht="13.5" customHeight="1">
      <c r="A665" s="132"/>
      <c r="B665" s="131"/>
      <c r="C665" s="131"/>
      <c r="D665" s="132"/>
      <c r="E665" s="132"/>
      <c r="F665" s="132"/>
      <c r="G665" s="132"/>
      <c r="H665" s="132"/>
      <c r="I665" s="131"/>
      <c r="J665" s="131"/>
      <c r="K665" s="131"/>
      <c r="L665" s="131"/>
      <c r="M665" s="131"/>
      <c r="N665" s="131"/>
      <c r="O665" s="131"/>
      <c r="P665" s="131"/>
      <c r="Q665" s="131"/>
      <c r="R665" s="131"/>
      <c r="S665" s="131"/>
      <c r="T665" s="131"/>
      <c r="U665" s="131"/>
      <c r="V665" s="131"/>
      <c r="W665" s="131"/>
      <c r="X665" s="131"/>
    </row>
    <row r="666" spans="1:24" ht="13.5" customHeight="1">
      <c r="A666" s="132"/>
      <c r="B666" s="131"/>
      <c r="C666" s="131"/>
      <c r="D666" s="132"/>
      <c r="E666" s="132"/>
      <c r="F666" s="132"/>
      <c r="G666" s="132"/>
      <c r="H666" s="132"/>
      <c r="I666" s="131"/>
      <c r="J666" s="131"/>
      <c r="K666" s="131"/>
      <c r="L666" s="131"/>
      <c r="M666" s="131"/>
      <c r="N666" s="131"/>
      <c r="O666" s="131"/>
      <c r="P666" s="131"/>
      <c r="Q666" s="131"/>
      <c r="R666" s="131"/>
      <c r="S666" s="131"/>
      <c r="T666" s="131"/>
      <c r="U666" s="131"/>
      <c r="V666" s="131"/>
      <c r="W666" s="131"/>
      <c r="X666" s="131"/>
    </row>
    <row r="667" spans="1:24" ht="13.5" customHeight="1">
      <c r="A667" s="132"/>
      <c r="B667" s="131"/>
      <c r="C667" s="131"/>
      <c r="D667" s="132"/>
      <c r="E667" s="132"/>
      <c r="F667" s="132"/>
      <c r="G667" s="132"/>
      <c r="H667" s="132"/>
      <c r="I667" s="131"/>
      <c r="J667" s="131"/>
      <c r="K667" s="131"/>
      <c r="L667" s="131"/>
      <c r="M667" s="131"/>
      <c r="N667" s="131"/>
      <c r="O667" s="131"/>
      <c r="P667" s="131"/>
      <c r="Q667" s="131"/>
      <c r="R667" s="131"/>
      <c r="S667" s="131"/>
      <c r="T667" s="131"/>
      <c r="U667" s="131"/>
      <c r="V667" s="131"/>
      <c r="W667" s="131"/>
      <c r="X667" s="131"/>
    </row>
    <row r="668" spans="1:24" ht="13.5" customHeight="1">
      <c r="A668" s="132"/>
      <c r="B668" s="131"/>
      <c r="C668" s="131"/>
      <c r="D668" s="132"/>
      <c r="E668" s="132"/>
      <c r="F668" s="132"/>
      <c r="G668" s="132"/>
      <c r="H668" s="132"/>
      <c r="I668" s="131"/>
      <c r="J668" s="131"/>
      <c r="K668" s="131"/>
      <c r="L668" s="131"/>
      <c r="M668" s="131"/>
      <c r="N668" s="131"/>
      <c r="O668" s="131"/>
      <c r="P668" s="131"/>
      <c r="Q668" s="131"/>
      <c r="R668" s="131"/>
      <c r="S668" s="131"/>
      <c r="T668" s="131"/>
      <c r="U668" s="131"/>
      <c r="V668" s="131"/>
      <c r="W668" s="131"/>
      <c r="X668" s="131"/>
    </row>
    <row r="669" spans="1:24" ht="13.5" customHeight="1">
      <c r="A669" s="132"/>
      <c r="B669" s="131"/>
      <c r="C669" s="131"/>
      <c r="D669" s="132"/>
      <c r="E669" s="132"/>
      <c r="F669" s="132"/>
      <c r="G669" s="132"/>
      <c r="H669" s="132"/>
      <c r="I669" s="131"/>
      <c r="J669" s="131"/>
      <c r="K669" s="131"/>
      <c r="L669" s="131"/>
      <c r="M669" s="131"/>
      <c r="N669" s="131"/>
      <c r="O669" s="131"/>
      <c r="P669" s="131"/>
      <c r="Q669" s="131"/>
      <c r="R669" s="131"/>
      <c r="S669" s="131"/>
      <c r="T669" s="131"/>
      <c r="U669" s="131"/>
      <c r="V669" s="131"/>
      <c r="W669" s="131"/>
      <c r="X669" s="131"/>
    </row>
    <row r="670" spans="1:24" ht="13.5" customHeight="1">
      <c r="A670" s="132"/>
      <c r="B670" s="131"/>
      <c r="C670" s="131"/>
      <c r="D670" s="132"/>
      <c r="E670" s="132"/>
      <c r="F670" s="132"/>
      <c r="G670" s="132"/>
      <c r="H670" s="132"/>
      <c r="I670" s="131"/>
      <c r="J670" s="131"/>
      <c r="K670" s="131"/>
      <c r="L670" s="131"/>
      <c r="M670" s="131"/>
      <c r="N670" s="131"/>
      <c r="O670" s="131"/>
      <c r="P670" s="131"/>
      <c r="Q670" s="131"/>
      <c r="R670" s="131"/>
      <c r="S670" s="131"/>
      <c r="T670" s="131"/>
      <c r="U670" s="131"/>
      <c r="V670" s="131"/>
      <c r="W670" s="131"/>
      <c r="X670" s="131"/>
    </row>
    <row r="671" spans="1:24" ht="13.5" customHeight="1">
      <c r="A671" s="132"/>
      <c r="B671" s="131"/>
      <c r="C671" s="131"/>
      <c r="D671" s="132"/>
      <c r="E671" s="132"/>
      <c r="F671" s="132"/>
      <c r="G671" s="132"/>
      <c r="H671" s="132"/>
      <c r="I671" s="131"/>
      <c r="J671" s="131"/>
      <c r="K671" s="131"/>
      <c r="L671" s="131"/>
      <c r="M671" s="131"/>
      <c r="N671" s="131"/>
      <c r="O671" s="131"/>
      <c r="P671" s="131"/>
      <c r="Q671" s="131"/>
      <c r="R671" s="131"/>
      <c r="S671" s="131"/>
      <c r="T671" s="131"/>
      <c r="U671" s="131"/>
      <c r="V671" s="131"/>
      <c r="W671" s="131"/>
      <c r="X671" s="131"/>
    </row>
    <row r="672" spans="1:24" ht="13.5" customHeight="1">
      <c r="A672" s="132"/>
      <c r="B672" s="131"/>
      <c r="C672" s="131"/>
      <c r="D672" s="132"/>
      <c r="E672" s="132"/>
      <c r="F672" s="132"/>
      <c r="G672" s="132"/>
      <c r="H672" s="132"/>
      <c r="I672" s="131"/>
      <c r="J672" s="131"/>
      <c r="K672" s="131"/>
      <c r="L672" s="131"/>
      <c r="M672" s="131"/>
      <c r="N672" s="131"/>
      <c r="O672" s="131"/>
      <c r="P672" s="131"/>
      <c r="Q672" s="131"/>
      <c r="R672" s="131"/>
      <c r="S672" s="131"/>
      <c r="T672" s="131"/>
      <c r="U672" s="131"/>
      <c r="V672" s="131"/>
      <c r="W672" s="131"/>
      <c r="X672" s="131"/>
    </row>
    <row r="673" spans="1:24" ht="13.5" customHeight="1">
      <c r="A673" s="132"/>
      <c r="B673" s="131"/>
      <c r="C673" s="131"/>
      <c r="D673" s="132"/>
      <c r="E673" s="132"/>
      <c r="F673" s="132"/>
      <c r="G673" s="132"/>
      <c r="H673" s="132"/>
      <c r="I673" s="131"/>
      <c r="J673" s="131"/>
      <c r="K673" s="131"/>
      <c r="L673" s="131"/>
      <c r="M673" s="131"/>
      <c r="N673" s="131"/>
      <c r="O673" s="131"/>
      <c r="P673" s="131"/>
      <c r="Q673" s="131"/>
      <c r="R673" s="131"/>
      <c r="S673" s="131"/>
      <c r="T673" s="131"/>
      <c r="U673" s="131"/>
      <c r="V673" s="131"/>
      <c r="W673" s="131"/>
      <c r="X673" s="131"/>
    </row>
    <row r="674" spans="1:24" ht="13.5" customHeight="1">
      <c r="A674" s="132"/>
      <c r="B674" s="131"/>
      <c r="C674" s="131"/>
      <c r="D674" s="132"/>
      <c r="E674" s="132"/>
      <c r="F674" s="132"/>
      <c r="G674" s="132"/>
      <c r="H674" s="132"/>
      <c r="I674" s="131"/>
      <c r="J674" s="131"/>
      <c r="K674" s="131"/>
      <c r="L674" s="131"/>
      <c r="M674" s="131"/>
      <c r="N674" s="131"/>
      <c r="O674" s="131"/>
      <c r="P674" s="131"/>
      <c r="Q674" s="131"/>
      <c r="R674" s="131"/>
      <c r="S674" s="131"/>
      <c r="T674" s="131"/>
      <c r="U674" s="131"/>
      <c r="V674" s="131"/>
      <c r="W674" s="131"/>
      <c r="X674" s="131"/>
    </row>
    <row r="675" spans="1:24" ht="13.5" customHeight="1">
      <c r="A675" s="132"/>
      <c r="B675" s="131"/>
      <c r="C675" s="131"/>
      <c r="D675" s="132"/>
      <c r="E675" s="132"/>
      <c r="F675" s="132"/>
      <c r="G675" s="132"/>
      <c r="H675" s="132"/>
      <c r="I675" s="131"/>
      <c r="J675" s="131"/>
      <c r="K675" s="131"/>
      <c r="L675" s="131"/>
      <c r="M675" s="131"/>
      <c r="N675" s="131"/>
      <c r="O675" s="131"/>
      <c r="P675" s="131"/>
      <c r="Q675" s="131"/>
      <c r="R675" s="131"/>
      <c r="S675" s="131"/>
      <c r="T675" s="131"/>
      <c r="U675" s="131"/>
      <c r="V675" s="131"/>
      <c r="W675" s="131"/>
      <c r="X675" s="131"/>
    </row>
    <row r="676" spans="1:24" ht="13.5" customHeight="1">
      <c r="A676" s="132"/>
      <c r="B676" s="131"/>
      <c r="C676" s="131"/>
      <c r="D676" s="132"/>
      <c r="E676" s="132"/>
      <c r="F676" s="132"/>
      <c r="G676" s="132"/>
      <c r="H676" s="132"/>
      <c r="I676" s="131"/>
      <c r="J676" s="131"/>
      <c r="K676" s="131"/>
      <c r="L676" s="131"/>
      <c r="M676" s="131"/>
      <c r="N676" s="131"/>
      <c r="O676" s="131"/>
      <c r="P676" s="131"/>
      <c r="Q676" s="131"/>
      <c r="R676" s="131"/>
      <c r="S676" s="131"/>
      <c r="T676" s="131"/>
      <c r="U676" s="131"/>
      <c r="V676" s="131"/>
      <c r="W676" s="131"/>
      <c r="X676" s="131"/>
    </row>
    <row r="677" spans="1:24" ht="13.5" customHeight="1">
      <c r="A677" s="132"/>
      <c r="B677" s="131"/>
      <c r="C677" s="131"/>
      <c r="D677" s="132"/>
      <c r="E677" s="132"/>
      <c r="F677" s="132"/>
      <c r="G677" s="132"/>
      <c r="H677" s="132"/>
      <c r="I677" s="131"/>
      <c r="J677" s="131"/>
      <c r="K677" s="131"/>
      <c r="L677" s="131"/>
      <c r="M677" s="131"/>
      <c r="N677" s="131"/>
      <c r="O677" s="131"/>
      <c r="P677" s="131"/>
      <c r="Q677" s="131"/>
      <c r="R677" s="131"/>
      <c r="S677" s="131"/>
      <c r="T677" s="131"/>
      <c r="U677" s="131"/>
      <c r="V677" s="131"/>
      <c r="W677" s="131"/>
      <c r="X677" s="131"/>
    </row>
    <row r="678" spans="1:24" ht="13.5" customHeight="1">
      <c r="A678" s="132"/>
      <c r="B678" s="131"/>
      <c r="C678" s="131"/>
      <c r="D678" s="132"/>
      <c r="E678" s="132"/>
      <c r="F678" s="132"/>
      <c r="G678" s="132"/>
      <c r="H678" s="132"/>
      <c r="I678" s="131"/>
      <c r="J678" s="131"/>
      <c r="K678" s="131"/>
      <c r="L678" s="131"/>
      <c r="M678" s="131"/>
      <c r="N678" s="131"/>
      <c r="O678" s="131"/>
      <c r="P678" s="131"/>
      <c r="Q678" s="131"/>
      <c r="R678" s="131"/>
      <c r="S678" s="131"/>
      <c r="T678" s="131"/>
      <c r="U678" s="131"/>
      <c r="V678" s="131"/>
      <c r="W678" s="131"/>
      <c r="X678" s="131"/>
    </row>
    <row r="679" spans="1:24" ht="13.5" customHeight="1">
      <c r="A679" s="132"/>
      <c r="B679" s="131"/>
      <c r="C679" s="131"/>
      <c r="D679" s="132"/>
      <c r="E679" s="132"/>
      <c r="F679" s="132"/>
      <c r="G679" s="132"/>
      <c r="H679" s="132"/>
      <c r="I679" s="131"/>
      <c r="J679" s="131"/>
      <c r="K679" s="131"/>
      <c r="L679" s="131"/>
      <c r="M679" s="131"/>
      <c r="N679" s="131"/>
      <c r="O679" s="131"/>
      <c r="P679" s="131"/>
      <c r="Q679" s="131"/>
      <c r="R679" s="131"/>
      <c r="S679" s="131"/>
      <c r="T679" s="131"/>
      <c r="U679" s="131"/>
      <c r="V679" s="131"/>
      <c r="W679" s="131"/>
      <c r="X679" s="131"/>
    </row>
    <row r="680" spans="1:24" ht="13.5" customHeight="1">
      <c r="A680" s="132"/>
      <c r="B680" s="131"/>
      <c r="C680" s="131"/>
      <c r="D680" s="132"/>
      <c r="E680" s="132"/>
      <c r="F680" s="132"/>
      <c r="G680" s="132"/>
      <c r="H680" s="132"/>
      <c r="I680" s="131"/>
      <c r="J680" s="131"/>
      <c r="K680" s="131"/>
      <c r="L680" s="131"/>
      <c r="M680" s="131"/>
      <c r="N680" s="131"/>
      <c r="O680" s="131"/>
      <c r="P680" s="131"/>
      <c r="Q680" s="131"/>
      <c r="R680" s="131"/>
      <c r="S680" s="131"/>
      <c r="T680" s="131"/>
      <c r="U680" s="131"/>
      <c r="V680" s="131"/>
      <c r="W680" s="131"/>
      <c r="X680" s="131"/>
    </row>
    <row r="681" spans="1:24" ht="13.5" customHeight="1">
      <c r="A681" s="132"/>
      <c r="B681" s="131"/>
      <c r="C681" s="131"/>
      <c r="D681" s="132"/>
      <c r="E681" s="132"/>
      <c r="F681" s="132"/>
      <c r="G681" s="132"/>
      <c r="H681" s="132"/>
      <c r="I681" s="131"/>
      <c r="J681" s="131"/>
      <c r="K681" s="131"/>
      <c r="L681" s="131"/>
      <c r="M681" s="131"/>
      <c r="N681" s="131"/>
      <c r="O681" s="131"/>
      <c r="P681" s="131"/>
      <c r="Q681" s="131"/>
      <c r="R681" s="131"/>
      <c r="S681" s="131"/>
      <c r="T681" s="131"/>
      <c r="U681" s="131"/>
      <c r="V681" s="131"/>
      <c r="W681" s="131"/>
      <c r="X681" s="131"/>
    </row>
    <row r="682" spans="1:24" ht="13.5" customHeight="1">
      <c r="A682" s="132"/>
      <c r="B682" s="131"/>
      <c r="C682" s="131"/>
      <c r="D682" s="132"/>
      <c r="E682" s="132"/>
      <c r="F682" s="132"/>
      <c r="G682" s="132"/>
      <c r="H682" s="132"/>
      <c r="I682" s="131"/>
      <c r="J682" s="131"/>
      <c r="K682" s="131"/>
      <c r="L682" s="131"/>
      <c r="M682" s="131"/>
      <c r="N682" s="131"/>
      <c r="O682" s="131"/>
      <c r="P682" s="131"/>
      <c r="Q682" s="131"/>
      <c r="R682" s="131"/>
      <c r="S682" s="131"/>
      <c r="T682" s="131"/>
      <c r="U682" s="131"/>
      <c r="V682" s="131"/>
      <c r="W682" s="131"/>
      <c r="X682" s="131"/>
    </row>
    <row r="683" spans="1:24" ht="13.5" customHeight="1">
      <c r="A683" s="132"/>
      <c r="B683" s="131"/>
      <c r="C683" s="131"/>
      <c r="D683" s="132"/>
      <c r="E683" s="132"/>
      <c r="F683" s="132"/>
      <c r="G683" s="132"/>
      <c r="H683" s="132"/>
      <c r="I683" s="131"/>
      <c r="J683" s="131"/>
      <c r="K683" s="131"/>
      <c r="L683" s="131"/>
      <c r="M683" s="131"/>
      <c r="N683" s="131"/>
      <c r="O683" s="131"/>
      <c r="P683" s="131"/>
      <c r="Q683" s="131"/>
      <c r="R683" s="131"/>
      <c r="S683" s="131"/>
      <c r="T683" s="131"/>
      <c r="U683" s="131"/>
      <c r="V683" s="131"/>
      <c r="W683" s="131"/>
      <c r="X683" s="131"/>
    </row>
    <row r="684" spans="1:24" ht="13.5" customHeight="1">
      <c r="A684" s="132"/>
      <c r="B684" s="131"/>
      <c r="C684" s="131"/>
      <c r="D684" s="132"/>
      <c r="E684" s="132"/>
      <c r="F684" s="132"/>
      <c r="G684" s="132"/>
      <c r="H684" s="132"/>
      <c r="I684" s="131"/>
      <c r="J684" s="131"/>
      <c r="K684" s="131"/>
      <c r="L684" s="131"/>
      <c r="M684" s="131"/>
      <c r="N684" s="131"/>
      <c r="O684" s="131"/>
      <c r="P684" s="131"/>
      <c r="Q684" s="131"/>
      <c r="R684" s="131"/>
      <c r="S684" s="131"/>
      <c r="T684" s="131"/>
      <c r="U684" s="131"/>
      <c r="V684" s="131"/>
      <c r="W684" s="131"/>
      <c r="X684" s="131"/>
    </row>
    <row r="685" spans="1:24" ht="13.5" customHeight="1">
      <c r="A685" s="132"/>
      <c r="B685" s="131"/>
      <c r="C685" s="131"/>
      <c r="D685" s="132"/>
      <c r="E685" s="132"/>
      <c r="F685" s="132"/>
      <c r="G685" s="132"/>
      <c r="H685" s="132"/>
      <c r="I685" s="131"/>
      <c r="J685" s="131"/>
      <c r="K685" s="131"/>
      <c r="L685" s="131"/>
      <c r="M685" s="131"/>
      <c r="N685" s="131"/>
      <c r="O685" s="131"/>
      <c r="P685" s="131"/>
      <c r="Q685" s="131"/>
      <c r="R685" s="131"/>
      <c r="S685" s="131"/>
      <c r="T685" s="131"/>
      <c r="U685" s="131"/>
      <c r="V685" s="131"/>
      <c r="W685" s="131"/>
      <c r="X685" s="131"/>
    </row>
    <row r="686" spans="1:24" ht="13.5" customHeight="1">
      <c r="A686" s="132"/>
      <c r="B686" s="131"/>
      <c r="C686" s="131"/>
      <c r="D686" s="132"/>
      <c r="E686" s="132"/>
      <c r="F686" s="132"/>
      <c r="G686" s="132"/>
      <c r="H686" s="132"/>
      <c r="I686" s="131"/>
      <c r="J686" s="131"/>
      <c r="K686" s="131"/>
      <c r="L686" s="131"/>
      <c r="M686" s="131"/>
      <c r="N686" s="131"/>
      <c r="O686" s="131"/>
      <c r="P686" s="131"/>
      <c r="Q686" s="131"/>
      <c r="R686" s="131"/>
      <c r="S686" s="131"/>
      <c r="T686" s="131"/>
      <c r="U686" s="131"/>
      <c r="V686" s="131"/>
      <c r="W686" s="131"/>
      <c r="X686" s="131"/>
    </row>
    <row r="687" spans="1:24" ht="13.5" customHeight="1">
      <c r="A687" s="132"/>
      <c r="B687" s="131"/>
      <c r="C687" s="131"/>
      <c r="D687" s="132"/>
      <c r="E687" s="132"/>
      <c r="F687" s="132"/>
      <c r="G687" s="132"/>
      <c r="H687" s="132"/>
      <c r="I687" s="131"/>
      <c r="J687" s="131"/>
      <c r="K687" s="131"/>
      <c r="L687" s="131"/>
      <c r="M687" s="131"/>
      <c r="N687" s="131"/>
      <c r="O687" s="131"/>
      <c r="P687" s="131"/>
      <c r="Q687" s="131"/>
      <c r="R687" s="131"/>
      <c r="S687" s="131"/>
      <c r="T687" s="131"/>
      <c r="U687" s="131"/>
      <c r="V687" s="131"/>
      <c r="W687" s="131"/>
      <c r="X687" s="131"/>
    </row>
    <row r="688" spans="1:24" ht="13.5" customHeight="1">
      <c r="A688" s="132"/>
      <c r="B688" s="131"/>
      <c r="C688" s="131"/>
      <c r="D688" s="132"/>
      <c r="E688" s="132"/>
      <c r="F688" s="132"/>
      <c r="G688" s="132"/>
      <c r="H688" s="132"/>
      <c r="I688" s="131"/>
      <c r="J688" s="131"/>
      <c r="K688" s="131"/>
      <c r="L688" s="131"/>
      <c r="M688" s="131"/>
      <c r="N688" s="131"/>
      <c r="O688" s="131"/>
      <c r="P688" s="131"/>
      <c r="Q688" s="131"/>
      <c r="R688" s="131"/>
      <c r="S688" s="131"/>
      <c r="T688" s="131"/>
      <c r="U688" s="131"/>
      <c r="V688" s="131"/>
      <c r="W688" s="131"/>
      <c r="X688" s="131"/>
    </row>
    <row r="689" spans="1:24" ht="13.5" customHeight="1">
      <c r="A689" s="132"/>
      <c r="B689" s="131"/>
      <c r="C689" s="131"/>
      <c r="D689" s="132"/>
      <c r="E689" s="132"/>
      <c r="F689" s="132"/>
      <c r="G689" s="132"/>
      <c r="H689" s="132"/>
      <c r="I689" s="131"/>
      <c r="J689" s="131"/>
      <c r="K689" s="131"/>
      <c r="L689" s="131"/>
      <c r="M689" s="131"/>
      <c r="N689" s="131"/>
      <c r="O689" s="131"/>
      <c r="P689" s="131"/>
      <c r="Q689" s="131"/>
      <c r="R689" s="131"/>
      <c r="S689" s="131"/>
      <c r="T689" s="131"/>
      <c r="U689" s="131"/>
      <c r="V689" s="131"/>
      <c r="W689" s="131"/>
      <c r="X689" s="131"/>
    </row>
    <row r="690" spans="1:24" ht="13.5" customHeight="1">
      <c r="A690" s="132"/>
      <c r="B690" s="131"/>
      <c r="C690" s="131"/>
      <c r="D690" s="132"/>
      <c r="E690" s="132"/>
      <c r="F690" s="132"/>
      <c r="G690" s="132"/>
      <c r="H690" s="132"/>
      <c r="I690" s="131"/>
      <c r="J690" s="131"/>
      <c r="K690" s="131"/>
      <c r="L690" s="131"/>
      <c r="M690" s="131"/>
      <c r="N690" s="131"/>
      <c r="O690" s="131"/>
      <c r="P690" s="131"/>
      <c r="Q690" s="131"/>
      <c r="R690" s="131"/>
      <c r="S690" s="131"/>
      <c r="T690" s="131"/>
      <c r="U690" s="131"/>
      <c r="V690" s="131"/>
      <c r="W690" s="131"/>
      <c r="X690" s="131"/>
    </row>
    <row r="691" spans="1:24" ht="13.5" customHeight="1">
      <c r="A691" s="132"/>
      <c r="B691" s="131"/>
      <c r="C691" s="131"/>
      <c r="D691" s="132"/>
      <c r="E691" s="132"/>
      <c r="F691" s="132"/>
      <c r="G691" s="132"/>
      <c r="H691" s="132"/>
      <c r="I691" s="131"/>
      <c r="J691" s="131"/>
      <c r="K691" s="131"/>
      <c r="L691" s="131"/>
      <c r="M691" s="131"/>
      <c r="N691" s="131"/>
      <c r="O691" s="131"/>
      <c r="P691" s="131"/>
      <c r="Q691" s="131"/>
      <c r="R691" s="131"/>
      <c r="S691" s="131"/>
      <c r="T691" s="131"/>
      <c r="U691" s="131"/>
      <c r="V691" s="131"/>
      <c r="W691" s="131"/>
      <c r="X691" s="131"/>
    </row>
    <row r="692" spans="1:24" ht="13.5" customHeight="1">
      <c r="A692" s="132"/>
      <c r="B692" s="131"/>
      <c r="C692" s="131"/>
      <c r="D692" s="132"/>
      <c r="E692" s="132"/>
      <c r="F692" s="132"/>
      <c r="G692" s="132"/>
      <c r="H692" s="132"/>
      <c r="I692" s="131"/>
      <c r="J692" s="131"/>
      <c r="K692" s="131"/>
      <c r="L692" s="131"/>
      <c r="M692" s="131"/>
      <c r="N692" s="131"/>
      <c r="O692" s="131"/>
      <c r="P692" s="131"/>
      <c r="Q692" s="131"/>
      <c r="R692" s="131"/>
      <c r="S692" s="131"/>
      <c r="T692" s="131"/>
      <c r="U692" s="131"/>
      <c r="V692" s="131"/>
      <c r="W692" s="131"/>
      <c r="X692" s="131"/>
    </row>
    <row r="693" spans="1:24" ht="13.5" customHeight="1">
      <c r="A693" s="132"/>
      <c r="B693" s="131"/>
      <c r="C693" s="131"/>
      <c r="D693" s="132"/>
      <c r="E693" s="132"/>
      <c r="F693" s="132"/>
      <c r="G693" s="132"/>
      <c r="H693" s="132"/>
      <c r="I693" s="131"/>
      <c r="J693" s="131"/>
      <c r="K693" s="131"/>
      <c r="L693" s="131"/>
      <c r="M693" s="131"/>
      <c r="N693" s="131"/>
      <c r="O693" s="131"/>
      <c r="P693" s="131"/>
      <c r="Q693" s="131"/>
      <c r="R693" s="131"/>
      <c r="S693" s="131"/>
      <c r="T693" s="131"/>
      <c r="U693" s="131"/>
      <c r="V693" s="131"/>
      <c r="W693" s="131"/>
      <c r="X693" s="131"/>
    </row>
    <row r="694" spans="1:24" ht="13.5" customHeight="1">
      <c r="A694" s="132"/>
      <c r="B694" s="131"/>
      <c r="C694" s="131"/>
      <c r="D694" s="132"/>
      <c r="E694" s="132"/>
      <c r="F694" s="132"/>
      <c r="G694" s="132"/>
      <c r="H694" s="132"/>
      <c r="I694" s="131"/>
      <c r="J694" s="131"/>
      <c r="K694" s="131"/>
      <c r="L694" s="131"/>
      <c r="M694" s="131"/>
      <c r="N694" s="131"/>
      <c r="O694" s="131"/>
      <c r="P694" s="131"/>
      <c r="Q694" s="131"/>
      <c r="R694" s="131"/>
      <c r="S694" s="131"/>
      <c r="T694" s="131"/>
      <c r="U694" s="131"/>
      <c r="V694" s="131"/>
      <c r="W694" s="131"/>
      <c r="X694" s="131"/>
    </row>
    <row r="695" spans="1:24" ht="13.5" customHeight="1">
      <c r="A695" s="132"/>
      <c r="B695" s="131"/>
      <c r="C695" s="131"/>
      <c r="D695" s="132"/>
      <c r="E695" s="132"/>
      <c r="F695" s="132"/>
      <c r="G695" s="132"/>
      <c r="H695" s="132"/>
      <c r="I695" s="131"/>
      <c r="J695" s="131"/>
      <c r="K695" s="131"/>
      <c r="L695" s="131"/>
      <c r="M695" s="131"/>
      <c r="N695" s="131"/>
      <c r="O695" s="131"/>
      <c r="P695" s="131"/>
      <c r="Q695" s="131"/>
      <c r="R695" s="131"/>
      <c r="S695" s="131"/>
      <c r="T695" s="131"/>
      <c r="U695" s="131"/>
      <c r="V695" s="131"/>
      <c r="W695" s="131"/>
      <c r="X695" s="131"/>
    </row>
    <row r="696" spans="1:24" ht="13.5" customHeight="1">
      <c r="A696" s="132"/>
      <c r="B696" s="131"/>
      <c r="C696" s="131"/>
      <c r="D696" s="132"/>
      <c r="E696" s="132"/>
      <c r="F696" s="132"/>
      <c r="G696" s="132"/>
      <c r="H696" s="132"/>
      <c r="I696" s="131"/>
      <c r="J696" s="131"/>
      <c r="K696" s="131"/>
      <c r="L696" s="131"/>
      <c r="M696" s="131"/>
      <c r="N696" s="131"/>
      <c r="O696" s="131"/>
      <c r="P696" s="131"/>
      <c r="Q696" s="131"/>
      <c r="R696" s="131"/>
      <c r="S696" s="131"/>
      <c r="T696" s="131"/>
      <c r="U696" s="131"/>
      <c r="V696" s="131"/>
      <c r="W696" s="131"/>
      <c r="X696" s="131"/>
    </row>
    <row r="697" spans="1:24" ht="13.5" customHeight="1">
      <c r="A697" s="132"/>
      <c r="B697" s="131"/>
      <c r="C697" s="131"/>
      <c r="D697" s="132"/>
      <c r="E697" s="132"/>
      <c r="F697" s="132"/>
      <c r="G697" s="132"/>
      <c r="H697" s="132"/>
      <c r="I697" s="131"/>
      <c r="J697" s="131"/>
      <c r="K697" s="131"/>
      <c r="L697" s="131"/>
      <c r="M697" s="131"/>
      <c r="N697" s="131"/>
      <c r="O697" s="131"/>
      <c r="P697" s="131"/>
      <c r="Q697" s="131"/>
      <c r="R697" s="131"/>
      <c r="S697" s="131"/>
      <c r="T697" s="131"/>
      <c r="U697" s="131"/>
      <c r="V697" s="131"/>
      <c r="W697" s="131"/>
      <c r="X697" s="131"/>
    </row>
    <row r="698" spans="1:24" ht="13.5" customHeight="1">
      <c r="A698" s="132"/>
      <c r="B698" s="131"/>
      <c r="C698" s="131"/>
      <c r="D698" s="132"/>
      <c r="E698" s="132"/>
      <c r="F698" s="132"/>
      <c r="G698" s="132"/>
      <c r="H698" s="132"/>
      <c r="I698" s="131"/>
      <c r="J698" s="131"/>
      <c r="K698" s="131"/>
      <c r="L698" s="131"/>
      <c r="M698" s="131"/>
      <c r="N698" s="131"/>
      <c r="O698" s="131"/>
      <c r="P698" s="131"/>
      <c r="Q698" s="131"/>
      <c r="R698" s="131"/>
      <c r="S698" s="131"/>
      <c r="T698" s="131"/>
      <c r="U698" s="131"/>
      <c r="V698" s="131"/>
      <c r="W698" s="131"/>
      <c r="X698" s="131"/>
    </row>
    <row r="699" spans="1:24" ht="13.5" customHeight="1">
      <c r="A699" s="132"/>
      <c r="B699" s="131"/>
      <c r="C699" s="131"/>
      <c r="D699" s="132"/>
      <c r="E699" s="132"/>
      <c r="F699" s="132"/>
      <c r="G699" s="132"/>
      <c r="H699" s="132"/>
      <c r="I699" s="131"/>
      <c r="J699" s="131"/>
      <c r="K699" s="131"/>
      <c r="L699" s="131"/>
      <c r="M699" s="131"/>
      <c r="N699" s="131"/>
      <c r="O699" s="131"/>
      <c r="P699" s="131"/>
      <c r="Q699" s="131"/>
      <c r="R699" s="131"/>
      <c r="S699" s="131"/>
      <c r="T699" s="131"/>
      <c r="U699" s="131"/>
      <c r="V699" s="131"/>
      <c r="W699" s="131"/>
      <c r="X699" s="131"/>
    </row>
    <row r="700" spans="1:24" ht="13.5" customHeight="1">
      <c r="A700" s="132"/>
      <c r="B700" s="131"/>
      <c r="C700" s="131"/>
      <c r="D700" s="132"/>
      <c r="E700" s="132"/>
      <c r="F700" s="132"/>
      <c r="G700" s="132"/>
      <c r="H700" s="132"/>
      <c r="I700" s="131"/>
      <c r="J700" s="131"/>
      <c r="K700" s="131"/>
      <c r="L700" s="131"/>
      <c r="M700" s="131"/>
      <c r="N700" s="131"/>
      <c r="O700" s="131"/>
      <c r="P700" s="131"/>
      <c r="Q700" s="131"/>
      <c r="R700" s="131"/>
      <c r="S700" s="131"/>
      <c r="T700" s="131"/>
      <c r="U700" s="131"/>
      <c r="V700" s="131"/>
      <c r="W700" s="131"/>
      <c r="X700" s="131"/>
    </row>
    <row r="701" spans="1:24" ht="13.5" customHeight="1">
      <c r="A701" s="132"/>
      <c r="B701" s="131"/>
      <c r="C701" s="131"/>
      <c r="D701" s="132"/>
      <c r="E701" s="132"/>
      <c r="F701" s="132"/>
      <c r="G701" s="132"/>
      <c r="H701" s="132"/>
      <c r="I701" s="131"/>
      <c r="J701" s="131"/>
      <c r="K701" s="131"/>
      <c r="L701" s="131"/>
      <c r="M701" s="131"/>
      <c r="N701" s="131"/>
      <c r="O701" s="131"/>
      <c r="P701" s="131"/>
      <c r="Q701" s="131"/>
      <c r="R701" s="131"/>
      <c r="S701" s="131"/>
      <c r="T701" s="131"/>
      <c r="U701" s="131"/>
      <c r="V701" s="131"/>
      <c r="W701" s="131"/>
      <c r="X701" s="131"/>
    </row>
    <row r="702" spans="1:24" ht="13.5" customHeight="1">
      <c r="A702" s="132"/>
      <c r="B702" s="131"/>
      <c r="C702" s="131"/>
      <c r="D702" s="132"/>
      <c r="E702" s="132"/>
      <c r="F702" s="132"/>
      <c r="G702" s="132"/>
      <c r="H702" s="132"/>
      <c r="I702" s="131"/>
      <c r="J702" s="131"/>
      <c r="K702" s="131"/>
      <c r="L702" s="131"/>
      <c r="M702" s="131"/>
      <c r="N702" s="131"/>
      <c r="O702" s="131"/>
      <c r="P702" s="131"/>
      <c r="Q702" s="131"/>
      <c r="R702" s="131"/>
      <c r="S702" s="131"/>
      <c r="T702" s="131"/>
      <c r="U702" s="131"/>
      <c r="V702" s="131"/>
      <c r="W702" s="131"/>
      <c r="X702" s="131"/>
    </row>
    <row r="703" spans="1:24" ht="13.5" customHeight="1">
      <c r="A703" s="132"/>
      <c r="B703" s="131"/>
      <c r="C703" s="131"/>
      <c r="D703" s="132"/>
      <c r="E703" s="132"/>
      <c r="F703" s="132"/>
      <c r="G703" s="132"/>
      <c r="H703" s="132"/>
      <c r="I703" s="131"/>
      <c r="J703" s="131"/>
      <c r="K703" s="131"/>
      <c r="L703" s="131"/>
      <c r="M703" s="131"/>
      <c r="N703" s="131"/>
      <c r="O703" s="131"/>
      <c r="P703" s="131"/>
      <c r="Q703" s="131"/>
      <c r="R703" s="131"/>
      <c r="S703" s="131"/>
      <c r="T703" s="131"/>
      <c r="U703" s="131"/>
      <c r="V703" s="131"/>
      <c r="W703" s="131"/>
      <c r="X703" s="131"/>
    </row>
    <row r="704" spans="1:24" ht="13.5" customHeight="1">
      <c r="A704" s="132"/>
      <c r="B704" s="131"/>
      <c r="C704" s="131"/>
      <c r="D704" s="132"/>
      <c r="E704" s="132"/>
      <c r="F704" s="132"/>
      <c r="G704" s="132"/>
      <c r="H704" s="132"/>
      <c r="I704" s="131"/>
      <c r="J704" s="131"/>
      <c r="K704" s="131"/>
      <c r="L704" s="131"/>
      <c r="M704" s="131"/>
      <c r="N704" s="131"/>
      <c r="O704" s="131"/>
      <c r="P704" s="131"/>
      <c r="Q704" s="131"/>
      <c r="R704" s="131"/>
      <c r="S704" s="131"/>
      <c r="T704" s="131"/>
      <c r="U704" s="131"/>
      <c r="V704" s="131"/>
      <c r="W704" s="131"/>
      <c r="X704" s="131"/>
    </row>
    <row r="705" spans="1:24" ht="13.5" customHeight="1">
      <c r="A705" s="132"/>
      <c r="B705" s="131"/>
      <c r="C705" s="131"/>
      <c r="D705" s="132"/>
      <c r="E705" s="132"/>
      <c r="F705" s="132"/>
      <c r="G705" s="132"/>
      <c r="H705" s="132"/>
      <c r="I705" s="131"/>
      <c r="J705" s="131"/>
      <c r="K705" s="131"/>
      <c r="L705" s="131"/>
      <c r="M705" s="131"/>
      <c r="N705" s="131"/>
      <c r="O705" s="131"/>
      <c r="P705" s="131"/>
      <c r="Q705" s="131"/>
      <c r="R705" s="131"/>
      <c r="S705" s="131"/>
      <c r="T705" s="131"/>
      <c r="U705" s="131"/>
      <c r="V705" s="131"/>
      <c r="W705" s="131"/>
      <c r="X705" s="131"/>
    </row>
    <row r="706" spans="1:24" ht="13.5" customHeight="1">
      <c r="A706" s="132"/>
      <c r="B706" s="131"/>
      <c r="C706" s="131"/>
      <c r="D706" s="132"/>
      <c r="E706" s="132"/>
      <c r="F706" s="132"/>
      <c r="G706" s="132"/>
      <c r="H706" s="132"/>
      <c r="I706" s="131"/>
      <c r="J706" s="131"/>
      <c r="K706" s="131"/>
      <c r="L706" s="131"/>
      <c r="M706" s="131"/>
      <c r="N706" s="131"/>
      <c r="O706" s="131"/>
      <c r="P706" s="131"/>
      <c r="Q706" s="131"/>
      <c r="R706" s="131"/>
      <c r="S706" s="131"/>
      <c r="T706" s="131"/>
      <c r="U706" s="131"/>
      <c r="V706" s="131"/>
      <c r="W706" s="131"/>
      <c r="X706" s="131"/>
    </row>
    <row r="707" spans="1:24" ht="13.5" customHeight="1">
      <c r="A707" s="132"/>
      <c r="B707" s="131"/>
      <c r="C707" s="131"/>
      <c r="D707" s="132"/>
      <c r="E707" s="132"/>
      <c r="F707" s="132"/>
      <c r="G707" s="132"/>
      <c r="H707" s="132"/>
      <c r="I707" s="131"/>
      <c r="J707" s="131"/>
      <c r="K707" s="131"/>
      <c r="L707" s="131"/>
      <c r="M707" s="131"/>
      <c r="N707" s="131"/>
      <c r="O707" s="131"/>
      <c r="P707" s="131"/>
      <c r="Q707" s="131"/>
      <c r="R707" s="131"/>
      <c r="S707" s="131"/>
      <c r="T707" s="131"/>
      <c r="U707" s="131"/>
      <c r="V707" s="131"/>
      <c r="W707" s="131"/>
      <c r="X707" s="131"/>
    </row>
    <row r="708" spans="1:24" ht="13.5" customHeight="1">
      <c r="A708" s="132"/>
      <c r="B708" s="131"/>
      <c r="C708" s="131"/>
      <c r="D708" s="132"/>
      <c r="E708" s="132"/>
      <c r="F708" s="132"/>
      <c r="G708" s="132"/>
      <c r="H708" s="132"/>
      <c r="I708" s="131"/>
      <c r="J708" s="131"/>
      <c r="K708" s="131"/>
      <c r="L708" s="131"/>
      <c r="M708" s="131"/>
      <c r="N708" s="131"/>
      <c r="O708" s="131"/>
      <c r="P708" s="131"/>
      <c r="Q708" s="131"/>
      <c r="R708" s="131"/>
      <c r="S708" s="131"/>
      <c r="T708" s="131"/>
      <c r="U708" s="131"/>
      <c r="V708" s="131"/>
      <c r="W708" s="131"/>
      <c r="X708" s="131"/>
    </row>
    <row r="709" spans="1:24" ht="13.5" customHeight="1">
      <c r="A709" s="132"/>
      <c r="B709" s="131"/>
      <c r="C709" s="131"/>
      <c r="D709" s="132"/>
      <c r="E709" s="132"/>
      <c r="F709" s="132"/>
      <c r="G709" s="132"/>
      <c r="H709" s="132"/>
      <c r="I709" s="131"/>
      <c r="J709" s="131"/>
      <c r="K709" s="131"/>
      <c r="L709" s="131"/>
      <c r="M709" s="131"/>
      <c r="N709" s="131"/>
      <c r="O709" s="131"/>
      <c r="P709" s="131"/>
      <c r="Q709" s="131"/>
      <c r="R709" s="131"/>
      <c r="S709" s="131"/>
      <c r="T709" s="131"/>
      <c r="U709" s="131"/>
      <c r="V709" s="131"/>
      <c r="W709" s="131"/>
      <c r="X709" s="131"/>
    </row>
    <row r="710" spans="1:24" ht="13.5" customHeight="1">
      <c r="A710" s="132"/>
      <c r="B710" s="131"/>
      <c r="C710" s="131"/>
      <c r="D710" s="132"/>
      <c r="E710" s="132"/>
      <c r="F710" s="132"/>
      <c r="G710" s="132"/>
      <c r="H710" s="132"/>
      <c r="I710" s="131"/>
      <c r="J710" s="131"/>
      <c r="K710" s="131"/>
      <c r="L710" s="131"/>
      <c r="M710" s="131"/>
      <c r="N710" s="131"/>
      <c r="O710" s="131"/>
      <c r="P710" s="131"/>
      <c r="Q710" s="131"/>
      <c r="R710" s="131"/>
      <c r="S710" s="131"/>
      <c r="T710" s="131"/>
      <c r="U710" s="131"/>
      <c r="V710" s="131"/>
      <c r="W710" s="131"/>
      <c r="X710" s="131"/>
    </row>
    <row r="711" spans="1:24" ht="13.5" customHeight="1">
      <c r="A711" s="132"/>
      <c r="B711" s="131"/>
      <c r="C711" s="131"/>
      <c r="D711" s="132"/>
      <c r="E711" s="132"/>
      <c r="F711" s="132"/>
      <c r="G711" s="132"/>
      <c r="H711" s="132"/>
      <c r="I711" s="131"/>
      <c r="J711" s="131"/>
      <c r="K711" s="131"/>
      <c r="L711" s="131"/>
      <c r="M711" s="131"/>
      <c r="N711" s="131"/>
      <c r="O711" s="131"/>
      <c r="P711" s="131"/>
      <c r="Q711" s="131"/>
      <c r="R711" s="131"/>
      <c r="S711" s="131"/>
      <c r="T711" s="131"/>
      <c r="U711" s="131"/>
      <c r="V711" s="131"/>
      <c r="W711" s="131"/>
      <c r="X711" s="131"/>
    </row>
    <row r="712" spans="1:24" ht="13.5" customHeight="1">
      <c r="A712" s="132"/>
      <c r="B712" s="131"/>
      <c r="C712" s="131"/>
      <c r="D712" s="132"/>
      <c r="E712" s="132"/>
      <c r="F712" s="132"/>
      <c r="G712" s="132"/>
      <c r="H712" s="132"/>
      <c r="I712" s="131"/>
      <c r="J712" s="131"/>
      <c r="K712" s="131"/>
      <c r="L712" s="131"/>
      <c r="M712" s="131"/>
      <c r="N712" s="131"/>
      <c r="O712" s="131"/>
      <c r="P712" s="131"/>
      <c r="Q712" s="131"/>
      <c r="R712" s="131"/>
      <c r="S712" s="131"/>
      <c r="T712" s="131"/>
      <c r="U712" s="131"/>
      <c r="V712" s="131"/>
      <c r="W712" s="131"/>
      <c r="X712" s="131"/>
    </row>
    <row r="713" spans="1:24" ht="13.5" customHeight="1">
      <c r="A713" s="132"/>
      <c r="B713" s="131"/>
      <c r="C713" s="131"/>
      <c r="D713" s="132"/>
      <c r="E713" s="132"/>
      <c r="F713" s="132"/>
      <c r="G713" s="132"/>
      <c r="H713" s="132"/>
      <c r="I713" s="131"/>
      <c r="J713" s="131"/>
      <c r="K713" s="131"/>
      <c r="L713" s="131"/>
      <c r="M713" s="131"/>
      <c r="N713" s="131"/>
      <c r="O713" s="131"/>
      <c r="P713" s="131"/>
      <c r="Q713" s="131"/>
      <c r="R713" s="131"/>
      <c r="S713" s="131"/>
      <c r="T713" s="131"/>
      <c r="U713" s="131"/>
      <c r="V713" s="131"/>
      <c r="W713" s="131"/>
      <c r="X713" s="131"/>
    </row>
    <row r="714" spans="1:24" ht="13.5" customHeight="1">
      <c r="A714" s="132"/>
      <c r="B714" s="131"/>
      <c r="C714" s="131"/>
      <c r="D714" s="132"/>
      <c r="E714" s="132"/>
      <c r="F714" s="132"/>
      <c r="G714" s="132"/>
      <c r="H714" s="132"/>
      <c r="I714" s="131"/>
      <c r="J714" s="131"/>
      <c r="K714" s="131"/>
      <c r="L714" s="131"/>
      <c r="M714" s="131"/>
      <c r="N714" s="131"/>
      <c r="O714" s="131"/>
      <c r="P714" s="131"/>
      <c r="Q714" s="131"/>
      <c r="R714" s="131"/>
      <c r="S714" s="131"/>
      <c r="T714" s="131"/>
      <c r="U714" s="131"/>
      <c r="V714" s="131"/>
      <c r="W714" s="131"/>
      <c r="X714" s="131"/>
    </row>
    <row r="715" spans="1:24" ht="13.5" customHeight="1">
      <c r="A715" s="132"/>
      <c r="B715" s="131"/>
      <c r="C715" s="131"/>
      <c r="D715" s="132"/>
      <c r="E715" s="132"/>
      <c r="F715" s="132"/>
      <c r="G715" s="132"/>
      <c r="H715" s="132"/>
      <c r="I715" s="131"/>
      <c r="J715" s="131"/>
      <c r="K715" s="131"/>
      <c r="L715" s="131"/>
      <c r="M715" s="131"/>
      <c r="N715" s="131"/>
      <c r="O715" s="131"/>
      <c r="P715" s="131"/>
      <c r="Q715" s="131"/>
      <c r="R715" s="131"/>
      <c r="S715" s="131"/>
      <c r="T715" s="131"/>
      <c r="U715" s="131"/>
      <c r="V715" s="131"/>
      <c r="W715" s="131"/>
      <c r="X715" s="131"/>
    </row>
    <row r="716" spans="1:24" ht="13.5" customHeight="1">
      <c r="A716" s="132"/>
      <c r="B716" s="131"/>
      <c r="C716" s="131"/>
      <c r="D716" s="132"/>
      <c r="E716" s="132"/>
      <c r="F716" s="132"/>
      <c r="G716" s="132"/>
      <c r="H716" s="132"/>
      <c r="I716" s="131"/>
      <c r="J716" s="131"/>
      <c r="K716" s="131"/>
      <c r="L716" s="131"/>
      <c r="M716" s="131"/>
      <c r="N716" s="131"/>
      <c r="O716" s="131"/>
      <c r="P716" s="131"/>
      <c r="Q716" s="131"/>
      <c r="R716" s="131"/>
      <c r="S716" s="131"/>
      <c r="T716" s="131"/>
      <c r="U716" s="131"/>
      <c r="V716" s="131"/>
      <c r="W716" s="131"/>
      <c r="X716" s="131"/>
    </row>
    <row r="717" spans="1:24" ht="13.5" customHeight="1">
      <c r="A717" s="132"/>
      <c r="B717" s="131"/>
      <c r="C717" s="131"/>
      <c r="D717" s="132"/>
      <c r="E717" s="132"/>
      <c r="F717" s="132"/>
      <c r="G717" s="132"/>
      <c r="H717" s="132"/>
      <c r="I717" s="131"/>
      <c r="J717" s="131"/>
      <c r="K717" s="131"/>
      <c r="L717" s="131"/>
      <c r="M717" s="131"/>
      <c r="N717" s="131"/>
      <c r="O717" s="131"/>
      <c r="P717" s="131"/>
      <c r="Q717" s="131"/>
      <c r="R717" s="131"/>
      <c r="S717" s="131"/>
      <c r="T717" s="131"/>
      <c r="U717" s="131"/>
      <c r="V717" s="131"/>
      <c r="W717" s="131"/>
      <c r="X717" s="131"/>
    </row>
    <row r="718" spans="1:24" ht="13.5" customHeight="1">
      <c r="A718" s="132"/>
      <c r="B718" s="131"/>
      <c r="C718" s="131"/>
      <c r="D718" s="132"/>
      <c r="E718" s="132"/>
      <c r="F718" s="132"/>
      <c r="G718" s="132"/>
      <c r="H718" s="132"/>
      <c r="I718" s="131"/>
      <c r="J718" s="131"/>
      <c r="K718" s="131"/>
      <c r="L718" s="131"/>
      <c r="M718" s="131"/>
      <c r="N718" s="131"/>
      <c r="O718" s="131"/>
      <c r="P718" s="131"/>
      <c r="Q718" s="131"/>
      <c r="R718" s="131"/>
      <c r="S718" s="131"/>
      <c r="T718" s="131"/>
      <c r="U718" s="131"/>
      <c r="V718" s="131"/>
      <c r="W718" s="131"/>
      <c r="X718" s="131"/>
    </row>
    <row r="719" spans="1:24" ht="13.5" customHeight="1">
      <c r="A719" s="132"/>
      <c r="B719" s="131"/>
      <c r="C719" s="131"/>
      <c r="D719" s="132"/>
      <c r="E719" s="132"/>
      <c r="F719" s="132"/>
      <c r="G719" s="132"/>
      <c r="H719" s="132"/>
      <c r="I719" s="131"/>
      <c r="J719" s="131"/>
      <c r="K719" s="131"/>
      <c r="L719" s="131"/>
      <c r="M719" s="131"/>
      <c r="N719" s="131"/>
      <c r="O719" s="131"/>
      <c r="P719" s="131"/>
      <c r="Q719" s="131"/>
      <c r="R719" s="131"/>
      <c r="S719" s="131"/>
      <c r="T719" s="131"/>
      <c r="U719" s="131"/>
      <c r="V719" s="131"/>
      <c r="W719" s="131"/>
      <c r="X719" s="131"/>
    </row>
    <row r="720" spans="1:24" ht="13.5" customHeight="1">
      <c r="A720" s="132"/>
      <c r="B720" s="131"/>
      <c r="C720" s="131"/>
      <c r="D720" s="132"/>
      <c r="E720" s="132"/>
      <c r="F720" s="132"/>
      <c r="G720" s="132"/>
      <c r="H720" s="132"/>
      <c r="I720" s="131"/>
      <c r="J720" s="131"/>
      <c r="K720" s="131"/>
      <c r="L720" s="131"/>
      <c r="M720" s="131"/>
      <c r="N720" s="131"/>
      <c r="O720" s="131"/>
      <c r="P720" s="131"/>
      <c r="Q720" s="131"/>
      <c r="R720" s="131"/>
      <c r="S720" s="131"/>
      <c r="T720" s="131"/>
      <c r="U720" s="131"/>
      <c r="V720" s="131"/>
      <c r="W720" s="131"/>
      <c r="X720" s="131"/>
    </row>
    <row r="721" spans="1:24" ht="13.5" customHeight="1">
      <c r="A721" s="132"/>
      <c r="B721" s="131"/>
      <c r="C721" s="131"/>
      <c r="D721" s="132"/>
      <c r="E721" s="132"/>
      <c r="F721" s="132"/>
      <c r="G721" s="132"/>
      <c r="H721" s="132"/>
      <c r="I721" s="131"/>
      <c r="J721" s="131"/>
      <c r="K721" s="131"/>
      <c r="L721" s="131"/>
      <c r="M721" s="131"/>
      <c r="N721" s="131"/>
      <c r="O721" s="131"/>
      <c r="P721" s="131"/>
      <c r="Q721" s="131"/>
      <c r="R721" s="131"/>
      <c r="S721" s="131"/>
      <c r="T721" s="131"/>
      <c r="U721" s="131"/>
      <c r="V721" s="131"/>
      <c r="W721" s="131"/>
      <c r="X721" s="131"/>
    </row>
    <row r="722" spans="1:24" ht="13.5" customHeight="1">
      <c r="A722" s="132"/>
      <c r="B722" s="131"/>
      <c r="C722" s="131"/>
      <c r="D722" s="132"/>
      <c r="E722" s="132"/>
      <c r="F722" s="132"/>
      <c r="G722" s="132"/>
      <c r="H722" s="132"/>
      <c r="I722" s="131"/>
      <c r="J722" s="131"/>
      <c r="K722" s="131"/>
      <c r="L722" s="131"/>
      <c r="M722" s="131"/>
      <c r="N722" s="131"/>
      <c r="O722" s="131"/>
      <c r="P722" s="131"/>
      <c r="Q722" s="131"/>
      <c r="R722" s="131"/>
      <c r="S722" s="131"/>
      <c r="T722" s="131"/>
      <c r="U722" s="131"/>
      <c r="V722" s="131"/>
      <c r="W722" s="131"/>
      <c r="X722" s="131"/>
    </row>
    <row r="723" spans="1:24" ht="13.5" customHeight="1">
      <c r="A723" s="132"/>
      <c r="B723" s="131"/>
      <c r="C723" s="131"/>
      <c r="D723" s="132"/>
      <c r="E723" s="132"/>
      <c r="F723" s="132"/>
      <c r="G723" s="132"/>
      <c r="H723" s="132"/>
      <c r="I723" s="131"/>
      <c r="J723" s="131"/>
      <c r="K723" s="131"/>
      <c r="L723" s="131"/>
      <c r="M723" s="131"/>
      <c r="N723" s="131"/>
      <c r="O723" s="131"/>
      <c r="P723" s="131"/>
      <c r="Q723" s="131"/>
      <c r="R723" s="131"/>
      <c r="S723" s="131"/>
      <c r="T723" s="131"/>
      <c r="U723" s="131"/>
      <c r="V723" s="131"/>
      <c r="W723" s="131"/>
      <c r="X723" s="131"/>
    </row>
    <row r="724" spans="1:24" ht="13.5" customHeight="1">
      <c r="A724" s="132"/>
      <c r="B724" s="131"/>
      <c r="C724" s="131"/>
      <c r="D724" s="132"/>
      <c r="E724" s="132"/>
      <c r="F724" s="132"/>
      <c r="G724" s="132"/>
      <c r="H724" s="132"/>
      <c r="I724" s="131"/>
      <c r="J724" s="131"/>
      <c r="K724" s="131"/>
      <c r="L724" s="131"/>
      <c r="M724" s="131"/>
      <c r="N724" s="131"/>
      <c r="O724" s="131"/>
      <c r="P724" s="131"/>
      <c r="Q724" s="131"/>
      <c r="R724" s="131"/>
      <c r="S724" s="131"/>
      <c r="T724" s="131"/>
      <c r="U724" s="131"/>
      <c r="V724" s="131"/>
      <c r="W724" s="131"/>
      <c r="X724" s="131"/>
    </row>
    <row r="725" spans="1:24" ht="13.5" customHeight="1">
      <c r="A725" s="132"/>
      <c r="B725" s="131"/>
      <c r="C725" s="131"/>
      <c r="D725" s="132"/>
      <c r="E725" s="132"/>
      <c r="F725" s="132"/>
      <c r="G725" s="132"/>
      <c r="H725" s="132"/>
      <c r="I725" s="131"/>
      <c r="J725" s="131"/>
      <c r="K725" s="131"/>
      <c r="L725" s="131"/>
      <c r="M725" s="131"/>
      <c r="N725" s="131"/>
      <c r="O725" s="131"/>
      <c r="P725" s="131"/>
      <c r="Q725" s="131"/>
      <c r="R725" s="131"/>
      <c r="S725" s="131"/>
      <c r="T725" s="131"/>
      <c r="U725" s="131"/>
      <c r="V725" s="131"/>
      <c r="W725" s="131"/>
      <c r="X725" s="131"/>
    </row>
    <row r="726" spans="1:24" ht="13.5" customHeight="1">
      <c r="A726" s="132"/>
      <c r="B726" s="131"/>
      <c r="C726" s="131"/>
      <c r="D726" s="132"/>
      <c r="E726" s="132"/>
      <c r="F726" s="132"/>
      <c r="G726" s="132"/>
      <c r="H726" s="132"/>
      <c r="I726" s="131"/>
      <c r="J726" s="131"/>
      <c r="K726" s="131"/>
      <c r="L726" s="131"/>
      <c r="M726" s="131"/>
      <c r="N726" s="131"/>
      <c r="O726" s="131"/>
      <c r="P726" s="131"/>
      <c r="Q726" s="131"/>
      <c r="R726" s="131"/>
      <c r="S726" s="131"/>
      <c r="T726" s="131"/>
      <c r="U726" s="131"/>
      <c r="V726" s="131"/>
      <c r="W726" s="131"/>
      <c r="X726" s="131"/>
    </row>
    <row r="727" spans="1:24" ht="13.5" customHeight="1">
      <c r="A727" s="132"/>
      <c r="B727" s="131"/>
      <c r="C727" s="131"/>
      <c r="D727" s="132"/>
      <c r="E727" s="132"/>
      <c r="F727" s="132"/>
      <c r="G727" s="132"/>
      <c r="H727" s="132"/>
      <c r="I727" s="131"/>
      <c r="J727" s="131"/>
      <c r="K727" s="131"/>
      <c r="L727" s="131"/>
      <c r="M727" s="131"/>
      <c r="N727" s="131"/>
      <c r="O727" s="131"/>
      <c r="P727" s="131"/>
      <c r="Q727" s="131"/>
      <c r="R727" s="131"/>
      <c r="S727" s="131"/>
      <c r="T727" s="131"/>
      <c r="U727" s="131"/>
      <c r="V727" s="131"/>
      <c r="W727" s="131"/>
      <c r="X727" s="131"/>
    </row>
    <row r="728" spans="1:24" ht="13.5" customHeight="1">
      <c r="A728" s="132"/>
      <c r="B728" s="131"/>
      <c r="C728" s="131"/>
      <c r="D728" s="132"/>
      <c r="E728" s="132"/>
      <c r="F728" s="132"/>
      <c r="G728" s="132"/>
      <c r="H728" s="132"/>
      <c r="I728" s="131"/>
      <c r="J728" s="131"/>
      <c r="K728" s="131"/>
      <c r="L728" s="131"/>
      <c r="M728" s="131"/>
      <c r="N728" s="131"/>
      <c r="O728" s="131"/>
      <c r="P728" s="131"/>
      <c r="Q728" s="131"/>
      <c r="R728" s="131"/>
      <c r="S728" s="131"/>
      <c r="T728" s="131"/>
      <c r="U728" s="131"/>
      <c r="V728" s="131"/>
      <c r="W728" s="131"/>
      <c r="X728" s="131"/>
    </row>
    <row r="729" spans="1:24" ht="13.5" customHeight="1">
      <c r="A729" s="132"/>
      <c r="B729" s="131"/>
      <c r="C729" s="131"/>
      <c r="D729" s="132"/>
      <c r="E729" s="132"/>
      <c r="F729" s="132"/>
      <c r="G729" s="132"/>
      <c r="H729" s="132"/>
      <c r="I729" s="131"/>
      <c r="J729" s="131"/>
      <c r="K729" s="131"/>
      <c r="L729" s="131"/>
      <c r="M729" s="131"/>
      <c r="N729" s="131"/>
      <c r="O729" s="131"/>
      <c r="P729" s="131"/>
      <c r="Q729" s="131"/>
      <c r="R729" s="131"/>
      <c r="S729" s="131"/>
      <c r="T729" s="131"/>
      <c r="U729" s="131"/>
      <c r="V729" s="131"/>
      <c r="W729" s="131"/>
      <c r="X729" s="131"/>
    </row>
    <row r="730" spans="1:24" ht="13.5" customHeight="1">
      <c r="A730" s="132"/>
      <c r="B730" s="131"/>
      <c r="C730" s="131"/>
      <c r="D730" s="132"/>
      <c r="E730" s="132"/>
      <c r="F730" s="132"/>
      <c r="G730" s="132"/>
      <c r="H730" s="132"/>
      <c r="I730" s="131"/>
      <c r="J730" s="131"/>
      <c r="K730" s="131"/>
      <c r="L730" s="131"/>
      <c r="M730" s="131"/>
      <c r="N730" s="131"/>
      <c r="O730" s="131"/>
      <c r="P730" s="131"/>
      <c r="Q730" s="131"/>
      <c r="R730" s="131"/>
      <c r="S730" s="131"/>
      <c r="T730" s="131"/>
      <c r="U730" s="131"/>
      <c r="V730" s="131"/>
      <c r="W730" s="131"/>
      <c r="X730" s="131"/>
    </row>
    <row r="731" spans="1:24" ht="13.5" customHeight="1">
      <c r="A731" s="132"/>
      <c r="B731" s="131"/>
      <c r="C731" s="131"/>
      <c r="D731" s="132"/>
      <c r="E731" s="132"/>
      <c r="F731" s="132"/>
      <c r="G731" s="132"/>
      <c r="H731" s="132"/>
      <c r="I731" s="131"/>
      <c r="J731" s="131"/>
      <c r="K731" s="131"/>
      <c r="L731" s="131"/>
      <c r="M731" s="131"/>
      <c r="N731" s="131"/>
      <c r="O731" s="131"/>
      <c r="P731" s="131"/>
      <c r="Q731" s="131"/>
      <c r="R731" s="131"/>
      <c r="S731" s="131"/>
      <c r="T731" s="131"/>
      <c r="U731" s="131"/>
      <c r="V731" s="131"/>
      <c r="W731" s="131"/>
      <c r="X731" s="131"/>
    </row>
    <row r="732" spans="1:24" ht="13.5" customHeight="1">
      <c r="A732" s="132"/>
      <c r="B732" s="131"/>
      <c r="C732" s="131"/>
      <c r="D732" s="132"/>
      <c r="E732" s="132"/>
      <c r="F732" s="132"/>
      <c r="G732" s="132"/>
      <c r="H732" s="132"/>
      <c r="I732" s="131"/>
      <c r="J732" s="131"/>
      <c r="K732" s="131"/>
      <c r="L732" s="131"/>
      <c r="M732" s="131"/>
      <c r="N732" s="131"/>
      <c r="O732" s="131"/>
      <c r="P732" s="131"/>
      <c r="Q732" s="131"/>
      <c r="R732" s="131"/>
      <c r="S732" s="131"/>
      <c r="T732" s="131"/>
      <c r="U732" s="131"/>
      <c r="V732" s="131"/>
      <c r="W732" s="131"/>
      <c r="X732" s="131"/>
    </row>
    <row r="733" spans="1:24" ht="13.5" customHeight="1">
      <c r="A733" s="132"/>
      <c r="B733" s="131"/>
      <c r="C733" s="131"/>
      <c r="D733" s="132"/>
      <c r="E733" s="132"/>
      <c r="F733" s="132"/>
      <c r="G733" s="132"/>
      <c r="H733" s="132"/>
      <c r="I733" s="131"/>
      <c r="J733" s="131"/>
      <c r="K733" s="131"/>
      <c r="L733" s="131"/>
      <c r="M733" s="131"/>
      <c r="N733" s="131"/>
      <c r="O733" s="131"/>
      <c r="P733" s="131"/>
      <c r="Q733" s="131"/>
      <c r="R733" s="131"/>
      <c r="S733" s="131"/>
      <c r="T733" s="131"/>
      <c r="U733" s="131"/>
      <c r="V733" s="131"/>
      <c r="W733" s="131"/>
      <c r="X733" s="131"/>
    </row>
    <row r="734" spans="1:24" ht="13.5" customHeight="1">
      <c r="A734" s="132"/>
      <c r="B734" s="131"/>
      <c r="C734" s="131"/>
      <c r="D734" s="132"/>
      <c r="E734" s="132"/>
      <c r="F734" s="132"/>
      <c r="G734" s="132"/>
      <c r="H734" s="132"/>
      <c r="I734" s="131"/>
      <c r="J734" s="131"/>
      <c r="K734" s="131"/>
      <c r="L734" s="131"/>
      <c r="M734" s="131"/>
      <c r="N734" s="131"/>
      <c r="O734" s="131"/>
      <c r="P734" s="131"/>
      <c r="Q734" s="131"/>
      <c r="R734" s="131"/>
      <c r="S734" s="131"/>
      <c r="T734" s="131"/>
      <c r="U734" s="131"/>
      <c r="V734" s="131"/>
      <c r="W734" s="131"/>
      <c r="X734" s="131"/>
    </row>
    <row r="735" spans="1:24" ht="13.5" customHeight="1">
      <c r="A735" s="132"/>
      <c r="B735" s="131"/>
      <c r="C735" s="131"/>
      <c r="D735" s="132"/>
      <c r="E735" s="132"/>
      <c r="F735" s="132"/>
      <c r="G735" s="132"/>
      <c r="H735" s="132"/>
      <c r="I735" s="131"/>
      <c r="J735" s="131"/>
      <c r="K735" s="131"/>
      <c r="L735" s="131"/>
      <c r="M735" s="131"/>
      <c r="N735" s="131"/>
      <c r="O735" s="131"/>
      <c r="P735" s="131"/>
      <c r="Q735" s="131"/>
      <c r="R735" s="131"/>
      <c r="S735" s="131"/>
      <c r="T735" s="131"/>
      <c r="U735" s="131"/>
      <c r="V735" s="131"/>
      <c r="W735" s="131"/>
      <c r="X735" s="131"/>
    </row>
    <row r="736" spans="1:24" ht="13.5" customHeight="1">
      <c r="A736" s="132"/>
      <c r="B736" s="131"/>
      <c r="C736" s="131"/>
      <c r="D736" s="132"/>
      <c r="E736" s="132"/>
      <c r="F736" s="132"/>
      <c r="G736" s="132"/>
      <c r="H736" s="132"/>
      <c r="I736" s="131"/>
      <c r="J736" s="131"/>
      <c r="K736" s="131"/>
      <c r="L736" s="131"/>
      <c r="M736" s="131"/>
      <c r="N736" s="131"/>
      <c r="O736" s="131"/>
      <c r="P736" s="131"/>
      <c r="Q736" s="131"/>
      <c r="R736" s="131"/>
      <c r="S736" s="131"/>
      <c r="T736" s="131"/>
      <c r="U736" s="131"/>
      <c r="V736" s="131"/>
      <c r="W736" s="131"/>
      <c r="X736" s="131"/>
    </row>
    <row r="737" spans="1:24" ht="13.5" customHeight="1">
      <c r="A737" s="132"/>
      <c r="B737" s="131"/>
      <c r="C737" s="131"/>
      <c r="D737" s="132"/>
      <c r="E737" s="132"/>
      <c r="F737" s="132"/>
      <c r="G737" s="132"/>
      <c r="H737" s="132"/>
      <c r="I737" s="131"/>
      <c r="J737" s="131"/>
      <c r="K737" s="131"/>
      <c r="L737" s="131"/>
      <c r="M737" s="131"/>
      <c r="N737" s="131"/>
      <c r="O737" s="131"/>
      <c r="P737" s="131"/>
      <c r="Q737" s="131"/>
      <c r="R737" s="131"/>
      <c r="S737" s="131"/>
      <c r="T737" s="131"/>
      <c r="U737" s="131"/>
      <c r="V737" s="131"/>
      <c r="W737" s="131"/>
      <c r="X737" s="131"/>
    </row>
    <row r="738" spans="1:24" ht="13.5" customHeight="1">
      <c r="A738" s="132"/>
      <c r="B738" s="131"/>
      <c r="C738" s="131"/>
      <c r="D738" s="132"/>
      <c r="E738" s="132"/>
      <c r="F738" s="132"/>
      <c r="G738" s="132"/>
      <c r="H738" s="132"/>
      <c r="I738" s="131"/>
      <c r="J738" s="131"/>
      <c r="K738" s="131"/>
      <c r="L738" s="131"/>
      <c r="M738" s="131"/>
      <c r="N738" s="131"/>
      <c r="O738" s="131"/>
      <c r="P738" s="131"/>
      <c r="Q738" s="131"/>
      <c r="R738" s="131"/>
      <c r="S738" s="131"/>
      <c r="T738" s="131"/>
      <c r="U738" s="131"/>
      <c r="V738" s="131"/>
      <c r="W738" s="131"/>
      <c r="X738" s="131"/>
    </row>
    <row r="739" spans="1:24" ht="13.5" customHeight="1">
      <c r="A739" s="132"/>
      <c r="B739" s="131"/>
      <c r="C739" s="131"/>
      <c r="D739" s="132"/>
      <c r="E739" s="132"/>
      <c r="F739" s="132"/>
      <c r="G739" s="132"/>
      <c r="H739" s="132"/>
      <c r="I739" s="131"/>
      <c r="J739" s="131"/>
      <c r="K739" s="131"/>
      <c r="L739" s="131"/>
      <c r="M739" s="131"/>
      <c r="N739" s="131"/>
      <c r="O739" s="131"/>
      <c r="P739" s="131"/>
      <c r="Q739" s="131"/>
      <c r="R739" s="131"/>
      <c r="S739" s="131"/>
      <c r="T739" s="131"/>
      <c r="U739" s="131"/>
      <c r="V739" s="131"/>
      <c r="W739" s="131"/>
      <c r="X739" s="131"/>
    </row>
    <row r="740" spans="1:24" ht="13.5" customHeight="1">
      <c r="A740" s="132"/>
      <c r="B740" s="131"/>
      <c r="C740" s="131"/>
      <c r="D740" s="132"/>
      <c r="E740" s="132"/>
      <c r="F740" s="132"/>
      <c r="G740" s="132"/>
      <c r="H740" s="132"/>
      <c r="I740" s="131"/>
      <c r="J740" s="131"/>
      <c r="K740" s="131"/>
      <c r="L740" s="131"/>
      <c r="M740" s="131"/>
      <c r="N740" s="131"/>
      <c r="O740" s="131"/>
      <c r="P740" s="131"/>
      <c r="Q740" s="131"/>
      <c r="R740" s="131"/>
      <c r="S740" s="131"/>
      <c r="T740" s="131"/>
      <c r="U740" s="131"/>
      <c r="V740" s="131"/>
      <c r="W740" s="131"/>
      <c r="X740" s="131"/>
    </row>
    <row r="741" spans="1:24" ht="13.5" customHeight="1">
      <c r="A741" s="132"/>
      <c r="B741" s="131"/>
      <c r="C741" s="131"/>
      <c r="D741" s="132"/>
      <c r="E741" s="132"/>
      <c r="F741" s="132"/>
      <c r="G741" s="132"/>
      <c r="H741" s="132"/>
      <c r="I741" s="131"/>
      <c r="J741" s="131"/>
      <c r="K741" s="131"/>
      <c r="L741" s="131"/>
      <c r="M741" s="131"/>
      <c r="N741" s="131"/>
      <c r="O741" s="131"/>
      <c r="P741" s="131"/>
      <c r="Q741" s="131"/>
      <c r="R741" s="131"/>
      <c r="S741" s="131"/>
      <c r="T741" s="131"/>
      <c r="U741" s="131"/>
      <c r="V741" s="131"/>
      <c r="W741" s="131"/>
      <c r="X741" s="131"/>
    </row>
    <row r="742" spans="1:24" ht="13.5" customHeight="1">
      <c r="A742" s="132"/>
      <c r="B742" s="131"/>
      <c r="C742" s="131"/>
      <c r="D742" s="132"/>
      <c r="E742" s="132"/>
      <c r="F742" s="132"/>
      <c r="G742" s="132"/>
      <c r="H742" s="132"/>
      <c r="I742" s="131"/>
      <c r="J742" s="131"/>
      <c r="K742" s="131"/>
      <c r="L742" s="131"/>
      <c r="M742" s="131"/>
      <c r="N742" s="131"/>
      <c r="O742" s="131"/>
      <c r="P742" s="131"/>
      <c r="Q742" s="131"/>
      <c r="R742" s="131"/>
      <c r="S742" s="131"/>
      <c r="T742" s="131"/>
      <c r="U742" s="131"/>
      <c r="V742" s="131"/>
      <c r="W742" s="131"/>
      <c r="X742" s="131"/>
    </row>
    <row r="743" spans="1:24" ht="13.5" customHeight="1">
      <c r="A743" s="132"/>
      <c r="B743" s="131"/>
      <c r="C743" s="131"/>
      <c r="D743" s="132"/>
      <c r="E743" s="132"/>
      <c r="F743" s="132"/>
      <c r="G743" s="132"/>
      <c r="H743" s="132"/>
      <c r="I743" s="131"/>
      <c r="J743" s="131"/>
      <c r="K743" s="131"/>
      <c r="L743" s="131"/>
      <c r="M743" s="131"/>
      <c r="N743" s="131"/>
      <c r="O743" s="131"/>
      <c r="P743" s="131"/>
      <c r="Q743" s="131"/>
      <c r="R743" s="131"/>
      <c r="S743" s="131"/>
      <c r="T743" s="131"/>
      <c r="U743" s="131"/>
      <c r="V743" s="131"/>
      <c r="W743" s="131"/>
      <c r="X743" s="131"/>
    </row>
    <row r="744" spans="1:24" ht="13.5" customHeight="1">
      <c r="A744" s="132"/>
      <c r="B744" s="131"/>
      <c r="C744" s="131"/>
      <c r="D744" s="132"/>
      <c r="E744" s="132"/>
      <c r="F744" s="132"/>
      <c r="G744" s="132"/>
      <c r="H744" s="132"/>
      <c r="I744" s="131"/>
      <c r="J744" s="131"/>
      <c r="K744" s="131"/>
      <c r="L744" s="131"/>
      <c r="M744" s="131"/>
      <c r="N744" s="131"/>
      <c r="O744" s="131"/>
      <c r="P744" s="131"/>
      <c r="Q744" s="131"/>
      <c r="R744" s="131"/>
      <c r="S744" s="131"/>
      <c r="T744" s="131"/>
      <c r="U744" s="131"/>
      <c r="V744" s="131"/>
      <c r="W744" s="131"/>
      <c r="X744" s="131"/>
    </row>
    <row r="745" spans="1:24" ht="13.5" customHeight="1">
      <c r="A745" s="132"/>
      <c r="B745" s="131"/>
      <c r="C745" s="131"/>
      <c r="D745" s="132"/>
      <c r="E745" s="132"/>
      <c r="F745" s="132"/>
      <c r="G745" s="132"/>
      <c r="H745" s="132"/>
      <c r="I745" s="131"/>
      <c r="J745" s="131"/>
      <c r="K745" s="131"/>
      <c r="L745" s="131"/>
      <c r="M745" s="131"/>
      <c r="N745" s="131"/>
      <c r="O745" s="131"/>
      <c r="P745" s="131"/>
      <c r="Q745" s="131"/>
      <c r="R745" s="131"/>
      <c r="S745" s="131"/>
      <c r="T745" s="131"/>
      <c r="U745" s="131"/>
      <c r="V745" s="131"/>
      <c r="W745" s="131"/>
      <c r="X745" s="131"/>
    </row>
    <row r="746" spans="1:24" ht="13.5" customHeight="1">
      <c r="A746" s="132"/>
      <c r="B746" s="131"/>
      <c r="C746" s="131"/>
      <c r="D746" s="132"/>
      <c r="E746" s="132"/>
      <c r="F746" s="132"/>
      <c r="G746" s="132"/>
      <c r="H746" s="132"/>
      <c r="I746" s="131"/>
      <c r="J746" s="131"/>
      <c r="K746" s="131"/>
      <c r="L746" s="131"/>
      <c r="M746" s="131"/>
      <c r="N746" s="131"/>
      <c r="O746" s="131"/>
      <c r="P746" s="131"/>
      <c r="Q746" s="131"/>
      <c r="R746" s="131"/>
      <c r="S746" s="131"/>
      <c r="T746" s="131"/>
      <c r="U746" s="131"/>
      <c r="V746" s="131"/>
      <c r="W746" s="131"/>
      <c r="X746" s="131"/>
    </row>
    <row r="747" spans="1:24" ht="13.5" customHeight="1">
      <c r="A747" s="132"/>
      <c r="B747" s="131"/>
      <c r="C747" s="131"/>
      <c r="D747" s="132"/>
      <c r="E747" s="132"/>
      <c r="F747" s="132"/>
      <c r="G747" s="132"/>
      <c r="H747" s="132"/>
      <c r="I747" s="131"/>
      <c r="J747" s="131"/>
      <c r="K747" s="131"/>
      <c r="L747" s="131"/>
      <c r="M747" s="131"/>
      <c r="N747" s="131"/>
      <c r="O747" s="131"/>
      <c r="P747" s="131"/>
      <c r="Q747" s="131"/>
      <c r="R747" s="131"/>
      <c r="S747" s="131"/>
      <c r="T747" s="131"/>
      <c r="U747" s="131"/>
      <c r="V747" s="131"/>
      <c r="W747" s="131"/>
      <c r="X747" s="131"/>
    </row>
    <row r="748" spans="1:24" ht="13.5" customHeight="1">
      <c r="A748" s="132"/>
      <c r="B748" s="131"/>
      <c r="C748" s="131"/>
      <c r="D748" s="132"/>
      <c r="E748" s="132"/>
      <c r="F748" s="132"/>
      <c r="G748" s="132"/>
      <c r="H748" s="132"/>
      <c r="I748" s="131"/>
      <c r="J748" s="131"/>
      <c r="K748" s="131"/>
      <c r="L748" s="131"/>
      <c r="M748" s="131"/>
      <c r="N748" s="131"/>
      <c r="O748" s="131"/>
      <c r="P748" s="131"/>
      <c r="Q748" s="131"/>
      <c r="R748" s="131"/>
      <c r="S748" s="131"/>
      <c r="T748" s="131"/>
      <c r="U748" s="131"/>
      <c r="V748" s="131"/>
      <c r="W748" s="131"/>
      <c r="X748" s="131"/>
    </row>
    <row r="749" spans="1:24" ht="13.5" customHeight="1">
      <c r="A749" s="132"/>
      <c r="B749" s="131"/>
      <c r="C749" s="131"/>
      <c r="D749" s="132"/>
      <c r="E749" s="132"/>
      <c r="F749" s="132"/>
      <c r="G749" s="132"/>
      <c r="H749" s="132"/>
      <c r="I749" s="131"/>
      <c r="J749" s="131"/>
      <c r="K749" s="131"/>
      <c r="L749" s="131"/>
      <c r="M749" s="131"/>
      <c r="N749" s="131"/>
      <c r="O749" s="131"/>
      <c r="P749" s="131"/>
      <c r="Q749" s="131"/>
      <c r="R749" s="131"/>
      <c r="S749" s="131"/>
      <c r="T749" s="131"/>
      <c r="U749" s="131"/>
      <c r="V749" s="131"/>
      <c r="W749" s="131"/>
      <c r="X749" s="131"/>
    </row>
    <row r="750" spans="1:24" ht="13.5" customHeight="1">
      <c r="A750" s="132"/>
      <c r="B750" s="131"/>
      <c r="C750" s="131"/>
      <c r="D750" s="132"/>
      <c r="E750" s="132"/>
      <c r="F750" s="132"/>
      <c r="G750" s="132"/>
      <c r="H750" s="132"/>
      <c r="I750" s="131"/>
      <c r="J750" s="131"/>
      <c r="K750" s="131"/>
      <c r="L750" s="131"/>
      <c r="M750" s="131"/>
      <c r="N750" s="131"/>
      <c r="O750" s="131"/>
      <c r="P750" s="131"/>
      <c r="Q750" s="131"/>
      <c r="R750" s="131"/>
      <c r="S750" s="131"/>
      <c r="T750" s="131"/>
      <c r="U750" s="131"/>
      <c r="V750" s="131"/>
      <c r="W750" s="131"/>
      <c r="X750" s="131"/>
    </row>
    <row r="751" spans="1:24" ht="13.5" customHeight="1">
      <c r="A751" s="132"/>
      <c r="B751" s="131"/>
      <c r="C751" s="131"/>
      <c r="D751" s="132"/>
      <c r="E751" s="132"/>
      <c r="F751" s="132"/>
      <c r="G751" s="132"/>
      <c r="H751" s="132"/>
      <c r="I751" s="131"/>
      <c r="J751" s="131"/>
      <c r="K751" s="131"/>
      <c r="L751" s="131"/>
      <c r="M751" s="131"/>
      <c r="N751" s="131"/>
      <c r="O751" s="131"/>
      <c r="P751" s="131"/>
      <c r="Q751" s="131"/>
      <c r="R751" s="131"/>
      <c r="S751" s="131"/>
      <c r="T751" s="131"/>
      <c r="U751" s="131"/>
      <c r="V751" s="131"/>
      <c r="W751" s="131"/>
      <c r="X751" s="131"/>
    </row>
    <row r="752" spans="1:24" ht="13.5" customHeight="1">
      <c r="A752" s="132"/>
      <c r="B752" s="131"/>
      <c r="C752" s="131"/>
      <c r="D752" s="132"/>
      <c r="E752" s="132"/>
      <c r="F752" s="132"/>
      <c r="G752" s="132"/>
      <c r="H752" s="132"/>
      <c r="I752" s="131"/>
      <c r="J752" s="131"/>
      <c r="K752" s="131"/>
      <c r="L752" s="131"/>
      <c r="M752" s="131"/>
      <c r="N752" s="131"/>
      <c r="O752" s="131"/>
      <c r="P752" s="131"/>
      <c r="Q752" s="131"/>
      <c r="R752" s="131"/>
      <c r="S752" s="131"/>
      <c r="T752" s="131"/>
      <c r="U752" s="131"/>
      <c r="V752" s="131"/>
      <c r="W752" s="131"/>
      <c r="X752" s="131"/>
    </row>
    <row r="753" spans="1:24" ht="13.5" customHeight="1">
      <c r="A753" s="132"/>
      <c r="B753" s="131"/>
      <c r="C753" s="131"/>
      <c r="D753" s="132"/>
      <c r="E753" s="132"/>
      <c r="F753" s="132"/>
      <c r="G753" s="132"/>
      <c r="H753" s="132"/>
      <c r="I753" s="131"/>
      <c r="J753" s="131"/>
      <c r="K753" s="131"/>
      <c r="L753" s="131"/>
      <c r="M753" s="131"/>
      <c r="N753" s="131"/>
      <c r="O753" s="131"/>
      <c r="P753" s="131"/>
      <c r="Q753" s="131"/>
      <c r="R753" s="131"/>
      <c r="S753" s="131"/>
      <c r="T753" s="131"/>
      <c r="U753" s="131"/>
      <c r="V753" s="131"/>
      <c r="W753" s="131"/>
      <c r="X753" s="131"/>
    </row>
    <row r="754" spans="1:24" ht="13.5" customHeight="1">
      <c r="A754" s="132"/>
      <c r="B754" s="131"/>
      <c r="C754" s="131"/>
      <c r="D754" s="132"/>
      <c r="E754" s="132"/>
      <c r="F754" s="132"/>
      <c r="G754" s="132"/>
      <c r="H754" s="132"/>
      <c r="I754" s="131"/>
      <c r="J754" s="131"/>
      <c r="K754" s="131"/>
      <c r="L754" s="131"/>
      <c r="M754" s="131"/>
      <c r="N754" s="131"/>
      <c r="O754" s="131"/>
      <c r="P754" s="131"/>
      <c r="Q754" s="131"/>
      <c r="R754" s="131"/>
      <c r="S754" s="131"/>
      <c r="T754" s="131"/>
      <c r="U754" s="131"/>
      <c r="V754" s="131"/>
      <c r="W754" s="131"/>
      <c r="X754" s="131"/>
    </row>
    <row r="755" spans="1:24" ht="13.5" customHeight="1">
      <c r="A755" s="132"/>
      <c r="B755" s="131"/>
      <c r="C755" s="131"/>
      <c r="D755" s="132"/>
      <c r="E755" s="132"/>
      <c r="F755" s="132"/>
      <c r="G755" s="132"/>
      <c r="H755" s="132"/>
      <c r="I755" s="131"/>
      <c r="J755" s="131"/>
      <c r="K755" s="131"/>
      <c r="L755" s="131"/>
      <c r="M755" s="131"/>
      <c r="N755" s="131"/>
      <c r="O755" s="131"/>
      <c r="P755" s="131"/>
      <c r="Q755" s="131"/>
      <c r="R755" s="131"/>
      <c r="S755" s="131"/>
      <c r="T755" s="131"/>
      <c r="U755" s="131"/>
      <c r="V755" s="131"/>
      <c r="W755" s="131"/>
      <c r="X755" s="131"/>
    </row>
    <row r="756" spans="1:24" ht="13.5" customHeight="1">
      <c r="A756" s="132"/>
      <c r="B756" s="131"/>
      <c r="C756" s="131"/>
      <c r="D756" s="132"/>
      <c r="E756" s="132"/>
      <c r="F756" s="132"/>
      <c r="G756" s="132"/>
      <c r="H756" s="132"/>
      <c r="I756" s="131"/>
      <c r="J756" s="131"/>
      <c r="K756" s="131"/>
      <c r="L756" s="131"/>
      <c r="M756" s="131"/>
      <c r="N756" s="131"/>
      <c r="O756" s="131"/>
      <c r="P756" s="131"/>
      <c r="Q756" s="131"/>
      <c r="R756" s="131"/>
      <c r="S756" s="131"/>
      <c r="T756" s="131"/>
      <c r="U756" s="131"/>
      <c r="V756" s="131"/>
      <c r="W756" s="131"/>
      <c r="X756" s="131"/>
    </row>
    <row r="757" spans="1:24" ht="13.5" customHeight="1">
      <c r="A757" s="132"/>
      <c r="B757" s="131"/>
      <c r="C757" s="131"/>
      <c r="D757" s="132"/>
      <c r="E757" s="132"/>
      <c r="F757" s="132"/>
      <c r="G757" s="132"/>
      <c r="H757" s="132"/>
      <c r="I757" s="131"/>
      <c r="J757" s="131"/>
      <c r="K757" s="131"/>
      <c r="L757" s="131"/>
      <c r="M757" s="131"/>
      <c r="N757" s="131"/>
      <c r="O757" s="131"/>
      <c r="P757" s="131"/>
      <c r="Q757" s="131"/>
      <c r="R757" s="131"/>
      <c r="S757" s="131"/>
      <c r="T757" s="131"/>
      <c r="U757" s="131"/>
      <c r="V757" s="131"/>
      <c r="W757" s="131"/>
      <c r="X757" s="131"/>
    </row>
    <row r="758" spans="1:24" ht="13.5" customHeight="1">
      <c r="A758" s="132"/>
      <c r="B758" s="131"/>
      <c r="C758" s="131"/>
      <c r="D758" s="132"/>
      <c r="E758" s="132"/>
      <c r="F758" s="132"/>
      <c r="G758" s="132"/>
      <c r="H758" s="132"/>
      <c r="I758" s="131"/>
      <c r="J758" s="131"/>
      <c r="K758" s="131"/>
      <c r="L758" s="131"/>
      <c r="M758" s="131"/>
      <c r="N758" s="131"/>
      <c r="O758" s="131"/>
      <c r="P758" s="131"/>
      <c r="Q758" s="131"/>
      <c r="R758" s="131"/>
      <c r="S758" s="131"/>
      <c r="T758" s="131"/>
      <c r="U758" s="131"/>
      <c r="V758" s="131"/>
      <c r="W758" s="131"/>
      <c r="X758" s="131"/>
    </row>
    <row r="759" spans="1:24" ht="13.5" customHeight="1">
      <c r="A759" s="132"/>
      <c r="B759" s="131"/>
      <c r="C759" s="131"/>
      <c r="D759" s="132"/>
      <c r="E759" s="132"/>
      <c r="F759" s="132"/>
      <c r="G759" s="132"/>
      <c r="H759" s="132"/>
      <c r="I759" s="131"/>
      <c r="J759" s="131"/>
      <c r="K759" s="131"/>
      <c r="L759" s="131"/>
      <c r="M759" s="131"/>
      <c r="N759" s="131"/>
      <c r="O759" s="131"/>
      <c r="P759" s="131"/>
      <c r="Q759" s="131"/>
      <c r="R759" s="131"/>
      <c r="S759" s="131"/>
      <c r="T759" s="131"/>
      <c r="U759" s="131"/>
      <c r="V759" s="131"/>
      <c r="W759" s="131"/>
      <c r="X759" s="131"/>
    </row>
    <row r="760" spans="1:24" ht="13.5" customHeight="1">
      <c r="A760" s="132"/>
      <c r="B760" s="131"/>
      <c r="C760" s="131"/>
      <c r="D760" s="132"/>
      <c r="E760" s="132"/>
      <c r="F760" s="132"/>
      <c r="G760" s="132"/>
      <c r="H760" s="132"/>
      <c r="I760" s="131"/>
      <c r="J760" s="131"/>
      <c r="K760" s="131"/>
      <c r="L760" s="131"/>
      <c r="M760" s="131"/>
      <c r="N760" s="131"/>
      <c r="O760" s="131"/>
      <c r="P760" s="131"/>
      <c r="Q760" s="131"/>
      <c r="R760" s="131"/>
      <c r="S760" s="131"/>
      <c r="T760" s="131"/>
      <c r="U760" s="131"/>
      <c r="V760" s="131"/>
      <c r="W760" s="131"/>
      <c r="X760" s="131"/>
    </row>
    <row r="761" spans="1:24" ht="13.5" customHeight="1">
      <c r="A761" s="132"/>
      <c r="B761" s="131"/>
      <c r="C761" s="131"/>
      <c r="D761" s="132"/>
      <c r="E761" s="132"/>
      <c r="F761" s="132"/>
      <c r="G761" s="132"/>
      <c r="H761" s="132"/>
      <c r="I761" s="131"/>
      <c r="J761" s="131"/>
      <c r="K761" s="131"/>
      <c r="L761" s="131"/>
      <c r="M761" s="131"/>
      <c r="N761" s="131"/>
      <c r="O761" s="131"/>
      <c r="P761" s="131"/>
      <c r="Q761" s="131"/>
      <c r="R761" s="131"/>
      <c r="S761" s="131"/>
      <c r="T761" s="131"/>
      <c r="U761" s="131"/>
      <c r="V761" s="131"/>
      <c r="W761" s="131"/>
      <c r="X761" s="131"/>
    </row>
    <row r="762" spans="1:24" ht="13.5" customHeight="1">
      <c r="A762" s="132"/>
      <c r="B762" s="131"/>
      <c r="C762" s="131"/>
      <c r="D762" s="132"/>
      <c r="E762" s="132"/>
      <c r="F762" s="132"/>
      <c r="G762" s="132"/>
      <c r="H762" s="132"/>
      <c r="I762" s="131"/>
      <c r="J762" s="131"/>
      <c r="K762" s="131"/>
      <c r="L762" s="131"/>
      <c r="M762" s="131"/>
      <c r="N762" s="131"/>
      <c r="O762" s="131"/>
      <c r="P762" s="131"/>
      <c r="Q762" s="131"/>
      <c r="R762" s="131"/>
      <c r="S762" s="131"/>
      <c r="T762" s="131"/>
      <c r="U762" s="131"/>
      <c r="V762" s="131"/>
      <c r="W762" s="131"/>
      <c r="X762" s="131"/>
    </row>
    <row r="763" spans="1:24" ht="13.5" customHeight="1">
      <c r="A763" s="132"/>
      <c r="B763" s="131"/>
      <c r="C763" s="131"/>
      <c r="D763" s="132"/>
      <c r="E763" s="132"/>
      <c r="F763" s="132"/>
      <c r="G763" s="132"/>
      <c r="H763" s="132"/>
      <c r="I763" s="131"/>
      <c r="J763" s="131"/>
      <c r="K763" s="131"/>
      <c r="L763" s="131"/>
      <c r="M763" s="131"/>
      <c r="N763" s="131"/>
      <c r="O763" s="131"/>
      <c r="P763" s="131"/>
      <c r="Q763" s="131"/>
      <c r="R763" s="131"/>
      <c r="S763" s="131"/>
      <c r="T763" s="131"/>
      <c r="U763" s="131"/>
      <c r="V763" s="131"/>
      <c r="W763" s="131"/>
      <c r="X763" s="131"/>
    </row>
    <row r="764" spans="1:24" ht="13.5" customHeight="1">
      <c r="A764" s="132"/>
      <c r="B764" s="131"/>
      <c r="C764" s="131"/>
      <c r="D764" s="132"/>
      <c r="E764" s="132"/>
      <c r="F764" s="132"/>
      <c r="G764" s="132"/>
      <c r="H764" s="132"/>
      <c r="I764" s="131"/>
      <c r="J764" s="131"/>
      <c r="K764" s="131"/>
      <c r="L764" s="131"/>
      <c r="M764" s="131"/>
      <c r="N764" s="131"/>
      <c r="O764" s="131"/>
      <c r="P764" s="131"/>
      <c r="Q764" s="131"/>
      <c r="R764" s="131"/>
      <c r="S764" s="131"/>
      <c r="T764" s="131"/>
      <c r="U764" s="131"/>
      <c r="V764" s="131"/>
      <c r="W764" s="131"/>
      <c r="X764" s="131"/>
    </row>
    <row r="765" spans="1:24" ht="13.5" customHeight="1">
      <c r="A765" s="132"/>
      <c r="B765" s="131"/>
      <c r="C765" s="131"/>
      <c r="D765" s="132"/>
      <c r="E765" s="132"/>
      <c r="F765" s="132"/>
      <c r="G765" s="132"/>
      <c r="H765" s="132"/>
      <c r="I765" s="131"/>
      <c r="J765" s="131"/>
      <c r="K765" s="131"/>
      <c r="L765" s="131"/>
      <c r="M765" s="131"/>
      <c r="N765" s="131"/>
      <c r="O765" s="131"/>
      <c r="P765" s="131"/>
      <c r="Q765" s="131"/>
      <c r="R765" s="131"/>
      <c r="S765" s="131"/>
      <c r="T765" s="131"/>
      <c r="U765" s="131"/>
      <c r="V765" s="131"/>
      <c r="W765" s="131"/>
      <c r="X765" s="131"/>
    </row>
    <row r="766" spans="1:24" ht="13.5" customHeight="1">
      <c r="A766" s="132"/>
      <c r="B766" s="131"/>
      <c r="C766" s="131"/>
      <c r="D766" s="132"/>
      <c r="E766" s="132"/>
      <c r="F766" s="132"/>
      <c r="G766" s="132"/>
      <c r="H766" s="132"/>
      <c r="I766" s="131"/>
      <c r="J766" s="131"/>
      <c r="K766" s="131"/>
      <c r="L766" s="131"/>
      <c r="M766" s="131"/>
      <c r="N766" s="131"/>
      <c r="O766" s="131"/>
      <c r="P766" s="131"/>
      <c r="Q766" s="131"/>
      <c r="R766" s="131"/>
      <c r="S766" s="131"/>
      <c r="T766" s="131"/>
      <c r="U766" s="131"/>
      <c r="V766" s="131"/>
      <c r="W766" s="131"/>
      <c r="X766" s="131"/>
    </row>
    <row r="767" spans="1:24" ht="13.5" customHeight="1">
      <c r="A767" s="132"/>
      <c r="B767" s="131"/>
      <c r="C767" s="131"/>
      <c r="D767" s="132"/>
      <c r="E767" s="132"/>
      <c r="F767" s="132"/>
      <c r="G767" s="132"/>
      <c r="H767" s="132"/>
      <c r="I767" s="131"/>
      <c r="J767" s="131"/>
      <c r="K767" s="131"/>
      <c r="L767" s="131"/>
      <c r="M767" s="131"/>
      <c r="N767" s="131"/>
      <c r="O767" s="131"/>
      <c r="P767" s="131"/>
      <c r="Q767" s="131"/>
      <c r="R767" s="131"/>
      <c r="S767" s="131"/>
      <c r="T767" s="131"/>
      <c r="U767" s="131"/>
      <c r="V767" s="131"/>
      <c r="W767" s="131"/>
      <c r="X767" s="131"/>
    </row>
    <row r="768" spans="1:24" ht="13.5" customHeight="1">
      <c r="A768" s="132"/>
      <c r="B768" s="131"/>
      <c r="C768" s="131"/>
      <c r="D768" s="132"/>
      <c r="E768" s="132"/>
      <c r="F768" s="132"/>
      <c r="G768" s="132"/>
      <c r="H768" s="132"/>
      <c r="I768" s="131"/>
      <c r="J768" s="131"/>
      <c r="K768" s="131"/>
      <c r="L768" s="131"/>
      <c r="M768" s="131"/>
      <c r="N768" s="131"/>
      <c r="O768" s="131"/>
      <c r="P768" s="131"/>
      <c r="Q768" s="131"/>
      <c r="R768" s="131"/>
      <c r="S768" s="131"/>
      <c r="T768" s="131"/>
      <c r="U768" s="131"/>
      <c r="V768" s="131"/>
      <c r="W768" s="131"/>
      <c r="X768" s="131"/>
    </row>
    <row r="769" spans="1:24" ht="13.5" customHeight="1">
      <c r="A769" s="132"/>
      <c r="B769" s="131"/>
      <c r="C769" s="131"/>
      <c r="D769" s="132"/>
      <c r="E769" s="132"/>
      <c r="F769" s="132"/>
      <c r="G769" s="132"/>
      <c r="H769" s="132"/>
      <c r="I769" s="131"/>
      <c r="J769" s="131"/>
      <c r="K769" s="131"/>
      <c r="L769" s="131"/>
      <c r="M769" s="131"/>
      <c r="N769" s="131"/>
      <c r="O769" s="131"/>
      <c r="P769" s="131"/>
      <c r="Q769" s="131"/>
      <c r="R769" s="131"/>
      <c r="S769" s="131"/>
      <c r="T769" s="131"/>
      <c r="U769" s="131"/>
      <c r="V769" s="131"/>
      <c r="W769" s="131"/>
      <c r="X769" s="131"/>
    </row>
    <row r="770" spans="1:24" ht="13.5" customHeight="1">
      <c r="A770" s="132"/>
      <c r="B770" s="131"/>
      <c r="C770" s="131"/>
      <c r="D770" s="132"/>
      <c r="E770" s="132"/>
      <c r="F770" s="132"/>
      <c r="G770" s="132"/>
      <c r="H770" s="132"/>
      <c r="I770" s="131"/>
      <c r="J770" s="131"/>
      <c r="K770" s="131"/>
      <c r="L770" s="131"/>
      <c r="M770" s="131"/>
      <c r="N770" s="131"/>
      <c r="O770" s="131"/>
      <c r="P770" s="131"/>
      <c r="Q770" s="131"/>
      <c r="R770" s="131"/>
      <c r="S770" s="131"/>
      <c r="T770" s="131"/>
      <c r="U770" s="131"/>
      <c r="V770" s="131"/>
      <c r="W770" s="131"/>
      <c r="X770" s="131"/>
    </row>
    <row r="771" spans="1:24" ht="13.5" customHeight="1">
      <c r="A771" s="132"/>
      <c r="B771" s="131"/>
      <c r="C771" s="131"/>
      <c r="D771" s="132"/>
      <c r="E771" s="132"/>
      <c r="F771" s="132"/>
      <c r="G771" s="132"/>
      <c r="H771" s="132"/>
      <c r="I771" s="131"/>
      <c r="J771" s="131"/>
      <c r="K771" s="131"/>
      <c r="L771" s="131"/>
      <c r="M771" s="131"/>
      <c r="N771" s="131"/>
      <c r="O771" s="131"/>
      <c r="P771" s="131"/>
      <c r="Q771" s="131"/>
      <c r="R771" s="131"/>
      <c r="S771" s="131"/>
      <c r="T771" s="131"/>
      <c r="U771" s="131"/>
      <c r="V771" s="131"/>
      <c r="W771" s="131"/>
      <c r="X771" s="131"/>
    </row>
    <row r="772" spans="1:24" ht="13.5" customHeight="1">
      <c r="A772" s="132"/>
      <c r="B772" s="131"/>
      <c r="C772" s="131"/>
      <c r="D772" s="132"/>
      <c r="E772" s="132"/>
      <c r="F772" s="132"/>
      <c r="G772" s="132"/>
      <c r="H772" s="132"/>
      <c r="I772" s="131"/>
      <c r="J772" s="131"/>
      <c r="K772" s="131"/>
      <c r="L772" s="131"/>
      <c r="M772" s="131"/>
      <c r="N772" s="131"/>
      <c r="O772" s="131"/>
      <c r="P772" s="131"/>
      <c r="Q772" s="131"/>
      <c r="R772" s="131"/>
      <c r="S772" s="131"/>
      <c r="T772" s="131"/>
      <c r="U772" s="131"/>
      <c r="V772" s="131"/>
      <c r="W772" s="131"/>
      <c r="X772" s="131"/>
    </row>
    <row r="773" spans="1:24" ht="13.5" customHeight="1">
      <c r="A773" s="132"/>
      <c r="B773" s="131"/>
      <c r="C773" s="131"/>
      <c r="D773" s="132"/>
      <c r="E773" s="132"/>
      <c r="F773" s="132"/>
      <c r="G773" s="132"/>
      <c r="H773" s="132"/>
      <c r="I773" s="131"/>
      <c r="J773" s="131"/>
      <c r="K773" s="131"/>
      <c r="L773" s="131"/>
      <c r="M773" s="131"/>
      <c r="N773" s="131"/>
      <c r="O773" s="131"/>
      <c r="P773" s="131"/>
      <c r="Q773" s="131"/>
      <c r="R773" s="131"/>
      <c r="S773" s="131"/>
      <c r="T773" s="131"/>
      <c r="U773" s="131"/>
      <c r="V773" s="131"/>
      <c r="W773" s="131"/>
      <c r="X773" s="131"/>
    </row>
    <row r="774" spans="1:24" ht="13.5" customHeight="1">
      <c r="A774" s="132"/>
      <c r="B774" s="131"/>
      <c r="C774" s="131"/>
      <c r="D774" s="132"/>
      <c r="E774" s="132"/>
      <c r="F774" s="132"/>
      <c r="G774" s="132"/>
      <c r="H774" s="132"/>
      <c r="I774" s="131"/>
      <c r="J774" s="131"/>
      <c r="K774" s="131"/>
      <c r="L774" s="131"/>
      <c r="M774" s="131"/>
      <c r="N774" s="131"/>
      <c r="O774" s="131"/>
      <c r="P774" s="131"/>
      <c r="Q774" s="131"/>
      <c r="R774" s="131"/>
      <c r="S774" s="131"/>
      <c r="T774" s="131"/>
      <c r="U774" s="131"/>
      <c r="V774" s="131"/>
      <c r="W774" s="131"/>
      <c r="X774" s="131"/>
    </row>
    <row r="775" spans="1:24" ht="13.5" customHeight="1">
      <c r="A775" s="132"/>
      <c r="B775" s="131"/>
      <c r="C775" s="131"/>
      <c r="D775" s="132"/>
      <c r="E775" s="132"/>
      <c r="F775" s="132"/>
      <c r="G775" s="132"/>
      <c r="H775" s="132"/>
      <c r="I775" s="131"/>
      <c r="J775" s="131"/>
      <c r="K775" s="131"/>
      <c r="L775" s="131"/>
      <c r="M775" s="131"/>
      <c r="N775" s="131"/>
      <c r="O775" s="131"/>
      <c r="P775" s="131"/>
      <c r="Q775" s="131"/>
      <c r="R775" s="131"/>
      <c r="S775" s="131"/>
      <c r="T775" s="131"/>
      <c r="U775" s="131"/>
      <c r="V775" s="131"/>
      <c r="W775" s="131"/>
      <c r="X775" s="131"/>
    </row>
    <row r="776" spans="1:24" ht="13.5" customHeight="1">
      <c r="A776" s="132"/>
      <c r="B776" s="131"/>
      <c r="C776" s="131"/>
      <c r="D776" s="132"/>
      <c r="E776" s="132"/>
      <c r="F776" s="132"/>
      <c r="G776" s="132"/>
      <c r="H776" s="132"/>
      <c r="I776" s="131"/>
      <c r="J776" s="131"/>
      <c r="K776" s="131"/>
      <c r="L776" s="131"/>
      <c r="M776" s="131"/>
      <c r="N776" s="131"/>
      <c r="O776" s="131"/>
      <c r="P776" s="131"/>
      <c r="Q776" s="131"/>
      <c r="R776" s="131"/>
      <c r="S776" s="131"/>
      <c r="T776" s="131"/>
      <c r="U776" s="131"/>
      <c r="V776" s="131"/>
      <c r="W776" s="131"/>
      <c r="X776" s="131"/>
    </row>
    <row r="777" spans="1:24" ht="13.5" customHeight="1">
      <c r="A777" s="132"/>
      <c r="B777" s="131"/>
      <c r="C777" s="131"/>
      <c r="D777" s="132"/>
      <c r="E777" s="132"/>
      <c r="F777" s="132"/>
      <c r="G777" s="132"/>
      <c r="H777" s="132"/>
      <c r="I777" s="131"/>
      <c r="J777" s="131"/>
      <c r="K777" s="131"/>
      <c r="L777" s="131"/>
      <c r="M777" s="131"/>
      <c r="N777" s="131"/>
      <c r="O777" s="131"/>
      <c r="P777" s="131"/>
      <c r="Q777" s="131"/>
      <c r="R777" s="131"/>
      <c r="S777" s="131"/>
      <c r="T777" s="131"/>
      <c r="U777" s="131"/>
      <c r="V777" s="131"/>
      <c r="W777" s="131"/>
      <c r="X777" s="131"/>
    </row>
    <row r="778" spans="1:24" ht="13.5" customHeight="1">
      <c r="A778" s="132"/>
      <c r="B778" s="131"/>
      <c r="C778" s="131"/>
      <c r="D778" s="132"/>
      <c r="E778" s="132"/>
      <c r="F778" s="132"/>
      <c r="G778" s="132"/>
      <c r="H778" s="132"/>
      <c r="I778" s="131"/>
      <c r="J778" s="131"/>
      <c r="K778" s="131"/>
      <c r="L778" s="131"/>
      <c r="M778" s="131"/>
      <c r="N778" s="131"/>
      <c r="O778" s="131"/>
      <c r="P778" s="131"/>
      <c r="Q778" s="131"/>
      <c r="R778" s="131"/>
      <c r="S778" s="131"/>
      <c r="T778" s="131"/>
      <c r="U778" s="131"/>
      <c r="V778" s="131"/>
      <c r="W778" s="131"/>
      <c r="X778" s="131"/>
    </row>
    <row r="779" spans="1:24" ht="13.5" customHeight="1">
      <c r="A779" s="132"/>
      <c r="B779" s="131"/>
      <c r="C779" s="131"/>
      <c r="D779" s="132"/>
      <c r="E779" s="132"/>
      <c r="F779" s="132"/>
      <c r="G779" s="132"/>
      <c r="H779" s="132"/>
      <c r="I779" s="131"/>
      <c r="J779" s="131"/>
      <c r="K779" s="131"/>
      <c r="L779" s="131"/>
      <c r="M779" s="131"/>
      <c r="N779" s="131"/>
      <c r="O779" s="131"/>
      <c r="P779" s="131"/>
      <c r="Q779" s="131"/>
      <c r="R779" s="131"/>
      <c r="S779" s="131"/>
      <c r="T779" s="131"/>
      <c r="U779" s="131"/>
      <c r="V779" s="131"/>
      <c r="W779" s="131"/>
      <c r="X779" s="131"/>
    </row>
    <row r="780" spans="1:24" ht="13.5" customHeight="1">
      <c r="A780" s="132"/>
      <c r="B780" s="131"/>
      <c r="C780" s="131"/>
      <c r="D780" s="132"/>
      <c r="E780" s="132"/>
      <c r="F780" s="132"/>
      <c r="G780" s="132"/>
      <c r="H780" s="132"/>
      <c r="I780" s="131"/>
      <c r="J780" s="131"/>
      <c r="K780" s="131"/>
      <c r="L780" s="131"/>
      <c r="M780" s="131"/>
      <c r="N780" s="131"/>
      <c r="O780" s="131"/>
      <c r="P780" s="131"/>
      <c r="Q780" s="131"/>
      <c r="R780" s="131"/>
      <c r="S780" s="131"/>
      <c r="T780" s="131"/>
      <c r="U780" s="131"/>
      <c r="V780" s="131"/>
      <c r="W780" s="131"/>
      <c r="X780" s="131"/>
    </row>
    <row r="781" spans="1:24" ht="13.5" customHeight="1">
      <c r="A781" s="132"/>
      <c r="B781" s="131"/>
      <c r="C781" s="131"/>
      <c r="D781" s="132"/>
      <c r="E781" s="132"/>
      <c r="F781" s="132"/>
      <c r="G781" s="132"/>
      <c r="H781" s="132"/>
      <c r="I781" s="131"/>
      <c r="J781" s="131"/>
      <c r="K781" s="131"/>
      <c r="L781" s="131"/>
      <c r="M781" s="131"/>
      <c r="N781" s="131"/>
      <c r="O781" s="131"/>
      <c r="P781" s="131"/>
      <c r="Q781" s="131"/>
      <c r="R781" s="131"/>
      <c r="S781" s="131"/>
      <c r="T781" s="131"/>
      <c r="U781" s="131"/>
      <c r="V781" s="131"/>
      <c r="W781" s="131"/>
      <c r="X781" s="131"/>
    </row>
    <row r="782" spans="1:24" ht="13.5" customHeight="1">
      <c r="A782" s="132"/>
      <c r="B782" s="131"/>
      <c r="C782" s="131"/>
      <c r="D782" s="132"/>
      <c r="E782" s="132"/>
      <c r="F782" s="132"/>
      <c r="G782" s="132"/>
      <c r="H782" s="132"/>
      <c r="I782" s="131"/>
      <c r="J782" s="131"/>
      <c r="K782" s="131"/>
      <c r="L782" s="131"/>
      <c r="M782" s="131"/>
      <c r="N782" s="131"/>
      <c r="O782" s="131"/>
      <c r="P782" s="131"/>
      <c r="Q782" s="131"/>
      <c r="R782" s="131"/>
      <c r="S782" s="131"/>
      <c r="T782" s="131"/>
      <c r="U782" s="131"/>
      <c r="V782" s="131"/>
      <c r="W782" s="131"/>
      <c r="X782" s="131"/>
    </row>
    <row r="783" spans="1:24" ht="13.5" customHeight="1">
      <c r="A783" s="132"/>
      <c r="B783" s="131"/>
      <c r="C783" s="131"/>
      <c r="D783" s="132"/>
      <c r="E783" s="132"/>
      <c r="F783" s="132"/>
      <c r="G783" s="132"/>
      <c r="H783" s="132"/>
      <c r="I783" s="131"/>
      <c r="J783" s="131"/>
      <c r="K783" s="131"/>
      <c r="L783" s="131"/>
      <c r="M783" s="131"/>
      <c r="N783" s="131"/>
      <c r="O783" s="131"/>
      <c r="P783" s="131"/>
      <c r="Q783" s="131"/>
      <c r="R783" s="131"/>
      <c r="S783" s="131"/>
      <c r="T783" s="131"/>
      <c r="U783" s="131"/>
      <c r="V783" s="131"/>
      <c r="W783" s="131"/>
      <c r="X783" s="131"/>
    </row>
    <row r="784" spans="1:24" ht="13.5" customHeight="1">
      <c r="A784" s="132"/>
      <c r="B784" s="131"/>
      <c r="C784" s="131"/>
      <c r="D784" s="132"/>
      <c r="E784" s="132"/>
      <c r="F784" s="132"/>
      <c r="G784" s="132"/>
      <c r="H784" s="132"/>
      <c r="I784" s="131"/>
      <c r="J784" s="131"/>
      <c r="K784" s="131"/>
      <c r="L784" s="131"/>
      <c r="M784" s="131"/>
      <c r="N784" s="131"/>
      <c r="O784" s="131"/>
      <c r="P784" s="131"/>
      <c r="Q784" s="131"/>
      <c r="R784" s="131"/>
      <c r="S784" s="131"/>
      <c r="T784" s="131"/>
      <c r="U784" s="131"/>
      <c r="V784" s="131"/>
      <c r="W784" s="131"/>
      <c r="X784" s="131"/>
    </row>
    <row r="785" spans="1:24" ht="13.5" customHeight="1">
      <c r="A785" s="132"/>
      <c r="B785" s="131"/>
      <c r="C785" s="131"/>
      <c r="D785" s="132"/>
      <c r="E785" s="132"/>
      <c r="F785" s="132"/>
      <c r="G785" s="132"/>
      <c r="H785" s="132"/>
      <c r="I785" s="131"/>
      <c r="J785" s="131"/>
      <c r="K785" s="131"/>
      <c r="L785" s="131"/>
      <c r="M785" s="131"/>
      <c r="N785" s="131"/>
      <c r="O785" s="131"/>
      <c r="P785" s="131"/>
      <c r="Q785" s="131"/>
      <c r="R785" s="131"/>
      <c r="S785" s="131"/>
      <c r="T785" s="131"/>
      <c r="U785" s="131"/>
      <c r="V785" s="131"/>
      <c r="W785" s="131"/>
      <c r="X785" s="131"/>
    </row>
    <row r="786" spans="1:24" ht="13.5" customHeight="1">
      <c r="A786" s="132"/>
      <c r="B786" s="131"/>
      <c r="C786" s="131"/>
      <c r="D786" s="132"/>
      <c r="E786" s="132"/>
      <c r="F786" s="132"/>
      <c r="G786" s="132"/>
      <c r="H786" s="132"/>
      <c r="I786" s="131"/>
      <c r="J786" s="131"/>
      <c r="K786" s="131"/>
      <c r="L786" s="131"/>
      <c r="M786" s="131"/>
      <c r="N786" s="131"/>
      <c r="O786" s="131"/>
      <c r="P786" s="131"/>
      <c r="Q786" s="131"/>
      <c r="R786" s="131"/>
      <c r="S786" s="131"/>
      <c r="T786" s="131"/>
      <c r="U786" s="131"/>
      <c r="V786" s="131"/>
      <c r="W786" s="131"/>
      <c r="X786" s="131"/>
    </row>
    <row r="787" spans="1:24" ht="13.5" customHeight="1">
      <c r="A787" s="132"/>
      <c r="B787" s="131"/>
      <c r="C787" s="131"/>
      <c r="D787" s="132"/>
      <c r="E787" s="132"/>
      <c r="F787" s="132"/>
      <c r="G787" s="132"/>
      <c r="H787" s="132"/>
      <c r="I787" s="131"/>
      <c r="J787" s="131"/>
      <c r="K787" s="131"/>
      <c r="L787" s="131"/>
      <c r="M787" s="131"/>
      <c r="N787" s="131"/>
      <c r="O787" s="131"/>
      <c r="P787" s="131"/>
      <c r="Q787" s="131"/>
      <c r="R787" s="131"/>
      <c r="S787" s="131"/>
      <c r="T787" s="131"/>
      <c r="U787" s="131"/>
      <c r="V787" s="131"/>
      <c r="W787" s="131"/>
      <c r="X787" s="131"/>
    </row>
    <row r="788" spans="1:24" ht="13.5" customHeight="1">
      <c r="A788" s="132"/>
      <c r="B788" s="131"/>
      <c r="C788" s="131"/>
      <c r="D788" s="132"/>
      <c r="E788" s="132"/>
      <c r="F788" s="132"/>
      <c r="G788" s="132"/>
      <c r="H788" s="132"/>
      <c r="I788" s="131"/>
      <c r="J788" s="131"/>
      <c r="K788" s="131"/>
      <c r="L788" s="131"/>
      <c r="M788" s="131"/>
      <c r="N788" s="131"/>
      <c r="O788" s="131"/>
      <c r="P788" s="131"/>
      <c r="Q788" s="131"/>
      <c r="R788" s="131"/>
      <c r="S788" s="131"/>
      <c r="T788" s="131"/>
      <c r="U788" s="131"/>
      <c r="V788" s="131"/>
      <c r="W788" s="131"/>
      <c r="X788" s="131"/>
    </row>
    <row r="789" spans="1:24" ht="13.5" customHeight="1">
      <c r="A789" s="132"/>
      <c r="B789" s="131"/>
      <c r="C789" s="131"/>
      <c r="D789" s="132"/>
      <c r="E789" s="132"/>
      <c r="F789" s="132"/>
      <c r="G789" s="132"/>
      <c r="H789" s="132"/>
      <c r="I789" s="131"/>
      <c r="J789" s="131"/>
      <c r="K789" s="131"/>
      <c r="L789" s="131"/>
      <c r="M789" s="131"/>
      <c r="N789" s="131"/>
      <c r="O789" s="131"/>
      <c r="P789" s="131"/>
      <c r="Q789" s="131"/>
      <c r="R789" s="131"/>
      <c r="S789" s="131"/>
      <c r="T789" s="131"/>
      <c r="U789" s="131"/>
      <c r="V789" s="131"/>
      <c r="W789" s="131"/>
      <c r="X789" s="131"/>
    </row>
    <row r="790" spans="1:24" ht="13.5" customHeight="1">
      <c r="A790" s="132"/>
      <c r="B790" s="131"/>
      <c r="C790" s="131"/>
      <c r="D790" s="132"/>
      <c r="E790" s="132"/>
      <c r="F790" s="132"/>
      <c r="G790" s="132"/>
      <c r="H790" s="132"/>
      <c r="I790" s="131"/>
      <c r="J790" s="131"/>
      <c r="K790" s="131"/>
      <c r="L790" s="131"/>
      <c r="M790" s="131"/>
      <c r="N790" s="131"/>
      <c r="O790" s="131"/>
      <c r="P790" s="131"/>
      <c r="Q790" s="131"/>
      <c r="R790" s="131"/>
      <c r="S790" s="131"/>
      <c r="T790" s="131"/>
      <c r="U790" s="131"/>
      <c r="V790" s="131"/>
      <c r="W790" s="131"/>
      <c r="X790" s="131"/>
    </row>
    <row r="791" spans="1:24" ht="13.5" customHeight="1">
      <c r="A791" s="132"/>
      <c r="B791" s="131"/>
      <c r="C791" s="131"/>
      <c r="D791" s="132"/>
      <c r="E791" s="132"/>
      <c r="F791" s="132"/>
      <c r="G791" s="132"/>
      <c r="H791" s="132"/>
      <c r="I791" s="131"/>
      <c r="J791" s="131"/>
      <c r="K791" s="131"/>
      <c r="L791" s="131"/>
      <c r="M791" s="131"/>
      <c r="N791" s="131"/>
      <c r="O791" s="131"/>
      <c r="P791" s="131"/>
      <c r="Q791" s="131"/>
      <c r="R791" s="131"/>
      <c r="S791" s="131"/>
      <c r="T791" s="131"/>
      <c r="U791" s="131"/>
      <c r="V791" s="131"/>
      <c r="W791" s="131"/>
      <c r="X791" s="131"/>
    </row>
    <row r="792" spans="1:24" ht="13.5" customHeight="1">
      <c r="A792" s="132"/>
      <c r="B792" s="131"/>
      <c r="C792" s="131"/>
      <c r="D792" s="132"/>
      <c r="E792" s="132"/>
      <c r="F792" s="132"/>
      <c r="G792" s="132"/>
      <c r="H792" s="132"/>
      <c r="I792" s="131"/>
      <c r="J792" s="131"/>
      <c r="K792" s="131"/>
      <c r="L792" s="131"/>
      <c r="M792" s="131"/>
      <c r="N792" s="131"/>
      <c r="O792" s="131"/>
      <c r="P792" s="131"/>
      <c r="Q792" s="131"/>
      <c r="R792" s="131"/>
      <c r="S792" s="131"/>
      <c r="T792" s="131"/>
      <c r="U792" s="131"/>
      <c r="V792" s="131"/>
      <c r="W792" s="131"/>
      <c r="X792" s="131"/>
    </row>
    <row r="793" spans="1:24" ht="13.5" customHeight="1">
      <c r="A793" s="132"/>
      <c r="B793" s="131"/>
      <c r="C793" s="131"/>
      <c r="D793" s="132"/>
      <c r="E793" s="132"/>
      <c r="F793" s="132"/>
      <c r="G793" s="132"/>
      <c r="H793" s="132"/>
      <c r="I793" s="131"/>
      <c r="J793" s="131"/>
      <c r="K793" s="131"/>
      <c r="L793" s="131"/>
      <c r="M793" s="131"/>
      <c r="N793" s="131"/>
      <c r="O793" s="131"/>
      <c r="P793" s="131"/>
      <c r="Q793" s="131"/>
      <c r="R793" s="131"/>
      <c r="S793" s="131"/>
      <c r="T793" s="131"/>
      <c r="U793" s="131"/>
      <c r="V793" s="131"/>
      <c r="W793" s="131"/>
      <c r="X793" s="131"/>
    </row>
    <row r="794" spans="1:24" ht="13.5" customHeight="1">
      <c r="A794" s="132"/>
      <c r="B794" s="131"/>
      <c r="C794" s="131"/>
      <c r="D794" s="132"/>
      <c r="E794" s="132"/>
      <c r="F794" s="132"/>
      <c r="G794" s="132"/>
      <c r="H794" s="132"/>
      <c r="I794" s="131"/>
      <c r="J794" s="131"/>
      <c r="K794" s="131"/>
      <c r="L794" s="131"/>
      <c r="M794" s="131"/>
      <c r="N794" s="131"/>
      <c r="O794" s="131"/>
      <c r="P794" s="131"/>
      <c r="Q794" s="131"/>
      <c r="R794" s="131"/>
      <c r="S794" s="131"/>
      <c r="T794" s="131"/>
      <c r="U794" s="131"/>
      <c r="V794" s="131"/>
      <c r="W794" s="131"/>
      <c r="X794" s="131"/>
    </row>
    <row r="795" spans="1:24" ht="13.5" customHeight="1">
      <c r="A795" s="132"/>
      <c r="B795" s="131"/>
      <c r="C795" s="131"/>
      <c r="D795" s="132"/>
      <c r="E795" s="132"/>
      <c r="F795" s="132"/>
      <c r="G795" s="132"/>
      <c r="H795" s="132"/>
      <c r="I795" s="131"/>
      <c r="J795" s="131"/>
      <c r="K795" s="131"/>
      <c r="L795" s="131"/>
      <c r="M795" s="131"/>
      <c r="N795" s="131"/>
      <c r="O795" s="131"/>
      <c r="P795" s="131"/>
      <c r="Q795" s="131"/>
      <c r="R795" s="131"/>
      <c r="S795" s="131"/>
      <c r="T795" s="131"/>
      <c r="U795" s="131"/>
      <c r="V795" s="131"/>
      <c r="W795" s="131"/>
      <c r="X795" s="131"/>
    </row>
    <row r="796" spans="1:24" ht="13.5" customHeight="1">
      <c r="A796" s="132"/>
      <c r="B796" s="131"/>
      <c r="C796" s="131"/>
      <c r="D796" s="132"/>
      <c r="E796" s="132"/>
      <c r="F796" s="132"/>
      <c r="G796" s="132"/>
      <c r="H796" s="132"/>
      <c r="I796" s="131"/>
      <c r="J796" s="131"/>
      <c r="K796" s="131"/>
      <c r="L796" s="131"/>
      <c r="M796" s="131"/>
      <c r="N796" s="131"/>
      <c r="O796" s="131"/>
      <c r="P796" s="131"/>
      <c r="Q796" s="131"/>
      <c r="R796" s="131"/>
      <c r="S796" s="131"/>
      <c r="T796" s="131"/>
      <c r="U796" s="131"/>
      <c r="V796" s="131"/>
      <c r="W796" s="131"/>
      <c r="X796" s="131"/>
    </row>
    <row r="797" spans="1:24" ht="13.5" customHeight="1">
      <c r="A797" s="132"/>
      <c r="B797" s="131"/>
      <c r="C797" s="131"/>
      <c r="D797" s="132"/>
      <c r="E797" s="132"/>
      <c r="F797" s="132"/>
      <c r="G797" s="132"/>
      <c r="H797" s="132"/>
      <c r="I797" s="131"/>
      <c r="J797" s="131"/>
      <c r="K797" s="131"/>
      <c r="L797" s="131"/>
      <c r="M797" s="131"/>
      <c r="N797" s="131"/>
      <c r="O797" s="131"/>
      <c r="P797" s="131"/>
      <c r="Q797" s="131"/>
      <c r="R797" s="131"/>
      <c r="S797" s="131"/>
      <c r="T797" s="131"/>
      <c r="U797" s="131"/>
      <c r="V797" s="131"/>
      <c r="W797" s="131"/>
      <c r="X797" s="131"/>
    </row>
    <row r="798" spans="1:24" ht="13.5" customHeight="1">
      <c r="A798" s="132"/>
      <c r="B798" s="131"/>
      <c r="C798" s="131"/>
      <c r="D798" s="132"/>
      <c r="E798" s="132"/>
      <c r="F798" s="132"/>
      <c r="G798" s="132"/>
      <c r="H798" s="132"/>
      <c r="I798" s="131"/>
      <c r="J798" s="131"/>
      <c r="K798" s="131"/>
      <c r="L798" s="131"/>
      <c r="M798" s="131"/>
      <c r="N798" s="131"/>
      <c r="O798" s="131"/>
      <c r="P798" s="131"/>
      <c r="Q798" s="131"/>
      <c r="R798" s="131"/>
      <c r="S798" s="131"/>
      <c r="T798" s="131"/>
      <c r="U798" s="131"/>
      <c r="V798" s="131"/>
      <c r="W798" s="131"/>
      <c r="X798" s="131"/>
    </row>
    <row r="799" spans="1:24" ht="13.5" customHeight="1">
      <c r="A799" s="132"/>
      <c r="B799" s="131"/>
      <c r="C799" s="131"/>
      <c r="D799" s="132"/>
      <c r="E799" s="132"/>
      <c r="F799" s="132"/>
      <c r="G799" s="132"/>
      <c r="H799" s="132"/>
      <c r="I799" s="131"/>
      <c r="J799" s="131"/>
      <c r="K799" s="131"/>
      <c r="L799" s="131"/>
      <c r="M799" s="131"/>
      <c r="N799" s="131"/>
      <c r="O799" s="131"/>
      <c r="P799" s="131"/>
      <c r="Q799" s="131"/>
      <c r="R799" s="131"/>
      <c r="S799" s="131"/>
      <c r="T799" s="131"/>
      <c r="U799" s="131"/>
      <c r="V799" s="131"/>
      <c r="W799" s="131"/>
      <c r="X799" s="131"/>
    </row>
    <row r="800" spans="1:24" ht="13.5" customHeight="1">
      <c r="A800" s="132"/>
      <c r="B800" s="131"/>
      <c r="C800" s="131"/>
      <c r="D800" s="132"/>
      <c r="E800" s="132"/>
      <c r="F800" s="132"/>
      <c r="G800" s="132"/>
      <c r="H800" s="132"/>
      <c r="I800" s="131"/>
      <c r="J800" s="131"/>
      <c r="K800" s="131"/>
      <c r="L800" s="131"/>
      <c r="M800" s="131"/>
      <c r="N800" s="131"/>
      <c r="O800" s="131"/>
      <c r="P800" s="131"/>
      <c r="Q800" s="131"/>
      <c r="R800" s="131"/>
      <c r="S800" s="131"/>
      <c r="T800" s="131"/>
      <c r="U800" s="131"/>
      <c r="V800" s="131"/>
      <c r="W800" s="131"/>
      <c r="X800" s="131"/>
    </row>
    <row r="801" spans="1:24" ht="13.5" customHeight="1">
      <c r="A801" s="132"/>
      <c r="B801" s="131"/>
      <c r="C801" s="131"/>
      <c r="D801" s="132"/>
      <c r="E801" s="132"/>
      <c r="F801" s="132"/>
      <c r="G801" s="132"/>
      <c r="H801" s="132"/>
      <c r="I801" s="131"/>
      <c r="J801" s="131"/>
      <c r="K801" s="131"/>
      <c r="L801" s="131"/>
      <c r="M801" s="131"/>
      <c r="N801" s="131"/>
      <c r="O801" s="131"/>
      <c r="P801" s="131"/>
      <c r="Q801" s="131"/>
      <c r="R801" s="131"/>
      <c r="S801" s="131"/>
      <c r="T801" s="131"/>
      <c r="U801" s="131"/>
      <c r="V801" s="131"/>
      <c r="W801" s="131"/>
      <c r="X801" s="131"/>
    </row>
    <row r="802" spans="1:24" ht="13.5" customHeight="1">
      <c r="A802" s="132"/>
      <c r="B802" s="131"/>
      <c r="C802" s="131"/>
      <c r="D802" s="132"/>
      <c r="E802" s="132"/>
      <c r="F802" s="132"/>
      <c r="G802" s="132"/>
      <c r="H802" s="132"/>
      <c r="I802" s="131"/>
      <c r="J802" s="131"/>
      <c r="K802" s="131"/>
      <c r="L802" s="131"/>
      <c r="M802" s="131"/>
      <c r="N802" s="131"/>
      <c r="O802" s="131"/>
      <c r="P802" s="131"/>
      <c r="Q802" s="131"/>
      <c r="R802" s="131"/>
      <c r="S802" s="131"/>
      <c r="T802" s="131"/>
      <c r="U802" s="131"/>
      <c r="V802" s="131"/>
      <c r="W802" s="131"/>
      <c r="X802" s="131"/>
    </row>
    <row r="803" spans="1:24" ht="13.5" customHeight="1">
      <c r="A803" s="132"/>
      <c r="B803" s="131"/>
      <c r="C803" s="131"/>
      <c r="D803" s="132"/>
      <c r="E803" s="132"/>
      <c r="F803" s="132"/>
      <c r="G803" s="132"/>
      <c r="H803" s="132"/>
      <c r="I803" s="131"/>
      <c r="J803" s="131"/>
      <c r="K803" s="131"/>
      <c r="L803" s="131"/>
      <c r="M803" s="131"/>
      <c r="N803" s="131"/>
      <c r="O803" s="131"/>
      <c r="P803" s="131"/>
      <c r="Q803" s="131"/>
      <c r="R803" s="131"/>
      <c r="S803" s="131"/>
      <c r="T803" s="131"/>
      <c r="U803" s="131"/>
      <c r="V803" s="131"/>
      <c r="W803" s="131"/>
      <c r="X803" s="131"/>
    </row>
    <row r="804" spans="1:24" ht="13.5" customHeight="1">
      <c r="A804" s="132"/>
      <c r="B804" s="131"/>
      <c r="C804" s="131"/>
      <c r="D804" s="132"/>
      <c r="E804" s="132"/>
      <c r="F804" s="132"/>
      <c r="G804" s="132"/>
      <c r="H804" s="132"/>
      <c r="I804" s="131"/>
      <c r="J804" s="131"/>
      <c r="K804" s="131"/>
      <c r="L804" s="131"/>
      <c r="M804" s="131"/>
      <c r="N804" s="131"/>
      <c r="O804" s="131"/>
      <c r="P804" s="131"/>
      <c r="Q804" s="131"/>
      <c r="R804" s="131"/>
      <c r="S804" s="131"/>
      <c r="T804" s="131"/>
      <c r="U804" s="131"/>
      <c r="V804" s="131"/>
      <c r="W804" s="131"/>
      <c r="X804" s="131"/>
    </row>
    <row r="805" spans="1:24" ht="13.5" customHeight="1">
      <c r="A805" s="132"/>
      <c r="B805" s="131"/>
      <c r="C805" s="131"/>
      <c r="D805" s="132"/>
      <c r="E805" s="132"/>
      <c r="F805" s="132"/>
      <c r="G805" s="132"/>
      <c r="H805" s="132"/>
      <c r="I805" s="131"/>
      <c r="J805" s="131"/>
      <c r="K805" s="131"/>
      <c r="L805" s="131"/>
      <c r="M805" s="131"/>
      <c r="N805" s="131"/>
      <c r="O805" s="131"/>
      <c r="P805" s="131"/>
      <c r="Q805" s="131"/>
      <c r="R805" s="131"/>
      <c r="S805" s="131"/>
      <c r="T805" s="131"/>
      <c r="U805" s="131"/>
      <c r="V805" s="131"/>
      <c r="W805" s="131"/>
      <c r="X805" s="131"/>
    </row>
    <row r="806" spans="1:24" ht="13.5" customHeight="1">
      <c r="A806" s="132"/>
      <c r="B806" s="131"/>
      <c r="C806" s="131"/>
      <c r="D806" s="132"/>
      <c r="E806" s="132"/>
      <c r="F806" s="132"/>
      <c r="G806" s="132"/>
      <c r="H806" s="132"/>
      <c r="I806" s="131"/>
      <c r="J806" s="131"/>
      <c r="K806" s="131"/>
      <c r="L806" s="131"/>
      <c r="M806" s="131"/>
      <c r="N806" s="131"/>
      <c r="O806" s="131"/>
      <c r="P806" s="131"/>
      <c r="Q806" s="131"/>
      <c r="R806" s="131"/>
      <c r="S806" s="131"/>
      <c r="T806" s="131"/>
      <c r="U806" s="131"/>
      <c r="V806" s="131"/>
      <c r="W806" s="131"/>
      <c r="X806" s="131"/>
    </row>
    <row r="807" spans="1:24" ht="13.5" customHeight="1">
      <c r="A807" s="132"/>
      <c r="B807" s="131"/>
      <c r="C807" s="131"/>
      <c r="D807" s="132"/>
      <c r="E807" s="132"/>
      <c r="F807" s="132"/>
      <c r="G807" s="132"/>
      <c r="H807" s="132"/>
      <c r="I807" s="131"/>
      <c r="J807" s="131"/>
      <c r="K807" s="131"/>
      <c r="L807" s="131"/>
      <c r="M807" s="131"/>
      <c r="N807" s="131"/>
      <c r="O807" s="131"/>
      <c r="P807" s="131"/>
      <c r="Q807" s="131"/>
      <c r="R807" s="131"/>
      <c r="S807" s="131"/>
      <c r="T807" s="131"/>
      <c r="U807" s="131"/>
      <c r="V807" s="131"/>
      <c r="W807" s="131"/>
      <c r="X807" s="131"/>
    </row>
    <row r="808" spans="1:24" ht="13.5" customHeight="1">
      <c r="A808" s="132"/>
      <c r="B808" s="131"/>
      <c r="C808" s="131"/>
      <c r="D808" s="132"/>
      <c r="E808" s="132"/>
      <c r="F808" s="132"/>
      <c r="G808" s="132"/>
      <c r="H808" s="132"/>
      <c r="I808" s="131"/>
      <c r="J808" s="131"/>
      <c r="K808" s="131"/>
      <c r="L808" s="131"/>
      <c r="M808" s="131"/>
      <c r="N808" s="131"/>
      <c r="O808" s="131"/>
      <c r="P808" s="131"/>
      <c r="Q808" s="131"/>
      <c r="R808" s="131"/>
      <c r="S808" s="131"/>
      <c r="T808" s="131"/>
      <c r="U808" s="131"/>
      <c r="V808" s="131"/>
      <c r="W808" s="131"/>
      <c r="X808" s="131"/>
    </row>
    <row r="809" spans="1:24" ht="13.5" customHeight="1">
      <c r="A809" s="132"/>
      <c r="B809" s="131"/>
      <c r="C809" s="131"/>
      <c r="D809" s="132"/>
      <c r="E809" s="132"/>
      <c r="F809" s="132"/>
      <c r="G809" s="132"/>
      <c r="H809" s="132"/>
      <c r="I809" s="131"/>
      <c r="J809" s="131"/>
      <c r="K809" s="131"/>
      <c r="L809" s="131"/>
      <c r="M809" s="131"/>
      <c r="N809" s="131"/>
      <c r="O809" s="131"/>
      <c r="P809" s="131"/>
      <c r="Q809" s="131"/>
      <c r="R809" s="131"/>
      <c r="S809" s="131"/>
      <c r="T809" s="131"/>
      <c r="U809" s="131"/>
      <c r="V809" s="131"/>
      <c r="W809" s="131"/>
      <c r="X809" s="131"/>
    </row>
    <row r="810" spans="1:24" ht="13.5" customHeight="1">
      <c r="A810" s="132"/>
      <c r="B810" s="131"/>
      <c r="C810" s="131"/>
      <c r="D810" s="132"/>
      <c r="E810" s="132"/>
      <c r="F810" s="132"/>
      <c r="G810" s="132"/>
      <c r="H810" s="132"/>
      <c r="I810" s="131"/>
      <c r="J810" s="131"/>
      <c r="K810" s="131"/>
      <c r="L810" s="131"/>
      <c r="M810" s="131"/>
      <c r="N810" s="131"/>
      <c r="O810" s="131"/>
      <c r="P810" s="131"/>
      <c r="Q810" s="131"/>
      <c r="R810" s="131"/>
      <c r="S810" s="131"/>
      <c r="T810" s="131"/>
      <c r="U810" s="131"/>
      <c r="V810" s="131"/>
      <c r="W810" s="131"/>
      <c r="X810" s="131"/>
    </row>
    <row r="811" spans="1:24" ht="13.5" customHeight="1">
      <c r="A811" s="132"/>
      <c r="B811" s="131"/>
      <c r="C811" s="131"/>
      <c r="D811" s="132"/>
      <c r="E811" s="132"/>
      <c r="F811" s="132"/>
      <c r="G811" s="132"/>
      <c r="H811" s="132"/>
      <c r="I811" s="131"/>
      <c r="J811" s="131"/>
      <c r="K811" s="131"/>
      <c r="L811" s="131"/>
      <c r="M811" s="131"/>
      <c r="N811" s="131"/>
      <c r="O811" s="131"/>
      <c r="P811" s="131"/>
      <c r="Q811" s="131"/>
      <c r="R811" s="131"/>
      <c r="S811" s="131"/>
      <c r="T811" s="131"/>
      <c r="U811" s="131"/>
      <c r="V811" s="131"/>
      <c r="W811" s="131"/>
      <c r="X811" s="131"/>
    </row>
    <row r="812" spans="1:24" ht="13.5" customHeight="1">
      <c r="A812" s="132"/>
      <c r="B812" s="131"/>
      <c r="C812" s="131"/>
      <c r="D812" s="132"/>
      <c r="E812" s="132"/>
      <c r="F812" s="132"/>
      <c r="G812" s="132"/>
      <c r="H812" s="132"/>
      <c r="I812" s="131"/>
      <c r="J812" s="131"/>
      <c r="K812" s="131"/>
      <c r="L812" s="131"/>
      <c r="M812" s="131"/>
      <c r="N812" s="131"/>
      <c r="O812" s="131"/>
      <c r="P812" s="131"/>
      <c r="Q812" s="131"/>
      <c r="R812" s="131"/>
      <c r="S812" s="131"/>
      <c r="T812" s="131"/>
      <c r="U812" s="131"/>
      <c r="V812" s="131"/>
      <c r="W812" s="131"/>
      <c r="X812" s="131"/>
    </row>
    <row r="813" spans="1:24" ht="13.5" customHeight="1">
      <c r="A813" s="132"/>
      <c r="B813" s="131"/>
      <c r="C813" s="131"/>
      <c r="D813" s="132"/>
      <c r="E813" s="132"/>
      <c r="F813" s="132"/>
      <c r="G813" s="132"/>
      <c r="H813" s="132"/>
      <c r="I813" s="131"/>
      <c r="J813" s="131"/>
      <c r="K813" s="131"/>
      <c r="L813" s="131"/>
      <c r="M813" s="131"/>
      <c r="N813" s="131"/>
      <c r="O813" s="131"/>
      <c r="P813" s="131"/>
      <c r="Q813" s="131"/>
      <c r="R813" s="131"/>
      <c r="S813" s="131"/>
      <c r="T813" s="131"/>
      <c r="U813" s="131"/>
      <c r="V813" s="131"/>
      <c r="W813" s="131"/>
      <c r="X813" s="131"/>
    </row>
    <row r="814" spans="1:24" ht="13.5" customHeight="1">
      <c r="A814" s="132"/>
      <c r="B814" s="131"/>
      <c r="C814" s="131"/>
      <c r="D814" s="132"/>
      <c r="E814" s="132"/>
      <c r="F814" s="132"/>
      <c r="G814" s="132"/>
      <c r="H814" s="132"/>
      <c r="I814" s="131"/>
      <c r="J814" s="131"/>
      <c r="K814" s="131"/>
      <c r="L814" s="131"/>
      <c r="M814" s="131"/>
      <c r="N814" s="131"/>
      <c r="O814" s="131"/>
      <c r="P814" s="131"/>
      <c r="Q814" s="131"/>
      <c r="R814" s="131"/>
      <c r="S814" s="131"/>
      <c r="T814" s="131"/>
      <c r="U814" s="131"/>
      <c r="V814" s="131"/>
      <c r="W814" s="131"/>
      <c r="X814" s="131"/>
    </row>
    <row r="815" spans="1:24" ht="13.5" customHeight="1">
      <c r="A815" s="132"/>
      <c r="B815" s="131"/>
      <c r="C815" s="131"/>
      <c r="D815" s="132"/>
      <c r="E815" s="132"/>
      <c r="F815" s="132"/>
      <c r="G815" s="132"/>
      <c r="H815" s="132"/>
      <c r="I815" s="131"/>
      <c r="J815" s="131"/>
      <c r="K815" s="131"/>
      <c r="L815" s="131"/>
      <c r="M815" s="131"/>
      <c r="N815" s="131"/>
      <c r="O815" s="131"/>
      <c r="P815" s="131"/>
      <c r="Q815" s="131"/>
      <c r="R815" s="131"/>
      <c r="S815" s="131"/>
      <c r="T815" s="131"/>
      <c r="U815" s="131"/>
      <c r="V815" s="131"/>
      <c r="W815" s="131"/>
      <c r="X815" s="131"/>
    </row>
    <row r="816" spans="1:24" ht="13.5" customHeight="1">
      <c r="A816" s="132"/>
      <c r="B816" s="131"/>
      <c r="C816" s="131"/>
      <c r="D816" s="132"/>
      <c r="E816" s="132"/>
      <c r="F816" s="132"/>
      <c r="G816" s="132"/>
      <c r="H816" s="132"/>
      <c r="I816" s="131"/>
      <c r="J816" s="131"/>
      <c r="K816" s="131"/>
      <c r="L816" s="131"/>
      <c r="M816" s="131"/>
      <c r="N816" s="131"/>
      <c r="O816" s="131"/>
      <c r="P816" s="131"/>
      <c r="Q816" s="131"/>
      <c r="R816" s="131"/>
      <c r="S816" s="131"/>
      <c r="T816" s="131"/>
      <c r="U816" s="131"/>
      <c r="V816" s="131"/>
      <c r="W816" s="131"/>
      <c r="X816" s="131"/>
    </row>
    <row r="817" spans="1:24" ht="13.5" customHeight="1">
      <c r="A817" s="132"/>
      <c r="B817" s="131"/>
      <c r="C817" s="131"/>
      <c r="D817" s="132"/>
      <c r="E817" s="132"/>
      <c r="F817" s="132"/>
      <c r="G817" s="132"/>
      <c r="H817" s="132"/>
      <c r="I817" s="131"/>
      <c r="J817" s="131"/>
      <c r="K817" s="131"/>
      <c r="L817" s="131"/>
      <c r="M817" s="131"/>
      <c r="N817" s="131"/>
      <c r="O817" s="131"/>
      <c r="P817" s="131"/>
      <c r="Q817" s="131"/>
      <c r="R817" s="131"/>
      <c r="S817" s="131"/>
      <c r="T817" s="131"/>
      <c r="U817" s="131"/>
      <c r="V817" s="131"/>
      <c r="W817" s="131"/>
      <c r="X817" s="131"/>
    </row>
    <row r="818" spans="1:24" ht="13.5" customHeight="1">
      <c r="A818" s="132"/>
      <c r="B818" s="131"/>
      <c r="C818" s="131"/>
      <c r="D818" s="132"/>
      <c r="E818" s="132"/>
      <c r="F818" s="132"/>
      <c r="G818" s="132"/>
      <c r="H818" s="132"/>
      <c r="I818" s="131"/>
      <c r="J818" s="131"/>
      <c r="K818" s="131"/>
      <c r="L818" s="131"/>
      <c r="M818" s="131"/>
      <c r="N818" s="131"/>
      <c r="O818" s="131"/>
      <c r="P818" s="131"/>
      <c r="Q818" s="131"/>
      <c r="R818" s="131"/>
      <c r="S818" s="131"/>
      <c r="T818" s="131"/>
      <c r="U818" s="131"/>
      <c r="V818" s="131"/>
      <c r="W818" s="131"/>
      <c r="X818" s="131"/>
    </row>
    <row r="819" spans="1:24" ht="13.5" customHeight="1">
      <c r="A819" s="132"/>
      <c r="B819" s="131"/>
      <c r="C819" s="131"/>
      <c r="D819" s="132"/>
      <c r="E819" s="132"/>
      <c r="F819" s="132"/>
      <c r="G819" s="132"/>
      <c r="H819" s="132"/>
      <c r="I819" s="131"/>
      <c r="J819" s="131"/>
      <c r="K819" s="131"/>
      <c r="L819" s="131"/>
      <c r="M819" s="131"/>
      <c r="N819" s="131"/>
      <c r="O819" s="131"/>
      <c r="P819" s="131"/>
      <c r="Q819" s="131"/>
      <c r="R819" s="131"/>
      <c r="S819" s="131"/>
      <c r="T819" s="131"/>
      <c r="U819" s="131"/>
      <c r="V819" s="131"/>
      <c r="W819" s="131"/>
      <c r="X819" s="131"/>
    </row>
    <row r="820" spans="1:24" ht="13.5" customHeight="1">
      <c r="A820" s="132"/>
      <c r="B820" s="131"/>
      <c r="C820" s="131"/>
      <c r="D820" s="132"/>
      <c r="E820" s="132"/>
      <c r="F820" s="132"/>
      <c r="G820" s="132"/>
      <c r="H820" s="132"/>
      <c r="I820" s="131"/>
      <c r="J820" s="131"/>
      <c r="K820" s="131"/>
      <c r="L820" s="131"/>
      <c r="M820" s="131"/>
      <c r="N820" s="131"/>
      <c r="O820" s="131"/>
      <c r="P820" s="131"/>
      <c r="Q820" s="131"/>
      <c r="R820" s="131"/>
      <c r="S820" s="131"/>
      <c r="T820" s="131"/>
      <c r="U820" s="131"/>
      <c r="V820" s="131"/>
      <c r="W820" s="131"/>
      <c r="X820" s="131"/>
    </row>
    <row r="821" spans="1:24" ht="13.5" customHeight="1">
      <c r="A821" s="132"/>
      <c r="B821" s="131"/>
      <c r="C821" s="131"/>
      <c r="D821" s="132"/>
      <c r="E821" s="132"/>
      <c r="F821" s="132"/>
      <c r="G821" s="132"/>
      <c r="H821" s="132"/>
      <c r="I821" s="131"/>
      <c r="J821" s="131"/>
      <c r="K821" s="131"/>
      <c r="L821" s="131"/>
      <c r="M821" s="131"/>
      <c r="N821" s="131"/>
      <c r="O821" s="131"/>
      <c r="P821" s="131"/>
      <c r="Q821" s="131"/>
      <c r="R821" s="131"/>
      <c r="S821" s="131"/>
      <c r="T821" s="131"/>
      <c r="U821" s="131"/>
      <c r="V821" s="131"/>
      <c r="W821" s="131"/>
      <c r="X821" s="131"/>
    </row>
    <row r="822" spans="1:24" ht="13.5" customHeight="1">
      <c r="A822" s="132"/>
      <c r="B822" s="131"/>
      <c r="C822" s="131"/>
      <c r="D822" s="132"/>
      <c r="E822" s="132"/>
      <c r="F822" s="132"/>
      <c r="G822" s="132"/>
      <c r="H822" s="132"/>
      <c r="I822" s="131"/>
      <c r="J822" s="131"/>
      <c r="K822" s="131"/>
      <c r="L822" s="131"/>
      <c r="M822" s="131"/>
      <c r="N822" s="131"/>
      <c r="O822" s="131"/>
      <c r="P822" s="131"/>
      <c r="Q822" s="131"/>
      <c r="R822" s="131"/>
      <c r="S822" s="131"/>
      <c r="T822" s="131"/>
      <c r="U822" s="131"/>
      <c r="V822" s="131"/>
      <c r="W822" s="131"/>
      <c r="X822" s="131"/>
    </row>
    <row r="823" spans="1:24" ht="13.5" customHeight="1">
      <c r="A823" s="132"/>
      <c r="B823" s="131"/>
      <c r="C823" s="131"/>
      <c r="D823" s="132"/>
      <c r="E823" s="132"/>
      <c r="F823" s="132"/>
      <c r="G823" s="132"/>
      <c r="H823" s="132"/>
      <c r="I823" s="131"/>
      <c r="J823" s="131"/>
      <c r="K823" s="131"/>
      <c r="L823" s="131"/>
      <c r="M823" s="131"/>
      <c r="N823" s="131"/>
      <c r="O823" s="131"/>
      <c r="P823" s="131"/>
      <c r="Q823" s="131"/>
      <c r="R823" s="131"/>
      <c r="S823" s="131"/>
      <c r="T823" s="131"/>
      <c r="U823" s="131"/>
      <c r="V823" s="131"/>
      <c r="W823" s="131"/>
      <c r="X823" s="131"/>
    </row>
    <row r="824" spans="1:24" ht="13.5" customHeight="1">
      <c r="A824" s="132"/>
      <c r="B824" s="131"/>
      <c r="C824" s="131"/>
      <c r="D824" s="132"/>
      <c r="E824" s="132"/>
      <c r="F824" s="132"/>
      <c r="G824" s="132"/>
      <c r="H824" s="132"/>
      <c r="I824" s="131"/>
      <c r="J824" s="131"/>
      <c r="K824" s="131"/>
      <c r="L824" s="131"/>
      <c r="M824" s="131"/>
      <c r="N824" s="131"/>
      <c r="O824" s="131"/>
      <c r="P824" s="131"/>
      <c r="Q824" s="131"/>
      <c r="R824" s="131"/>
      <c r="S824" s="131"/>
      <c r="T824" s="131"/>
      <c r="U824" s="131"/>
      <c r="V824" s="131"/>
      <c r="W824" s="131"/>
      <c r="X824" s="131"/>
    </row>
    <row r="825" spans="1:24" ht="13.5" customHeight="1">
      <c r="A825" s="132"/>
      <c r="B825" s="131"/>
      <c r="C825" s="131"/>
      <c r="D825" s="132"/>
      <c r="E825" s="132"/>
      <c r="F825" s="132"/>
      <c r="G825" s="132"/>
      <c r="H825" s="132"/>
      <c r="I825" s="131"/>
      <c r="J825" s="131"/>
      <c r="K825" s="131"/>
      <c r="L825" s="131"/>
      <c r="M825" s="131"/>
      <c r="N825" s="131"/>
      <c r="O825" s="131"/>
      <c r="P825" s="131"/>
      <c r="Q825" s="131"/>
      <c r="R825" s="131"/>
      <c r="S825" s="131"/>
      <c r="T825" s="131"/>
      <c r="U825" s="131"/>
      <c r="V825" s="131"/>
      <c r="W825" s="131"/>
      <c r="X825" s="131"/>
    </row>
    <row r="826" spans="1:24" ht="13.5" customHeight="1">
      <c r="A826" s="132"/>
      <c r="B826" s="131"/>
      <c r="C826" s="131"/>
      <c r="D826" s="132"/>
      <c r="E826" s="132"/>
      <c r="F826" s="132"/>
      <c r="G826" s="132"/>
      <c r="H826" s="132"/>
      <c r="I826" s="131"/>
      <c r="J826" s="131"/>
      <c r="K826" s="131"/>
      <c r="L826" s="131"/>
      <c r="M826" s="131"/>
      <c r="N826" s="131"/>
      <c r="O826" s="131"/>
      <c r="P826" s="131"/>
      <c r="Q826" s="131"/>
      <c r="R826" s="131"/>
      <c r="S826" s="131"/>
      <c r="T826" s="131"/>
      <c r="U826" s="131"/>
      <c r="V826" s="131"/>
      <c r="W826" s="131"/>
      <c r="X826" s="131"/>
    </row>
    <row r="827" spans="1:24" ht="13.5" customHeight="1">
      <c r="A827" s="132"/>
      <c r="B827" s="131"/>
      <c r="C827" s="131"/>
      <c r="D827" s="132"/>
      <c r="E827" s="132"/>
      <c r="F827" s="132"/>
      <c r="G827" s="132"/>
      <c r="H827" s="132"/>
      <c r="I827" s="131"/>
      <c r="J827" s="131"/>
      <c r="K827" s="131"/>
      <c r="L827" s="131"/>
      <c r="M827" s="131"/>
      <c r="N827" s="131"/>
      <c r="O827" s="131"/>
      <c r="P827" s="131"/>
      <c r="Q827" s="131"/>
      <c r="R827" s="131"/>
      <c r="S827" s="131"/>
      <c r="T827" s="131"/>
      <c r="U827" s="131"/>
      <c r="V827" s="131"/>
      <c r="W827" s="131"/>
      <c r="X827" s="131"/>
    </row>
    <row r="828" spans="1:24" ht="13.5" customHeight="1">
      <c r="A828" s="132"/>
      <c r="B828" s="131"/>
      <c r="C828" s="131"/>
      <c r="D828" s="132"/>
      <c r="E828" s="132"/>
      <c r="F828" s="132"/>
      <c r="G828" s="132"/>
      <c r="H828" s="132"/>
      <c r="I828" s="131"/>
      <c r="J828" s="131"/>
      <c r="K828" s="131"/>
      <c r="L828" s="131"/>
      <c r="M828" s="131"/>
      <c r="N828" s="131"/>
      <c r="O828" s="131"/>
      <c r="P828" s="131"/>
      <c r="Q828" s="131"/>
      <c r="R828" s="131"/>
      <c r="S828" s="131"/>
      <c r="T828" s="131"/>
      <c r="U828" s="131"/>
      <c r="V828" s="131"/>
      <c r="W828" s="131"/>
      <c r="X828" s="131"/>
    </row>
    <row r="829" spans="1:24" ht="13.5" customHeight="1">
      <c r="A829" s="132"/>
      <c r="B829" s="131"/>
      <c r="C829" s="131"/>
      <c r="D829" s="132"/>
      <c r="E829" s="132"/>
      <c r="F829" s="132"/>
      <c r="G829" s="132"/>
      <c r="H829" s="132"/>
      <c r="I829" s="131"/>
      <c r="J829" s="131"/>
      <c r="K829" s="131"/>
      <c r="L829" s="131"/>
      <c r="M829" s="131"/>
      <c r="N829" s="131"/>
      <c r="O829" s="131"/>
      <c r="P829" s="131"/>
      <c r="Q829" s="131"/>
      <c r="R829" s="131"/>
      <c r="S829" s="131"/>
      <c r="T829" s="131"/>
      <c r="U829" s="131"/>
      <c r="V829" s="131"/>
      <c r="W829" s="131"/>
      <c r="X829" s="131"/>
    </row>
    <row r="830" spans="1:24" ht="13.5" customHeight="1">
      <c r="A830" s="132"/>
      <c r="B830" s="131"/>
      <c r="C830" s="131"/>
      <c r="D830" s="132"/>
      <c r="E830" s="132"/>
      <c r="F830" s="132"/>
      <c r="G830" s="132"/>
      <c r="H830" s="132"/>
      <c r="I830" s="131"/>
      <c r="J830" s="131"/>
      <c r="K830" s="131"/>
      <c r="L830" s="131"/>
      <c r="M830" s="131"/>
      <c r="N830" s="131"/>
      <c r="O830" s="131"/>
      <c r="P830" s="131"/>
      <c r="Q830" s="131"/>
      <c r="R830" s="131"/>
      <c r="S830" s="131"/>
      <c r="T830" s="131"/>
      <c r="U830" s="131"/>
      <c r="V830" s="131"/>
      <c r="W830" s="131"/>
      <c r="X830" s="131"/>
    </row>
    <row r="831" spans="1:24" ht="13.5" customHeight="1">
      <c r="A831" s="132"/>
      <c r="B831" s="131"/>
      <c r="C831" s="131"/>
      <c r="D831" s="132"/>
      <c r="E831" s="132"/>
      <c r="F831" s="132"/>
      <c r="G831" s="132"/>
      <c r="H831" s="132"/>
      <c r="I831" s="131"/>
      <c r="J831" s="131"/>
      <c r="K831" s="131"/>
      <c r="L831" s="131"/>
      <c r="M831" s="131"/>
      <c r="N831" s="131"/>
      <c r="O831" s="131"/>
      <c r="P831" s="131"/>
      <c r="Q831" s="131"/>
      <c r="R831" s="131"/>
      <c r="S831" s="131"/>
      <c r="T831" s="131"/>
      <c r="U831" s="131"/>
      <c r="V831" s="131"/>
      <c r="W831" s="131"/>
      <c r="X831" s="131"/>
    </row>
    <row r="832" spans="1:24" ht="13.5" customHeight="1">
      <c r="A832" s="132"/>
      <c r="B832" s="131"/>
      <c r="C832" s="131"/>
      <c r="D832" s="132"/>
      <c r="E832" s="132"/>
      <c r="F832" s="132"/>
      <c r="G832" s="132"/>
      <c r="H832" s="132"/>
      <c r="I832" s="131"/>
      <c r="J832" s="131"/>
      <c r="K832" s="131"/>
      <c r="L832" s="131"/>
      <c r="M832" s="131"/>
      <c r="N832" s="131"/>
      <c r="O832" s="131"/>
      <c r="P832" s="131"/>
      <c r="Q832" s="131"/>
      <c r="R832" s="131"/>
      <c r="S832" s="131"/>
      <c r="T832" s="131"/>
      <c r="U832" s="131"/>
      <c r="V832" s="131"/>
      <c r="W832" s="131"/>
      <c r="X832" s="131"/>
    </row>
    <row r="833" spans="1:24" ht="13.5" customHeight="1">
      <c r="A833" s="132"/>
      <c r="B833" s="131"/>
      <c r="C833" s="131"/>
      <c r="D833" s="132"/>
      <c r="E833" s="132"/>
      <c r="F833" s="132"/>
      <c r="G833" s="132"/>
      <c r="H833" s="132"/>
      <c r="I833" s="131"/>
      <c r="J833" s="131"/>
      <c r="K833" s="131"/>
      <c r="L833" s="131"/>
      <c r="M833" s="131"/>
      <c r="N833" s="131"/>
      <c r="O833" s="131"/>
      <c r="P833" s="131"/>
      <c r="Q833" s="131"/>
      <c r="R833" s="131"/>
      <c r="S833" s="131"/>
      <c r="T833" s="131"/>
      <c r="U833" s="131"/>
      <c r="V833" s="131"/>
      <c r="W833" s="131"/>
      <c r="X833" s="131"/>
    </row>
    <row r="834" spans="1:24" ht="13.5" customHeight="1">
      <c r="A834" s="132"/>
      <c r="B834" s="131"/>
      <c r="C834" s="131"/>
      <c r="D834" s="132"/>
      <c r="E834" s="132"/>
      <c r="F834" s="132"/>
      <c r="G834" s="132"/>
      <c r="H834" s="132"/>
      <c r="I834" s="131"/>
      <c r="J834" s="131"/>
      <c r="K834" s="131"/>
      <c r="L834" s="131"/>
      <c r="M834" s="131"/>
      <c r="N834" s="131"/>
      <c r="O834" s="131"/>
      <c r="P834" s="131"/>
      <c r="Q834" s="131"/>
      <c r="R834" s="131"/>
      <c r="S834" s="131"/>
      <c r="T834" s="131"/>
      <c r="U834" s="131"/>
      <c r="V834" s="131"/>
      <c r="W834" s="131"/>
      <c r="X834" s="131"/>
    </row>
    <row r="835" spans="1:24" ht="13.5" customHeight="1">
      <c r="A835" s="132"/>
      <c r="B835" s="131"/>
      <c r="C835" s="131"/>
      <c r="D835" s="132"/>
      <c r="E835" s="132"/>
      <c r="F835" s="132"/>
      <c r="G835" s="132"/>
      <c r="H835" s="132"/>
      <c r="I835" s="131"/>
      <c r="J835" s="131"/>
      <c r="K835" s="131"/>
      <c r="L835" s="131"/>
      <c r="M835" s="131"/>
      <c r="N835" s="131"/>
      <c r="O835" s="131"/>
      <c r="P835" s="131"/>
      <c r="Q835" s="131"/>
      <c r="R835" s="131"/>
      <c r="S835" s="131"/>
      <c r="T835" s="131"/>
      <c r="U835" s="131"/>
      <c r="V835" s="131"/>
      <c r="W835" s="131"/>
      <c r="X835" s="131"/>
    </row>
    <row r="836" spans="1:24" ht="13.5" customHeight="1">
      <c r="A836" s="132"/>
      <c r="B836" s="131"/>
      <c r="C836" s="131"/>
      <c r="D836" s="132"/>
      <c r="E836" s="132"/>
      <c r="F836" s="132"/>
      <c r="G836" s="132"/>
      <c r="H836" s="132"/>
      <c r="I836" s="131"/>
      <c r="J836" s="131"/>
      <c r="K836" s="131"/>
      <c r="L836" s="131"/>
      <c r="M836" s="131"/>
      <c r="N836" s="131"/>
      <c r="O836" s="131"/>
      <c r="P836" s="131"/>
      <c r="Q836" s="131"/>
      <c r="R836" s="131"/>
      <c r="S836" s="131"/>
      <c r="T836" s="131"/>
      <c r="U836" s="131"/>
      <c r="V836" s="131"/>
      <c r="W836" s="131"/>
      <c r="X836" s="131"/>
    </row>
    <row r="837" spans="1:24" ht="13.5" customHeight="1">
      <c r="A837" s="132"/>
      <c r="B837" s="131"/>
      <c r="C837" s="131"/>
      <c r="D837" s="132"/>
      <c r="E837" s="132"/>
      <c r="F837" s="132"/>
      <c r="G837" s="132"/>
      <c r="H837" s="132"/>
      <c r="I837" s="131"/>
      <c r="J837" s="131"/>
      <c r="K837" s="131"/>
      <c r="L837" s="131"/>
      <c r="M837" s="131"/>
      <c r="N837" s="131"/>
      <c r="O837" s="131"/>
      <c r="P837" s="131"/>
      <c r="Q837" s="131"/>
      <c r="R837" s="131"/>
      <c r="S837" s="131"/>
      <c r="T837" s="131"/>
      <c r="U837" s="131"/>
      <c r="V837" s="131"/>
      <c r="W837" s="131"/>
      <c r="X837" s="131"/>
    </row>
    <row r="838" spans="1:24" ht="13.5" customHeight="1">
      <c r="A838" s="132"/>
      <c r="B838" s="131"/>
      <c r="C838" s="131"/>
      <c r="D838" s="132"/>
      <c r="E838" s="132"/>
      <c r="F838" s="132"/>
      <c r="G838" s="132"/>
      <c r="H838" s="132"/>
      <c r="I838" s="131"/>
      <c r="J838" s="131"/>
      <c r="K838" s="131"/>
      <c r="L838" s="131"/>
      <c r="M838" s="131"/>
      <c r="N838" s="131"/>
      <c r="O838" s="131"/>
      <c r="P838" s="131"/>
      <c r="Q838" s="131"/>
      <c r="R838" s="131"/>
      <c r="S838" s="131"/>
      <c r="T838" s="131"/>
      <c r="U838" s="131"/>
      <c r="V838" s="131"/>
      <c r="W838" s="131"/>
      <c r="X838" s="131"/>
    </row>
    <row r="839" spans="1:24" ht="13.5" customHeight="1">
      <c r="A839" s="132"/>
      <c r="B839" s="131"/>
      <c r="C839" s="131"/>
      <c r="D839" s="132"/>
      <c r="E839" s="132"/>
      <c r="F839" s="132"/>
      <c r="G839" s="132"/>
      <c r="H839" s="132"/>
      <c r="I839" s="131"/>
      <c r="J839" s="131"/>
      <c r="K839" s="131"/>
      <c r="L839" s="131"/>
      <c r="M839" s="131"/>
      <c r="N839" s="131"/>
      <c r="O839" s="131"/>
      <c r="P839" s="131"/>
      <c r="Q839" s="131"/>
      <c r="R839" s="131"/>
      <c r="S839" s="131"/>
      <c r="T839" s="131"/>
      <c r="U839" s="131"/>
      <c r="V839" s="131"/>
      <c r="W839" s="131"/>
      <c r="X839" s="131"/>
    </row>
    <row r="840" spans="1:24" ht="13.5" customHeight="1">
      <c r="A840" s="132"/>
      <c r="B840" s="131"/>
      <c r="C840" s="131"/>
      <c r="D840" s="132"/>
      <c r="E840" s="132"/>
      <c r="F840" s="132"/>
      <c r="G840" s="132"/>
      <c r="H840" s="132"/>
      <c r="I840" s="131"/>
      <c r="J840" s="131"/>
      <c r="K840" s="131"/>
      <c r="L840" s="131"/>
      <c r="M840" s="131"/>
      <c r="N840" s="131"/>
      <c r="O840" s="131"/>
      <c r="P840" s="131"/>
      <c r="Q840" s="131"/>
      <c r="R840" s="131"/>
      <c r="S840" s="131"/>
      <c r="T840" s="131"/>
      <c r="U840" s="131"/>
      <c r="V840" s="131"/>
      <c r="W840" s="131"/>
      <c r="X840" s="131"/>
    </row>
    <row r="841" spans="1:24" ht="13.5" customHeight="1">
      <c r="A841" s="132"/>
      <c r="B841" s="131"/>
      <c r="C841" s="131"/>
      <c r="D841" s="132"/>
      <c r="E841" s="132"/>
      <c r="F841" s="132"/>
      <c r="G841" s="132"/>
      <c r="H841" s="132"/>
      <c r="I841" s="131"/>
      <c r="J841" s="131"/>
      <c r="K841" s="131"/>
      <c r="L841" s="131"/>
      <c r="M841" s="131"/>
      <c r="N841" s="131"/>
      <c r="O841" s="131"/>
      <c r="P841" s="131"/>
      <c r="Q841" s="131"/>
      <c r="R841" s="131"/>
      <c r="S841" s="131"/>
      <c r="T841" s="131"/>
      <c r="U841" s="131"/>
      <c r="V841" s="131"/>
      <c r="W841" s="131"/>
      <c r="X841" s="131"/>
    </row>
    <row r="842" spans="1:24" ht="13.5" customHeight="1">
      <c r="A842" s="132"/>
      <c r="B842" s="131"/>
      <c r="C842" s="131"/>
      <c r="D842" s="132"/>
      <c r="E842" s="132"/>
      <c r="F842" s="132"/>
      <c r="G842" s="132"/>
      <c r="H842" s="132"/>
      <c r="I842" s="131"/>
      <c r="J842" s="131"/>
      <c r="K842" s="131"/>
      <c r="L842" s="131"/>
      <c r="M842" s="131"/>
      <c r="N842" s="131"/>
      <c r="O842" s="131"/>
      <c r="P842" s="131"/>
      <c r="Q842" s="131"/>
      <c r="R842" s="131"/>
      <c r="S842" s="131"/>
      <c r="T842" s="131"/>
      <c r="U842" s="131"/>
      <c r="V842" s="131"/>
      <c r="W842" s="131"/>
      <c r="X842" s="131"/>
    </row>
    <row r="843" spans="1:24" ht="13.5" customHeight="1">
      <c r="A843" s="132"/>
      <c r="B843" s="131"/>
      <c r="C843" s="131"/>
      <c r="D843" s="132"/>
      <c r="E843" s="132"/>
      <c r="F843" s="132"/>
      <c r="G843" s="132"/>
      <c r="H843" s="132"/>
      <c r="I843" s="131"/>
      <c r="J843" s="131"/>
      <c r="K843" s="131"/>
      <c r="L843" s="131"/>
      <c r="M843" s="131"/>
      <c r="N843" s="131"/>
      <c r="O843" s="131"/>
      <c r="P843" s="131"/>
      <c r="Q843" s="131"/>
      <c r="R843" s="131"/>
      <c r="S843" s="131"/>
      <c r="T843" s="131"/>
      <c r="U843" s="131"/>
      <c r="V843" s="131"/>
      <c r="W843" s="131"/>
      <c r="X843" s="131"/>
    </row>
    <row r="844" spans="1:24" ht="13.5" customHeight="1">
      <c r="A844" s="132"/>
      <c r="B844" s="131"/>
      <c r="C844" s="131"/>
      <c r="D844" s="132"/>
      <c r="E844" s="132"/>
      <c r="F844" s="132"/>
      <c r="G844" s="132"/>
      <c r="H844" s="132"/>
      <c r="I844" s="131"/>
      <c r="J844" s="131"/>
      <c r="K844" s="131"/>
      <c r="L844" s="131"/>
      <c r="M844" s="131"/>
      <c r="N844" s="131"/>
      <c r="O844" s="131"/>
      <c r="P844" s="131"/>
      <c r="Q844" s="131"/>
      <c r="R844" s="131"/>
      <c r="S844" s="131"/>
      <c r="T844" s="131"/>
      <c r="U844" s="131"/>
      <c r="V844" s="131"/>
      <c r="W844" s="131"/>
      <c r="X844" s="131"/>
    </row>
    <row r="845" spans="1:24" ht="13.5" customHeight="1">
      <c r="A845" s="132"/>
      <c r="B845" s="131"/>
      <c r="C845" s="131"/>
      <c r="D845" s="132"/>
      <c r="E845" s="132"/>
      <c r="F845" s="132"/>
      <c r="G845" s="132"/>
      <c r="H845" s="132"/>
      <c r="I845" s="131"/>
      <c r="J845" s="131"/>
      <c r="K845" s="131"/>
      <c r="L845" s="131"/>
      <c r="M845" s="131"/>
      <c r="N845" s="131"/>
      <c r="O845" s="131"/>
      <c r="P845" s="131"/>
      <c r="Q845" s="131"/>
      <c r="R845" s="131"/>
      <c r="S845" s="131"/>
      <c r="T845" s="131"/>
      <c r="U845" s="131"/>
      <c r="V845" s="131"/>
      <c r="W845" s="131"/>
      <c r="X845" s="131"/>
    </row>
    <row r="846" spans="1:24" ht="13.5" customHeight="1">
      <c r="A846" s="132"/>
      <c r="B846" s="131"/>
      <c r="C846" s="131"/>
      <c r="D846" s="132"/>
      <c r="E846" s="132"/>
      <c r="F846" s="132"/>
      <c r="G846" s="132"/>
      <c r="H846" s="132"/>
      <c r="I846" s="131"/>
      <c r="J846" s="131"/>
      <c r="K846" s="131"/>
      <c r="L846" s="131"/>
      <c r="M846" s="131"/>
      <c r="N846" s="131"/>
      <c r="O846" s="131"/>
      <c r="P846" s="131"/>
      <c r="Q846" s="131"/>
      <c r="R846" s="131"/>
      <c r="S846" s="131"/>
      <c r="T846" s="131"/>
      <c r="U846" s="131"/>
      <c r="V846" s="131"/>
      <c r="W846" s="131"/>
      <c r="X846" s="131"/>
    </row>
    <row r="847" spans="1:24" ht="13.5" customHeight="1">
      <c r="A847" s="132"/>
      <c r="B847" s="131"/>
      <c r="C847" s="131"/>
      <c r="D847" s="132"/>
      <c r="E847" s="132"/>
      <c r="F847" s="132"/>
      <c r="G847" s="132"/>
      <c r="H847" s="132"/>
      <c r="I847" s="131"/>
      <c r="J847" s="131"/>
      <c r="K847" s="131"/>
      <c r="L847" s="131"/>
      <c r="M847" s="131"/>
      <c r="N847" s="131"/>
      <c r="O847" s="131"/>
      <c r="P847" s="131"/>
      <c r="Q847" s="131"/>
      <c r="R847" s="131"/>
      <c r="S847" s="131"/>
      <c r="T847" s="131"/>
      <c r="U847" s="131"/>
      <c r="V847" s="131"/>
      <c r="W847" s="131"/>
      <c r="X847" s="131"/>
    </row>
    <row r="848" spans="1:24" ht="13.5" customHeight="1">
      <c r="A848" s="132"/>
      <c r="B848" s="131"/>
      <c r="C848" s="131"/>
      <c r="D848" s="132"/>
      <c r="E848" s="132"/>
      <c r="F848" s="132"/>
      <c r="G848" s="132"/>
      <c r="H848" s="132"/>
      <c r="I848" s="131"/>
      <c r="J848" s="131"/>
      <c r="K848" s="131"/>
      <c r="L848" s="131"/>
      <c r="M848" s="131"/>
      <c r="N848" s="131"/>
      <c r="O848" s="131"/>
      <c r="P848" s="131"/>
      <c r="Q848" s="131"/>
      <c r="R848" s="131"/>
      <c r="S848" s="131"/>
      <c r="T848" s="131"/>
      <c r="U848" s="131"/>
      <c r="V848" s="131"/>
      <c r="W848" s="131"/>
      <c r="X848" s="131"/>
    </row>
    <row r="849" spans="1:24" ht="13.5" customHeight="1">
      <c r="A849" s="132"/>
      <c r="B849" s="131"/>
      <c r="C849" s="131"/>
      <c r="D849" s="132"/>
      <c r="E849" s="132"/>
      <c r="F849" s="132"/>
      <c r="G849" s="132"/>
      <c r="H849" s="132"/>
      <c r="I849" s="131"/>
      <c r="J849" s="131"/>
      <c r="K849" s="131"/>
      <c r="L849" s="131"/>
      <c r="M849" s="131"/>
      <c r="N849" s="131"/>
      <c r="O849" s="131"/>
      <c r="P849" s="131"/>
      <c r="Q849" s="131"/>
      <c r="R849" s="131"/>
      <c r="S849" s="131"/>
      <c r="T849" s="131"/>
      <c r="U849" s="131"/>
      <c r="V849" s="131"/>
      <c r="W849" s="131"/>
      <c r="X849" s="131"/>
    </row>
    <row r="850" spans="1:24" ht="13.5" customHeight="1">
      <c r="A850" s="132"/>
      <c r="B850" s="131"/>
      <c r="C850" s="131"/>
      <c r="D850" s="132"/>
      <c r="E850" s="132"/>
      <c r="F850" s="132"/>
      <c r="G850" s="132"/>
      <c r="H850" s="132"/>
      <c r="I850" s="131"/>
      <c r="J850" s="131"/>
      <c r="K850" s="131"/>
      <c r="L850" s="131"/>
      <c r="M850" s="131"/>
      <c r="N850" s="131"/>
      <c r="O850" s="131"/>
      <c r="P850" s="131"/>
      <c r="Q850" s="131"/>
      <c r="R850" s="131"/>
      <c r="S850" s="131"/>
      <c r="T850" s="131"/>
      <c r="U850" s="131"/>
      <c r="V850" s="131"/>
      <c r="W850" s="131"/>
      <c r="X850" s="131"/>
    </row>
    <row r="851" spans="1:24" ht="13.5" customHeight="1">
      <c r="A851" s="132"/>
      <c r="B851" s="131"/>
      <c r="C851" s="131"/>
      <c r="D851" s="132"/>
      <c r="E851" s="132"/>
      <c r="F851" s="132"/>
      <c r="G851" s="132"/>
      <c r="H851" s="132"/>
      <c r="I851" s="131"/>
      <c r="J851" s="131"/>
      <c r="K851" s="131"/>
      <c r="L851" s="131"/>
      <c r="M851" s="131"/>
      <c r="N851" s="131"/>
      <c r="O851" s="131"/>
      <c r="P851" s="131"/>
      <c r="Q851" s="131"/>
      <c r="R851" s="131"/>
      <c r="S851" s="131"/>
      <c r="T851" s="131"/>
      <c r="U851" s="131"/>
      <c r="V851" s="131"/>
      <c r="W851" s="131"/>
      <c r="X851" s="131"/>
    </row>
    <row r="852" spans="1:24" ht="13.5" customHeight="1">
      <c r="A852" s="132"/>
      <c r="B852" s="131"/>
      <c r="C852" s="131"/>
      <c r="D852" s="132"/>
      <c r="E852" s="132"/>
      <c r="F852" s="132"/>
      <c r="G852" s="132"/>
      <c r="H852" s="132"/>
      <c r="I852" s="131"/>
      <c r="J852" s="131"/>
      <c r="K852" s="131"/>
      <c r="L852" s="131"/>
      <c r="M852" s="131"/>
      <c r="N852" s="131"/>
      <c r="O852" s="131"/>
      <c r="P852" s="131"/>
      <c r="Q852" s="131"/>
      <c r="R852" s="131"/>
      <c r="S852" s="131"/>
      <c r="T852" s="131"/>
      <c r="U852" s="131"/>
      <c r="V852" s="131"/>
      <c r="W852" s="131"/>
      <c r="X852" s="131"/>
    </row>
    <row r="853" spans="1:24" ht="13.5" customHeight="1">
      <c r="A853" s="132"/>
      <c r="B853" s="131"/>
      <c r="C853" s="131"/>
      <c r="D853" s="132"/>
      <c r="E853" s="132"/>
      <c r="F853" s="132"/>
      <c r="G853" s="132"/>
      <c r="H853" s="132"/>
      <c r="I853" s="131"/>
      <c r="J853" s="131"/>
      <c r="K853" s="131"/>
      <c r="L853" s="131"/>
      <c r="M853" s="131"/>
      <c r="N853" s="131"/>
      <c r="O853" s="131"/>
      <c r="P853" s="131"/>
      <c r="Q853" s="131"/>
      <c r="R853" s="131"/>
      <c r="S853" s="131"/>
      <c r="T853" s="131"/>
      <c r="U853" s="131"/>
      <c r="V853" s="131"/>
      <c r="W853" s="131"/>
      <c r="X853" s="131"/>
    </row>
    <row r="854" spans="1:24" ht="13.5" customHeight="1">
      <c r="A854" s="132"/>
      <c r="B854" s="131"/>
      <c r="C854" s="131"/>
      <c r="D854" s="132"/>
      <c r="E854" s="132"/>
      <c r="F854" s="132"/>
      <c r="G854" s="132"/>
      <c r="H854" s="132"/>
      <c r="I854" s="131"/>
      <c r="J854" s="131"/>
      <c r="K854" s="131"/>
      <c r="L854" s="131"/>
      <c r="M854" s="131"/>
      <c r="N854" s="131"/>
      <c r="O854" s="131"/>
      <c r="P854" s="131"/>
      <c r="Q854" s="131"/>
      <c r="R854" s="131"/>
      <c r="S854" s="131"/>
      <c r="T854" s="131"/>
      <c r="U854" s="131"/>
      <c r="V854" s="131"/>
      <c r="W854" s="131"/>
      <c r="X854" s="131"/>
    </row>
    <row r="855" spans="1:24" ht="13.5" customHeight="1">
      <c r="A855" s="132"/>
      <c r="B855" s="131"/>
      <c r="C855" s="131"/>
      <c r="D855" s="132"/>
      <c r="E855" s="132"/>
      <c r="F855" s="132"/>
      <c r="G855" s="132"/>
      <c r="H855" s="132"/>
      <c r="I855" s="131"/>
      <c r="J855" s="131"/>
      <c r="K855" s="131"/>
      <c r="L855" s="131"/>
      <c r="M855" s="131"/>
      <c r="N855" s="131"/>
      <c r="O855" s="131"/>
      <c r="P855" s="131"/>
      <c r="Q855" s="131"/>
      <c r="R855" s="131"/>
      <c r="S855" s="131"/>
      <c r="T855" s="131"/>
      <c r="U855" s="131"/>
      <c r="V855" s="131"/>
      <c r="W855" s="131"/>
      <c r="X855" s="131"/>
    </row>
    <row r="856" spans="1:24" ht="13.5" customHeight="1">
      <c r="A856" s="132"/>
      <c r="B856" s="131"/>
      <c r="C856" s="131"/>
      <c r="D856" s="132"/>
      <c r="E856" s="132"/>
      <c r="F856" s="132"/>
      <c r="G856" s="132"/>
      <c r="H856" s="132"/>
      <c r="I856" s="131"/>
      <c r="J856" s="131"/>
      <c r="K856" s="131"/>
      <c r="L856" s="131"/>
      <c r="M856" s="131"/>
      <c r="N856" s="131"/>
      <c r="O856" s="131"/>
      <c r="P856" s="131"/>
      <c r="Q856" s="131"/>
      <c r="R856" s="131"/>
      <c r="S856" s="131"/>
      <c r="T856" s="131"/>
      <c r="U856" s="131"/>
      <c r="V856" s="131"/>
      <c r="W856" s="131"/>
      <c r="X856" s="131"/>
    </row>
    <row r="857" spans="1:24" ht="13.5" customHeight="1">
      <c r="A857" s="132"/>
      <c r="B857" s="131"/>
      <c r="C857" s="131"/>
      <c r="D857" s="132"/>
      <c r="E857" s="132"/>
      <c r="F857" s="132"/>
      <c r="G857" s="132"/>
      <c r="H857" s="132"/>
      <c r="I857" s="131"/>
      <c r="J857" s="131"/>
      <c r="K857" s="131"/>
      <c r="L857" s="131"/>
      <c r="M857" s="131"/>
      <c r="N857" s="131"/>
      <c r="O857" s="131"/>
      <c r="P857" s="131"/>
      <c r="Q857" s="131"/>
      <c r="R857" s="131"/>
      <c r="S857" s="131"/>
      <c r="T857" s="131"/>
      <c r="U857" s="131"/>
      <c r="V857" s="131"/>
      <c r="W857" s="131"/>
      <c r="X857" s="131"/>
    </row>
    <row r="858" spans="1:24" ht="13.5" customHeight="1">
      <c r="A858" s="132"/>
      <c r="B858" s="131"/>
      <c r="C858" s="131"/>
      <c r="D858" s="132"/>
      <c r="E858" s="132"/>
      <c r="F858" s="132"/>
      <c r="G858" s="132"/>
      <c r="H858" s="132"/>
      <c r="I858" s="131"/>
      <c r="J858" s="131"/>
      <c r="K858" s="131"/>
      <c r="L858" s="131"/>
      <c r="M858" s="131"/>
      <c r="N858" s="131"/>
      <c r="O858" s="131"/>
      <c r="P858" s="131"/>
      <c r="Q858" s="131"/>
      <c r="R858" s="131"/>
      <c r="S858" s="131"/>
      <c r="T858" s="131"/>
      <c r="U858" s="131"/>
      <c r="V858" s="131"/>
      <c r="W858" s="131"/>
      <c r="X858" s="131"/>
    </row>
    <row r="859" spans="1:24" ht="13.5" customHeight="1">
      <c r="A859" s="132"/>
      <c r="B859" s="131"/>
      <c r="C859" s="131"/>
      <c r="D859" s="132"/>
      <c r="E859" s="132"/>
      <c r="F859" s="132"/>
      <c r="G859" s="132"/>
      <c r="H859" s="132"/>
      <c r="I859" s="131"/>
      <c r="J859" s="131"/>
      <c r="K859" s="131"/>
      <c r="L859" s="131"/>
      <c r="M859" s="131"/>
      <c r="N859" s="131"/>
      <c r="O859" s="131"/>
      <c r="P859" s="131"/>
      <c r="Q859" s="131"/>
      <c r="R859" s="131"/>
      <c r="S859" s="131"/>
      <c r="T859" s="131"/>
      <c r="U859" s="131"/>
      <c r="V859" s="131"/>
      <c r="W859" s="131"/>
      <c r="X859" s="131"/>
    </row>
    <row r="860" spans="1:24" ht="13.5" customHeight="1">
      <c r="A860" s="132"/>
      <c r="B860" s="131"/>
      <c r="C860" s="131"/>
      <c r="D860" s="132"/>
      <c r="E860" s="132"/>
      <c r="F860" s="132"/>
      <c r="G860" s="132"/>
      <c r="H860" s="132"/>
      <c r="I860" s="131"/>
      <c r="J860" s="131"/>
      <c r="K860" s="131"/>
      <c r="L860" s="131"/>
      <c r="M860" s="131"/>
      <c r="N860" s="131"/>
      <c r="O860" s="131"/>
      <c r="P860" s="131"/>
      <c r="Q860" s="131"/>
      <c r="R860" s="131"/>
      <c r="S860" s="131"/>
      <c r="T860" s="131"/>
      <c r="U860" s="131"/>
      <c r="V860" s="131"/>
      <c r="W860" s="131"/>
      <c r="X860" s="131"/>
    </row>
    <row r="861" spans="1:24" ht="13.5" customHeight="1">
      <c r="A861" s="132"/>
      <c r="B861" s="131"/>
      <c r="C861" s="131"/>
      <c r="D861" s="132"/>
      <c r="E861" s="132"/>
      <c r="F861" s="132"/>
      <c r="G861" s="132"/>
      <c r="H861" s="132"/>
      <c r="I861" s="131"/>
      <c r="J861" s="131"/>
      <c r="K861" s="131"/>
      <c r="L861" s="131"/>
      <c r="M861" s="131"/>
      <c r="N861" s="131"/>
      <c r="O861" s="131"/>
      <c r="P861" s="131"/>
      <c r="Q861" s="131"/>
      <c r="R861" s="131"/>
      <c r="S861" s="131"/>
      <c r="T861" s="131"/>
      <c r="U861" s="131"/>
      <c r="V861" s="131"/>
      <c r="W861" s="131"/>
      <c r="X861" s="131"/>
    </row>
    <row r="862" spans="1:24" ht="13.5" customHeight="1">
      <c r="A862" s="132"/>
      <c r="B862" s="131"/>
      <c r="C862" s="131"/>
      <c r="D862" s="132"/>
      <c r="E862" s="132"/>
      <c r="F862" s="132"/>
      <c r="G862" s="132"/>
      <c r="H862" s="132"/>
      <c r="I862" s="131"/>
      <c r="J862" s="131"/>
      <c r="K862" s="131"/>
      <c r="L862" s="131"/>
      <c r="M862" s="131"/>
      <c r="N862" s="131"/>
      <c r="O862" s="131"/>
      <c r="P862" s="131"/>
      <c r="Q862" s="131"/>
      <c r="R862" s="131"/>
      <c r="S862" s="131"/>
      <c r="T862" s="131"/>
      <c r="U862" s="131"/>
      <c r="V862" s="131"/>
      <c r="W862" s="131"/>
      <c r="X862" s="131"/>
    </row>
    <row r="863" spans="1:24" ht="13.5" customHeight="1">
      <c r="A863" s="132"/>
      <c r="B863" s="131"/>
      <c r="C863" s="131"/>
      <c r="D863" s="132"/>
      <c r="E863" s="132"/>
      <c r="F863" s="132"/>
      <c r="G863" s="132"/>
      <c r="H863" s="132"/>
      <c r="I863" s="131"/>
      <c r="J863" s="131"/>
      <c r="K863" s="131"/>
      <c r="L863" s="131"/>
      <c r="M863" s="131"/>
      <c r="N863" s="131"/>
      <c r="O863" s="131"/>
      <c r="P863" s="131"/>
      <c r="Q863" s="131"/>
      <c r="R863" s="131"/>
      <c r="S863" s="131"/>
      <c r="T863" s="131"/>
      <c r="U863" s="131"/>
      <c r="V863" s="131"/>
      <c r="W863" s="131"/>
      <c r="X863" s="131"/>
    </row>
    <row r="864" spans="1:24" ht="13.5" customHeight="1">
      <c r="A864" s="132"/>
      <c r="B864" s="131"/>
      <c r="C864" s="131"/>
      <c r="D864" s="132"/>
      <c r="E864" s="132"/>
      <c r="F864" s="132"/>
      <c r="G864" s="132"/>
      <c r="H864" s="132"/>
      <c r="I864" s="131"/>
      <c r="J864" s="131"/>
      <c r="K864" s="131"/>
      <c r="L864" s="131"/>
      <c r="M864" s="131"/>
      <c r="N864" s="131"/>
      <c r="O864" s="131"/>
      <c r="P864" s="131"/>
      <c r="Q864" s="131"/>
      <c r="R864" s="131"/>
      <c r="S864" s="131"/>
      <c r="T864" s="131"/>
      <c r="U864" s="131"/>
      <c r="V864" s="131"/>
      <c r="W864" s="131"/>
      <c r="X864" s="131"/>
    </row>
    <row r="865" spans="1:24" ht="13.5" customHeight="1">
      <c r="A865" s="132"/>
      <c r="B865" s="131"/>
      <c r="C865" s="131"/>
      <c r="D865" s="132"/>
      <c r="E865" s="132"/>
      <c r="F865" s="132"/>
      <c r="G865" s="132"/>
      <c r="H865" s="132"/>
      <c r="I865" s="131"/>
      <c r="J865" s="131"/>
      <c r="K865" s="131"/>
      <c r="L865" s="131"/>
      <c r="M865" s="131"/>
      <c r="N865" s="131"/>
      <c r="O865" s="131"/>
      <c r="P865" s="131"/>
      <c r="Q865" s="131"/>
      <c r="R865" s="131"/>
      <c r="S865" s="131"/>
      <c r="T865" s="131"/>
      <c r="U865" s="131"/>
      <c r="V865" s="131"/>
      <c r="W865" s="131"/>
      <c r="X865" s="131"/>
    </row>
    <row r="866" spans="1:24" ht="13.5" customHeight="1">
      <c r="A866" s="132"/>
      <c r="B866" s="131"/>
      <c r="C866" s="131"/>
      <c r="D866" s="132"/>
      <c r="E866" s="132"/>
      <c r="F866" s="132"/>
      <c r="G866" s="132"/>
      <c r="H866" s="132"/>
      <c r="I866" s="131"/>
      <c r="J866" s="131"/>
      <c r="K866" s="131"/>
      <c r="L866" s="131"/>
      <c r="M866" s="131"/>
      <c r="N866" s="131"/>
      <c r="O866" s="131"/>
      <c r="P866" s="131"/>
      <c r="Q866" s="131"/>
      <c r="R866" s="131"/>
      <c r="S866" s="131"/>
      <c r="T866" s="131"/>
      <c r="U866" s="131"/>
      <c r="V866" s="131"/>
      <c r="W866" s="131"/>
      <c r="X866" s="131"/>
    </row>
    <row r="867" spans="1:24" ht="13.5" customHeight="1">
      <c r="A867" s="132"/>
      <c r="B867" s="131"/>
      <c r="C867" s="131"/>
      <c r="D867" s="132"/>
      <c r="E867" s="132"/>
      <c r="F867" s="132"/>
      <c r="G867" s="132"/>
      <c r="H867" s="132"/>
      <c r="I867" s="131"/>
      <c r="J867" s="131"/>
      <c r="K867" s="131"/>
      <c r="L867" s="131"/>
      <c r="M867" s="131"/>
      <c r="N867" s="131"/>
      <c r="O867" s="131"/>
      <c r="P867" s="131"/>
      <c r="Q867" s="131"/>
      <c r="R867" s="131"/>
      <c r="S867" s="131"/>
      <c r="T867" s="131"/>
      <c r="U867" s="131"/>
      <c r="V867" s="131"/>
      <c r="W867" s="131"/>
      <c r="X867" s="131"/>
    </row>
    <row r="868" spans="1:24" ht="13.5" customHeight="1">
      <c r="A868" s="132"/>
      <c r="B868" s="131"/>
      <c r="C868" s="131"/>
      <c r="D868" s="132"/>
      <c r="E868" s="132"/>
      <c r="F868" s="132"/>
      <c r="G868" s="132"/>
      <c r="H868" s="132"/>
      <c r="I868" s="131"/>
      <c r="J868" s="131"/>
      <c r="K868" s="131"/>
      <c r="L868" s="131"/>
      <c r="M868" s="131"/>
      <c r="N868" s="131"/>
      <c r="O868" s="131"/>
      <c r="P868" s="131"/>
      <c r="Q868" s="131"/>
      <c r="R868" s="131"/>
      <c r="S868" s="131"/>
      <c r="T868" s="131"/>
      <c r="U868" s="131"/>
      <c r="V868" s="131"/>
      <c r="W868" s="131"/>
      <c r="X868" s="131"/>
    </row>
    <row r="869" spans="1:24" ht="13.5" customHeight="1">
      <c r="A869" s="132"/>
      <c r="B869" s="131"/>
      <c r="C869" s="131"/>
      <c r="D869" s="132"/>
      <c r="E869" s="132"/>
      <c r="F869" s="132"/>
      <c r="G869" s="132"/>
      <c r="H869" s="132"/>
      <c r="I869" s="131"/>
      <c r="J869" s="131"/>
      <c r="K869" s="131"/>
      <c r="L869" s="131"/>
      <c r="M869" s="131"/>
      <c r="N869" s="131"/>
      <c r="O869" s="131"/>
      <c r="P869" s="131"/>
      <c r="Q869" s="131"/>
      <c r="R869" s="131"/>
      <c r="S869" s="131"/>
      <c r="T869" s="131"/>
      <c r="U869" s="131"/>
      <c r="V869" s="131"/>
      <c r="W869" s="131"/>
      <c r="X869" s="131"/>
    </row>
    <row r="870" spans="1:24" ht="13.5" customHeight="1">
      <c r="A870" s="132"/>
      <c r="B870" s="131"/>
      <c r="C870" s="131"/>
      <c r="D870" s="132"/>
      <c r="E870" s="132"/>
      <c r="F870" s="132"/>
      <c r="G870" s="132"/>
      <c r="H870" s="132"/>
      <c r="I870" s="131"/>
      <c r="J870" s="131"/>
      <c r="K870" s="131"/>
      <c r="L870" s="131"/>
      <c r="M870" s="131"/>
      <c r="N870" s="131"/>
      <c r="O870" s="131"/>
      <c r="P870" s="131"/>
      <c r="Q870" s="131"/>
      <c r="R870" s="131"/>
      <c r="S870" s="131"/>
      <c r="T870" s="131"/>
      <c r="U870" s="131"/>
      <c r="V870" s="131"/>
      <c r="W870" s="131"/>
      <c r="X870" s="131"/>
    </row>
    <row r="871" spans="1:24" ht="13.5" customHeight="1">
      <c r="A871" s="132"/>
      <c r="B871" s="131"/>
      <c r="C871" s="131"/>
      <c r="D871" s="132"/>
      <c r="E871" s="132"/>
      <c r="F871" s="132"/>
      <c r="G871" s="132"/>
      <c r="H871" s="132"/>
      <c r="I871" s="131"/>
      <c r="J871" s="131"/>
      <c r="K871" s="131"/>
      <c r="L871" s="131"/>
      <c r="M871" s="131"/>
      <c r="N871" s="131"/>
      <c r="O871" s="131"/>
      <c r="P871" s="131"/>
      <c r="Q871" s="131"/>
      <c r="R871" s="131"/>
      <c r="S871" s="131"/>
      <c r="T871" s="131"/>
      <c r="U871" s="131"/>
      <c r="V871" s="131"/>
      <c r="W871" s="131"/>
      <c r="X871" s="131"/>
    </row>
    <row r="872" spans="1:24" ht="13.5" customHeight="1">
      <c r="A872" s="132"/>
      <c r="B872" s="131"/>
      <c r="C872" s="131"/>
      <c r="D872" s="132"/>
      <c r="E872" s="132"/>
      <c r="F872" s="132"/>
      <c r="G872" s="132"/>
      <c r="H872" s="132"/>
      <c r="I872" s="131"/>
      <c r="J872" s="131"/>
      <c r="K872" s="131"/>
      <c r="L872" s="131"/>
      <c r="M872" s="131"/>
      <c r="N872" s="131"/>
      <c r="O872" s="131"/>
      <c r="P872" s="131"/>
      <c r="Q872" s="131"/>
      <c r="R872" s="131"/>
      <c r="S872" s="131"/>
      <c r="T872" s="131"/>
      <c r="U872" s="131"/>
      <c r="V872" s="131"/>
      <c r="W872" s="131"/>
      <c r="X872" s="131"/>
    </row>
    <row r="873" spans="1:24" ht="13.5" customHeight="1">
      <c r="A873" s="132"/>
      <c r="B873" s="131"/>
      <c r="C873" s="131"/>
      <c r="D873" s="132"/>
      <c r="E873" s="132"/>
      <c r="F873" s="132"/>
      <c r="G873" s="132"/>
      <c r="H873" s="132"/>
      <c r="I873" s="131"/>
      <c r="J873" s="131"/>
      <c r="K873" s="131"/>
      <c r="L873" s="131"/>
      <c r="M873" s="131"/>
      <c r="N873" s="131"/>
      <c r="O873" s="131"/>
      <c r="P873" s="131"/>
      <c r="Q873" s="131"/>
      <c r="R873" s="131"/>
      <c r="S873" s="131"/>
      <c r="T873" s="131"/>
      <c r="U873" s="131"/>
      <c r="V873" s="131"/>
      <c r="W873" s="131"/>
      <c r="X873" s="131"/>
    </row>
    <row r="874" spans="1:24" ht="13.5" customHeight="1">
      <c r="A874" s="132"/>
      <c r="B874" s="131"/>
      <c r="C874" s="131"/>
      <c r="D874" s="132"/>
      <c r="E874" s="132"/>
      <c r="F874" s="132"/>
      <c r="G874" s="132"/>
      <c r="H874" s="132"/>
      <c r="I874" s="131"/>
      <c r="J874" s="131"/>
      <c r="K874" s="131"/>
      <c r="L874" s="131"/>
      <c r="M874" s="131"/>
      <c r="N874" s="131"/>
      <c r="O874" s="131"/>
      <c r="P874" s="131"/>
      <c r="Q874" s="131"/>
      <c r="R874" s="131"/>
      <c r="S874" s="131"/>
      <c r="T874" s="131"/>
      <c r="U874" s="131"/>
      <c r="V874" s="131"/>
      <c r="W874" s="131"/>
      <c r="X874" s="131"/>
    </row>
    <row r="875" spans="1:24" ht="13.5" customHeight="1">
      <c r="A875" s="132"/>
      <c r="B875" s="131"/>
      <c r="C875" s="131"/>
      <c r="D875" s="132"/>
      <c r="E875" s="132"/>
      <c r="F875" s="132"/>
      <c r="G875" s="132"/>
      <c r="H875" s="132"/>
      <c r="I875" s="131"/>
      <c r="J875" s="131"/>
      <c r="K875" s="131"/>
      <c r="L875" s="131"/>
      <c r="M875" s="131"/>
      <c r="N875" s="131"/>
      <c r="O875" s="131"/>
      <c r="P875" s="131"/>
      <c r="Q875" s="131"/>
      <c r="R875" s="131"/>
      <c r="S875" s="131"/>
      <c r="T875" s="131"/>
      <c r="U875" s="131"/>
      <c r="V875" s="131"/>
      <c r="W875" s="131"/>
      <c r="X875" s="131"/>
    </row>
    <row r="876" spans="1:24" ht="13.5" customHeight="1">
      <c r="A876" s="132"/>
      <c r="B876" s="131"/>
      <c r="C876" s="131"/>
      <c r="D876" s="132"/>
      <c r="E876" s="132"/>
      <c r="F876" s="132"/>
      <c r="G876" s="132"/>
      <c r="H876" s="132"/>
      <c r="I876" s="131"/>
      <c r="J876" s="131"/>
      <c r="K876" s="131"/>
      <c r="L876" s="131"/>
      <c r="M876" s="131"/>
      <c r="N876" s="131"/>
      <c r="O876" s="131"/>
      <c r="P876" s="131"/>
      <c r="Q876" s="131"/>
      <c r="R876" s="131"/>
      <c r="S876" s="131"/>
      <c r="T876" s="131"/>
      <c r="U876" s="131"/>
      <c r="V876" s="131"/>
      <c r="W876" s="131"/>
      <c r="X876" s="131"/>
    </row>
    <row r="877" spans="1:24" ht="13.5" customHeight="1">
      <c r="A877" s="132"/>
      <c r="B877" s="131"/>
      <c r="C877" s="131"/>
      <c r="D877" s="132"/>
      <c r="E877" s="132"/>
      <c r="F877" s="132"/>
      <c r="G877" s="132"/>
      <c r="H877" s="132"/>
      <c r="I877" s="131"/>
      <c r="J877" s="131"/>
      <c r="K877" s="131"/>
      <c r="L877" s="131"/>
      <c r="M877" s="131"/>
      <c r="N877" s="131"/>
      <c r="O877" s="131"/>
      <c r="P877" s="131"/>
      <c r="Q877" s="131"/>
      <c r="R877" s="131"/>
      <c r="S877" s="131"/>
      <c r="T877" s="131"/>
      <c r="U877" s="131"/>
      <c r="V877" s="131"/>
      <c r="W877" s="131"/>
      <c r="X877" s="131"/>
    </row>
    <row r="878" spans="1:24" ht="13.5" customHeight="1">
      <c r="A878" s="132"/>
      <c r="B878" s="131"/>
      <c r="C878" s="131"/>
      <c r="D878" s="132"/>
      <c r="E878" s="132"/>
      <c r="F878" s="132"/>
      <c r="G878" s="132"/>
      <c r="H878" s="132"/>
      <c r="I878" s="131"/>
      <c r="J878" s="131"/>
      <c r="K878" s="131"/>
      <c r="L878" s="131"/>
      <c r="M878" s="131"/>
      <c r="N878" s="131"/>
      <c r="O878" s="131"/>
      <c r="P878" s="131"/>
      <c r="Q878" s="131"/>
      <c r="R878" s="131"/>
      <c r="S878" s="131"/>
      <c r="T878" s="131"/>
      <c r="U878" s="131"/>
      <c r="V878" s="131"/>
      <c r="W878" s="131"/>
      <c r="X878" s="131"/>
    </row>
    <row r="879" spans="1:24" ht="13.5" customHeight="1">
      <c r="A879" s="132"/>
      <c r="B879" s="131"/>
      <c r="C879" s="131"/>
      <c r="D879" s="132"/>
      <c r="E879" s="132"/>
      <c r="F879" s="132"/>
      <c r="G879" s="132"/>
      <c r="H879" s="132"/>
      <c r="I879" s="131"/>
      <c r="J879" s="131"/>
      <c r="K879" s="131"/>
      <c r="L879" s="131"/>
      <c r="M879" s="131"/>
      <c r="N879" s="131"/>
      <c r="O879" s="131"/>
      <c r="P879" s="131"/>
      <c r="Q879" s="131"/>
      <c r="R879" s="131"/>
      <c r="S879" s="131"/>
      <c r="T879" s="131"/>
      <c r="U879" s="131"/>
      <c r="V879" s="131"/>
      <c r="W879" s="131"/>
      <c r="X879" s="131"/>
    </row>
    <row r="880" spans="1:24" ht="13.5" customHeight="1">
      <c r="A880" s="132"/>
      <c r="B880" s="131"/>
      <c r="C880" s="131"/>
      <c r="D880" s="132"/>
      <c r="E880" s="132"/>
      <c r="F880" s="132"/>
      <c r="G880" s="132"/>
      <c r="H880" s="132"/>
      <c r="I880" s="131"/>
      <c r="J880" s="131"/>
      <c r="K880" s="131"/>
      <c r="L880" s="131"/>
      <c r="M880" s="131"/>
      <c r="N880" s="131"/>
      <c r="O880" s="131"/>
      <c r="P880" s="131"/>
      <c r="Q880" s="131"/>
      <c r="R880" s="131"/>
      <c r="S880" s="131"/>
      <c r="T880" s="131"/>
      <c r="U880" s="131"/>
      <c r="V880" s="131"/>
      <c r="W880" s="131"/>
      <c r="X880" s="131"/>
    </row>
    <row r="881" spans="1:24" ht="13.5" customHeight="1">
      <c r="A881" s="132"/>
      <c r="B881" s="131"/>
      <c r="C881" s="131"/>
      <c r="D881" s="132"/>
      <c r="E881" s="132"/>
      <c r="F881" s="132"/>
      <c r="G881" s="132"/>
      <c r="H881" s="132"/>
      <c r="I881" s="131"/>
      <c r="J881" s="131"/>
      <c r="K881" s="131"/>
      <c r="L881" s="131"/>
      <c r="M881" s="131"/>
      <c r="N881" s="131"/>
      <c r="O881" s="131"/>
      <c r="P881" s="131"/>
      <c r="Q881" s="131"/>
      <c r="R881" s="131"/>
      <c r="S881" s="131"/>
      <c r="T881" s="131"/>
      <c r="U881" s="131"/>
      <c r="V881" s="131"/>
      <c r="W881" s="131"/>
      <c r="X881" s="131"/>
    </row>
    <row r="882" spans="1:24" ht="13.5" customHeight="1">
      <c r="A882" s="132"/>
      <c r="B882" s="131"/>
      <c r="C882" s="131"/>
      <c r="D882" s="132"/>
      <c r="E882" s="132"/>
      <c r="F882" s="132"/>
      <c r="G882" s="132"/>
      <c r="H882" s="132"/>
      <c r="I882" s="131"/>
      <c r="J882" s="131"/>
      <c r="K882" s="131"/>
      <c r="L882" s="131"/>
      <c r="M882" s="131"/>
      <c r="N882" s="131"/>
      <c r="O882" s="131"/>
      <c r="P882" s="131"/>
      <c r="Q882" s="131"/>
      <c r="R882" s="131"/>
      <c r="S882" s="131"/>
      <c r="T882" s="131"/>
      <c r="U882" s="131"/>
      <c r="V882" s="131"/>
      <c r="W882" s="131"/>
      <c r="X882" s="131"/>
    </row>
    <row r="883" spans="1:24" ht="13.5" customHeight="1">
      <c r="A883" s="132"/>
      <c r="B883" s="131"/>
      <c r="C883" s="131"/>
      <c r="D883" s="132"/>
      <c r="E883" s="132"/>
      <c r="F883" s="132"/>
      <c r="G883" s="132"/>
      <c r="H883" s="132"/>
      <c r="I883" s="131"/>
      <c r="J883" s="131"/>
      <c r="K883" s="131"/>
      <c r="L883" s="131"/>
      <c r="M883" s="131"/>
      <c r="N883" s="131"/>
      <c r="O883" s="131"/>
      <c r="P883" s="131"/>
      <c r="Q883" s="131"/>
      <c r="R883" s="131"/>
      <c r="S883" s="131"/>
      <c r="T883" s="131"/>
      <c r="U883" s="131"/>
      <c r="V883" s="131"/>
      <c r="W883" s="131"/>
      <c r="X883" s="131"/>
    </row>
    <row r="884" spans="1:24" ht="13.5" customHeight="1">
      <c r="A884" s="132"/>
      <c r="B884" s="131"/>
      <c r="C884" s="131"/>
      <c r="D884" s="132"/>
      <c r="E884" s="132"/>
      <c r="F884" s="132"/>
      <c r="G884" s="132"/>
      <c r="H884" s="132"/>
      <c r="I884" s="131"/>
      <c r="J884" s="131"/>
      <c r="K884" s="131"/>
      <c r="L884" s="131"/>
      <c r="M884" s="131"/>
      <c r="N884" s="131"/>
      <c r="O884" s="131"/>
      <c r="P884" s="131"/>
      <c r="Q884" s="131"/>
      <c r="R884" s="131"/>
      <c r="S884" s="131"/>
      <c r="T884" s="131"/>
      <c r="U884" s="131"/>
      <c r="V884" s="131"/>
      <c r="W884" s="131"/>
      <c r="X884" s="131"/>
    </row>
    <row r="885" spans="1:24" ht="13.5" customHeight="1">
      <c r="A885" s="132"/>
      <c r="B885" s="131"/>
      <c r="C885" s="131"/>
      <c r="D885" s="132"/>
      <c r="E885" s="132"/>
      <c r="F885" s="132"/>
      <c r="G885" s="132"/>
      <c r="H885" s="132"/>
      <c r="I885" s="131"/>
      <c r="J885" s="131"/>
      <c r="K885" s="131"/>
      <c r="L885" s="131"/>
      <c r="M885" s="131"/>
      <c r="N885" s="131"/>
      <c r="O885" s="131"/>
      <c r="P885" s="131"/>
      <c r="Q885" s="131"/>
      <c r="R885" s="131"/>
      <c r="S885" s="131"/>
      <c r="T885" s="131"/>
      <c r="U885" s="131"/>
      <c r="V885" s="131"/>
      <c r="W885" s="131"/>
      <c r="X885" s="131"/>
    </row>
    <row r="886" spans="1:24" ht="13.5" customHeight="1">
      <c r="A886" s="132"/>
      <c r="B886" s="131"/>
      <c r="C886" s="131"/>
      <c r="D886" s="132"/>
      <c r="E886" s="132"/>
      <c r="F886" s="132"/>
      <c r="G886" s="132"/>
      <c r="H886" s="132"/>
      <c r="I886" s="131"/>
      <c r="J886" s="131"/>
      <c r="K886" s="131"/>
      <c r="L886" s="131"/>
      <c r="M886" s="131"/>
      <c r="N886" s="131"/>
      <c r="O886" s="131"/>
      <c r="P886" s="131"/>
      <c r="Q886" s="131"/>
      <c r="R886" s="131"/>
      <c r="S886" s="131"/>
      <c r="T886" s="131"/>
      <c r="U886" s="131"/>
      <c r="V886" s="131"/>
      <c r="W886" s="131"/>
      <c r="X886" s="131"/>
    </row>
    <row r="887" spans="1:24" ht="13.5" customHeight="1">
      <c r="A887" s="132"/>
      <c r="B887" s="131"/>
      <c r="C887" s="131"/>
      <c r="D887" s="132"/>
      <c r="E887" s="132"/>
      <c r="F887" s="132"/>
      <c r="G887" s="132"/>
      <c r="H887" s="132"/>
      <c r="I887" s="131"/>
      <c r="J887" s="131"/>
      <c r="K887" s="131"/>
      <c r="L887" s="131"/>
      <c r="M887" s="131"/>
      <c r="N887" s="131"/>
      <c r="O887" s="131"/>
      <c r="P887" s="131"/>
      <c r="Q887" s="131"/>
      <c r="R887" s="131"/>
      <c r="S887" s="131"/>
      <c r="T887" s="131"/>
      <c r="U887" s="131"/>
      <c r="V887" s="131"/>
      <c r="W887" s="131"/>
      <c r="X887" s="131"/>
    </row>
    <row r="888" spans="1:24" ht="13.5" customHeight="1">
      <c r="A888" s="132"/>
      <c r="B888" s="131"/>
      <c r="C888" s="131"/>
      <c r="D888" s="132"/>
      <c r="E888" s="132"/>
      <c r="F888" s="132"/>
      <c r="G888" s="132"/>
      <c r="H888" s="132"/>
      <c r="I888" s="131"/>
      <c r="J888" s="131"/>
      <c r="K888" s="131"/>
      <c r="L888" s="131"/>
      <c r="M888" s="131"/>
      <c r="N888" s="131"/>
      <c r="O888" s="131"/>
      <c r="P888" s="131"/>
      <c r="Q888" s="131"/>
      <c r="R888" s="131"/>
      <c r="S888" s="131"/>
      <c r="T888" s="131"/>
      <c r="U888" s="131"/>
      <c r="V888" s="131"/>
      <c r="W888" s="131"/>
      <c r="X888" s="131"/>
    </row>
    <row r="889" spans="1:24" ht="13.5" customHeight="1">
      <c r="A889" s="132"/>
      <c r="B889" s="131"/>
      <c r="C889" s="131"/>
      <c r="D889" s="132"/>
      <c r="E889" s="132"/>
      <c r="F889" s="132"/>
      <c r="G889" s="132"/>
      <c r="H889" s="132"/>
      <c r="I889" s="131"/>
      <c r="J889" s="131"/>
      <c r="K889" s="131"/>
      <c r="L889" s="131"/>
      <c r="M889" s="131"/>
      <c r="N889" s="131"/>
      <c r="O889" s="131"/>
      <c r="P889" s="131"/>
      <c r="Q889" s="131"/>
      <c r="R889" s="131"/>
      <c r="S889" s="131"/>
      <c r="T889" s="131"/>
      <c r="U889" s="131"/>
      <c r="V889" s="131"/>
      <c r="W889" s="131"/>
      <c r="X889" s="131"/>
    </row>
    <row r="890" spans="1:24" ht="13.5" customHeight="1">
      <c r="A890" s="132"/>
      <c r="B890" s="131"/>
      <c r="C890" s="131"/>
      <c r="D890" s="132"/>
      <c r="E890" s="132"/>
      <c r="F890" s="132"/>
      <c r="G890" s="132"/>
      <c r="H890" s="132"/>
      <c r="I890" s="131"/>
      <c r="J890" s="131"/>
      <c r="K890" s="131"/>
      <c r="L890" s="131"/>
      <c r="M890" s="131"/>
      <c r="N890" s="131"/>
      <c r="O890" s="131"/>
      <c r="P890" s="131"/>
      <c r="Q890" s="131"/>
      <c r="R890" s="131"/>
      <c r="S890" s="131"/>
      <c r="T890" s="131"/>
      <c r="U890" s="131"/>
      <c r="V890" s="131"/>
      <c r="W890" s="131"/>
      <c r="X890" s="131"/>
    </row>
    <row r="891" spans="1:24" ht="13.5" customHeight="1">
      <c r="A891" s="132"/>
      <c r="B891" s="131"/>
      <c r="C891" s="131"/>
      <c r="D891" s="132"/>
      <c r="E891" s="132"/>
      <c r="F891" s="132"/>
      <c r="G891" s="132"/>
      <c r="H891" s="132"/>
      <c r="I891" s="131"/>
      <c r="J891" s="131"/>
      <c r="K891" s="131"/>
      <c r="L891" s="131"/>
      <c r="M891" s="131"/>
      <c r="N891" s="131"/>
      <c r="O891" s="131"/>
      <c r="P891" s="131"/>
      <c r="Q891" s="131"/>
      <c r="R891" s="131"/>
      <c r="S891" s="131"/>
      <c r="T891" s="131"/>
      <c r="U891" s="131"/>
      <c r="V891" s="131"/>
      <c r="W891" s="131"/>
      <c r="X891" s="131"/>
    </row>
    <row r="892" spans="1:24" ht="13.5" customHeight="1">
      <c r="A892" s="132"/>
      <c r="B892" s="131"/>
      <c r="C892" s="131"/>
      <c r="D892" s="132"/>
      <c r="E892" s="132"/>
      <c r="F892" s="132"/>
      <c r="G892" s="132"/>
      <c r="H892" s="132"/>
      <c r="I892" s="131"/>
      <c r="J892" s="131"/>
      <c r="K892" s="131"/>
      <c r="L892" s="131"/>
      <c r="M892" s="131"/>
      <c r="N892" s="131"/>
      <c r="O892" s="131"/>
      <c r="P892" s="131"/>
      <c r="Q892" s="131"/>
      <c r="R892" s="131"/>
      <c r="S892" s="131"/>
      <c r="T892" s="131"/>
      <c r="U892" s="131"/>
      <c r="V892" s="131"/>
      <c r="W892" s="131"/>
      <c r="X892" s="131"/>
    </row>
    <row r="893" spans="1:24" ht="13.5" customHeight="1">
      <c r="A893" s="132"/>
      <c r="B893" s="131"/>
      <c r="C893" s="131"/>
      <c r="D893" s="132"/>
      <c r="E893" s="132"/>
      <c r="F893" s="132"/>
      <c r="G893" s="132"/>
      <c r="H893" s="132"/>
      <c r="I893" s="131"/>
      <c r="J893" s="131"/>
      <c r="K893" s="131"/>
      <c r="L893" s="131"/>
      <c r="M893" s="131"/>
      <c r="N893" s="131"/>
      <c r="O893" s="131"/>
      <c r="P893" s="131"/>
      <c r="Q893" s="131"/>
      <c r="R893" s="131"/>
      <c r="S893" s="131"/>
      <c r="T893" s="131"/>
      <c r="U893" s="131"/>
      <c r="V893" s="131"/>
      <c r="W893" s="131"/>
      <c r="X893" s="131"/>
    </row>
    <row r="894" spans="1:24" ht="13.5" customHeight="1">
      <c r="A894" s="132"/>
      <c r="B894" s="131"/>
      <c r="C894" s="131"/>
      <c r="D894" s="132"/>
      <c r="E894" s="132"/>
      <c r="F894" s="132"/>
      <c r="G894" s="132"/>
      <c r="H894" s="132"/>
      <c r="I894" s="131"/>
      <c r="J894" s="131"/>
      <c r="K894" s="131"/>
      <c r="L894" s="131"/>
      <c r="M894" s="131"/>
      <c r="N894" s="131"/>
      <c r="O894" s="131"/>
      <c r="P894" s="131"/>
      <c r="Q894" s="131"/>
      <c r="R894" s="131"/>
      <c r="S894" s="131"/>
      <c r="T894" s="131"/>
      <c r="U894" s="131"/>
      <c r="V894" s="131"/>
      <c r="W894" s="131"/>
      <c r="X894" s="131"/>
    </row>
    <row r="895" spans="1:24" ht="13.5" customHeight="1">
      <c r="A895" s="132"/>
      <c r="B895" s="131"/>
      <c r="C895" s="131"/>
      <c r="D895" s="132"/>
      <c r="E895" s="132"/>
      <c r="F895" s="132"/>
      <c r="G895" s="132"/>
      <c r="H895" s="132"/>
      <c r="I895" s="131"/>
      <c r="J895" s="131"/>
      <c r="K895" s="131"/>
      <c r="L895" s="131"/>
      <c r="M895" s="131"/>
      <c r="N895" s="131"/>
      <c r="O895" s="131"/>
      <c r="P895" s="131"/>
      <c r="Q895" s="131"/>
      <c r="R895" s="131"/>
      <c r="S895" s="131"/>
      <c r="T895" s="131"/>
      <c r="U895" s="131"/>
      <c r="V895" s="131"/>
      <c r="W895" s="131"/>
      <c r="X895" s="131"/>
    </row>
    <row r="896" spans="1:24" ht="13.5" customHeight="1">
      <c r="A896" s="132"/>
      <c r="B896" s="131"/>
      <c r="C896" s="131"/>
      <c r="D896" s="132"/>
      <c r="E896" s="132"/>
      <c r="F896" s="132"/>
      <c r="G896" s="132"/>
      <c r="H896" s="132"/>
      <c r="I896" s="131"/>
      <c r="J896" s="131"/>
      <c r="K896" s="131"/>
      <c r="L896" s="131"/>
      <c r="M896" s="131"/>
      <c r="N896" s="131"/>
      <c r="O896" s="131"/>
      <c r="P896" s="131"/>
      <c r="Q896" s="131"/>
      <c r="R896" s="131"/>
      <c r="S896" s="131"/>
      <c r="T896" s="131"/>
      <c r="U896" s="131"/>
      <c r="V896" s="131"/>
      <c r="W896" s="131"/>
      <c r="X896" s="131"/>
    </row>
    <row r="897" spans="1:24" ht="13.5" customHeight="1">
      <c r="A897" s="132"/>
      <c r="B897" s="131"/>
      <c r="C897" s="131"/>
      <c r="D897" s="132"/>
      <c r="E897" s="132"/>
      <c r="F897" s="132"/>
      <c r="G897" s="132"/>
      <c r="H897" s="132"/>
      <c r="I897" s="131"/>
      <c r="J897" s="131"/>
      <c r="K897" s="131"/>
      <c r="L897" s="131"/>
      <c r="M897" s="131"/>
      <c r="N897" s="131"/>
      <c r="O897" s="131"/>
      <c r="P897" s="131"/>
      <c r="Q897" s="131"/>
      <c r="R897" s="131"/>
      <c r="S897" s="131"/>
      <c r="T897" s="131"/>
      <c r="U897" s="131"/>
      <c r="V897" s="131"/>
      <c r="W897" s="131"/>
      <c r="X897" s="131"/>
    </row>
    <row r="898" spans="1:24" ht="13.5" customHeight="1">
      <c r="A898" s="132"/>
      <c r="B898" s="131"/>
      <c r="C898" s="131"/>
      <c r="D898" s="132"/>
      <c r="E898" s="132"/>
      <c r="F898" s="132"/>
      <c r="G898" s="132"/>
      <c r="H898" s="132"/>
      <c r="I898" s="131"/>
      <c r="J898" s="131"/>
      <c r="K898" s="131"/>
      <c r="L898" s="131"/>
      <c r="M898" s="131"/>
      <c r="N898" s="131"/>
      <c r="O898" s="131"/>
      <c r="P898" s="131"/>
      <c r="Q898" s="131"/>
      <c r="R898" s="131"/>
      <c r="S898" s="131"/>
      <c r="T898" s="131"/>
      <c r="U898" s="131"/>
      <c r="V898" s="131"/>
      <c r="W898" s="131"/>
      <c r="X898" s="131"/>
    </row>
    <row r="899" spans="1:24" ht="13.5" customHeight="1">
      <c r="A899" s="132"/>
      <c r="B899" s="131"/>
      <c r="C899" s="131"/>
      <c r="D899" s="132"/>
      <c r="E899" s="132"/>
      <c r="F899" s="132"/>
      <c r="G899" s="132"/>
      <c r="H899" s="132"/>
      <c r="I899" s="131"/>
      <c r="J899" s="131"/>
      <c r="K899" s="131"/>
      <c r="L899" s="131"/>
      <c r="M899" s="131"/>
      <c r="N899" s="131"/>
      <c r="O899" s="131"/>
      <c r="P899" s="131"/>
      <c r="Q899" s="131"/>
      <c r="R899" s="131"/>
      <c r="S899" s="131"/>
      <c r="T899" s="131"/>
      <c r="U899" s="131"/>
      <c r="V899" s="131"/>
      <c r="W899" s="131"/>
      <c r="X899" s="131"/>
    </row>
    <row r="900" spans="1:24" ht="13.5" customHeight="1">
      <c r="A900" s="132"/>
      <c r="B900" s="131"/>
      <c r="C900" s="131"/>
      <c r="D900" s="132"/>
      <c r="E900" s="132"/>
      <c r="F900" s="132"/>
      <c r="G900" s="132"/>
      <c r="H900" s="132"/>
      <c r="I900" s="131"/>
      <c r="J900" s="131"/>
      <c r="K900" s="131"/>
      <c r="L900" s="131"/>
      <c r="M900" s="131"/>
      <c r="N900" s="131"/>
      <c r="O900" s="131"/>
      <c r="P900" s="131"/>
      <c r="Q900" s="131"/>
      <c r="R900" s="131"/>
      <c r="S900" s="131"/>
      <c r="T900" s="131"/>
      <c r="U900" s="131"/>
      <c r="V900" s="131"/>
      <c r="W900" s="131"/>
      <c r="X900" s="131"/>
    </row>
    <row r="901" spans="1:24" ht="13.5" customHeight="1">
      <c r="A901" s="132"/>
      <c r="B901" s="131"/>
      <c r="C901" s="131"/>
      <c r="D901" s="132"/>
      <c r="E901" s="132"/>
      <c r="F901" s="132"/>
      <c r="G901" s="132"/>
      <c r="H901" s="132"/>
      <c r="I901" s="131"/>
      <c r="J901" s="131"/>
      <c r="K901" s="131"/>
      <c r="L901" s="131"/>
      <c r="M901" s="131"/>
      <c r="N901" s="131"/>
      <c r="O901" s="131"/>
      <c r="P901" s="131"/>
      <c r="Q901" s="131"/>
      <c r="R901" s="131"/>
      <c r="S901" s="131"/>
      <c r="T901" s="131"/>
      <c r="U901" s="131"/>
      <c r="V901" s="131"/>
      <c r="W901" s="131"/>
      <c r="X901" s="131"/>
    </row>
    <row r="902" spans="1:24" ht="13.5" customHeight="1">
      <c r="A902" s="132"/>
      <c r="B902" s="131"/>
      <c r="C902" s="131"/>
      <c r="D902" s="132"/>
      <c r="E902" s="132"/>
      <c r="F902" s="132"/>
      <c r="G902" s="132"/>
      <c r="H902" s="132"/>
      <c r="I902" s="131"/>
      <c r="J902" s="131"/>
      <c r="K902" s="131"/>
      <c r="L902" s="131"/>
      <c r="M902" s="131"/>
      <c r="N902" s="131"/>
      <c r="O902" s="131"/>
      <c r="P902" s="131"/>
      <c r="Q902" s="131"/>
      <c r="R902" s="131"/>
      <c r="S902" s="131"/>
      <c r="T902" s="131"/>
      <c r="U902" s="131"/>
      <c r="V902" s="131"/>
      <c r="W902" s="131"/>
      <c r="X902" s="131"/>
    </row>
    <row r="903" spans="1:24" ht="13.5" customHeight="1">
      <c r="A903" s="132"/>
      <c r="B903" s="131"/>
      <c r="C903" s="131"/>
      <c r="D903" s="132"/>
      <c r="E903" s="132"/>
      <c r="F903" s="132"/>
      <c r="G903" s="132"/>
      <c r="H903" s="132"/>
      <c r="I903" s="131"/>
      <c r="J903" s="131"/>
      <c r="K903" s="131"/>
      <c r="L903" s="131"/>
      <c r="M903" s="131"/>
      <c r="N903" s="131"/>
      <c r="O903" s="131"/>
      <c r="P903" s="131"/>
      <c r="Q903" s="131"/>
      <c r="R903" s="131"/>
      <c r="S903" s="131"/>
      <c r="T903" s="131"/>
      <c r="U903" s="131"/>
      <c r="V903" s="131"/>
      <c r="W903" s="131"/>
      <c r="X903" s="131"/>
    </row>
    <row r="904" spans="1:24" ht="13.5" customHeight="1">
      <c r="A904" s="132"/>
      <c r="B904" s="131"/>
      <c r="C904" s="131"/>
      <c r="D904" s="132"/>
      <c r="E904" s="132"/>
      <c r="F904" s="132"/>
      <c r="G904" s="132"/>
      <c r="H904" s="132"/>
      <c r="I904" s="131"/>
      <c r="J904" s="131"/>
      <c r="K904" s="131"/>
      <c r="L904" s="131"/>
      <c r="M904" s="131"/>
      <c r="N904" s="131"/>
      <c r="O904" s="131"/>
      <c r="P904" s="131"/>
      <c r="Q904" s="131"/>
      <c r="R904" s="131"/>
      <c r="S904" s="131"/>
      <c r="T904" s="131"/>
      <c r="U904" s="131"/>
      <c r="V904" s="131"/>
      <c r="W904" s="131"/>
      <c r="X904" s="131"/>
    </row>
    <row r="905" spans="1:24" ht="13.5" customHeight="1">
      <c r="A905" s="132"/>
      <c r="B905" s="131"/>
      <c r="C905" s="131"/>
      <c r="D905" s="132"/>
      <c r="E905" s="132"/>
      <c r="F905" s="132"/>
      <c r="G905" s="132"/>
      <c r="H905" s="132"/>
      <c r="I905" s="131"/>
      <c r="J905" s="131"/>
      <c r="K905" s="131"/>
      <c r="L905" s="131"/>
      <c r="M905" s="131"/>
      <c r="N905" s="131"/>
      <c r="O905" s="131"/>
      <c r="P905" s="131"/>
      <c r="Q905" s="131"/>
      <c r="R905" s="131"/>
      <c r="S905" s="131"/>
      <c r="T905" s="131"/>
      <c r="U905" s="131"/>
      <c r="V905" s="131"/>
      <c r="W905" s="131"/>
      <c r="X905" s="131"/>
    </row>
    <row r="906" spans="1:24" ht="13.5" customHeight="1">
      <c r="A906" s="132"/>
      <c r="B906" s="131"/>
      <c r="C906" s="131"/>
      <c r="D906" s="132"/>
      <c r="E906" s="132"/>
      <c r="F906" s="132"/>
      <c r="G906" s="132"/>
      <c r="H906" s="132"/>
      <c r="I906" s="131"/>
      <c r="J906" s="131"/>
      <c r="K906" s="131"/>
      <c r="L906" s="131"/>
      <c r="M906" s="131"/>
      <c r="N906" s="131"/>
      <c r="O906" s="131"/>
      <c r="P906" s="131"/>
      <c r="Q906" s="131"/>
      <c r="R906" s="131"/>
      <c r="S906" s="131"/>
      <c r="T906" s="131"/>
      <c r="U906" s="131"/>
      <c r="V906" s="131"/>
      <c r="W906" s="131"/>
      <c r="X906" s="131"/>
    </row>
    <row r="907" spans="1:24" ht="13.5" customHeight="1">
      <c r="A907" s="132"/>
      <c r="B907" s="131"/>
      <c r="C907" s="131"/>
      <c r="D907" s="132"/>
      <c r="E907" s="132"/>
      <c r="F907" s="132"/>
      <c r="G907" s="132"/>
      <c r="H907" s="132"/>
      <c r="I907" s="131"/>
      <c r="J907" s="131"/>
      <c r="K907" s="131"/>
      <c r="L907" s="131"/>
      <c r="M907" s="131"/>
      <c r="N907" s="131"/>
      <c r="O907" s="131"/>
      <c r="P907" s="131"/>
      <c r="Q907" s="131"/>
      <c r="R907" s="131"/>
      <c r="S907" s="131"/>
      <c r="T907" s="131"/>
      <c r="U907" s="131"/>
      <c r="V907" s="131"/>
      <c r="W907" s="131"/>
      <c r="X907" s="131"/>
    </row>
    <row r="908" spans="1:24" ht="13.5" customHeight="1">
      <c r="A908" s="132"/>
      <c r="B908" s="131"/>
      <c r="C908" s="131"/>
      <c r="D908" s="132"/>
      <c r="E908" s="132"/>
      <c r="F908" s="132"/>
      <c r="G908" s="132"/>
      <c r="H908" s="132"/>
      <c r="I908" s="131"/>
      <c r="J908" s="131"/>
      <c r="K908" s="131"/>
      <c r="L908" s="131"/>
      <c r="M908" s="131"/>
      <c r="N908" s="131"/>
      <c r="O908" s="131"/>
      <c r="P908" s="131"/>
      <c r="Q908" s="131"/>
      <c r="R908" s="131"/>
      <c r="S908" s="131"/>
      <c r="T908" s="131"/>
      <c r="U908" s="131"/>
      <c r="V908" s="131"/>
      <c r="W908" s="131"/>
      <c r="X908" s="131"/>
    </row>
    <row r="909" spans="1:24" ht="13.5" customHeight="1">
      <c r="A909" s="132"/>
      <c r="B909" s="131"/>
      <c r="C909" s="131"/>
      <c r="D909" s="132"/>
      <c r="E909" s="132"/>
      <c r="F909" s="132"/>
      <c r="G909" s="132"/>
      <c r="H909" s="132"/>
      <c r="I909" s="131"/>
      <c r="J909" s="131"/>
      <c r="K909" s="131"/>
      <c r="L909" s="131"/>
      <c r="M909" s="131"/>
      <c r="N909" s="131"/>
      <c r="O909" s="131"/>
      <c r="P909" s="131"/>
      <c r="Q909" s="131"/>
      <c r="R909" s="131"/>
      <c r="S909" s="131"/>
      <c r="T909" s="131"/>
      <c r="U909" s="131"/>
      <c r="V909" s="131"/>
      <c r="W909" s="131"/>
      <c r="X909" s="131"/>
    </row>
    <row r="910" spans="1:24" ht="13.5" customHeight="1">
      <c r="A910" s="132"/>
      <c r="B910" s="131"/>
      <c r="C910" s="131"/>
      <c r="D910" s="132"/>
      <c r="E910" s="132"/>
      <c r="F910" s="132"/>
      <c r="G910" s="132"/>
      <c r="H910" s="132"/>
      <c r="I910" s="131"/>
      <c r="J910" s="131"/>
      <c r="K910" s="131"/>
      <c r="L910" s="131"/>
      <c r="M910" s="131"/>
      <c r="N910" s="131"/>
      <c r="O910" s="131"/>
      <c r="P910" s="131"/>
      <c r="Q910" s="131"/>
      <c r="R910" s="131"/>
      <c r="S910" s="131"/>
      <c r="T910" s="131"/>
      <c r="U910" s="131"/>
      <c r="V910" s="131"/>
      <c r="W910" s="131"/>
      <c r="X910" s="131"/>
    </row>
    <row r="911" spans="1:24" ht="13.5" customHeight="1">
      <c r="A911" s="132"/>
      <c r="B911" s="131"/>
      <c r="C911" s="131"/>
      <c r="D911" s="132"/>
      <c r="E911" s="132"/>
      <c r="F911" s="132"/>
      <c r="G911" s="132"/>
      <c r="H911" s="132"/>
      <c r="I911" s="131"/>
      <c r="J911" s="131"/>
      <c r="K911" s="131"/>
      <c r="L911" s="131"/>
      <c r="M911" s="131"/>
      <c r="N911" s="131"/>
      <c r="O911" s="131"/>
      <c r="P911" s="131"/>
      <c r="Q911" s="131"/>
      <c r="R911" s="131"/>
      <c r="S911" s="131"/>
      <c r="T911" s="131"/>
      <c r="U911" s="131"/>
      <c r="V911" s="131"/>
      <c r="W911" s="131"/>
      <c r="X911" s="131"/>
    </row>
    <row r="912" spans="1:24" ht="13.5" customHeight="1">
      <c r="A912" s="132"/>
      <c r="B912" s="131"/>
      <c r="C912" s="131"/>
      <c r="D912" s="132"/>
      <c r="E912" s="132"/>
      <c r="F912" s="132"/>
      <c r="G912" s="132"/>
      <c r="H912" s="132"/>
      <c r="I912" s="131"/>
      <c r="J912" s="131"/>
      <c r="K912" s="131"/>
      <c r="L912" s="131"/>
      <c r="M912" s="131"/>
      <c r="N912" s="131"/>
      <c r="O912" s="131"/>
      <c r="P912" s="131"/>
      <c r="Q912" s="131"/>
      <c r="R912" s="131"/>
      <c r="S912" s="131"/>
      <c r="T912" s="131"/>
      <c r="U912" s="131"/>
      <c r="V912" s="131"/>
      <c r="W912" s="131"/>
      <c r="X912" s="131"/>
    </row>
    <row r="913" spans="1:24" ht="13.5" customHeight="1">
      <c r="A913" s="132"/>
      <c r="B913" s="131"/>
      <c r="C913" s="131"/>
      <c r="D913" s="132"/>
      <c r="E913" s="132"/>
      <c r="F913" s="132"/>
      <c r="G913" s="132"/>
      <c r="H913" s="132"/>
      <c r="I913" s="131"/>
      <c r="J913" s="131"/>
      <c r="K913" s="131"/>
      <c r="L913" s="131"/>
      <c r="M913" s="131"/>
      <c r="N913" s="131"/>
      <c r="O913" s="131"/>
      <c r="P913" s="131"/>
      <c r="Q913" s="131"/>
      <c r="R913" s="131"/>
      <c r="S913" s="131"/>
      <c r="T913" s="131"/>
      <c r="U913" s="131"/>
      <c r="V913" s="131"/>
      <c r="W913" s="131"/>
      <c r="X913" s="131"/>
    </row>
    <row r="914" spans="1:24" ht="13.5" customHeight="1">
      <c r="A914" s="132"/>
      <c r="B914" s="131"/>
      <c r="C914" s="131"/>
      <c r="D914" s="132"/>
      <c r="E914" s="132"/>
      <c r="F914" s="132"/>
      <c r="G914" s="132"/>
      <c r="H914" s="132"/>
      <c r="I914" s="131"/>
      <c r="J914" s="131"/>
      <c r="K914" s="131"/>
      <c r="L914" s="131"/>
      <c r="M914" s="131"/>
      <c r="N914" s="131"/>
      <c r="O914" s="131"/>
      <c r="P914" s="131"/>
      <c r="Q914" s="131"/>
      <c r="R914" s="131"/>
      <c r="S914" s="131"/>
      <c r="T914" s="131"/>
      <c r="U914" s="131"/>
      <c r="V914" s="131"/>
      <c r="W914" s="131"/>
      <c r="X914" s="131"/>
    </row>
    <row r="915" spans="1:24" ht="13.5" customHeight="1">
      <c r="A915" s="132"/>
      <c r="B915" s="131"/>
      <c r="C915" s="131"/>
      <c r="D915" s="132"/>
      <c r="E915" s="132"/>
      <c r="F915" s="132"/>
      <c r="G915" s="132"/>
      <c r="H915" s="132"/>
      <c r="I915" s="131"/>
      <c r="J915" s="131"/>
      <c r="K915" s="131"/>
      <c r="L915" s="131"/>
      <c r="M915" s="131"/>
      <c r="N915" s="131"/>
      <c r="O915" s="131"/>
      <c r="P915" s="131"/>
      <c r="Q915" s="131"/>
      <c r="R915" s="131"/>
      <c r="S915" s="131"/>
      <c r="T915" s="131"/>
      <c r="U915" s="131"/>
      <c r="V915" s="131"/>
      <c r="W915" s="131"/>
      <c r="X915" s="131"/>
    </row>
    <row r="916" spans="1:24" ht="13.5" customHeight="1">
      <c r="A916" s="132"/>
      <c r="B916" s="131"/>
      <c r="C916" s="131"/>
      <c r="D916" s="132"/>
      <c r="E916" s="132"/>
      <c r="F916" s="132"/>
      <c r="G916" s="132"/>
      <c r="H916" s="132"/>
      <c r="I916" s="131"/>
      <c r="J916" s="131"/>
      <c r="K916" s="131"/>
      <c r="L916" s="131"/>
      <c r="M916" s="131"/>
      <c r="N916" s="131"/>
      <c r="O916" s="131"/>
      <c r="P916" s="131"/>
      <c r="Q916" s="131"/>
      <c r="R916" s="131"/>
      <c r="S916" s="131"/>
      <c r="T916" s="131"/>
      <c r="U916" s="131"/>
      <c r="V916" s="131"/>
      <c r="W916" s="131"/>
      <c r="X916" s="131"/>
    </row>
    <row r="917" spans="1:24" ht="13.5" customHeight="1">
      <c r="A917" s="132"/>
      <c r="B917" s="131"/>
      <c r="C917" s="131"/>
      <c r="D917" s="132"/>
      <c r="E917" s="132"/>
      <c r="F917" s="132"/>
      <c r="G917" s="132"/>
      <c r="H917" s="132"/>
      <c r="I917" s="131"/>
      <c r="J917" s="131"/>
      <c r="K917" s="131"/>
      <c r="L917" s="131"/>
      <c r="M917" s="131"/>
      <c r="N917" s="131"/>
      <c r="O917" s="131"/>
      <c r="P917" s="131"/>
      <c r="Q917" s="131"/>
      <c r="R917" s="131"/>
      <c r="S917" s="131"/>
      <c r="T917" s="131"/>
      <c r="U917" s="131"/>
      <c r="V917" s="131"/>
      <c r="W917" s="131"/>
      <c r="X917" s="131"/>
    </row>
    <row r="918" spans="1:24" ht="13.5" customHeight="1">
      <c r="A918" s="132"/>
      <c r="B918" s="131"/>
      <c r="C918" s="131"/>
      <c r="D918" s="132"/>
      <c r="E918" s="132"/>
      <c r="F918" s="132"/>
      <c r="G918" s="132"/>
      <c r="H918" s="132"/>
      <c r="I918" s="131"/>
      <c r="J918" s="131"/>
      <c r="K918" s="131"/>
      <c r="L918" s="131"/>
      <c r="M918" s="131"/>
      <c r="N918" s="131"/>
      <c r="O918" s="131"/>
      <c r="P918" s="131"/>
      <c r="Q918" s="131"/>
      <c r="R918" s="131"/>
      <c r="S918" s="131"/>
      <c r="T918" s="131"/>
      <c r="U918" s="131"/>
      <c r="V918" s="131"/>
      <c r="W918" s="131"/>
      <c r="X918" s="131"/>
    </row>
    <row r="919" spans="1:24" ht="13.5" customHeight="1">
      <c r="A919" s="132"/>
      <c r="B919" s="131"/>
      <c r="C919" s="131"/>
      <c r="D919" s="132"/>
      <c r="E919" s="132"/>
      <c r="F919" s="132"/>
      <c r="G919" s="132"/>
      <c r="H919" s="132"/>
      <c r="I919" s="131"/>
      <c r="J919" s="131"/>
      <c r="K919" s="131"/>
      <c r="L919" s="131"/>
      <c r="M919" s="131"/>
      <c r="N919" s="131"/>
      <c r="O919" s="131"/>
      <c r="P919" s="131"/>
      <c r="Q919" s="131"/>
      <c r="R919" s="131"/>
      <c r="S919" s="131"/>
      <c r="T919" s="131"/>
      <c r="U919" s="131"/>
      <c r="V919" s="131"/>
      <c r="W919" s="131"/>
      <c r="X919" s="131"/>
    </row>
    <row r="920" spans="1:24" ht="13.5" customHeight="1">
      <c r="A920" s="132"/>
      <c r="B920" s="131"/>
      <c r="C920" s="131"/>
      <c r="D920" s="132"/>
      <c r="E920" s="132"/>
      <c r="F920" s="132"/>
      <c r="G920" s="132"/>
      <c r="H920" s="132"/>
      <c r="I920" s="131"/>
      <c r="J920" s="131"/>
      <c r="K920" s="131"/>
      <c r="L920" s="131"/>
      <c r="M920" s="131"/>
      <c r="N920" s="131"/>
      <c r="O920" s="131"/>
      <c r="P920" s="131"/>
      <c r="Q920" s="131"/>
      <c r="R920" s="131"/>
      <c r="S920" s="131"/>
      <c r="T920" s="131"/>
      <c r="U920" s="131"/>
      <c r="V920" s="131"/>
      <c r="W920" s="131"/>
      <c r="X920" s="131"/>
    </row>
    <row r="921" spans="1:24" ht="13.5" customHeight="1">
      <c r="A921" s="132"/>
      <c r="B921" s="131"/>
      <c r="C921" s="131"/>
      <c r="D921" s="132"/>
      <c r="E921" s="132"/>
      <c r="F921" s="132"/>
      <c r="G921" s="132"/>
      <c r="H921" s="132"/>
      <c r="I921" s="131"/>
      <c r="J921" s="131"/>
      <c r="K921" s="131"/>
      <c r="L921" s="131"/>
      <c r="M921" s="131"/>
      <c r="N921" s="131"/>
      <c r="O921" s="131"/>
      <c r="P921" s="131"/>
      <c r="Q921" s="131"/>
      <c r="R921" s="131"/>
      <c r="S921" s="131"/>
      <c r="T921" s="131"/>
      <c r="U921" s="131"/>
      <c r="V921" s="131"/>
      <c r="W921" s="131"/>
      <c r="X921" s="131"/>
    </row>
    <row r="922" spans="1:24" ht="13.5" customHeight="1">
      <c r="A922" s="132"/>
      <c r="B922" s="131"/>
      <c r="C922" s="131"/>
      <c r="D922" s="132"/>
      <c r="E922" s="132"/>
      <c r="F922" s="132"/>
      <c r="G922" s="132"/>
      <c r="H922" s="132"/>
      <c r="I922" s="131"/>
      <c r="J922" s="131"/>
      <c r="K922" s="131"/>
      <c r="L922" s="131"/>
      <c r="M922" s="131"/>
      <c r="N922" s="131"/>
      <c r="O922" s="131"/>
      <c r="P922" s="131"/>
      <c r="Q922" s="131"/>
      <c r="R922" s="131"/>
      <c r="S922" s="131"/>
      <c r="T922" s="131"/>
      <c r="U922" s="131"/>
      <c r="V922" s="131"/>
      <c r="W922" s="131"/>
      <c r="X922" s="131"/>
    </row>
    <row r="923" spans="1:24" ht="13.5" customHeight="1">
      <c r="A923" s="132"/>
      <c r="B923" s="131"/>
      <c r="C923" s="131"/>
      <c r="D923" s="132"/>
      <c r="E923" s="132"/>
      <c r="F923" s="132"/>
      <c r="G923" s="132"/>
      <c r="H923" s="132"/>
      <c r="I923" s="131"/>
      <c r="J923" s="131"/>
      <c r="K923" s="131"/>
      <c r="L923" s="131"/>
      <c r="M923" s="131"/>
      <c r="N923" s="131"/>
      <c r="O923" s="131"/>
      <c r="P923" s="131"/>
      <c r="Q923" s="131"/>
      <c r="R923" s="131"/>
      <c r="S923" s="131"/>
      <c r="T923" s="131"/>
      <c r="U923" s="131"/>
      <c r="V923" s="131"/>
      <c r="W923" s="131"/>
      <c r="X923" s="131"/>
    </row>
    <row r="924" spans="1:24" ht="13.5" customHeight="1">
      <c r="A924" s="132"/>
      <c r="B924" s="131"/>
      <c r="C924" s="131"/>
      <c r="D924" s="132"/>
      <c r="E924" s="132"/>
      <c r="F924" s="132"/>
      <c r="G924" s="132"/>
      <c r="H924" s="132"/>
      <c r="I924" s="131"/>
      <c r="J924" s="131"/>
      <c r="K924" s="131"/>
      <c r="L924" s="131"/>
      <c r="M924" s="131"/>
      <c r="N924" s="131"/>
      <c r="O924" s="131"/>
      <c r="P924" s="131"/>
      <c r="Q924" s="131"/>
      <c r="R924" s="131"/>
      <c r="S924" s="131"/>
      <c r="T924" s="131"/>
      <c r="U924" s="131"/>
      <c r="V924" s="131"/>
      <c r="W924" s="131"/>
      <c r="X924" s="131"/>
    </row>
    <row r="925" spans="1:24" ht="13.5" customHeight="1">
      <c r="A925" s="132"/>
      <c r="B925" s="131"/>
      <c r="C925" s="131"/>
      <c r="D925" s="132"/>
      <c r="E925" s="132"/>
      <c r="F925" s="132"/>
      <c r="G925" s="132"/>
      <c r="H925" s="132"/>
      <c r="I925" s="131"/>
      <c r="J925" s="131"/>
      <c r="K925" s="131"/>
      <c r="L925" s="131"/>
      <c r="M925" s="131"/>
      <c r="N925" s="131"/>
      <c r="O925" s="131"/>
      <c r="P925" s="131"/>
      <c r="Q925" s="131"/>
      <c r="R925" s="131"/>
      <c r="S925" s="131"/>
      <c r="T925" s="131"/>
      <c r="U925" s="131"/>
      <c r="V925" s="131"/>
      <c r="W925" s="131"/>
      <c r="X925" s="131"/>
    </row>
    <row r="926" spans="1:24" ht="13.5" customHeight="1">
      <c r="A926" s="132"/>
      <c r="B926" s="131"/>
      <c r="C926" s="131"/>
      <c r="D926" s="132"/>
      <c r="E926" s="132"/>
      <c r="F926" s="132"/>
      <c r="G926" s="132"/>
      <c r="H926" s="132"/>
      <c r="I926" s="131"/>
      <c r="J926" s="131"/>
      <c r="K926" s="131"/>
      <c r="L926" s="131"/>
      <c r="M926" s="131"/>
      <c r="N926" s="131"/>
      <c r="O926" s="131"/>
      <c r="P926" s="131"/>
      <c r="Q926" s="131"/>
      <c r="R926" s="131"/>
      <c r="S926" s="131"/>
      <c r="T926" s="131"/>
      <c r="U926" s="131"/>
      <c r="V926" s="131"/>
      <c r="W926" s="131"/>
      <c r="X926" s="131"/>
    </row>
    <row r="927" spans="1:24" ht="13.5" customHeight="1">
      <c r="A927" s="132"/>
      <c r="B927" s="131"/>
      <c r="C927" s="131"/>
      <c r="D927" s="132"/>
      <c r="E927" s="132"/>
      <c r="F927" s="132"/>
      <c r="G927" s="132"/>
      <c r="H927" s="132"/>
      <c r="I927" s="131"/>
      <c r="J927" s="131"/>
      <c r="K927" s="131"/>
      <c r="L927" s="131"/>
      <c r="M927" s="131"/>
      <c r="N927" s="131"/>
      <c r="O927" s="131"/>
      <c r="P927" s="131"/>
      <c r="Q927" s="131"/>
      <c r="R927" s="131"/>
      <c r="S927" s="131"/>
      <c r="T927" s="131"/>
      <c r="U927" s="131"/>
      <c r="V927" s="131"/>
      <c r="W927" s="131"/>
      <c r="X927" s="131"/>
    </row>
    <row r="928" spans="1:24" ht="13.5" customHeight="1">
      <c r="A928" s="132"/>
      <c r="B928" s="131"/>
      <c r="C928" s="131"/>
      <c r="D928" s="132"/>
      <c r="E928" s="132"/>
      <c r="F928" s="132"/>
      <c r="G928" s="132"/>
      <c r="H928" s="132"/>
      <c r="I928" s="131"/>
      <c r="J928" s="131"/>
      <c r="K928" s="131"/>
      <c r="L928" s="131"/>
      <c r="M928" s="131"/>
      <c r="N928" s="131"/>
      <c r="O928" s="131"/>
      <c r="P928" s="131"/>
      <c r="Q928" s="131"/>
      <c r="R928" s="131"/>
      <c r="S928" s="131"/>
      <c r="T928" s="131"/>
      <c r="U928" s="131"/>
      <c r="V928" s="131"/>
      <c r="W928" s="131"/>
      <c r="X928" s="131"/>
    </row>
    <row r="929" spans="1:24" ht="13.5" customHeight="1">
      <c r="A929" s="132"/>
      <c r="B929" s="131"/>
      <c r="C929" s="131"/>
      <c r="D929" s="132"/>
      <c r="E929" s="132"/>
      <c r="F929" s="132"/>
      <c r="G929" s="132"/>
      <c r="H929" s="132"/>
      <c r="I929" s="131"/>
      <c r="J929" s="131"/>
      <c r="K929" s="131"/>
      <c r="L929" s="131"/>
      <c r="M929" s="131"/>
      <c r="N929" s="131"/>
      <c r="O929" s="131"/>
      <c r="P929" s="131"/>
      <c r="Q929" s="131"/>
      <c r="R929" s="131"/>
      <c r="S929" s="131"/>
      <c r="T929" s="131"/>
      <c r="U929" s="131"/>
      <c r="V929" s="131"/>
      <c r="W929" s="131"/>
      <c r="X929" s="131"/>
    </row>
    <row r="930" spans="1:24" ht="13.5" customHeight="1">
      <c r="A930" s="132"/>
      <c r="B930" s="131"/>
      <c r="C930" s="131"/>
      <c r="D930" s="132"/>
      <c r="E930" s="132"/>
      <c r="F930" s="132"/>
      <c r="G930" s="132"/>
      <c r="H930" s="132"/>
      <c r="I930" s="131"/>
      <c r="J930" s="131"/>
      <c r="K930" s="131"/>
      <c r="L930" s="131"/>
      <c r="M930" s="131"/>
      <c r="N930" s="131"/>
      <c r="O930" s="131"/>
      <c r="P930" s="131"/>
      <c r="Q930" s="131"/>
      <c r="R930" s="131"/>
      <c r="S930" s="131"/>
      <c r="T930" s="131"/>
      <c r="U930" s="131"/>
      <c r="V930" s="131"/>
      <c r="W930" s="131"/>
      <c r="X930" s="131"/>
    </row>
    <row r="931" spans="1:24" ht="13.5" customHeight="1">
      <c r="A931" s="132"/>
      <c r="B931" s="131"/>
      <c r="C931" s="131"/>
      <c r="D931" s="132"/>
      <c r="E931" s="132"/>
      <c r="F931" s="132"/>
      <c r="G931" s="132"/>
      <c r="H931" s="132"/>
      <c r="I931" s="131"/>
      <c r="J931" s="131"/>
      <c r="K931" s="131"/>
      <c r="L931" s="131"/>
      <c r="M931" s="131"/>
      <c r="N931" s="131"/>
      <c r="O931" s="131"/>
      <c r="P931" s="131"/>
      <c r="Q931" s="131"/>
      <c r="R931" s="131"/>
      <c r="S931" s="131"/>
      <c r="T931" s="131"/>
      <c r="U931" s="131"/>
      <c r="V931" s="131"/>
      <c r="W931" s="131"/>
      <c r="X931" s="131"/>
    </row>
    <row r="932" spans="1:24" ht="13.5" customHeight="1">
      <c r="A932" s="132"/>
      <c r="B932" s="131"/>
      <c r="C932" s="131"/>
      <c r="D932" s="132"/>
      <c r="E932" s="132"/>
      <c r="F932" s="132"/>
      <c r="G932" s="132"/>
      <c r="H932" s="132"/>
      <c r="I932" s="131"/>
      <c r="J932" s="131"/>
      <c r="K932" s="131"/>
      <c r="L932" s="131"/>
      <c r="M932" s="131"/>
      <c r="N932" s="131"/>
      <c r="O932" s="131"/>
      <c r="P932" s="131"/>
      <c r="Q932" s="131"/>
      <c r="R932" s="131"/>
      <c r="S932" s="131"/>
      <c r="T932" s="131"/>
      <c r="U932" s="131"/>
      <c r="V932" s="131"/>
      <c r="W932" s="131"/>
      <c r="X932" s="131"/>
    </row>
    <row r="933" spans="1:24" ht="13.5" customHeight="1">
      <c r="A933" s="132"/>
      <c r="B933" s="131"/>
      <c r="C933" s="131"/>
      <c r="D933" s="132"/>
      <c r="E933" s="132"/>
      <c r="F933" s="132"/>
      <c r="G933" s="132"/>
      <c r="H933" s="132"/>
      <c r="I933" s="131"/>
      <c r="J933" s="131"/>
      <c r="K933" s="131"/>
      <c r="L933" s="131"/>
      <c r="M933" s="131"/>
      <c r="N933" s="131"/>
      <c r="O933" s="131"/>
      <c r="P933" s="131"/>
      <c r="Q933" s="131"/>
      <c r="R933" s="131"/>
      <c r="S933" s="131"/>
      <c r="T933" s="131"/>
      <c r="U933" s="131"/>
      <c r="V933" s="131"/>
      <c r="W933" s="131"/>
      <c r="X933" s="131"/>
    </row>
    <row r="934" spans="1:24" ht="13.5" customHeight="1">
      <c r="A934" s="132"/>
      <c r="B934" s="131"/>
      <c r="C934" s="131"/>
      <c r="D934" s="132"/>
      <c r="E934" s="132"/>
      <c r="F934" s="132"/>
      <c r="G934" s="132"/>
      <c r="H934" s="132"/>
      <c r="I934" s="131"/>
      <c r="J934" s="131"/>
      <c r="K934" s="131"/>
      <c r="L934" s="131"/>
      <c r="M934" s="131"/>
      <c r="N934" s="131"/>
      <c r="O934" s="131"/>
      <c r="P934" s="131"/>
      <c r="Q934" s="131"/>
      <c r="R934" s="131"/>
      <c r="S934" s="131"/>
      <c r="T934" s="131"/>
      <c r="U934" s="131"/>
      <c r="V934" s="131"/>
      <c r="W934" s="131"/>
      <c r="X934" s="131"/>
    </row>
    <row r="935" spans="1:24" ht="13.5" customHeight="1">
      <c r="A935" s="132"/>
      <c r="B935" s="131"/>
      <c r="C935" s="131"/>
      <c r="D935" s="132"/>
      <c r="E935" s="132"/>
      <c r="F935" s="132"/>
      <c r="G935" s="132"/>
      <c r="H935" s="132"/>
      <c r="I935" s="131"/>
      <c r="J935" s="131"/>
      <c r="K935" s="131"/>
      <c r="L935" s="131"/>
      <c r="M935" s="131"/>
      <c r="N935" s="131"/>
      <c r="O935" s="131"/>
      <c r="P935" s="131"/>
      <c r="Q935" s="131"/>
      <c r="R935" s="131"/>
      <c r="S935" s="131"/>
      <c r="T935" s="131"/>
      <c r="U935" s="131"/>
      <c r="V935" s="131"/>
      <c r="W935" s="131"/>
      <c r="X935" s="131"/>
    </row>
    <row r="936" spans="1:24" ht="13.5" customHeight="1">
      <c r="A936" s="132"/>
      <c r="B936" s="131"/>
      <c r="C936" s="131"/>
      <c r="D936" s="132"/>
      <c r="E936" s="132"/>
      <c r="F936" s="132"/>
      <c r="G936" s="132"/>
      <c r="H936" s="132"/>
      <c r="I936" s="131"/>
      <c r="J936" s="131"/>
      <c r="K936" s="131"/>
      <c r="L936" s="131"/>
      <c r="M936" s="131"/>
      <c r="N936" s="131"/>
      <c r="O936" s="131"/>
      <c r="P936" s="131"/>
      <c r="Q936" s="131"/>
      <c r="R936" s="131"/>
      <c r="S936" s="131"/>
      <c r="T936" s="131"/>
      <c r="U936" s="131"/>
      <c r="V936" s="131"/>
      <c r="W936" s="131"/>
      <c r="X936" s="131"/>
    </row>
    <row r="937" spans="1:24" ht="13.5" customHeight="1">
      <c r="A937" s="132"/>
      <c r="B937" s="131"/>
      <c r="C937" s="131"/>
      <c r="D937" s="132"/>
      <c r="E937" s="132"/>
      <c r="F937" s="132"/>
      <c r="G937" s="132"/>
      <c r="H937" s="132"/>
      <c r="I937" s="131"/>
      <c r="J937" s="131"/>
      <c r="K937" s="131"/>
      <c r="L937" s="131"/>
      <c r="M937" s="131"/>
      <c r="N937" s="131"/>
      <c r="O937" s="131"/>
      <c r="P937" s="131"/>
      <c r="Q937" s="131"/>
      <c r="R937" s="131"/>
      <c r="S937" s="131"/>
      <c r="T937" s="131"/>
      <c r="U937" s="131"/>
      <c r="V937" s="131"/>
      <c r="W937" s="131"/>
      <c r="X937" s="131"/>
    </row>
    <row r="938" spans="1:24" ht="13.5" customHeight="1">
      <c r="A938" s="132"/>
      <c r="B938" s="131"/>
      <c r="C938" s="131"/>
      <c r="D938" s="132"/>
      <c r="E938" s="132"/>
      <c r="F938" s="132"/>
      <c r="G938" s="132"/>
      <c r="H938" s="132"/>
      <c r="I938" s="131"/>
      <c r="J938" s="131"/>
      <c r="K938" s="131"/>
      <c r="L938" s="131"/>
      <c r="M938" s="131"/>
      <c r="N938" s="131"/>
      <c r="O938" s="131"/>
      <c r="P938" s="131"/>
      <c r="Q938" s="131"/>
      <c r="R938" s="131"/>
      <c r="S938" s="131"/>
      <c r="T938" s="131"/>
      <c r="U938" s="131"/>
      <c r="V938" s="131"/>
      <c r="W938" s="131"/>
      <c r="X938" s="131"/>
    </row>
    <row r="939" spans="1:24" ht="13.5" customHeight="1">
      <c r="A939" s="132"/>
      <c r="B939" s="131"/>
      <c r="C939" s="131"/>
      <c r="D939" s="132"/>
      <c r="E939" s="132"/>
      <c r="F939" s="132"/>
      <c r="G939" s="132"/>
      <c r="H939" s="132"/>
      <c r="I939" s="131"/>
      <c r="J939" s="131"/>
      <c r="K939" s="131"/>
      <c r="L939" s="131"/>
      <c r="M939" s="131"/>
      <c r="N939" s="131"/>
      <c r="O939" s="131"/>
      <c r="P939" s="131"/>
      <c r="Q939" s="131"/>
      <c r="R939" s="131"/>
      <c r="S939" s="131"/>
      <c r="T939" s="131"/>
      <c r="U939" s="131"/>
      <c r="V939" s="131"/>
      <c r="W939" s="131"/>
      <c r="X939" s="131"/>
    </row>
    <row r="940" spans="1:24" ht="13.5" customHeight="1">
      <c r="A940" s="132"/>
      <c r="B940" s="131"/>
      <c r="C940" s="131"/>
      <c r="D940" s="132"/>
      <c r="E940" s="132"/>
      <c r="F940" s="132"/>
      <c r="G940" s="132"/>
      <c r="H940" s="132"/>
      <c r="I940" s="131"/>
      <c r="J940" s="131"/>
      <c r="K940" s="131"/>
      <c r="L940" s="131"/>
      <c r="M940" s="131"/>
      <c r="N940" s="131"/>
      <c r="O940" s="131"/>
      <c r="P940" s="131"/>
      <c r="Q940" s="131"/>
      <c r="R940" s="131"/>
      <c r="S940" s="131"/>
      <c r="T940" s="131"/>
      <c r="U940" s="131"/>
      <c r="V940" s="131"/>
      <c r="W940" s="131"/>
      <c r="X940" s="131"/>
    </row>
    <row r="941" spans="1:24" ht="13.5" customHeight="1">
      <c r="A941" s="132"/>
      <c r="B941" s="131"/>
      <c r="C941" s="131"/>
      <c r="D941" s="132"/>
      <c r="E941" s="132"/>
      <c r="F941" s="132"/>
      <c r="G941" s="132"/>
      <c r="H941" s="132"/>
      <c r="I941" s="131"/>
      <c r="J941" s="131"/>
      <c r="K941" s="131"/>
      <c r="L941" s="131"/>
      <c r="M941" s="131"/>
      <c r="N941" s="131"/>
      <c r="O941" s="131"/>
      <c r="P941" s="131"/>
      <c r="Q941" s="131"/>
      <c r="R941" s="131"/>
      <c r="S941" s="131"/>
      <c r="T941" s="131"/>
      <c r="U941" s="131"/>
      <c r="V941" s="131"/>
      <c r="W941" s="131"/>
      <c r="X941" s="131"/>
    </row>
    <row r="942" spans="1:24" ht="13.5" customHeight="1">
      <c r="A942" s="132"/>
      <c r="B942" s="131"/>
      <c r="C942" s="131"/>
      <c r="D942" s="132"/>
      <c r="E942" s="132"/>
      <c r="F942" s="132"/>
      <c r="G942" s="132"/>
      <c r="H942" s="132"/>
      <c r="I942" s="131"/>
      <c r="J942" s="131"/>
      <c r="K942" s="131"/>
      <c r="L942" s="131"/>
      <c r="M942" s="131"/>
      <c r="N942" s="131"/>
      <c r="O942" s="131"/>
      <c r="P942" s="131"/>
      <c r="Q942" s="131"/>
      <c r="R942" s="131"/>
      <c r="S942" s="131"/>
      <c r="T942" s="131"/>
      <c r="U942" s="131"/>
      <c r="V942" s="131"/>
      <c r="W942" s="131"/>
      <c r="X942" s="131"/>
    </row>
    <row r="943" spans="1:24" ht="13.5" customHeight="1">
      <c r="A943" s="132"/>
      <c r="B943" s="131"/>
      <c r="C943" s="131"/>
      <c r="D943" s="132"/>
      <c r="E943" s="132"/>
      <c r="F943" s="132"/>
      <c r="G943" s="132"/>
      <c r="H943" s="132"/>
      <c r="I943" s="131"/>
      <c r="J943" s="131"/>
      <c r="K943" s="131"/>
      <c r="L943" s="131"/>
      <c r="M943" s="131"/>
      <c r="N943" s="131"/>
      <c r="O943" s="131"/>
      <c r="P943" s="131"/>
      <c r="Q943" s="131"/>
      <c r="R943" s="131"/>
      <c r="S943" s="131"/>
      <c r="T943" s="131"/>
      <c r="U943" s="131"/>
      <c r="V943" s="131"/>
      <c r="W943" s="131"/>
      <c r="X943" s="131"/>
    </row>
    <row r="944" spans="1:24" ht="13.5" customHeight="1">
      <c r="A944" s="132"/>
      <c r="B944" s="131"/>
      <c r="C944" s="131"/>
      <c r="D944" s="132"/>
      <c r="E944" s="132"/>
      <c r="F944" s="132"/>
      <c r="G944" s="132"/>
      <c r="H944" s="132"/>
      <c r="I944" s="131"/>
      <c r="J944" s="131"/>
      <c r="K944" s="131"/>
      <c r="L944" s="131"/>
      <c r="M944" s="131"/>
      <c r="N944" s="131"/>
      <c r="O944" s="131"/>
      <c r="P944" s="131"/>
      <c r="Q944" s="131"/>
      <c r="R944" s="131"/>
      <c r="S944" s="131"/>
      <c r="T944" s="131"/>
      <c r="U944" s="131"/>
      <c r="V944" s="131"/>
      <c r="W944" s="131"/>
      <c r="X944" s="131"/>
    </row>
    <row r="945" spans="1:24" ht="13.5" customHeight="1">
      <c r="A945" s="132"/>
      <c r="B945" s="131"/>
      <c r="C945" s="131"/>
      <c r="D945" s="132"/>
      <c r="E945" s="132"/>
      <c r="F945" s="132"/>
      <c r="G945" s="132"/>
      <c r="H945" s="132"/>
      <c r="I945" s="131"/>
      <c r="J945" s="131"/>
      <c r="K945" s="131"/>
      <c r="L945" s="131"/>
      <c r="M945" s="131"/>
      <c r="N945" s="131"/>
      <c r="O945" s="131"/>
      <c r="P945" s="131"/>
      <c r="Q945" s="131"/>
      <c r="R945" s="131"/>
      <c r="S945" s="131"/>
      <c r="T945" s="131"/>
      <c r="U945" s="131"/>
      <c r="V945" s="131"/>
      <c r="W945" s="131"/>
      <c r="X945" s="131"/>
    </row>
    <row r="946" spans="1:24" ht="13.5" customHeight="1">
      <c r="A946" s="132"/>
      <c r="B946" s="131"/>
      <c r="C946" s="131"/>
      <c r="D946" s="132"/>
      <c r="E946" s="132"/>
      <c r="F946" s="132"/>
      <c r="G946" s="132"/>
      <c r="H946" s="132"/>
      <c r="I946" s="131"/>
      <c r="J946" s="131"/>
      <c r="K946" s="131"/>
      <c r="L946" s="131"/>
      <c r="M946" s="131"/>
      <c r="N946" s="131"/>
      <c r="O946" s="131"/>
      <c r="P946" s="131"/>
      <c r="Q946" s="131"/>
      <c r="R946" s="131"/>
      <c r="S946" s="131"/>
      <c r="T946" s="131"/>
      <c r="U946" s="131"/>
      <c r="V946" s="131"/>
      <c r="W946" s="131"/>
      <c r="X946" s="131"/>
    </row>
    <row r="947" spans="1:24" ht="13.5" customHeight="1">
      <c r="A947" s="132"/>
      <c r="B947" s="131"/>
      <c r="C947" s="131"/>
      <c r="D947" s="132"/>
      <c r="E947" s="132"/>
      <c r="F947" s="132"/>
      <c r="G947" s="132"/>
      <c r="H947" s="132"/>
      <c r="I947" s="131"/>
      <c r="J947" s="131"/>
      <c r="K947" s="131"/>
      <c r="L947" s="131"/>
      <c r="M947" s="131"/>
      <c r="N947" s="131"/>
      <c r="O947" s="131"/>
      <c r="P947" s="131"/>
      <c r="Q947" s="131"/>
      <c r="R947" s="131"/>
      <c r="S947" s="131"/>
      <c r="T947" s="131"/>
      <c r="U947" s="131"/>
      <c r="V947" s="131"/>
      <c r="W947" s="131"/>
      <c r="X947" s="131"/>
    </row>
    <row r="948" spans="1:24" ht="13.5" customHeight="1">
      <c r="A948" s="132"/>
      <c r="B948" s="131"/>
      <c r="C948" s="131"/>
      <c r="D948" s="132"/>
      <c r="E948" s="132"/>
      <c r="F948" s="132"/>
      <c r="G948" s="132"/>
      <c r="H948" s="132"/>
      <c r="I948" s="131"/>
      <c r="J948" s="131"/>
      <c r="K948" s="131"/>
      <c r="L948" s="131"/>
      <c r="M948" s="131"/>
      <c r="N948" s="131"/>
      <c r="O948" s="131"/>
      <c r="P948" s="131"/>
      <c r="Q948" s="131"/>
      <c r="R948" s="131"/>
      <c r="S948" s="131"/>
      <c r="T948" s="131"/>
      <c r="U948" s="131"/>
      <c r="V948" s="131"/>
      <c r="W948" s="131"/>
      <c r="X948" s="131"/>
    </row>
    <row r="949" spans="1:24" ht="13.5" customHeight="1">
      <c r="A949" s="132"/>
      <c r="B949" s="131"/>
      <c r="C949" s="131"/>
      <c r="D949" s="132"/>
      <c r="E949" s="132"/>
      <c r="F949" s="132"/>
      <c r="G949" s="132"/>
      <c r="H949" s="132"/>
      <c r="I949" s="131"/>
      <c r="J949" s="131"/>
      <c r="K949" s="131"/>
      <c r="L949" s="131"/>
      <c r="M949" s="131"/>
      <c r="N949" s="131"/>
      <c r="O949" s="131"/>
      <c r="P949" s="131"/>
      <c r="Q949" s="131"/>
      <c r="R949" s="131"/>
      <c r="S949" s="131"/>
      <c r="T949" s="131"/>
      <c r="U949" s="131"/>
      <c r="V949" s="131"/>
      <c r="W949" s="131"/>
      <c r="X949" s="131"/>
    </row>
    <row r="950" spans="1:24" ht="13.5" customHeight="1">
      <c r="A950" s="132"/>
      <c r="B950" s="131"/>
      <c r="C950" s="131"/>
      <c r="D950" s="132"/>
      <c r="E950" s="132"/>
      <c r="F950" s="132"/>
      <c r="G950" s="132"/>
      <c r="H950" s="132"/>
      <c r="I950" s="131"/>
      <c r="J950" s="131"/>
      <c r="K950" s="131"/>
      <c r="L950" s="131"/>
      <c r="M950" s="131"/>
      <c r="N950" s="131"/>
      <c r="O950" s="131"/>
      <c r="P950" s="131"/>
      <c r="Q950" s="131"/>
      <c r="R950" s="131"/>
      <c r="S950" s="131"/>
      <c r="T950" s="131"/>
      <c r="U950" s="131"/>
      <c r="V950" s="131"/>
      <c r="W950" s="131"/>
      <c r="X950" s="131"/>
    </row>
    <row r="951" spans="1:24" ht="13.5" customHeight="1">
      <c r="A951" s="132"/>
      <c r="B951" s="131"/>
      <c r="C951" s="131"/>
      <c r="D951" s="132"/>
      <c r="E951" s="132"/>
      <c r="F951" s="132"/>
      <c r="G951" s="132"/>
      <c r="H951" s="132"/>
      <c r="I951" s="131"/>
      <c r="J951" s="131"/>
      <c r="K951" s="131"/>
      <c r="L951" s="131"/>
      <c r="M951" s="131"/>
      <c r="N951" s="131"/>
      <c r="O951" s="131"/>
      <c r="P951" s="131"/>
      <c r="Q951" s="131"/>
      <c r="R951" s="131"/>
      <c r="S951" s="131"/>
      <c r="T951" s="131"/>
      <c r="U951" s="131"/>
      <c r="V951" s="131"/>
      <c r="W951" s="131"/>
      <c r="X951" s="131"/>
    </row>
    <row r="952" spans="1:24" ht="13.5" customHeight="1">
      <c r="A952" s="132"/>
      <c r="B952" s="131"/>
      <c r="C952" s="131"/>
      <c r="D952" s="132"/>
      <c r="E952" s="132"/>
      <c r="F952" s="132"/>
      <c r="G952" s="132"/>
      <c r="H952" s="132"/>
      <c r="I952" s="131"/>
      <c r="J952" s="131"/>
      <c r="K952" s="131"/>
      <c r="L952" s="131"/>
      <c r="M952" s="131"/>
      <c r="N952" s="131"/>
      <c r="O952" s="131"/>
      <c r="P952" s="131"/>
      <c r="Q952" s="131"/>
      <c r="R952" s="131"/>
      <c r="S952" s="131"/>
      <c r="T952" s="131"/>
      <c r="U952" s="131"/>
      <c r="V952" s="131"/>
      <c r="W952" s="131"/>
      <c r="X952" s="131"/>
    </row>
    <row r="953" spans="1:24" ht="13.5" customHeight="1">
      <c r="A953" s="132"/>
      <c r="B953" s="131"/>
      <c r="C953" s="131"/>
      <c r="D953" s="132"/>
      <c r="E953" s="132"/>
      <c r="F953" s="132"/>
      <c r="G953" s="132"/>
      <c r="H953" s="132"/>
      <c r="I953" s="131"/>
      <c r="J953" s="131"/>
      <c r="K953" s="131"/>
      <c r="L953" s="131"/>
      <c r="M953" s="131"/>
      <c r="N953" s="131"/>
      <c r="O953" s="131"/>
      <c r="P953" s="131"/>
      <c r="Q953" s="131"/>
      <c r="R953" s="131"/>
      <c r="S953" s="131"/>
      <c r="T953" s="131"/>
      <c r="U953" s="131"/>
      <c r="V953" s="131"/>
      <c r="W953" s="131"/>
      <c r="X953" s="131"/>
    </row>
    <row r="954" spans="1:24" ht="13.5" customHeight="1">
      <c r="A954" s="132"/>
      <c r="B954" s="131"/>
      <c r="C954" s="131"/>
      <c r="D954" s="132"/>
      <c r="E954" s="132"/>
      <c r="F954" s="132"/>
      <c r="G954" s="132"/>
      <c r="H954" s="132"/>
      <c r="I954" s="131"/>
      <c r="J954" s="131"/>
      <c r="K954" s="131"/>
      <c r="L954" s="131"/>
      <c r="M954" s="131"/>
      <c r="N954" s="131"/>
      <c r="O954" s="131"/>
      <c r="P954" s="131"/>
      <c r="Q954" s="131"/>
      <c r="R954" s="131"/>
      <c r="S954" s="131"/>
      <c r="T954" s="131"/>
      <c r="U954" s="131"/>
      <c r="V954" s="131"/>
      <c r="W954" s="131"/>
      <c r="X954" s="131"/>
    </row>
    <row r="955" spans="1:24" ht="13.5" customHeight="1">
      <c r="A955" s="132"/>
      <c r="B955" s="131"/>
      <c r="C955" s="131"/>
      <c r="D955" s="132"/>
      <c r="E955" s="132"/>
      <c r="F955" s="132"/>
      <c r="G955" s="132"/>
      <c r="H955" s="132"/>
      <c r="I955" s="131"/>
      <c r="J955" s="131"/>
      <c r="K955" s="131"/>
      <c r="L955" s="131"/>
      <c r="M955" s="131"/>
      <c r="N955" s="131"/>
      <c r="O955" s="131"/>
      <c r="P955" s="131"/>
      <c r="Q955" s="131"/>
      <c r="R955" s="131"/>
      <c r="S955" s="131"/>
      <c r="T955" s="131"/>
      <c r="U955" s="131"/>
      <c r="V955" s="131"/>
      <c r="W955" s="131"/>
      <c r="X955" s="131"/>
    </row>
    <row r="956" spans="1:24" ht="13.5" customHeight="1">
      <c r="A956" s="132"/>
      <c r="B956" s="131"/>
      <c r="C956" s="131"/>
      <c r="D956" s="132"/>
      <c r="E956" s="132"/>
      <c r="F956" s="132"/>
      <c r="G956" s="132"/>
      <c r="H956" s="132"/>
      <c r="I956" s="131"/>
      <c r="J956" s="131"/>
      <c r="K956" s="131"/>
      <c r="L956" s="131"/>
      <c r="M956" s="131"/>
      <c r="N956" s="131"/>
      <c r="O956" s="131"/>
      <c r="P956" s="131"/>
      <c r="Q956" s="131"/>
      <c r="R956" s="131"/>
      <c r="S956" s="131"/>
      <c r="T956" s="131"/>
      <c r="U956" s="131"/>
      <c r="V956" s="131"/>
      <c r="W956" s="131"/>
      <c r="X956" s="131"/>
    </row>
    <row r="957" spans="1:24" ht="13.5" customHeight="1">
      <c r="A957" s="132"/>
      <c r="B957" s="131"/>
      <c r="C957" s="131"/>
      <c r="D957" s="132"/>
      <c r="E957" s="132"/>
      <c r="F957" s="132"/>
      <c r="G957" s="132"/>
      <c r="H957" s="132"/>
      <c r="I957" s="131"/>
      <c r="J957" s="131"/>
      <c r="K957" s="131"/>
      <c r="L957" s="131"/>
      <c r="M957" s="131"/>
      <c r="N957" s="131"/>
      <c r="O957" s="131"/>
      <c r="P957" s="131"/>
      <c r="Q957" s="131"/>
      <c r="R957" s="131"/>
      <c r="S957" s="131"/>
      <c r="T957" s="131"/>
      <c r="U957" s="131"/>
      <c r="V957" s="131"/>
      <c r="W957" s="131"/>
      <c r="X957" s="131"/>
    </row>
    <row r="958" spans="1:24" ht="13.5" customHeight="1">
      <c r="A958" s="132"/>
      <c r="B958" s="131"/>
      <c r="C958" s="131"/>
      <c r="D958" s="132"/>
      <c r="E958" s="132"/>
      <c r="F958" s="132"/>
      <c r="G958" s="132"/>
      <c r="H958" s="132"/>
      <c r="I958" s="131"/>
      <c r="J958" s="131"/>
      <c r="K958" s="131"/>
      <c r="L958" s="131"/>
      <c r="M958" s="131"/>
      <c r="N958" s="131"/>
      <c r="O958" s="131"/>
      <c r="P958" s="131"/>
      <c r="Q958" s="131"/>
      <c r="R958" s="131"/>
      <c r="S958" s="131"/>
      <c r="T958" s="131"/>
      <c r="U958" s="131"/>
      <c r="V958" s="131"/>
      <c r="W958" s="131"/>
      <c r="X958" s="131"/>
    </row>
    <row r="959" spans="1:24" ht="13.5" customHeight="1">
      <c r="A959" s="132"/>
      <c r="B959" s="131"/>
      <c r="C959" s="131"/>
      <c r="D959" s="132"/>
      <c r="E959" s="132"/>
      <c r="F959" s="132"/>
      <c r="G959" s="132"/>
      <c r="H959" s="132"/>
      <c r="I959" s="131"/>
      <c r="J959" s="131"/>
      <c r="K959" s="131"/>
      <c r="L959" s="131"/>
      <c r="M959" s="131"/>
      <c r="N959" s="131"/>
      <c r="O959" s="131"/>
      <c r="P959" s="131"/>
      <c r="Q959" s="131"/>
      <c r="R959" s="131"/>
      <c r="S959" s="131"/>
      <c r="T959" s="131"/>
      <c r="U959" s="131"/>
      <c r="V959" s="131"/>
      <c r="W959" s="131"/>
      <c r="X959" s="131"/>
    </row>
    <row r="960" spans="1:24" ht="13.5" customHeight="1">
      <c r="A960" s="132"/>
      <c r="B960" s="131"/>
      <c r="C960" s="131"/>
      <c r="D960" s="132"/>
      <c r="E960" s="132"/>
      <c r="F960" s="132"/>
      <c r="G960" s="132"/>
      <c r="H960" s="132"/>
      <c r="I960" s="131"/>
      <c r="J960" s="131"/>
      <c r="K960" s="131"/>
      <c r="L960" s="131"/>
      <c r="M960" s="131"/>
      <c r="N960" s="131"/>
      <c r="O960" s="131"/>
      <c r="P960" s="131"/>
      <c r="Q960" s="131"/>
      <c r="R960" s="131"/>
      <c r="S960" s="131"/>
      <c r="T960" s="131"/>
      <c r="U960" s="131"/>
      <c r="V960" s="131"/>
      <c r="W960" s="131"/>
      <c r="X960" s="131"/>
    </row>
    <row r="961" spans="1:24" ht="13.5" customHeight="1">
      <c r="A961" s="132"/>
      <c r="B961" s="131"/>
      <c r="C961" s="131"/>
      <c r="D961" s="132"/>
      <c r="E961" s="132"/>
      <c r="F961" s="132"/>
      <c r="G961" s="132"/>
      <c r="H961" s="132"/>
      <c r="I961" s="131"/>
      <c r="J961" s="131"/>
      <c r="K961" s="131"/>
      <c r="L961" s="131"/>
      <c r="M961" s="131"/>
      <c r="N961" s="131"/>
      <c r="O961" s="131"/>
      <c r="P961" s="131"/>
      <c r="Q961" s="131"/>
      <c r="R961" s="131"/>
      <c r="S961" s="131"/>
      <c r="T961" s="131"/>
      <c r="U961" s="131"/>
      <c r="V961" s="131"/>
      <c r="W961" s="131"/>
      <c r="X961" s="131"/>
    </row>
    <row r="962" spans="1:24" ht="13.5" customHeight="1">
      <c r="A962" s="132"/>
      <c r="B962" s="131"/>
      <c r="C962" s="131"/>
      <c r="D962" s="132"/>
      <c r="E962" s="132"/>
      <c r="F962" s="132"/>
      <c r="G962" s="132"/>
      <c r="H962" s="132"/>
      <c r="I962" s="131"/>
      <c r="J962" s="131"/>
      <c r="K962" s="131"/>
      <c r="L962" s="131"/>
      <c r="M962" s="131"/>
      <c r="N962" s="131"/>
      <c r="O962" s="131"/>
      <c r="P962" s="131"/>
      <c r="Q962" s="131"/>
      <c r="R962" s="131"/>
      <c r="S962" s="131"/>
      <c r="T962" s="131"/>
      <c r="U962" s="131"/>
      <c r="V962" s="131"/>
      <c r="W962" s="131"/>
      <c r="X962" s="131"/>
    </row>
    <row r="963" spans="1:24" ht="13.5" customHeight="1">
      <c r="A963" s="132"/>
      <c r="B963" s="131"/>
      <c r="C963" s="131"/>
      <c r="D963" s="132"/>
      <c r="E963" s="132"/>
      <c r="F963" s="132"/>
      <c r="G963" s="132"/>
      <c r="H963" s="132"/>
      <c r="I963" s="131"/>
      <c r="J963" s="131"/>
      <c r="K963" s="131"/>
      <c r="L963" s="131"/>
      <c r="M963" s="131"/>
      <c r="N963" s="131"/>
      <c r="O963" s="131"/>
      <c r="P963" s="131"/>
      <c r="Q963" s="131"/>
      <c r="R963" s="131"/>
      <c r="S963" s="131"/>
      <c r="T963" s="131"/>
      <c r="U963" s="131"/>
      <c r="V963" s="131"/>
      <c r="W963" s="131"/>
      <c r="X963" s="131"/>
    </row>
    <row r="964" spans="1:24" ht="13.5" customHeight="1">
      <c r="A964" s="132"/>
      <c r="B964" s="131"/>
      <c r="C964" s="131"/>
      <c r="D964" s="132"/>
      <c r="E964" s="132"/>
      <c r="F964" s="132"/>
      <c r="G964" s="132"/>
      <c r="H964" s="132"/>
      <c r="I964" s="131"/>
      <c r="J964" s="131"/>
      <c r="K964" s="131"/>
      <c r="L964" s="131"/>
      <c r="M964" s="131"/>
      <c r="N964" s="131"/>
      <c r="O964" s="131"/>
      <c r="P964" s="131"/>
      <c r="Q964" s="131"/>
      <c r="R964" s="131"/>
      <c r="S964" s="131"/>
      <c r="T964" s="131"/>
      <c r="U964" s="131"/>
      <c r="V964" s="131"/>
      <c r="W964" s="131"/>
      <c r="X964" s="131"/>
    </row>
    <row r="965" spans="1:24" ht="13.5" customHeight="1">
      <c r="A965" s="132"/>
      <c r="B965" s="131"/>
      <c r="C965" s="131"/>
      <c r="D965" s="132"/>
      <c r="E965" s="132"/>
      <c r="F965" s="132"/>
      <c r="G965" s="132"/>
      <c r="H965" s="132"/>
      <c r="I965" s="131"/>
      <c r="J965" s="131"/>
      <c r="K965" s="131"/>
      <c r="L965" s="131"/>
      <c r="M965" s="131"/>
      <c r="N965" s="131"/>
      <c r="O965" s="131"/>
      <c r="P965" s="131"/>
      <c r="Q965" s="131"/>
      <c r="R965" s="131"/>
      <c r="S965" s="131"/>
      <c r="T965" s="131"/>
      <c r="U965" s="131"/>
      <c r="V965" s="131"/>
      <c r="W965" s="131"/>
      <c r="X965" s="131"/>
    </row>
    <row r="966" spans="1:24" ht="13.5" customHeight="1">
      <c r="A966" s="132"/>
      <c r="B966" s="131"/>
      <c r="C966" s="131"/>
      <c r="D966" s="132"/>
      <c r="E966" s="132"/>
      <c r="F966" s="132"/>
      <c r="G966" s="132"/>
      <c r="H966" s="132"/>
      <c r="I966" s="131"/>
      <c r="J966" s="131"/>
      <c r="K966" s="131"/>
      <c r="L966" s="131"/>
      <c r="M966" s="131"/>
      <c r="N966" s="131"/>
      <c r="O966" s="131"/>
      <c r="P966" s="131"/>
      <c r="Q966" s="131"/>
      <c r="R966" s="131"/>
      <c r="S966" s="131"/>
      <c r="T966" s="131"/>
      <c r="U966" s="131"/>
      <c r="V966" s="131"/>
      <c r="W966" s="131"/>
      <c r="X966" s="131"/>
    </row>
    <row r="967" spans="1:24" ht="13.5" customHeight="1">
      <c r="A967" s="132"/>
      <c r="B967" s="131"/>
      <c r="C967" s="131"/>
      <c r="D967" s="132"/>
      <c r="E967" s="132"/>
      <c r="F967" s="132"/>
      <c r="G967" s="132"/>
      <c r="H967" s="132"/>
      <c r="I967" s="131"/>
      <c r="J967" s="131"/>
      <c r="K967" s="131"/>
      <c r="L967" s="131"/>
      <c r="M967" s="131"/>
      <c r="N967" s="131"/>
      <c r="O967" s="131"/>
      <c r="P967" s="131"/>
      <c r="Q967" s="131"/>
      <c r="R967" s="131"/>
      <c r="S967" s="131"/>
      <c r="T967" s="131"/>
      <c r="U967" s="131"/>
      <c r="V967" s="131"/>
      <c r="W967" s="131"/>
      <c r="X967" s="131"/>
    </row>
    <row r="968" spans="1:24" ht="13.5" customHeight="1">
      <c r="A968" s="132"/>
      <c r="B968" s="131"/>
      <c r="C968" s="131"/>
      <c r="D968" s="132"/>
      <c r="E968" s="132"/>
      <c r="F968" s="132"/>
      <c r="G968" s="132"/>
      <c r="H968" s="132"/>
      <c r="I968" s="131"/>
      <c r="J968" s="131"/>
      <c r="K968" s="131"/>
      <c r="L968" s="131"/>
      <c r="M968" s="131"/>
      <c r="N968" s="131"/>
      <c r="O968" s="131"/>
      <c r="P968" s="131"/>
      <c r="Q968" s="131"/>
      <c r="R968" s="131"/>
      <c r="S968" s="131"/>
      <c r="T968" s="131"/>
      <c r="U968" s="131"/>
      <c r="V968" s="131"/>
      <c r="W968" s="131"/>
      <c r="X968" s="131"/>
    </row>
    <row r="969" spans="1:24" ht="13.5" customHeight="1">
      <c r="A969" s="132"/>
      <c r="B969" s="131"/>
      <c r="C969" s="131"/>
      <c r="D969" s="132"/>
      <c r="E969" s="132"/>
      <c r="F969" s="132"/>
      <c r="G969" s="132"/>
      <c r="H969" s="132"/>
      <c r="I969" s="131"/>
      <c r="J969" s="131"/>
      <c r="K969" s="131"/>
      <c r="L969" s="131"/>
      <c r="M969" s="131"/>
      <c r="N969" s="131"/>
      <c r="O969" s="131"/>
      <c r="P969" s="131"/>
      <c r="Q969" s="131"/>
      <c r="R969" s="131"/>
      <c r="S969" s="131"/>
      <c r="T969" s="131"/>
      <c r="U969" s="131"/>
      <c r="V969" s="131"/>
      <c r="W969" s="131"/>
      <c r="X969" s="131"/>
    </row>
    <row r="970" spans="1:24" ht="13.5" customHeight="1">
      <c r="A970" s="132"/>
      <c r="B970" s="131"/>
      <c r="C970" s="131"/>
      <c r="D970" s="132"/>
      <c r="E970" s="132"/>
      <c r="F970" s="132"/>
      <c r="G970" s="132"/>
      <c r="H970" s="132"/>
      <c r="I970" s="131"/>
      <c r="J970" s="131"/>
      <c r="K970" s="131"/>
      <c r="L970" s="131"/>
      <c r="M970" s="131"/>
      <c r="N970" s="131"/>
      <c r="O970" s="131"/>
      <c r="P970" s="131"/>
      <c r="Q970" s="131"/>
      <c r="R970" s="131"/>
      <c r="S970" s="131"/>
      <c r="T970" s="131"/>
      <c r="U970" s="131"/>
      <c r="V970" s="131"/>
      <c r="W970" s="131"/>
      <c r="X970" s="131"/>
    </row>
    <row r="971" spans="1:24" ht="13.5" customHeight="1">
      <c r="A971" s="132"/>
      <c r="B971" s="131"/>
      <c r="C971" s="131"/>
      <c r="D971" s="132"/>
      <c r="E971" s="132"/>
      <c r="F971" s="132"/>
      <c r="G971" s="132"/>
      <c r="H971" s="132"/>
      <c r="I971" s="131"/>
      <c r="J971" s="131"/>
      <c r="K971" s="131"/>
      <c r="L971" s="131"/>
      <c r="M971" s="131"/>
      <c r="N971" s="131"/>
      <c r="O971" s="131"/>
      <c r="P971" s="131"/>
      <c r="Q971" s="131"/>
      <c r="R971" s="131"/>
      <c r="S971" s="131"/>
      <c r="T971" s="131"/>
      <c r="U971" s="131"/>
      <c r="V971" s="131"/>
      <c r="W971" s="131"/>
      <c r="X971" s="131"/>
    </row>
    <row r="972" spans="1:24" ht="13.5" customHeight="1">
      <c r="A972" s="132"/>
      <c r="B972" s="131"/>
      <c r="C972" s="131"/>
      <c r="D972" s="132"/>
      <c r="E972" s="132"/>
      <c r="F972" s="132"/>
      <c r="G972" s="132"/>
      <c r="H972" s="132"/>
      <c r="I972" s="131"/>
      <c r="J972" s="131"/>
      <c r="K972" s="131"/>
      <c r="L972" s="131"/>
      <c r="M972" s="131"/>
      <c r="N972" s="131"/>
      <c r="O972" s="131"/>
      <c r="P972" s="131"/>
      <c r="Q972" s="131"/>
      <c r="R972" s="131"/>
      <c r="S972" s="131"/>
      <c r="T972" s="131"/>
      <c r="U972" s="131"/>
      <c r="V972" s="131"/>
      <c r="W972" s="131"/>
      <c r="X972" s="131"/>
    </row>
    <row r="973" spans="1:24" ht="13.5" customHeight="1">
      <c r="A973" s="132"/>
      <c r="B973" s="131"/>
      <c r="C973" s="131"/>
      <c r="D973" s="132"/>
      <c r="E973" s="132"/>
      <c r="F973" s="132"/>
      <c r="G973" s="132"/>
      <c r="H973" s="132"/>
      <c r="I973" s="131"/>
      <c r="J973" s="131"/>
      <c r="K973" s="131"/>
      <c r="L973" s="131"/>
      <c r="M973" s="131"/>
      <c r="N973" s="131"/>
      <c r="O973" s="131"/>
      <c r="P973" s="131"/>
      <c r="Q973" s="131"/>
      <c r="R973" s="131"/>
      <c r="S973" s="131"/>
      <c r="T973" s="131"/>
      <c r="U973" s="131"/>
      <c r="V973" s="131"/>
      <c r="W973" s="131"/>
      <c r="X973" s="131"/>
    </row>
    <row r="974" spans="1:24" ht="13.5" customHeight="1">
      <c r="A974" s="132"/>
      <c r="B974" s="131"/>
      <c r="C974" s="131"/>
      <c r="D974" s="132"/>
      <c r="E974" s="132"/>
      <c r="F974" s="132"/>
      <c r="G974" s="132"/>
      <c r="H974" s="132"/>
      <c r="I974" s="131"/>
      <c r="J974" s="131"/>
      <c r="K974" s="131"/>
      <c r="L974" s="131"/>
      <c r="M974" s="131"/>
      <c r="N974" s="131"/>
      <c r="O974" s="131"/>
      <c r="P974" s="131"/>
      <c r="Q974" s="131"/>
      <c r="R974" s="131"/>
      <c r="S974" s="131"/>
      <c r="T974" s="131"/>
      <c r="U974" s="131"/>
      <c r="V974" s="131"/>
      <c r="W974" s="131"/>
      <c r="X974" s="131"/>
    </row>
    <row r="975" spans="1:24" ht="13.5" customHeight="1">
      <c r="A975" s="132"/>
      <c r="B975" s="131"/>
      <c r="C975" s="131"/>
      <c r="D975" s="132"/>
      <c r="E975" s="132"/>
      <c r="F975" s="132"/>
      <c r="G975" s="132"/>
      <c r="H975" s="132"/>
      <c r="I975" s="131"/>
      <c r="J975" s="131"/>
      <c r="K975" s="131"/>
      <c r="L975" s="131"/>
      <c r="M975" s="131"/>
      <c r="N975" s="131"/>
      <c r="O975" s="131"/>
      <c r="P975" s="131"/>
      <c r="Q975" s="131"/>
      <c r="R975" s="131"/>
      <c r="S975" s="131"/>
      <c r="T975" s="131"/>
      <c r="U975" s="131"/>
      <c r="V975" s="131"/>
      <c r="W975" s="131"/>
      <c r="X975" s="131"/>
    </row>
    <row r="976" spans="1:24" ht="13.5" customHeight="1">
      <c r="A976" s="132"/>
      <c r="B976" s="131"/>
      <c r="C976" s="131"/>
      <c r="D976" s="132"/>
      <c r="E976" s="132"/>
      <c r="F976" s="132"/>
      <c r="G976" s="132"/>
      <c r="H976" s="132"/>
      <c r="I976" s="131"/>
      <c r="J976" s="131"/>
      <c r="K976" s="131"/>
      <c r="L976" s="131"/>
      <c r="M976" s="131"/>
      <c r="N976" s="131"/>
      <c r="O976" s="131"/>
      <c r="P976" s="131"/>
      <c r="Q976" s="131"/>
      <c r="R976" s="131"/>
      <c r="S976" s="131"/>
      <c r="T976" s="131"/>
      <c r="U976" s="131"/>
      <c r="V976" s="131"/>
      <c r="W976" s="131"/>
      <c r="X976" s="131"/>
    </row>
    <row r="977" spans="1:24" ht="13.5" customHeight="1">
      <c r="A977" s="132"/>
      <c r="B977" s="131"/>
      <c r="C977" s="131"/>
      <c r="D977" s="132"/>
      <c r="E977" s="132"/>
      <c r="F977" s="132"/>
      <c r="G977" s="132"/>
      <c r="H977" s="132"/>
      <c r="I977" s="131"/>
      <c r="J977" s="131"/>
      <c r="K977" s="131"/>
      <c r="L977" s="131"/>
      <c r="M977" s="131"/>
      <c r="N977" s="131"/>
      <c r="O977" s="131"/>
      <c r="P977" s="131"/>
      <c r="Q977" s="131"/>
      <c r="R977" s="131"/>
      <c r="S977" s="131"/>
      <c r="T977" s="131"/>
      <c r="U977" s="131"/>
      <c r="V977" s="131"/>
      <c r="W977" s="131"/>
      <c r="X977" s="131"/>
    </row>
    <row r="978" spans="1:24" ht="13.5" customHeight="1">
      <c r="A978" s="132"/>
      <c r="B978" s="131"/>
      <c r="C978" s="131"/>
      <c r="D978" s="132"/>
      <c r="E978" s="132"/>
      <c r="F978" s="132"/>
      <c r="G978" s="132"/>
      <c r="H978" s="132"/>
      <c r="I978" s="131"/>
      <c r="J978" s="131"/>
      <c r="K978" s="131"/>
      <c r="L978" s="131"/>
      <c r="M978" s="131"/>
      <c r="N978" s="131"/>
      <c r="O978" s="131"/>
      <c r="P978" s="131"/>
      <c r="Q978" s="131"/>
      <c r="R978" s="131"/>
      <c r="S978" s="131"/>
      <c r="T978" s="131"/>
      <c r="U978" s="131"/>
      <c r="V978" s="131"/>
      <c r="W978" s="131"/>
      <c r="X978" s="131"/>
    </row>
    <row r="979" spans="1:24" ht="13.5" customHeight="1">
      <c r="A979" s="132"/>
      <c r="B979" s="131"/>
      <c r="C979" s="131"/>
      <c r="D979" s="132"/>
      <c r="E979" s="132"/>
      <c r="F979" s="132"/>
      <c r="G979" s="132"/>
      <c r="H979" s="132"/>
      <c r="I979" s="131"/>
      <c r="J979" s="131"/>
      <c r="K979" s="131"/>
      <c r="L979" s="131"/>
      <c r="M979" s="131"/>
      <c r="N979" s="131"/>
      <c r="O979" s="131"/>
      <c r="P979" s="131"/>
      <c r="Q979" s="131"/>
      <c r="R979" s="131"/>
      <c r="S979" s="131"/>
      <c r="T979" s="131"/>
      <c r="U979" s="131"/>
      <c r="V979" s="131"/>
      <c r="W979" s="131"/>
      <c r="X979" s="131"/>
    </row>
    <row r="980" spans="1:24" ht="13.5" customHeight="1">
      <c r="A980" s="132"/>
      <c r="B980" s="131"/>
      <c r="C980" s="131"/>
      <c r="D980" s="132"/>
      <c r="E980" s="132"/>
      <c r="F980" s="132"/>
      <c r="G980" s="132"/>
      <c r="H980" s="132"/>
      <c r="I980" s="131"/>
      <c r="J980" s="131"/>
      <c r="K980" s="131"/>
      <c r="L980" s="131"/>
      <c r="M980" s="131"/>
      <c r="N980" s="131"/>
      <c r="O980" s="131"/>
      <c r="P980" s="131"/>
      <c r="Q980" s="131"/>
      <c r="R980" s="131"/>
      <c r="S980" s="131"/>
      <c r="T980" s="131"/>
      <c r="U980" s="131"/>
      <c r="V980" s="131"/>
      <c r="W980" s="131"/>
      <c r="X980" s="131"/>
    </row>
    <row r="981" spans="1:24" ht="13.5" customHeight="1">
      <c r="A981" s="132"/>
      <c r="B981" s="131"/>
      <c r="C981" s="131"/>
      <c r="D981" s="132"/>
      <c r="E981" s="132"/>
      <c r="F981" s="132"/>
      <c r="G981" s="132"/>
      <c r="H981" s="132"/>
      <c r="I981" s="131"/>
      <c r="J981" s="131"/>
      <c r="K981" s="131"/>
      <c r="L981" s="131"/>
      <c r="M981" s="131"/>
      <c r="N981" s="131"/>
      <c r="O981" s="131"/>
      <c r="P981" s="131"/>
      <c r="Q981" s="131"/>
      <c r="R981" s="131"/>
      <c r="S981" s="131"/>
      <c r="T981" s="131"/>
      <c r="U981" s="131"/>
      <c r="V981" s="131"/>
      <c r="W981" s="131"/>
      <c r="X981" s="131"/>
    </row>
    <row r="982" spans="1:24" ht="13.5" customHeight="1">
      <c r="A982" s="132"/>
      <c r="B982" s="131"/>
      <c r="C982" s="131"/>
      <c r="D982" s="132"/>
      <c r="E982" s="132"/>
      <c r="F982" s="132"/>
      <c r="G982" s="132"/>
      <c r="H982" s="132"/>
      <c r="I982" s="131"/>
      <c r="J982" s="131"/>
      <c r="K982" s="131"/>
      <c r="L982" s="131"/>
      <c r="M982" s="131"/>
      <c r="N982" s="131"/>
      <c r="O982" s="131"/>
      <c r="P982" s="131"/>
      <c r="Q982" s="131"/>
      <c r="R982" s="131"/>
      <c r="S982" s="131"/>
      <c r="T982" s="131"/>
      <c r="U982" s="131"/>
      <c r="V982" s="131"/>
      <c r="W982" s="131"/>
      <c r="X982" s="131"/>
    </row>
    <row r="983" spans="1:24" ht="13.5" customHeight="1">
      <c r="A983" s="132"/>
      <c r="B983" s="131"/>
      <c r="C983" s="131"/>
      <c r="D983" s="132"/>
      <c r="E983" s="132"/>
      <c r="F983" s="132"/>
      <c r="G983" s="132"/>
      <c r="H983" s="132"/>
      <c r="I983" s="131"/>
      <c r="J983" s="131"/>
      <c r="K983" s="131"/>
      <c r="L983" s="131"/>
      <c r="M983" s="131"/>
      <c r="N983" s="131"/>
      <c r="O983" s="131"/>
      <c r="P983" s="131"/>
      <c r="Q983" s="131"/>
      <c r="R983" s="131"/>
      <c r="S983" s="131"/>
      <c r="T983" s="131"/>
      <c r="U983" s="131"/>
      <c r="V983" s="131"/>
      <c r="W983" s="131"/>
      <c r="X983" s="131"/>
    </row>
    <row r="984" spans="1:24" ht="13.5" customHeight="1">
      <c r="A984" s="132"/>
      <c r="B984" s="131"/>
      <c r="C984" s="131"/>
      <c r="D984" s="132"/>
      <c r="E984" s="132"/>
      <c r="F984" s="132"/>
      <c r="G984" s="132"/>
      <c r="H984" s="132"/>
      <c r="I984" s="131"/>
      <c r="J984" s="131"/>
      <c r="K984" s="131"/>
      <c r="L984" s="131"/>
      <c r="M984" s="131"/>
      <c r="N984" s="131"/>
      <c r="O984" s="131"/>
      <c r="P984" s="131"/>
      <c r="Q984" s="131"/>
      <c r="R984" s="131"/>
      <c r="S984" s="131"/>
      <c r="T984" s="131"/>
      <c r="U984" s="131"/>
      <c r="V984" s="131"/>
      <c r="W984" s="131"/>
      <c r="X984" s="131"/>
    </row>
    <row r="985" spans="1:24" ht="13.5" customHeight="1">
      <c r="A985" s="132"/>
      <c r="B985" s="131"/>
      <c r="C985" s="131"/>
      <c r="D985" s="132"/>
      <c r="E985" s="132"/>
      <c r="F985" s="132"/>
      <c r="G985" s="132"/>
      <c r="H985" s="132"/>
      <c r="I985" s="131"/>
      <c r="J985" s="131"/>
      <c r="K985" s="131"/>
      <c r="L985" s="131"/>
      <c r="M985" s="131"/>
      <c r="N985" s="131"/>
      <c r="O985" s="131"/>
      <c r="P985" s="131"/>
      <c r="Q985" s="131"/>
      <c r="R985" s="131"/>
      <c r="S985" s="131"/>
      <c r="T985" s="131"/>
      <c r="U985" s="131"/>
      <c r="V985" s="131"/>
      <c r="W985" s="131"/>
      <c r="X985" s="131"/>
    </row>
    <row r="986" spans="1:24" ht="13.5" customHeight="1">
      <c r="A986" s="132"/>
      <c r="B986" s="131"/>
      <c r="C986" s="131"/>
      <c r="D986" s="132"/>
      <c r="E986" s="132"/>
      <c r="F986" s="132"/>
      <c r="G986" s="132"/>
      <c r="H986" s="132"/>
      <c r="I986" s="131"/>
      <c r="J986" s="131"/>
      <c r="K986" s="131"/>
      <c r="L986" s="131"/>
      <c r="M986" s="131"/>
      <c r="N986" s="131"/>
      <c r="O986" s="131"/>
      <c r="P986" s="131"/>
      <c r="Q986" s="131"/>
      <c r="R986" s="131"/>
      <c r="S986" s="131"/>
      <c r="T986" s="131"/>
      <c r="U986" s="131"/>
      <c r="V986" s="131"/>
      <c r="W986" s="131"/>
      <c r="X986" s="131"/>
    </row>
    <row r="987" spans="1:24" ht="13.5" customHeight="1">
      <c r="A987" s="132"/>
      <c r="B987" s="131"/>
      <c r="C987" s="131"/>
      <c r="D987" s="132"/>
      <c r="E987" s="132"/>
      <c r="F987" s="132"/>
      <c r="G987" s="132"/>
      <c r="H987" s="132"/>
      <c r="I987" s="131"/>
      <c r="J987" s="131"/>
      <c r="K987" s="131"/>
      <c r="L987" s="131"/>
      <c r="M987" s="131"/>
      <c r="N987" s="131"/>
      <c r="O987" s="131"/>
      <c r="P987" s="131"/>
      <c r="Q987" s="131"/>
      <c r="R987" s="131"/>
      <c r="S987" s="131"/>
      <c r="T987" s="131"/>
      <c r="U987" s="131"/>
      <c r="V987" s="131"/>
      <c r="W987" s="131"/>
      <c r="X987" s="131"/>
    </row>
    <row r="988" spans="1:24" ht="13.5" customHeight="1">
      <c r="A988" s="132"/>
      <c r="B988" s="131"/>
      <c r="C988" s="131"/>
      <c r="D988" s="132"/>
      <c r="E988" s="132"/>
      <c r="F988" s="132"/>
      <c r="G988" s="132"/>
      <c r="H988" s="132"/>
      <c r="I988" s="131"/>
      <c r="J988" s="131"/>
      <c r="K988" s="131"/>
      <c r="L988" s="131"/>
      <c r="M988" s="131"/>
      <c r="N988" s="131"/>
      <c r="O988" s="131"/>
      <c r="P988" s="131"/>
      <c r="Q988" s="131"/>
      <c r="R988" s="131"/>
      <c r="S988" s="131"/>
      <c r="T988" s="131"/>
      <c r="U988" s="131"/>
      <c r="V988" s="131"/>
      <c r="W988" s="131"/>
      <c r="X988" s="131"/>
    </row>
    <row r="989" spans="1:24" ht="13.5" customHeight="1">
      <c r="A989" s="132"/>
      <c r="B989" s="131"/>
      <c r="C989" s="131"/>
      <c r="D989" s="132"/>
      <c r="E989" s="132"/>
      <c r="F989" s="132"/>
      <c r="G989" s="132"/>
      <c r="H989" s="132"/>
      <c r="I989" s="131"/>
      <c r="J989" s="131"/>
      <c r="K989" s="131"/>
      <c r="L989" s="131"/>
      <c r="M989" s="131"/>
      <c r="N989" s="131"/>
      <c r="O989" s="131"/>
      <c r="P989" s="131"/>
      <c r="Q989" s="131"/>
      <c r="R989" s="131"/>
      <c r="S989" s="131"/>
      <c r="T989" s="131"/>
      <c r="U989" s="131"/>
      <c r="V989" s="131"/>
      <c r="W989" s="131"/>
      <c r="X989" s="131"/>
    </row>
    <row r="990" spans="1:24" ht="13.5" customHeight="1">
      <c r="A990" s="132"/>
      <c r="B990" s="131"/>
      <c r="C990" s="131"/>
      <c r="D990" s="132"/>
      <c r="E990" s="132"/>
      <c r="F990" s="132"/>
      <c r="G990" s="132"/>
      <c r="H990" s="132"/>
      <c r="I990" s="131"/>
      <c r="J990" s="131"/>
      <c r="K990" s="131"/>
      <c r="L990" s="131"/>
      <c r="M990" s="131"/>
      <c r="N990" s="131"/>
      <c r="O990" s="131"/>
      <c r="P990" s="131"/>
      <c r="Q990" s="131"/>
      <c r="R990" s="131"/>
      <c r="S990" s="131"/>
      <c r="T990" s="131"/>
      <c r="U990" s="131"/>
      <c r="V990" s="131"/>
      <c r="W990" s="131"/>
      <c r="X990" s="131"/>
    </row>
    <row r="991" spans="1:24" ht="13.5" customHeight="1">
      <c r="A991" s="132"/>
      <c r="B991" s="131"/>
      <c r="C991" s="131"/>
      <c r="D991" s="132"/>
      <c r="E991" s="132"/>
      <c r="F991" s="132"/>
      <c r="G991" s="132"/>
      <c r="H991" s="132"/>
      <c r="I991" s="131"/>
      <c r="J991" s="131"/>
      <c r="K991" s="131"/>
      <c r="L991" s="131"/>
      <c r="M991" s="131"/>
      <c r="N991" s="131"/>
      <c r="O991" s="131"/>
      <c r="P991" s="131"/>
      <c r="Q991" s="131"/>
      <c r="R991" s="131"/>
      <c r="S991" s="131"/>
      <c r="T991" s="131"/>
      <c r="U991" s="131"/>
      <c r="V991" s="131"/>
      <c r="W991" s="131"/>
      <c r="X991" s="131"/>
    </row>
    <row r="992" spans="1:24" ht="13.5" customHeight="1">
      <c r="A992" s="132"/>
      <c r="B992" s="131"/>
      <c r="C992" s="131"/>
      <c r="D992" s="132"/>
      <c r="E992" s="132"/>
      <c r="F992" s="132"/>
      <c r="G992" s="132"/>
      <c r="H992" s="132"/>
      <c r="I992" s="131"/>
      <c r="J992" s="131"/>
      <c r="K992" s="131"/>
      <c r="L992" s="131"/>
      <c r="M992" s="131"/>
      <c r="N992" s="131"/>
      <c r="O992" s="131"/>
      <c r="P992" s="131"/>
      <c r="Q992" s="131"/>
      <c r="R992" s="131"/>
      <c r="S992" s="131"/>
      <c r="T992" s="131"/>
      <c r="U992" s="131"/>
      <c r="V992" s="131"/>
      <c r="W992" s="131"/>
      <c r="X992" s="131"/>
    </row>
    <row r="993" spans="1:24" ht="13.5" customHeight="1">
      <c r="A993" s="132"/>
      <c r="B993" s="131"/>
      <c r="C993" s="131"/>
      <c r="D993" s="132"/>
      <c r="E993" s="132"/>
      <c r="F993" s="132"/>
      <c r="G993" s="132"/>
      <c r="H993" s="132"/>
      <c r="I993" s="131"/>
      <c r="J993" s="131"/>
      <c r="K993" s="131"/>
      <c r="L993" s="131"/>
      <c r="M993" s="131"/>
      <c r="N993" s="131"/>
      <c r="O993" s="131"/>
      <c r="P993" s="131"/>
      <c r="Q993" s="131"/>
      <c r="R993" s="131"/>
      <c r="S993" s="131"/>
      <c r="T993" s="131"/>
      <c r="U993" s="131"/>
      <c r="V993" s="131"/>
      <c r="W993" s="131"/>
      <c r="X993" s="131"/>
    </row>
    <row r="994" spans="1:24" ht="13.5" customHeight="1">
      <c r="A994" s="132"/>
      <c r="B994" s="131"/>
      <c r="C994" s="131"/>
      <c r="D994" s="132"/>
      <c r="E994" s="132"/>
      <c r="F994" s="132"/>
      <c r="G994" s="132"/>
      <c r="H994" s="132"/>
      <c r="I994" s="131"/>
      <c r="J994" s="131"/>
      <c r="K994" s="131"/>
      <c r="L994" s="131"/>
      <c r="M994" s="131"/>
      <c r="N994" s="131"/>
      <c r="O994" s="131"/>
      <c r="P994" s="131"/>
      <c r="Q994" s="131"/>
      <c r="R994" s="131"/>
      <c r="S994" s="131"/>
      <c r="T994" s="131"/>
      <c r="U994" s="131"/>
      <c r="V994" s="131"/>
      <c r="W994" s="131"/>
      <c r="X994" s="131"/>
    </row>
    <row r="995" spans="1:24" ht="13.5" customHeight="1">
      <c r="A995" s="132"/>
      <c r="B995" s="131"/>
      <c r="C995" s="131"/>
      <c r="D995" s="132"/>
      <c r="E995" s="132"/>
      <c r="F995" s="132"/>
      <c r="G995" s="132"/>
      <c r="H995" s="132"/>
      <c r="I995" s="131"/>
      <c r="J995" s="131"/>
      <c r="K995" s="131"/>
      <c r="L995" s="131"/>
      <c r="M995" s="131"/>
      <c r="N995" s="131"/>
      <c r="O995" s="131"/>
      <c r="P995" s="131"/>
      <c r="Q995" s="131"/>
      <c r="R995" s="131"/>
      <c r="S995" s="131"/>
      <c r="T995" s="131"/>
      <c r="U995" s="131"/>
      <c r="V995" s="131"/>
      <c r="W995" s="131"/>
      <c r="X995" s="131"/>
    </row>
    <row r="996" spans="1:24" ht="13.5" customHeight="1">
      <c r="A996" s="132"/>
      <c r="B996" s="131"/>
      <c r="C996" s="131"/>
      <c r="D996" s="132"/>
      <c r="E996" s="132"/>
      <c r="F996" s="132"/>
      <c r="G996" s="132"/>
      <c r="H996" s="132"/>
      <c r="I996" s="131"/>
      <c r="J996" s="131"/>
      <c r="K996" s="131"/>
      <c r="L996" s="131"/>
      <c r="M996" s="131"/>
      <c r="N996" s="131"/>
      <c r="O996" s="131"/>
      <c r="P996" s="131"/>
      <c r="Q996" s="131"/>
      <c r="R996" s="131"/>
      <c r="S996" s="131"/>
      <c r="T996" s="131"/>
      <c r="U996" s="131"/>
      <c r="V996" s="131"/>
      <c r="W996" s="131"/>
      <c r="X996" s="131"/>
    </row>
    <row r="997" spans="1:24" ht="13.5" customHeight="1">
      <c r="A997" s="132"/>
      <c r="B997" s="131"/>
      <c r="C997" s="131"/>
      <c r="D997" s="132"/>
      <c r="E997" s="132"/>
      <c r="F997" s="132"/>
      <c r="G997" s="132"/>
      <c r="H997" s="132"/>
      <c r="I997" s="131"/>
      <c r="J997" s="131"/>
      <c r="K997" s="131"/>
      <c r="L997" s="131"/>
      <c r="M997" s="131"/>
      <c r="N997" s="131"/>
      <c r="O997" s="131"/>
      <c r="P997" s="131"/>
      <c r="Q997" s="131"/>
      <c r="R997" s="131"/>
      <c r="S997" s="131"/>
      <c r="T997" s="131"/>
      <c r="U997" s="131"/>
      <c r="V997" s="131"/>
      <c r="W997" s="131"/>
      <c r="X997" s="131"/>
    </row>
    <row r="998" spans="1:24" ht="13.5" customHeight="1">
      <c r="A998" s="132"/>
      <c r="B998" s="131"/>
      <c r="C998" s="131"/>
      <c r="D998" s="132"/>
      <c r="E998" s="132"/>
      <c r="F998" s="132"/>
      <c r="G998" s="132"/>
      <c r="H998" s="132"/>
      <c r="I998" s="131"/>
      <c r="J998" s="131"/>
      <c r="K998" s="131"/>
      <c r="L998" s="131"/>
      <c r="M998" s="131"/>
      <c r="N998" s="131"/>
      <c r="O998" s="131"/>
      <c r="P998" s="131"/>
      <c r="Q998" s="131"/>
      <c r="R998" s="131"/>
      <c r="S998" s="131"/>
      <c r="T998" s="131"/>
      <c r="U998" s="131"/>
      <c r="V998" s="131"/>
      <c r="W998" s="131"/>
      <c r="X998" s="131"/>
    </row>
    <row r="999" spans="1:24" ht="13.5" customHeight="1">
      <c r="A999" s="132"/>
      <c r="B999" s="131"/>
      <c r="C999" s="131"/>
      <c r="D999" s="132"/>
      <c r="E999" s="132"/>
      <c r="F999" s="132"/>
      <c r="G999" s="132"/>
      <c r="H999" s="132"/>
      <c r="I999" s="131"/>
      <c r="J999" s="131"/>
      <c r="K999" s="131"/>
      <c r="L999" s="131"/>
      <c r="M999" s="131"/>
      <c r="N999" s="131"/>
      <c r="O999" s="131"/>
      <c r="P999" s="131"/>
      <c r="Q999" s="131"/>
      <c r="R999" s="131"/>
      <c r="S999" s="131"/>
      <c r="T999" s="131"/>
      <c r="U999" s="131"/>
      <c r="V999" s="131"/>
      <c r="W999" s="131"/>
      <c r="X999" s="131"/>
    </row>
    <row r="1000" spans="1:24" ht="13.5" customHeight="1">
      <c r="A1000" s="132"/>
      <c r="B1000" s="131"/>
      <c r="C1000" s="131"/>
      <c r="D1000" s="132"/>
      <c r="E1000" s="132"/>
      <c r="F1000" s="132"/>
      <c r="G1000" s="132"/>
      <c r="H1000" s="132"/>
      <c r="I1000" s="131"/>
      <c r="J1000" s="131"/>
      <c r="K1000" s="131"/>
      <c r="L1000" s="131"/>
      <c r="M1000" s="131"/>
      <c r="N1000" s="131"/>
      <c r="O1000" s="131"/>
      <c r="P1000" s="131"/>
      <c r="Q1000" s="131"/>
      <c r="R1000" s="131"/>
      <c r="S1000" s="131"/>
      <c r="T1000" s="131"/>
      <c r="U1000" s="131"/>
      <c r="V1000" s="131"/>
      <c r="W1000" s="131"/>
      <c r="X1000" s="131"/>
    </row>
    <row r="1001" spans="1:24" ht="13.5" customHeight="1">
      <c r="A1001" s="132"/>
      <c r="B1001" s="131"/>
      <c r="C1001" s="131"/>
      <c r="D1001" s="132"/>
      <c r="E1001" s="132"/>
      <c r="F1001" s="132"/>
      <c r="G1001" s="132"/>
      <c r="H1001" s="132"/>
      <c r="I1001" s="131"/>
      <c r="J1001" s="131"/>
      <c r="K1001" s="131"/>
      <c r="L1001" s="131"/>
      <c r="M1001" s="131"/>
      <c r="N1001" s="131"/>
      <c r="O1001" s="131"/>
      <c r="P1001" s="131"/>
      <c r="Q1001" s="131"/>
      <c r="R1001" s="131"/>
      <c r="S1001" s="131"/>
      <c r="T1001" s="131"/>
      <c r="U1001" s="131"/>
      <c r="V1001" s="131"/>
      <c r="W1001" s="131"/>
      <c r="X1001" s="131"/>
    </row>
    <row r="1002" spans="1:24" ht="13.5" customHeight="1">
      <c r="A1002" s="132"/>
      <c r="B1002" s="131"/>
      <c r="C1002" s="131"/>
      <c r="D1002" s="132"/>
      <c r="E1002" s="132"/>
      <c r="F1002" s="132"/>
      <c r="G1002" s="132"/>
      <c r="H1002" s="132"/>
      <c r="I1002" s="131"/>
      <c r="J1002" s="131"/>
      <c r="K1002" s="131"/>
      <c r="L1002" s="131"/>
      <c r="M1002" s="131"/>
      <c r="N1002" s="131"/>
      <c r="O1002" s="131"/>
      <c r="P1002" s="131"/>
      <c r="Q1002" s="131"/>
      <c r="R1002" s="131"/>
      <c r="S1002" s="131"/>
      <c r="T1002" s="131"/>
      <c r="U1002" s="131"/>
      <c r="V1002" s="131"/>
      <c r="W1002" s="131"/>
      <c r="X1002" s="131"/>
    </row>
    <row r="1003" spans="1:24" ht="13.5" customHeight="1">
      <c r="A1003" s="132"/>
      <c r="B1003" s="131"/>
      <c r="C1003" s="131"/>
      <c r="D1003" s="132"/>
      <c r="E1003" s="132"/>
      <c r="F1003" s="132"/>
      <c r="G1003" s="132"/>
      <c r="H1003" s="132"/>
      <c r="I1003" s="131"/>
      <c r="J1003" s="131"/>
      <c r="K1003" s="131"/>
      <c r="L1003" s="131"/>
      <c r="M1003" s="131"/>
      <c r="N1003" s="131"/>
      <c r="O1003" s="131"/>
      <c r="P1003" s="131"/>
      <c r="Q1003" s="131"/>
      <c r="R1003" s="131"/>
      <c r="S1003" s="131"/>
      <c r="T1003" s="131"/>
      <c r="U1003" s="131"/>
      <c r="V1003" s="131"/>
      <c r="W1003" s="131"/>
      <c r="X1003" s="131"/>
    </row>
    <row r="1004" spans="1:24" ht="13.5" customHeight="1">
      <c r="A1004" s="132"/>
      <c r="B1004" s="131"/>
      <c r="C1004" s="131"/>
      <c r="D1004" s="132"/>
      <c r="E1004" s="132"/>
      <c r="F1004" s="132"/>
      <c r="G1004" s="132"/>
      <c r="H1004" s="132"/>
      <c r="I1004" s="131"/>
      <c r="J1004" s="131"/>
      <c r="K1004" s="131"/>
      <c r="L1004" s="131"/>
      <c r="M1004" s="131"/>
      <c r="N1004" s="131"/>
      <c r="O1004" s="131"/>
      <c r="P1004" s="131"/>
      <c r="Q1004" s="131"/>
      <c r="R1004" s="131"/>
      <c r="S1004" s="131"/>
      <c r="T1004" s="131"/>
      <c r="U1004" s="131"/>
      <c r="V1004" s="131"/>
      <c r="W1004" s="131"/>
      <c r="X1004" s="131"/>
    </row>
    <row r="1005" spans="1:24" ht="13.5" customHeight="1">
      <c r="A1005" s="132"/>
      <c r="B1005" s="131"/>
      <c r="C1005" s="131"/>
      <c r="D1005" s="132"/>
      <c r="E1005" s="132"/>
      <c r="F1005" s="132"/>
      <c r="G1005" s="132"/>
      <c r="H1005" s="132"/>
      <c r="I1005" s="131"/>
      <c r="J1005" s="131"/>
      <c r="K1005" s="131"/>
      <c r="L1005" s="131"/>
      <c r="M1005" s="131"/>
      <c r="N1005" s="131"/>
      <c r="O1005" s="131"/>
      <c r="P1005" s="131"/>
      <c r="Q1005" s="131"/>
      <c r="R1005" s="131"/>
      <c r="S1005" s="131"/>
      <c r="T1005" s="131"/>
      <c r="U1005" s="131"/>
      <c r="V1005" s="131"/>
      <c r="W1005" s="131"/>
      <c r="X1005" s="131"/>
    </row>
    <row r="1006" spans="1:24" ht="13.5" customHeight="1">
      <c r="A1006" s="132"/>
      <c r="B1006" s="131"/>
      <c r="C1006" s="131"/>
      <c r="D1006" s="132"/>
      <c r="E1006" s="132"/>
      <c r="F1006" s="132"/>
      <c r="G1006" s="132"/>
      <c r="H1006" s="132"/>
      <c r="I1006" s="131"/>
      <c r="J1006" s="131"/>
      <c r="K1006" s="131"/>
      <c r="L1006" s="131"/>
      <c r="M1006" s="131"/>
      <c r="N1006" s="131"/>
      <c r="O1006" s="131"/>
      <c r="P1006" s="131"/>
      <c r="Q1006" s="131"/>
      <c r="R1006" s="131"/>
      <c r="S1006" s="131"/>
      <c r="T1006" s="131"/>
      <c r="U1006" s="131"/>
      <c r="V1006" s="131"/>
      <c r="W1006" s="131"/>
      <c r="X1006" s="131"/>
    </row>
    <row r="1007" spans="1:24" ht="13.5" customHeight="1">
      <c r="A1007" s="132"/>
      <c r="B1007" s="131"/>
      <c r="C1007" s="131"/>
      <c r="D1007" s="132"/>
      <c r="E1007" s="132"/>
      <c r="F1007" s="132"/>
      <c r="G1007" s="132"/>
      <c r="H1007" s="132"/>
      <c r="I1007" s="131"/>
      <c r="J1007" s="131"/>
      <c r="K1007" s="131"/>
      <c r="L1007" s="131"/>
      <c r="M1007" s="131"/>
      <c r="N1007" s="131"/>
      <c r="O1007" s="131"/>
      <c r="P1007" s="131"/>
      <c r="Q1007" s="131"/>
      <c r="R1007" s="131"/>
      <c r="S1007" s="131"/>
      <c r="T1007" s="131"/>
      <c r="U1007" s="131"/>
      <c r="V1007" s="131"/>
      <c r="W1007" s="131"/>
      <c r="X1007" s="131"/>
    </row>
    <row r="1008" spans="1:24" ht="13.5" customHeight="1">
      <c r="A1008" s="132"/>
      <c r="B1008" s="131"/>
      <c r="C1008" s="131"/>
      <c r="D1008" s="132"/>
      <c r="E1008" s="132"/>
      <c r="F1008" s="132"/>
      <c r="G1008" s="132"/>
      <c r="H1008" s="132"/>
      <c r="I1008" s="131"/>
      <c r="J1008" s="131"/>
      <c r="K1008" s="131"/>
      <c r="L1008" s="131"/>
      <c r="M1008" s="131"/>
      <c r="N1008" s="131"/>
      <c r="O1008" s="131"/>
      <c r="P1008" s="131"/>
      <c r="Q1008" s="131"/>
      <c r="R1008" s="131"/>
      <c r="S1008" s="131"/>
      <c r="T1008" s="131"/>
      <c r="U1008" s="131"/>
      <c r="V1008" s="131"/>
      <c r="W1008" s="131"/>
      <c r="X1008" s="131"/>
    </row>
    <row r="1009" spans="1:24" ht="13.5" customHeight="1">
      <c r="A1009" s="132"/>
      <c r="B1009" s="131"/>
      <c r="C1009" s="131"/>
      <c r="D1009" s="132"/>
      <c r="E1009" s="132"/>
      <c r="F1009" s="132"/>
      <c r="G1009" s="132"/>
      <c r="H1009" s="132"/>
      <c r="I1009" s="131"/>
      <c r="J1009" s="131"/>
      <c r="K1009" s="131"/>
      <c r="L1009" s="131"/>
      <c r="M1009" s="131"/>
      <c r="N1009" s="131"/>
      <c r="O1009" s="131"/>
      <c r="P1009" s="131"/>
      <c r="Q1009" s="131"/>
      <c r="R1009" s="131"/>
      <c r="S1009" s="131"/>
      <c r="T1009" s="131"/>
      <c r="U1009" s="131"/>
      <c r="V1009" s="131"/>
      <c r="W1009" s="131"/>
      <c r="X1009" s="131"/>
    </row>
    <row r="1010" spans="1:24" ht="13.5" customHeight="1">
      <c r="A1010" s="132"/>
      <c r="B1010" s="131"/>
      <c r="C1010" s="131"/>
      <c r="D1010" s="132"/>
      <c r="E1010" s="132"/>
      <c r="F1010" s="132"/>
      <c r="G1010" s="132"/>
      <c r="H1010" s="132"/>
      <c r="I1010" s="131"/>
      <c r="J1010" s="131"/>
      <c r="K1010" s="131"/>
      <c r="L1010" s="131"/>
      <c r="M1010" s="131"/>
      <c r="N1010" s="131"/>
      <c r="O1010" s="131"/>
      <c r="P1010" s="131"/>
      <c r="Q1010" s="131"/>
      <c r="R1010" s="131"/>
      <c r="S1010" s="131"/>
      <c r="T1010" s="131"/>
      <c r="U1010" s="131"/>
      <c r="V1010" s="131"/>
      <c r="W1010" s="131"/>
      <c r="X1010" s="131"/>
    </row>
    <row r="1011" spans="1:24" ht="13.5" customHeight="1">
      <c r="A1011" s="132"/>
      <c r="B1011" s="131"/>
      <c r="C1011" s="131"/>
      <c r="D1011" s="132"/>
      <c r="E1011" s="132"/>
      <c r="F1011" s="132"/>
      <c r="G1011" s="132"/>
      <c r="H1011" s="132"/>
      <c r="I1011" s="131"/>
      <c r="J1011" s="131"/>
      <c r="K1011" s="131"/>
      <c r="L1011" s="131"/>
      <c r="M1011" s="131"/>
      <c r="N1011" s="131"/>
      <c r="O1011" s="131"/>
      <c r="P1011" s="131"/>
      <c r="Q1011" s="131"/>
      <c r="R1011" s="131"/>
      <c r="S1011" s="131"/>
      <c r="T1011" s="131"/>
      <c r="U1011" s="131"/>
      <c r="V1011" s="131"/>
      <c r="W1011" s="131"/>
      <c r="X1011" s="131"/>
    </row>
    <row r="1012" spans="1:24" ht="13.5" customHeight="1">
      <c r="A1012" s="132"/>
      <c r="B1012" s="131"/>
      <c r="C1012" s="131"/>
      <c r="D1012" s="132"/>
      <c r="E1012" s="132"/>
      <c r="F1012" s="132"/>
      <c r="G1012" s="132"/>
      <c r="H1012" s="132"/>
      <c r="I1012" s="131"/>
      <c r="J1012" s="131"/>
      <c r="K1012" s="131"/>
      <c r="L1012" s="131"/>
      <c r="M1012" s="131"/>
      <c r="N1012" s="131"/>
      <c r="O1012" s="131"/>
      <c r="P1012" s="131"/>
      <c r="Q1012" s="131"/>
      <c r="R1012" s="131"/>
      <c r="S1012" s="131"/>
      <c r="T1012" s="131"/>
      <c r="U1012" s="131"/>
      <c r="V1012" s="131"/>
      <c r="W1012" s="131"/>
      <c r="X1012" s="131"/>
    </row>
    <row r="1013" spans="1:24" ht="13.5" customHeight="1">
      <c r="A1013" s="132"/>
      <c r="B1013" s="131"/>
      <c r="C1013" s="131"/>
      <c r="D1013" s="132"/>
      <c r="E1013" s="132"/>
      <c r="F1013" s="132"/>
      <c r="G1013" s="132"/>
      <c r="H1013" s="132"/>
      <c r="I1013" s="131"/>
      <c r="J1013" s="131"/>
      <c r="K1013" s="131"/>
      <c r="L1013" s="131"/>
      <c r="M1013" s="131"/>
      <c r="N1013" s="131"/>
      <c r="O1013" s="131"/>
      <c r="P1013" s="131"/>
      <c r="Q1013" s="131"/>
      <c r="R1013" s="131"/>
      <c r="S1013" s="131"/>
      <c r="T1013" s="131"/>
      <c r="U1013" s="131"/>
      <c r="V1013" s="131"/>
      <c r="W1013" s="131"/>
      <c r="X1013" s="131"/>
    </row>
    <row r="1014" spans="1:24" ht="13.5" customHeight="1">
      <c r="A1014" s="132"/>
      <c r="B1014" s="131"/>
      <c r="C1014" s="131"/>
      <c r="D1014" s="132"/>
      <c r="E1014" s="132"/>
      <c r="F1014" s="132"/>
      <c r="G1014" s="132"/>
      <c r="H1014" s="132"/>
      <c r="I1014" s="131"/>
      <c r="J1014" s="131"/>
      <c r="K1014" s="131"/>
      <c r="L1014" s="131"/>
      <c r="M1014" s="131"/>
      <c r="N1014" s="131"/>
      <c r="O1014" s="131"/>
      <c r="P1014" s="131"/>
      <c r="Q1014" s="131"/>
      <c r="R1014" s="131"/>
      <c r="S1014" s="131"/>
      <c r="T1014" s="131"/>
      <c r="U1014" s="131"/>
      <c r="V1014" s="131"/>
      <c r="W1014" s="131"/>
      <c r="X1014" s="131"/>
    </row>
    <row r="1015" spans="1:24" ht="13.5" customHeight="1">
      <c r="A1015" s="132"/>
      <c r="B1015" s="131"/>
      <c r="C1015" s="131"/>
      <c r="D1015" s="132"/>
      <c r="E1015" s="132"/>
      <c r="F1015" s="132"/>
      <c r="G1015" s="132"/>
      <c r="H1015" s="132"/>
      <c r="I1015" s="131"/>
      <c r="J1015" s="131"/>
      <c r="K1015" s="131"/>
      <c r="L1015" s="131"/>
      <c r="M1015" s="131"/>
      <c r="N1015" s="131"/>
      <c r="O1015" s="131"/>
      <c r="P1015" s="131"/>
      <c r="Q1015" s="131"/>
      <c r="R1015" s="131"/>
      <c r="S1015" s="131"/>
      <c r="T1015" s="131"/>
      <c r="U1015" s="131"/>
      <c r="V1015" s="131"/>
      <c r="W1015" s="131"/>
      <c r="X1015" s="131"/>
    </row>
    <row r="1016" spans="1:24" ht="13.5" customHeight="1">
      <c r="A1016" s="132"/>
      <c r="B1016" s="131"/>
      <c r="C1016" s="131"/>
      <c r="D1016" s="132"/>
      <c r="E1016" s="132"/>
      <c r="F1016" s="132"/>
      <c r="G1016" s="132"/>
      <c r="H1016" s="132"/>
      <c r="I1016" s="131"/>
      <c r="J1016" s="131"/>
      <c r="K1016" s="131"/>
      <c r="L1016" s="131"/>
      <c r="M1016" s="131"/>
      <c r="N1016" s="131"/>
      <c r="O1016" s="131"/>
      <c r="P1016" s="131"/>
      <c r="Q1016" s="131"/>
      <c r="R1016" s="131"/>
      <c r="S1016" s="131"/>
      <c r="T1016" s="131"/>
      <c r="U1016" s="131"/>
      <c r="V1016" s="131"/>
      <c r="W1016" s="131"/>
      <c r="X1016" s="131"/>
    </row>
    <row r="1017" spans="1:24" ht="13.5" customHeight="1">
      <c r="A1017" s="132"/>
      <c r="B1017" s="131"/>
      <c r="C1017" s="131"/>
      <c r="D1017" s="132"/>
      <c r="E1017" s="132"/>
      <c r="F1017" s="132"/>
      <c r="G1017" s="132"/>
      <c r="H1017" s="132"/>
      <c r="I1017" s="131"/>
      <c r="J1017" s="131"/>
      <c r="K1017" s="131"/>
      <c r="L1017" s="131"/>
      <c r="M1017" s="131"/>
      <c r="N1017" s="131"/>
      <c r="O1017" s="131"/>
      <c r="P1017" s="131"/>
      <c r="Q1017" s="131"/>
      <c r="R1017" s="131"/>
      <c r="S1017" s="131"/>
      <c r="T1017" s="131"/>
      <c r="U1017" s="131"/>
      <c r="V1017" s="131"/>
      <c r="W1017" s="131"/>
      <c r="X1017" s="131"/>
    </row>
    <row r="1018" spans="1:24" ht="13.5" customHeight="1">
      <c r="A1018" s="132"/>
      <c r="B1018" s="131"/>
      <c r="C1018" s="131"/>
      <c r="D1018" s="132"/>
      <c r="E1018" s="132"/>
      <c r="F1018" s="132"/>
      <c r="G1018" s="132"/>
      <c r="H1018" s="132"/>
      <c r="I1018" s="131"/>
      <c r="J1018" s="131"/>
      <c r="K1018" s="131"/>
      <c r="L1018" s="131"/>
      <c r="M1018" s="131"/>
      <c r="N1018" s="131"/>
      <c r="O1018" s="131"/>
      <c r="P1018" s="131"/>
      <c r="Q1018" s="131"/>
      <c r="R1018" s="131"/>
      <c r="S1018" s="131"/>
      <c r="T1018" s="131"/>
      <c r="U1018" s="131"/>
      <c r="V1018" s="131"/>
      <c r="W1018" s="131"/>
      <c r="X1018" s="131"/>
    </row>
    <row r="1019" spans="1:24" ht="13.5" customHeight="1">
      <c r="A1019" s="132"/>
      <c r="B1019" s="131"/>
      <c r="C1019" s="131"/>
      <c r="D1019" s="132"/>
      <c r="E1019" s="132"/>
      <c r="F1019" s="132"/>
      <c r="G1019" s="132"/>
      <c r="H1019" s="132"/>
      <c r="I1019" s="131"/>
      <c r="J1019" s="131"/>
      <c r="K1019" s="131"/>
      <c r="L1019" s="131"/>
      <c r="M1019" s="131"/>
      <c r="N1019" s="131"/>
      <c r="O1019" s="131"/>
      <c r="P1019" s="131"/>
      <c r="Q1019" s="131"/>
      <c r="R1019" s="131"/>
      <c r="S1019" s="131"/>
      <c r="T1019" s="131"/>
      <c r="U1019" s="131"/>
      <c r="V1019" s="131"/>
      <c r="W1019" s="131"/>
      <c r="X1019" s="131"/>
    </row>
    <row r="1020" spans="1:24" ht="13.5" customHeight="1">
      <c r="A1020" s="132"/>
      <c r="B1020" s="131"/>
      <c r="C1020" s="131"/>
      <c r="D1020" s="132"/>
      <c r="E1020" s="132"/>
      <c r="F1020" s="132"/>
      <c r="G1020" s="132"/>
      <c r="H1020" s="132"/>
      <c r="I1020" s="131"/>
      <c r="J1020" s="131"/>
      <c r="K1020" s="131"/>
      <c r="L1020" s="131"/>
      <c r="M1020" s="131"/>
      <c r="N1020" s="131"/>
      <c r="O1020" s="131"/>
      <c r="P1020" s="131"/>
      <c r="Q1020" s="131"/>
      <c r="R1020" s="131"/>
      <c r="S1020" s="131"/>
      <c r="T1020" s="131"/>
      <c r="U1020" s="131"/>
      <c r="V1020" s="131"/>
      <c r="W1020" s="131"/>
      <c r="X1020" s="131"/>
    </row>
    <row r="1021" spans="1:24" ht="13.5" customHeight="1">
      <c r="A1021" s="132"/>
      <c r="B1021" s="131"/>
      <c r="C1021" s="131"/>
      <c r="D1021" s="132"/>
      <c r="E1021" s="132"/>
      <c r="F1021" s="132"/>
      <c r="G1021" s="132"/>
      <c r="H1021" s="132"/>
      <c r="I1021" s="131"/>
      <c r="J1021" s="131"/>
      <c r="K1021" s="131"/>
      <c r="L1021" s="131"/>
      <c r="M1021" s="131"/>
      <c r="N1021" s="131"/>
      <c r="O1021" s="131"/>
      <c r="P1021" s="131"/>
      <c r="Q1021" s="131"/>
      <c r="R1021" s="131"/>
      <c r="S1021" s="131"/>
      <c r="T1021" s="131"/>
      <c r="U1021" s="131"/>
      <c r="V1021" s="131"/>
      <c r="W1021" s="131"/>
      <c r="X1021" s="131"/>
    </row>
    <row r="1022" spans="1:24" ht="13.5" customHeight="1">
      <c r="A1022" s="132"/>
      <c r="B1022" s="131"/>
      <c r="C1022" s="131"/>
      <c r="D1022" s="132"/>
      <c r="E1022" s="132"/>
      <c r="F1022" s="132"/>
      <c r="G1022" s="132"/>
      <c r="H1022" s="132"/>
      <c r="I1022" s="131"/>
      <c r="J1022" s="131"/>
      <c r="K1022" s="131"/>
      <c r="L1022" s="131"/>
      <c r="M1022" s="131"/>
      <c r="N1022" s="131"/>
      <c r="O1022" s="131"/>
      <c r="P1022" s="131"/>
      <c r="Q1022" s="131"/>
      <c r="R1022" s="131"/>
      <c r="S1022" s="131"/>
      <c r="T1022" s="131"/>
      <c r="U1022" s="131"/>
      <c r="V1022" s="131"/>
      <c r="W1022" s="131"/>
      <c r="X1022" s="131"/>
    </row>
    <row r="1023" spans="1:24" ht="13.5" customHeight="1">
      <c r="A1023" s="132"/>
      <c r="B1023" s="131"/>
      <c r="C1023" s="131"/>
      <c r="D1023" s="132"/>
      <c r="E1023" s="132"/>
      <c r="F1023" s="132"/>
      <c r="G1023" s="132"/>
      <c r="H1023" s="132"/>
      <c r="I1023" s="131"/>
      <c r="J1023" s="131"/>
      <c r="K1023" s="131"/>
      <c r="L1023" s="131"/>
      <c r="M1023" s="131"/>
      <c r="N1023" s="131"/>
      <c r="O1023" s="131"/>
      <c r="P1023" s="131"/>
      <c r="Q1023" s="131"/>
      <c r="R1023" s="131"/>
      <c r="S1023" s="131"/>
      <c r="T1023" s="131"/>
      <c r="U1023" s="131"/>
      <c r="V1023" s="131"/>
      <c r="W1023" s="131"/>
      <c r="X1023" s="131"/>
    </row>
    <row r="1024" spans="1:24" ht="13.5" customHeight="1">
      <c r="A1024" s="132"/>
      <c r="B1024" s="131"/>
      <c r="C1024" s="131"/>
      <c r="D1024" s="132"/>
      <c r="E1024" s="132"/>
      <c r="F1024" s="132"/>
      <c r="G1024" s="132"/>
      <c r="H1024" s="132"/>
      <c r="I1024" s="131"/>
      <c r="J1024" s="131"/>
      <c r="K1024" s="131"/>
      <c r="L1024" s="131"/>
      <c r="M1024" s="131"/>
      <c r="N1024" s="131"/>
      <c r="O1024" s="131"/>
      <c r="P1024" s="131"/>
      <c r="Q1024" s="131"/>
      <c r="R1024" s="131"/>
      <c r="S1024" s="131"/>
      <c r="T1024" s="131"/>
      <c r="U1024" s="131"/>
      <c r="V1024" s="131"/>
      <c r="W1024" s="131"/>
      <c r="X1024" s="131"/>
    </row>
    <row r="1025" spans="1:24" ht="13.5" customHeight="1">
      <c r="A1025" s="132"/>
      <c r="B1025" s="131"/>
      <c r="C1025" s="131"/>
      <c r="D1025" s="132"/>
      <c r="E1025" s="132"/>
      <c r="F1025" s="132"/>
      <c r="G1025" s="132"/>
      <c r="H1025" s="132"/>
      <c r="I1025" s="131"/>
      <c r="J1025" s="131"/>
      <c r="K1025" s="131"/>
      <c r="L1025" s="131"/>
      <c r="M1025" s="131"/>
      <c r="N1025" s="131"/>
      <c r="O1025" s="131"/>
      <c r="P1025" s="131"/>
      <c r="Q1025" s="131"/>
      <c r="R1025" s="131"/>
      <c r="S1025" s="131"/>
      <c r="T1025" s="131"/>
      <c r="U1025" s="131"/>
      <c r="V1025" s="131"/>
      <c r="W1025" s="131"/>
      <c r="X1025" s="131"/>
    </row>
    <row r="1026" spans="1:24" ht="13.5" customHeight="1">
      <c r="A1026" s="132"/>
      <c r="B1026" s="131"/>
      <c r="C1026" s="131"/>
      <c r="D1026" s="132"/>
      <c r="E1026" s="132"/>
      <c r="F1026" s="132"/>
      <c r="G1026" s="132"/>
      <c r="H1026" s="132"/>
      <c r="I1026" s="131"/>
      <c r="J1026" s="131"/>
      <c r="K1026" s="131"/>
      <c r="L1026" s="131"/>
      <c r="M1026" s="131"/>
      <c r="N1026" s="131"/>
      <c r="O1026" s="131"/>
      <c r="P1026" s="131"/>
      <c r="Q1026" s="131"/>
      <c r="R1026" s="131"/>
      <c r="S1026" s="131"/>
      <c r="T1026" s="131"/>
      <c r="U1026" s="131"/>
      <c r="V1026" s="131"/>
      <c r="W1026" s="131"/>
      <c r="X1026" s="131"/>
    </row>
    <row r="1027" spans="1:24" ht="13.5" customHeight="1">
      <c r="A1027" s="132"/>
      <c r="B1027" s="131"/>
      <c r="C1027" s="131"/>
      <c r="D1027" s="132"/>
      <c r="E1027" s="132"/>
      <c r="F1027" s="132"/>
      <c r="G1027" s="132"/>
      <c r="H1027" s="132"/>
      <c r="I1027" s="131"/>
      <c r="J1027" s="131"/>
      <c r="K1027" s="131"/>
      <c r="L1027" s="131"/>
      <c r="M1027" s="131"/>
      <c r="N1027" s="131"/>
      <c r="O1027" s="131"/>
      <c r="P1027" s="131"/>
      <c r="Q1027" s="131"/>
      <c r="R1027" s="131"/>
      <c r="S1027" s="131"/>
      <c r="T1027" s="131"/>
      <c r="U1027" s="131"/>
      <c r="V1027" s="131"/>
      <c r="W1027" s="131"/>
      <c r="X1027" s="131"/>
    </row>
    <row r="1028" spans="1:24" ht="13.5" customHeight="1">
      <c r="A1028" s="132"/>
      <c r="B1028" s="131"/>
      <c r="C1028" s="131"/>
      <c r="D1028" s="132"/>
      <c r="E1028" s="132"/>
      <c r="F1028" s="132"/>
      <c r="G1028" s="132"/>
      <c r="H1028" s="132"/>
      <c r="I1028" s="131"/>
      <c r="J1028" s="131"/>
      <c r="K1028" s="131"/>
      <c r="L1028" s="131"/>
      <c r="M1028" s="131"/>
      <c r="N1028" s="131"/>
      <c r="O1028" s="131"/>
      <c r="P1028" s="131"/>
      <c r="Q1028" s="131"/>
      <c r="R1028" s="131"/>
      <c r="S1028" s="131"/>
      <c r="T1028" s="131"/>
      <c r="U1028" s="131"/>
      <c r="V1028" s="131"/>
      <c r="W1028" s="131"/>
      <c r="X1028" s="131"/>
    </row>
    <row r="1029" spans="1:24" ht="13.5" customHeight="1">
      <c r="A1029" s="132"/>
      <c r="B1029" s="131"/>
      <c r="C1029" s="131"/>
      <c r="D1029" s="132"/>
      <c r="E1029" s="132"/>
      <c r="F1029" s="132"/>
      <c r="G1029" s="132"/>
      <c r="H1029" s="132"/>
      <c r="I1029" s="131"/>
      <c r="J1029" s="131"/>
      <c r="K1029" s="131"/>
      <c r="L1029" s="131"/>
      <c r="M1029" s="131"/>
      <c r="N1029" s="131"/>
      <c r="O1029" s="131"/>
      <c r="P1029" s="131"/>
      <c r="Q1029" s="131"/>
      <c r="R1029" s="131"/>
      <c r="S1029" s="131"/>
      <c r="T1029" s="131"/>
      <c r="U1029" s="131"/>
      <c r="V1029" s="131"/>
      <c r="W1029" s="131"/>
      <c r="X1029" s="131"/>
    </row>
    <row r="1030" spans="1:24" ht="13.5" customHeight="1">
      <c r="A1030" s="132"/>
      <c r="B1030" s="131"/>
      <c r="C1030" s="131"/>
      <c r="D1030" s="132"/>
      <c r="E1030" s="132"/>
      <c r="F1030" s="132"/>
      <c r="G1030" s="132"/>
      <c r="H1030" s="132"/>
      <c r="I1030" s="131"/>
      <c r="J1030" s="131"/>
      <c r="K1030" s="131"/>
      <c r="L1030" s="131"/>
      <c r="M1030" s="131"/>
      <c r="N1030" s="131"/>
      <c r="O1030" s="131"/>
      <c r="P1030" s="131"/>
      <c r="Q1030" s="131"/>
      <c r="R1030" s="131"/>
      <c r="S1030" s="131"/>
      <c r="T1030" s="131"/>
      <c r="U1030" s="131"/>
      <c r="V1030" s="131"/>
      <c r="W1030" s="131"/>
      <c r="X1030" s="131"/>
    </row>
    <row r="1031" spans="1:24" ht="13.5" customHeight="1">
      <c r="A1031" s="132"/>
      <c r="B1031" s="131"/>
      <c r="C1031" s="131"/>
      <c r="D1031" s="132"/>
      <c r="E1031" s="132"/>
      <c r="F1031" s="132"/>
      <c r="G1031" s="132"/>
      <c r="H1031" s="132"/>
      <c r="I1031" s="131"/>
      <c r="J1031" s="131"/>
      <c r="K1031" s="131"/>
      <c r="L1031" s="131"/>
      <c r="M1031" s="131"/>
      <c r="N1031" s="131"/>
      <c r="O1031" s="131"/>
      <c r="P1031" s="131"/>
      <c r="Q1031" s="131"/>
      <c r="R1031" s="131"/>
      <c r="S1031" s="131"/>
      <c r="T1031" s="131"/>
      <c r="U1031" s="131"/>
      <c r="V1031" s="131"/>
      <c r="W1031" s="131"/>
      <c r="X1031" s="131"/>
    </row>
    <row r="1032" spans="1:24" ht="13.5" customHeight="1">
      <c r="A1032" s="132"/>
      <c r="B1032" s="131"/>
      <c r="C1032" s="131"/>
      <c r="D1032" s="132"/>
      <c r="E1032" s="132"/>
      <c r="F1032" s="132"/>
      <c r="G1032" s="132"/>
      <c r="H1032" s="132"/>
      <c r="I1032" s="131"/>
      <c r="J1032" s="131"/>
      <c r="K1032" s="131"/>
      <c r="L1032" s="131"/>
      <c r="M1032" s="131"/>
      <c r="N1032" s="131"/>
      <c r="O1032" s="131"/>
      <c r="P1032" s="131"/>
      <c r="Q1032" s="131"/>
      <c r="R1032" s="131"/>
      <c r="S1032" s="131"/>
      <c r="T1032" s="131"/>
      <c r="U1032" s="131"/>
      <c r="V1032" s="131"/>
      <c r="W1032" s="131"/>
      <c r="X1032" s="131"/>
    </row>
    <row r="1033" spans="1:24" ht="13.5" customHeight="1">
      <c r="A1033" s="132"/>
      <c r="B1033" s="131"/>
      <c r="C1033" s="131"/>
      <c r="D1033" s="132"/>
      <c r="E1033" s="132"/>
      <c r="F1033" s="132"/>
      <c r="G1033" s="132"/>
      <c r="H1033" s="132"/>
      <c r="I1033" s="131"/>
      <c r="J1033" s="131"/>
      <c r="K1033" s="131"/>
      <c r="L1033" s="131"/>
      <c r="M1033" s="131"/>
      <c r="N1033" s="131"/>
      <c r="O1033" s="131"/>
      <c r="P1033" s="131"/>
      <c r="Q1033" s="131"/>
      <c r="R1033" s="131"/>
      <c r="S1033" s="131"/>
      <c r="T1033" s="131"/>
      <c r="U1033" s="131"/>
      <c r="V1033" s="131"/>
      <c r="W1033" s="131"/>
      <c r="X1033" s="131"/>
    </row>
    <row r="1034" spans="1:24" ht="13.5" customHeight="1">
      <c r="A1034" s="132"/>
      <c r="B1034" s="131"/>
      <c r="C1034" s="131"/>
      <c r="D1034" s="132"/>
      <c r="E1034" s="132"/>
      <c r="F1034" s="132"/>
      <c r="G1034" s="132"/>
      <c r="H1034" s="132"/>
      <c r="I1034" s="131"/>
      <c r="J1034" s="131"/>
      <c r="K1034" s="131"/>
      <c r="L1034" s="131"/>
      <c r="M1034" s="131"/>
      <c r="N1034" s="131"/>
      <c r="O1034" s="131"/>
      <c r="P1034" s="131"/>
      <c r="Q1034" s="131"/>
      <c r="R1034" s="131"/>
      <c r="S1034" s="131"/>
      <c r="T1034" s="131"/>
      <c r="U1034" s="131"/>
      <c r="V1034" s="131"/>
      <c r="W1034" s="131"/>
      <c r="X1034" s="131"/>
    </row>
    <row r="1035" spans="1:24" ht="13.5" customHeight="1">
      <c r="A1035" s="132"/>
      <c r="B1035" s="131"/>
      <c r="C1035" s="131"/>
      <c r="D1035" s="132"/>
      <c r="E1035" s="132"/>
      <c r="F1035" s="132"/>
      <c r="G1035" s="132"/>
      <c r="H1035" s="132"/>
      <c r="I1035" s="131"/>
      <c r="J1035" s="131"/>
      <c r="K1035" s="131"/>
      <c r="L1035" s="131"/>
      <c r="M1035" s="131"/>
      <c r="N1035" s="131"/>
      <c r="O1035" s="131"/>
      <c r="P1035" s="131"/>
      <c r="Q1035" s="131"/>
      <c r="R1035" s="131"/>
      <c r="S1035" s="131"/>
      <c r="T1035" s="131"/>
      <c r="U1035" s="131"/>
      <c r="V1035" s="131"/>
      <c r="W1035" s="131"/>
      <c r="X1035" s="131"/>
    </row>
    <row r="1036" spans="1:24" ht="13.5" customHeight="1">
      <c r="A1036" s="132"/>
      <c r="B1036" s="131"/>
      <c r="C1036" s="131"/>
      <c r="D1036" s="132"/>
      <c r="E1036" s="132"/>
      <c r="F1036" s="132"/>
      <c r="G1036" s="132"/>
      <c r="H1036" s="132"/>
      <c r="I1036" s="131"/>
      <c r="J1036" s="131"/>
      <c r="K1036" s="131"/>
      <c r="L1036" s="131"/>
      <c r="M1036" s="131"/>
      <c r="N1036" s="131"/>
      <c r="O1036" s="131"/>
      <c r="P1036" s="131"/>
      <c r="Q1036" s="131"/>
      <c r="R1036" s="131"/>
      <c r="S1036" s="131"/>
      <c r="T1036" s="131"/>
      <c r="U1036" s="131"/>
      <c r="V1036" s="131"/>
      <c r="W1036" s="131"/>
      <c r="X1036" s="131"/>
    </row>
    <row r="1037" spans="1:24" ht="13.5" customHeight="1">
      <c r="A1037" s="132"/>
      <c r="B1037" s="131"/>
      <c r="C1037" s="131"/>
      <c r="D1037" s="132"/>
      <c r="E1037" s="132"/>
      <c r="F1037" s="132"/>
      <c r="G1037" s="132"/>
      <c r="H1037" s="132"/>
      <c r="I1037" s="131"/>
      <c r="J1037" s="131"/>
      <c r="K1037" s="131"/>
      <c r="L1037" s="131"/>
      <c r="M1037" s="131"/>
      <c r="N1037" s="131"/>
      <c r="O1037" s="131"/>
      <c r="P1037" s="131"/>
      <c r="Q1037" s="131"/>
      <c r="R1037" s="131"/>
      <c r="S1037" s="131"/>
      <c r="T1037" s="131"/>
      <c r="U1037" s="131"/>
      <c r="V1037" s="131"/>
      <c r="W1037" s="131"/>
      <c r="X1037" s="131"/>
    </row>
    <row r="1038" spans="1:24" ht="13.5" customHeight="1">
      <c r="A1038" s="132"/>
      <c r="B1038" s="131"/>
      <c r="C1038" s="131"/>
      <c r="D1038" s="132"/>
      <c r="E1038" s="132"/>
      <c r="F1038" s="132"/>
      <c r="G1038" s="132"/>
      <c r="H1038" s="132"/>
      <c r="I1038" s="131"/>
      <c r="J1038" s="131"/>
      <c r="K1038" s="131"/>
      <c r="L1038" s="131"/>
      <c r="M1038" s="131"/>
      <c r="N1038" s="131"/>
      <c r="O1038" s="131"/>
      <c r="P1038" s="131"/>
      <c r="Q1038" s="131"/>
      <c r="R1038" s="131"/>
      <c r="S1038" s="131"/>
      <c r="T1038" s="131"/>
      <c r="U1038" s="131"/>
      <c r="V1038" s="131"/>
      <c r="W1038" s="131"/>
      <c r="X1038" s="131"/>
    </row>
    <row r="1039" spans="1:24" ht="13.5" customHeight="1">
      <c r="A1039" s="132"/>
      <c r="B1039" s="131"/>
      <c r="C1039" s="131"/>
      <c r="D1039" s="132"/>
      <c r="E1039" s="132"/>
      <c r="F1039" s="132"/>
      <c r="G1039" s="132"/>
      <c r="H1039" s="132"/>
      <c r="I1039" s="131"/>
      <c r="J1039" s="131"/>
      <c r="K1039" s="131"/>
      <c r="L1039" s="131"/>
      <c r="M1039" s="131"/>
      <c r="N1039" s="131"/>
      <c r="O1039" s="131"/>
      <c r="P1039" s="131"/>
      <c r="Q1039" s="131"/>
      <c r="R1039" s="131"/>
      <c r="S1039" s="131"/>
      <c r="T1039" s="131"/>
      <c r="U1039" s="131"/>
      <c r="V1039" s="131"/>
      <c r="W1039" s="131"/>
      <c r="X1039" s="131"/>
    </row>
    <row r="1040" spans="1:24" ht="13.5" customHeight="1">
      <c r="A1040" s="132"/>
      <c r="B1040" s="131"/>
      <c r="C1040" s="131"/>
      <c r="D1040" s="132"/>
      <c r="E1040" s="132"/>
      <c r="F1040" s="132"/>
      <c r="G1040" s="132"/>
      <c r="H1040" s="132"/>
      <c r="I1040" s="131"/>
      <c r="J1040" s="131"/>
      <c r="K1040" s="131"/>
      <c r="L1040" s="131"/>
      <c r="M1040" s="131"/>
      <c r="N1040" s="131"/>
      <c r="O1040" s="131"/>
      <c r="P1040" s="131"/>
      <c r="Q1040" s="131"/>
      <c r="R1040" s="131"/>
      <c r="S1040" s="131"/>
      <c r="T1040" s="131"/>
      <c r="U1040" s="131"/>
      <c r="V1040" s="131"/>
      <c r="W1040" s="131"/>
      <c r="X1040" s="131"/>
    </row>
    <row r="1041" spans="1:24" ht="13.5" customHeight="1">
      <c r="A1041" s="132"/>
      <c r="B1041" s="131"/>
      <c r="C1041" s="131"/>
      <c r="D1041" s="132"/>
      <c r="E1041" s="132"/>
      <c r="F1041" s="132"/>
      <c r="G1041" s="132"/>
      <c r="H1041" s="132"/>
      <c r="I1041" s="131"/>
      <c r="J1041" s="131"/>
      <c r="K1041" s="131"/>
      <c r="L1041" s="131"/>
      <c r="M1041" s="131"/>
      <c r="N1041" s="131"/>
      <c r="O1041" s="131"/>
      <c r="P1041" s="131"/>
      <c r="Q1041" s="131"/>
      <c r="R1041" s="131"/>
      <c r="S1041" s="131"/>
      <c r="T1041" s="131"/>
      <c r="U1041" s="131"/>
      <c r="V1041" s="131"/>
      <c r="W1041" s="131"/>
      <c r="X1041" s="131"/>
    </row>
    <row r="1042" spans="1:24" ht="13.5" customHeight="1">
      <c r="A1042" s="132"/>
      <c r="B1042" s="131"/>
      <c r="C1042" s="131"/>
      <c r="D1042" s="132"/>
      <c r="E1042" s="132"/>
      <c r="F1042" s="132"/>
      <c r="G1042" s="132"/>
      <c r="H1042" s="132"/>
      <c r="I1042" s="131"/>
      <c r="J1042" s="131"/>
      <c r="K1042" s="131"/>
      <c r="L1042" s="131"/>
      <c r="M1042" s="131"/>
      <c r="N1042" s="131"/>
      <c r="O1042" s="131"/>
      <c r="P1042" s="131"/>
      <c r="Q1042" s="131"/>
      <c r="R1042" s="131"/>
      <c r="S1042" s="131"/>
      <c r="T1042" s="131"/>
      <c r="U1042" s="131"/>
      <c r="V1042" s="131"/>
      <c r="W1042" s="131"/>
      <c r="X1042" s="131"/>
    </row>
    <row r="1043" spans="1:24" ht="13.5" customHeight="1">
      <c r="A1043" s="132"/>
      <c r="B1043" s="131"/>
      <c r="C1043" s="131"/>
      <c r="D1043" s="132"/>
      <c r="E1043" s="132"/>
      <c r="F1043" s="132"/>
      <c r="G1043" s="132"/>
      <c r="H1043" s="132"/>
      <c r="I1043" s="131"/>
      <c r="J1043" s="131"/>
      <c r="K1043" s="131"/>
      <c r="L1043" s="131"/>
      <c r="M1043" s="131"/>
      <c r="N1043" s="131"/>
      <c r="O1043" s="131"/>
      <c r="P1043" s="131"/>
      <c r="Q1043" s="131"/>
      <c r="R1043" s="131"/>
      <c r="S1043" s="131"/>
      <c r="T1043" s="131"/>
      <c r="U1043" s="131"/>
      <c r="V1043" s="131"/>
      <c r="W1043" s="131"/>
      <c r="X1043" s="131"/>
    </row>
    <row r="1044" spans="1:24" ht="15" customHeight="1">
      <c r="A1044" s="132"/>
      <c r="B1044" s="131"/>
      <c r="C1044" s="131"/>
      <c r="D1044" s="132"/>
      <c r="E1044" s="132"/>
      <c r="F1044" s="132"/>
      <c r="G1044" s="132"/>
      <c r="H1044" s="132"/>
    </row>
    <row r="1045" spans="1:24" ht="15" customHeight="1">
      <c r="A1045" s="132"/>
      <c r="B1045" s="131"/>
      <c r="C1045" s="131"/>
      <c r="D1045" s="132"/>
      <c r="E1045" s="132"/>
      <c r="F1045" s="132"/>
      <c r="G1045" s="132"/>
      <c r="H1045" s="132"/>
    </row>
    <row r="1046" spans="1:24" ht="15" customHeight="1">
      <c r="A1046" s="132"/>
      <c r="B1046" s="131"/>
      <c r="C1046" s="131"/>
      <c r="D1046" s="132"/>
      <c r="E1046" s="132"/>
      <c r="F1046" s="132"/>
      <c r="G1046" s="132"/>
      <c r="H1046" s="132"/>
    </row>
    <row r="1047" spans="1:24" ht="15" customHeight="1">
      <c r="A1047" s="132"/>
      <c r="B1047" s="131"/>
      <c r="C1047" s="131"/>
      <c r="D1047" s="132"/>
      <c r="E1047" s="132"/>
      <c r="F1047" s="132"/>
      <c r="G1047" s="132"/>
      <c r="H1047" s="132"/>
    </row>
    <row r="1048" spans="1:24" ht="15" customHeight="1">
      <c r="A1048" s="132"/>
      <c r="B1048" s="131"/>
      <c r="C1048" s="131"/>
      <c r="D1048" s="132"/>
      <c r="E1048" s="132"/>
      <c r="F1048" s="132"/>
      <c r="G1048" s="132"/>
      <c r="H1048" s="132"/>
    </row>
    <row r="1049" spans="1:24" ht="15" customHeight="1">
      <c r="A1049" s="132"/>
      <c r="B1049" s="131"/>
      <c r="C1049" s="131"/>
      <c r="D1049" s="132"/>
      <c r="E1049" s="132"/>
      <c r="F1049" s="132"/>
      <c r="G1049" s="132"/>
      <c r="H1049" s="132"/>
    </row>
    <row r="1050" spans="1:24" ht="15" customHeight="1">
      <c r="A1050" s="132"/>
      <c r="B1050" s="131"/>
      <c r="C1050" s="131"/>
      <c r="D1050" s="132"/>
      <c r="E1050" s="132"/>
      <c r="F1050" s="132"/>
      <c r="G1050" s="132"/>
      <c r="H1050" s="132"/>
    </row>
    <row r="1051" spans="1:24" ht="15" customHeight="1">
      <c r="A1051" s="132"/>
      <c r="B1051" s="131"/>
      <c r="C1051" s="131"/>
      <c r="D1051" s="132"/>
      <c r="E1051" s="132"/>
      <c r="F1051" s="132"/>
      <c r="G1051" s="132"/>
      <c r="H1051" s="132"/>
    </row>
    <row r="1052" spans="1:24" ht="15" customHeight="1">
      <c r="A1052" s="132"/>
      <c r="B1052" s="131"/>
      <c r="C1052" s="131"/>
      <c r="D1052" s="132"/>
      <c r="E1052" s="132"/>
      <c r="F1052" s="132"/>
      <c r="G1052" s="132"/>
      <c r="H1052" s="132"/>
    </row>
    <row r="1053" spans="1:24" ht="15" customHeight="1">
      <c r="A1053" s="132"/>
      <c r="B1053" s="131"/>
      <c r="C1053" s="131"/>
      <c r="D1053" s="132"/>
      <c r="E1053" s="132"/>
      <c r="F1053" s="132"/>
      <c r="G1053" s="132"/>
      <c r="H1053" s="132"/>
    </row>
    <row r="1054" spans="1:24" ht="15" customHeight="1">
      <c r="A1054" s="132"/>
      <c r="B1054" s="131"/>
      <c r="C1054" s="131"/>
      <c r="D1054" s="132"/>
      <c r="E1054" s="132"/>
      <c r="F1054" s="132"/>
      <c r="G1054" s="132"/>
      <c r="H1054" s="132"/>
    </row>
    <row r="1055" spans="1:24" ht="15" customHeight="1">
      <c r="A1055" s="132"/>
      <c r="B1055" s="131"/>
      <c r="C1055" s="131"/>
      <c r="D1055" s="132"/>
      <c r="E1055" s="132"/>
      <c r="F1055" s="132"/>
      <c r="G1055" s="132"/>
      <c r="H1055" s="132"/>
    </row>
    <row r="1056" spans="1:24" ht="15" customHeight="1">
      <c r="A1056" s="132"/>
      <c r="B1056" s="131"/>
      <c r="C1056" s="131"/>
      <c r="D1056" s="132"/>
      <c r="E1056" s="132"/>
      <c r="F1056" s="132"/>
      <c r="G1056" s="132"/>
      <c r="H1056" s="132"/>
    </row>
    <row r="1057" spans="1:8" ht="15" customHeight="1">
      <c r="A1057" s="132"/>
      <c r="B1057" s="131"/>
      <c r="C1057" s="131"/>
      <c r="D1057" s="132"/>
      <c r="E1057" s="132"/>
      <c r="F1057" s="132"/>
      <c r="G1057" s="132"/>
      <c r="H1057" s="132"/>
    </row>
    <row r="1058" spans="1:8" ht="15" customHeight="1">
      <c r="A1058" s="132"/>
      <c r="B1058" s="131"/>
      <c r="C1058" s="131"/>
      <c r="D1058" s="132"/>
      <c r="E1058" s="132"/>
      <c r="F1058" s="132"/>
      <c r="G1058" s="132"/>
      <c r="H1058" s="132"/>
    </row>
    <row r="1059" spans="1:8" ht="15" customHeight="1">
      <c r="A1059" s="132"/>
      <c r="B1059" s="131"/>
      <c r="C1059" s="131"/>
      <c r="D1059" s="132"/>
      <c r="E1059" s="132"/>
      <c r="F1059" s="132"/>
      <c r="G1059" s="132"/>
      <c r="H1059" s="132"/>
    </row>
    <row r="1060" spans="1:8" ht="15" customHeight="1">
      <c r="A1060" s="132"/>
      <c r="B1060" s="131"/>
      <c r="C1060" s="131"/>
      <c r="D1060" s="132"/>
      <c r="E1060" s="132"/>
      <c r="F1060" s="132"/>
      <c r="G1060" s="132"/>
      <c r="H1060" s="132"/>
    </row>
    <row r="1061" spans="1:8" ht="15" customHeight="1">
      <c r="A1061" s="132"/>
      <c r="B1061" s="131"/>
      <c r="C1061" s="131"/>
      <c r="D1061" s="132"/>
      <c r="E1061" s="132"/>
      <c r="F1061" s="132"/>
      <c r="G1061" s="132"/>
      <c r="H1061" s="132"/>
    </row>
    <row r="1062" spans="1:8" ht="15" customHeight="1">
      <c r="A1062" s="132"/>
      <c r="B1062" s="131"/>
      <c r="C1062" s="131"/>
      <c r="D1062" s="132"/>
      <c r="E1062" s="132"/>
      <c r="F1062" s="132"/>
      <c r="G1062" s="132"/>
      <c r="H1062" s="132"/>
    </row>
    <row r="1063" spans="1:8" ht="15" customHeight="1">
      <c r="A1063" s="132"/>
      <c r="B1063" s="131"/>
      <c r="C1063" s="131"/>
      <c r="D1063" s="132"/>
      <c r="E1063" s="132"/>
      <c r="F1063" s="132"/>
      <c r="G1063" s="132"/>
      <c r="H1063" s="132"/>
    </row>
    <row r="1064" spans="1:8" ht="15" customHeight="1">
      <c r="A1064" s="132"/>
      <c r="B1064" s="131"/>
      <c r="C1064" s="131"/>
      <c r="D1064" s="132"/>
      <c r="E1064" s="132"/>
      <c r="F1064" s="132"/>
      <c r="G1064" s="132"/>
      <c r="H1064" s="132"/>
    </row>
    <row r="1065" spans="1:8" ht="15" customHeight="1">
      <c r="A1065" s="132"/>
      <c r="B1065" s="131"/>
      <c r="C1065" s="131"/>
      <c r="D1065" s="132"/>
      <c r="E1065" s="132"/>
      <c r="F1065" s="132"/>
      <c r="G1065" s="132"/>
      <c r="H1065" s="132"/>
    </row>
    <row r="1066" spans="1:8" ht="15" customHeight="1">
      <c r="A1066" s="132"/>
      <c r="B1066" s="131"/>
      <c r="C1066" s="131"/>
      <c r="D1066" s="132"/>
      <c r="E1066" s="132"/>
      <c r="F1066" s="132"/>
      <c r="G1066" s="132"/>
      <c r="H1066" s="132"/>
    </row>
    <row r="1067" spans="1:8" ht="15" customHeight="1">
      <c r="A1067" s="132"/>
      <c r="B1067" s="131"/>
      <c r="C1067" s="131"/>
      <c r="D1067" s="132"/>
      <c r="E1067" s="132"/>
      <c r="F1067" s="132"/>
      <c r="G1067" s="132"/>
      <c r="H1067" s="132"/>
    </row>
    <row r="1068" spans="1:8" ht="15" customHeight="1">
      <c r="A1068" s="132"/>
      <c r="B1068" s="131"/>
      <c r="C1068" s="131"/>
      <c r="D1068" s="132"/>
      <c r="E1068" s="132"/>
      <c r="F1068" s="132"/>
      <c r="G1068" s="132"/>
      <c r="H1068" s="132"/>
    </row>
    <row r="1069" spans="1:8" ht="15" customHeight="1">
      <c r="A1069" s="132"/>
      <c r="B1069" s="131"/>
      <c r="C1069" s="131"/>
      <c r="D1069" s="132"/>
      <c r="E1069" s="132"/>
      <c r="F1069" s="132"/>
      <c r="G1069" s="132"/>
      <c r="H1069" s="132"/>
    </row>
  </sheetData>
  <mergeCells count="1">
    <mergeCell ref="A2:H2"/>
  </mergeCells>
  <pageMargins left="0.25" right="0.25" top="0.75" bottom="0.75" header="0" footer="0"/>
  <pageSetup paperSize="9" orientation="portrait" r:id="rId1"/>
  <ignoredErrors>
    <ignoredError sqref="G143 C189" 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E51B9-48BC-4849-9188-B5C7AED5F91B}">
  <dimension ref="A1:X859"/>
  <sheetViews>
    <sheetView workbookViewId="0">
      <pane ySplit="2" topLeftCell="A133" activePane="bottomLeft" state="frozen"/>
      <selection pane="bottomLeft" activeCell="L141" sqref="L141"/>
    </sheetView>
  </sheetViews>
  <sheetFormatPr defaultColWidth="14.44140625" defaultRowHeight="13.2"/>
  <cols>
    <col min="1" max="1" width="5" style="228" customWidth="1"/>
    <col min="2" max="2" width="30.33203125" style="228" bestFit="1" customWidth="1"/>
    <col min="3" max="3" width="7.88671875" style="228" customWidth="1"/>
    <col min="4" max="4" width="24.33203125" style="228" customWidth="1"/>
    <col min="5" max="5" width="6.5546875" style="236" customWidth="1"/>
    <col min="6" max="6" width="11.6640625" style="363" bestFit="1" customWidth="1"/>
    <col min="7" max="7" width="12.44140625" style="363" bestFit="1" customWidth="1"/>
    <col min="8" max="8" width="16.109375" style="363" bestFit="1" customWidth="1"/>
    <col min="9" max="9" width="10.44140625" style="236" customWidth="1"/>
    <col min="10" max="10" width="14.88671875" style="384" bestFit="1" customWidth="1"/>
    <col min="11" max="11" width="12.6640625" style="364" bestFit="1" customWidth="1"/>
    <col min="12" max="12" width="11.33203125" style="364" customWidth="1"/>
    <col min="13" max="13" width="17.33203125" style="381" bestFit="1" customWidth="1"/>
    <col min="14" max="14" width="13.44140625" style="365" customWidth="1"/>
    <col min="15" max="15" width="9.6640625" style="365" customWidth="1"/>
    <col min="16" max="16" width="9.6640625" style="228" customWidth="1"/>
    <col min="17" max="17" width="7.5546875" style="366" bestFit="1" customWidth="1"/>
    <col min="18" max="18" width="12.88671875" style="346" bestFit="1" customWidth="1"/>
    <col min="19" max="20" width="11.33203125" style="346" bestFit="1" customWidth="1"/>
    <col min="21" max="21" width="11.88671875" style="346" bestFit="1" customWidth="1"/>
    <col min="22" max="22" width="15.5546875" style="346" bestFit="1" customWidth="1"/>
    <col min="23" max="24" width="9.109375" style="228" customWidth="1"/>
    <col min="25" max="16384" width="14.44140625" style="228"/>
  </cols>
  <sheetData>
    <row r="1" spans="1:24" ht="13.95" customHeight="1">
      <c r="A1" s="1098" t="s">
        <v>821</v>
      </c>
      <c r="B1" s="1098"/>
      <c r="C1" s="1098"/>
      <c r="D1" s="1098"/>
      <c r="E1" s="1098"/>
      <c r="F1" s="1098"/>
      <c r="G1" s="1098"/>
      <c r="H1" s="1098"/>
      <c r="I1" s="1098"/>
      <c r="J1" s="1098"/>
      <c r="K1" s="328"/>
      <c r="L1" s="328"/>
      <c r="M1" s="377"/>
      <c r="N1" s="229"/>
      <c r="O1" s="229"/>
      <c r="P1" s="323"/>
      <c r="Q1" s="329"/>
      <c r="R1" s="330"/>
      <c r="S1" s="330"/>
      <c r="T1" s="330"/>
      <c r="U1" s="330"/>
      <c r="V1" s="330"/>
      <c r="W1" s="323"/>
      <c r="X1" s="323"/>
    </row>
    <row r="2" spans="1:24" ht="26.4">
      <c r="A2" s="331" t="s">
        <v>627</v>
      </c>
      <c r="B2" s="331" t="s">
        <v>822</v>
      </c>
      <c r="C2" s="331" t="s">
        <v>823</v>
      </c>
      <c r="D2" s="331" t="s">
        <v>653</v>
      </c>
      <c r="E2" s="332" t="s">
        <v>91</v>
      </c>
      <c r="F2" s="333" t="s">
        <v>824</v>
      </c>
      <c r="G2" s="333" t="s">
        <v>825</v>
      </c>
      <c r="H2" s="333" t="s">
        <v>316</v>
      </c>
      <c r="I2" s="332" t="s">
        <v>5</v>
      </c>
      <c r="J2" s="382" t="s">
        <v>205</v>
      </c>
      <c r="K2" s="334" t="s">
        <v>656</v>
      </c>
      <c r="L2" s="334" t="s">
        <v>657</v>
      </c>
      <c r="M2" s="378" t="s">
        <v>6</v>
      </c>
      <c r="N2" s="335"/>
      <c r="O2" s="335" t="s">
        <v>658</v>
      </c>
      <c r="P2" s="324"/>
      <c r="W2" s="324"/>
      <c r="X2" s="324"/>
    </row>
    <row r="3" spans="1:24">
      <c r="A3" s="372" t="s">
        <v>628</v>
      </c>
      <c r="B3" s="367" t="s">
        <v>386</v>
      </c>
      <c r="C3" s="247"/>
      <c r="D3" s="331"/>
      <c r="E3" s="336"/>
      <c r="F3" s="337"/>
      <c r="G3" s="337"/>
      <c r="H3" s="337"/>
      <c r="I3" s="338"/>
      <c r="J3" s="194"/>
      <c r="K3" s="328"/>
      <c r="L3" s="328"/>
      <c r="M3" s="377"/>
      <c r="N3" s="229"/>
      <c r="O3" s="229"/>
      <c r="P3" s="323"/>
      <c r="W3" s="323"/>
      <c r="X3" s="323"/>
    </row>
    <row r="4" spans="1:24">
      <c r="A4" s="373"/>
      <c r="B4" s="270" t="str">
        <f>'Flat Sizes'!B4</f>
        <v>Flat 1A</v>
      </c>
      <c r="C4" s="247"/>
      <c r="D4" s="342"/>
      <c r="E4" s="336"/>
      <c r="F4" s="337"/>
      <c r="G4" s="337"/>
      <c r="H4" s="337"/>
      <c r="I4" s="338"/>
      <c r="J4" s="194"/>
      <c r="K4" s="328">
        <f>'Room Conf'!L40</f>
        <v>10</v>
      </c>
      <c r="L4" s="328"/>
      <c r="M4" s="377"/>
      <c r="N4" s="229"/>
      <c r="O4" s="229"/>
      <c r="P4" s="323"/>
      <c r="W4" s="323"/>
      <c r="X4" s="323"/>
    </row>
    <row r="5" spans="1:24">
      <c r="A5" s="373"/>
      <c r="B5" s="244" t="str">
        <f>'Flat Sizes'!B5</f>
        <v>Multi Purpose Room</v>
      </c>
      <c r="C5" s="247" t="s">
        <v>387</v>
      </c>
      <c r="D5" s="342"/>
      <c r="E5" s="336">
        <v>1</v>
      </c>
      <c r="F5" s="337">
        <f>VLOOKUP(C5,'D&amp;W Schedule'!$B$4:$F$7,2,FALSE)</f>
        <v>1.2</v>
      </c>
      <c r="G5" s="337">
        <f>VLOOKUP(C5,'D&amp;W Schedule'!$B$4:$F$7,3,FALSE)</f>
        <v>2.1</v>
      </c>
      <c r="H5" s="337">
        <f>VLOOKUP(C5,'D&amp;W Schedule'!$B$4:$F$7,4,FALSE)</f>
        <v>2.52</v>
      </c>
      <c r="I5" s="337">
        <f>VLOOKUP(C5,'D&amp;W Schedule'!$B$4:$F$7,5,FALSE)</f>
        <v>30000</v>
      </c>
      <c r="J5" s="194">
        <f>E5*I5</f>
        <v>30000</v>
      </c>
      <c r="K5" s="328"/>
      <c r="L5" s="328">
        <f>+$K$4*E5</f>
        <v>10</v>
      </c>
      <c r="M5" s="377">
        <f>+$K$4*J5</f>
        <v>300000</v>
      </c>
      <c r="N5" s="229"/>
      <c r="O5" s="247" t="str">
        <f>C5</f>
        <v>FRD</v>
      </c>
      <c r="P5" s="229"/>
      <c r="W5" s="323"/>
      <c r="X5" s="323"/>
    </row>
    <row r="6" spans="1:24">
      <c r="A6" s="373"/>
      <c r="B6" s="244" t="str">
        <f>'Flat Sizes'!B6</f>
        <v>Study Room</v>
      </c>
      <c r="C6" s="247" t="s">
        <v>390</v>
      </c>
      <c r="D6" s="342"/>
      <c r="E6" s="336">
        <v>1</v>
      </c>
      <c r="F6" s="337">
        <f>VLOOKUP(C6,'D&amp;W Schedule'!$B$4:$F$7,2,FALSE)</f>
        <v>0.9</v>
      </c>
      <c r="G6" s="337">
        <f>VLOOKUP(C6,'D&amp;W Schedule'!$B$4:$F$7,3,FALSE)</f>
        <v>2.1</v>
      </c>
      <c r="H6" s="337">
        <f>VLOOKUP(C6,'D&amp;W Schedule'!$B$4:$F$7,4,FALSE)</f>
        <v>1.8900000000000001</v>
      </c>
      <c r="I6" s="337">
        <f>VLOOKUP(C6,'D&amp;W Schedule'!$B$4:$F$7,5,FALSE)</f>
        <v>25000</v>
      </c>
      <c r="J6" s="194">
        <f t="shared" ref="J6:J9" si="0">E6*I6</f>
        <v>25000</v>
      </c>
      <c r="K6" s="328"/>
      <c r="L6" s="328">
        <f>+$K$4*E6</f>
        <v>10</v>
      </c>
      <c r="M6" s="377">
        <f t="shared" ref="M6:M9" si="1">+$K$4*J6</f>
        <v>250000</v>
      </c>
      <c r="N6" s="229"/>
      <c r="O6" s="247" t="str">
        <f t="shared" ref="O6:O69" si="2">C6</f>
        <v>K FRD</v>
      </c>
      <c r="P6" s="229"/>
      <c r="W6" s="323"/>
      <c r="X6" s="323"/>
    </row>
    <row r="7" spans="1:24" ht="13.5" customHeight="1">
      <c r="A7" s="373"/>
      <c r="B7" s="244" t="str">
        <f>'Flat Sizes'!B7</f>
        <v>M. Bedroom</v>
      </c>
      <c r="C7" s="247" t="s">
        <v>388</v>
      </c>
      <c r="D7" s="342"/>
      <c r="E7" s="336">
        <v>1</v>
      </c>
      <c r="F7" s="337">
        <f>VLOOKUP(C7,'D&amp;W Schedule'!$B$4:$F$7,2,FALSE)</f>
        <v>0.9</v>
      </c>
      <c r="G7" s="337">
        <f>VLOOKUP(C7,'D&amp;W Schedule'!$B$4:$F$7,3,FALSE)</f>
        <v>2.1</v>
      </c>
      <c r="H7" s="337">
        <f>VLOOKUP(C7,'D&amp;W Schedule'!$B$4:$F$7,4,FALSE)</f>
        <v>1.8900000000000001</v>
      </c>
      <c r="I7" s="337">
        <f>VLOOKUP(C7,'D&amp;W Schedule'!$B$4:$F$7,5,FALSE)</f>
        <v>18000</v>
      </c>
      <c r="J7" s="194">
        <f t="shared" si="0"/>
        <v>18000</v>
      </c>
      <c r="K7" s="328"/>
      <c r="L7" s="328">
        <f>+$K$4*E7</f>
        <v>10</v>
      </c>
      <c r="M7" s="377">
        <f t="shared" si="1"/>
        <v>180000</v>
      </c>
      <c r="N7" s="229"/>
      <c r="O7" s="247" t="str">
        <f t="shared" si="2"/>
        <v>D1</v>
      </c>
      <c r="P7" s="229"/>
      <c r="W7" s="323"/>
      <c r="X7" s="323"/>
    </row>
    <row r="8" spans="1:24" ht="13.5" customHeight="1">
      <c r="A8" s="373"/>
      <c r="B8" s="244" t="str">
        <f>'Flat Sizes'!B8</f>
        <v>M. Toilet</v>
      </c>
      <c r="C8" s="247" t="s">
        <v>389</v>
      </c>
      <c r="D8" s="342"/>
      <c r="E8" s="336">
        <v>1</v>
      </c>
      <c r="F8" s="337">
        <f>VLOOKUP(C8,'D&amp;W Schedule'!$B$4:$F$7,2,FALSE)</f>
        <v>0.75</v>
      </c>
      <c r="G8" s="337">
        <f>VLOOKUP(C8,'D&amp;W Schedule'!$B$4:$F$7,3,FALSE)</f>
        <v>2.1</v>
      </c>
      <c r="H8" s="337">
        <f>VLOOKUP(C8,'D&amp;W Schedule'!$B$4:$F$7,4,FALSE)</f>
        <v>1.5750000000000002</v>
      </c>
      <c r="I8" s="337">
        <f>VLOOKUP(C8,'D&amp;W Schedule'!$B$4:$F$7,5,FALSE)</f>
        <v>10500</v>
      </c>
      <c r="J8" s="194">
        <f t="shared" si="0"/>
        <v>10500</v>
      </c>
      <c r="K8" s="328"/>
      <c r="L8" s="328">
        <f>+$K$4*E8</f>
        <v>10</v>
      </c>
      <c r="M8" s="377">
        <f t="shared" si="1"/>
        <v>105000</v>
      </c>
      <c r="N8" s="229"/>
      <c r="O8" s="247" t="str">
        <f t="shared" si="2"/>
        <v>D2</v>
      </c>
      <c r="P8" s="229"/>
      <c r="W8" s="323"/>
      <c r="X8" s="323"/>
    </row>
    <row r="9" spans="1:24" ht="13.5" customHeight="1">
      <c r="A9" s="373"/>
      <c r="B9" s="244" t="str">
        <f>'Flat Sizes'!B9</f>
        <v>C. Toilet</v>
      </c>
      <c r="C9" s="247" t="s">
        <v>389</v>
      </c>
      <c r="D9" s="342"/>
      <c r="E9" s="336">
        <v>1</v>
      </c>
      <c r="F9" s="337">
        <f>VLOOKUP(C9,'D&amp;W Schedule'!$B$4:$F$7,2,FALSE)</f>
        <v>0.75</v>
      </c>
      <c r="G9" s="337">
        <f>VLOOKUP(C9,'D&amp;W Schedule'!$B$4:$F$7,3,FALSE)</f>
        <v>2.1</v>
      </c>
      <c r="H9" s="337">
        <f>VLOOKUP(C9,'D&amp;W Schedule'!$B$4:$F$7,4,FALSE)</f>
        <v>1.5750000000000002</v>
      </c>
      <c r="I9" s="337">
        <f>VLOOKUP(C9,'D&amp;W Schedule'!$B$4:$F$7,5,FALSE)</f>
        <v>10500</v>
      </c>
      <c r="J9" s="194">
        <f t="shared" si="0"/>
        <v>10500</v>
      </c>
      <c r="K9" s="328"/>
      <c r="L9" s="328">
        <f>+$K$4*E9</f>
        <v>10</v>
      </c>
      <c r="M9" s="377">
        <f t="shared" si="1"/>
        <v>105000</v>
      </c>
      <c r="N9" s="229"/>
      <c r="O9" s="247" t="str">
        <f t="shared" si="2"/>
        <v>D2</v>
      </c>
      <c r="P9" s="229"/>
      <c r="Q9" s="330"/>
      <c r="T9" s="330"/>
      <c r="U9" s="330"/>
      <c r="V9" s="323"/>
      <c r="W9" s="323"/>
      <c r="X9" s="323"/>
    </row>
    <row r="10" spans="1:24" ht="13.5" customHeight="1">
      <c r="A10" s="373"/>
      <c r="B10" s="246" t="str">
        <f>'Flat Sizes'!B10</f>
        <v>Sub Total</v>
      </c>
      <c r="C10" s="247"/>
      <c r="D10" s="342"/>
      <c r="E10" s="496">
        <f>SUBTOTAL(9,E5:E9)</f>
        <v>5</v>
      </c>
      <c r="F10" s="337"/>
      <c r="G10" s="337"/>
      <c r="H10" s="337"/>
      <c r="I10" s="337"/>
      <c r="J10" s="497">
        <f>SUBTOTAL(9,J5:J9)</f>
        <v>94000</v>
      </c>
      <c r="K10" s="328"/>
      <c r="L10" s="352">
        <f>SUBTOTAL(9,L5:L9)</f>
        <v>50</v>
      </c>
      <c r="M10" s="292">
        <f>SUBTOTAL(9,M5:M9)</f>
        <v>940000</v>
      </c>
      <c r="N10" s="229"/>
      <c r="O10" s="247">
        <f t="shared" si="2"/>
        <v>0</v>
      </c>
      <c r="P10" s="229"/>
      <c r="Q10" s="329"/>
      <c r="R10" s="330"/>
      <c r="T10" s="330"/>
      <c r="U10" s="330"/>
      <c r="V10" s="323"/>
      <c r="W10" s="323"/>
      <c r="X10" s="323"/>
    </row>
    <row r="11" spans="1:24" ht="13.5" customHeight="1">
      <c r="A11" s="373"/>
      <c r="B11" s="241" t="str">
        <f>'Flat Sizes'!B11</f>
        <v>Flat 1B,
2BHK</v>
      </c>
      <c r="C11" s="247"/>
      <c r="D11" s="342"/>
      <c r="E11" s="336"/>
      <c r="F11" s="337"/>
      <c r="G11" s="337"/>
      <c r="H11" s="337"/>
      <c r="I11" s="337"/>
      <c r="J11" s="507"/>
      <c r="K11" s="508">
        <f>'Room Conf'!M40</f>
        <v>18</v>
      </c>
      <c r="L11" s="508"/>
      <c r="M11" s="509"/>
      <c r="N11" s="229"/>
      <c r="O11" s="247">
        <f t="shared" si="2"/>
        <v>0</v>
      </c>
      <c r="P11" s="229"/>
      <c r="Q11" s="415"/>
      <c r="R11" s="510"/>
      <c r="S11" s="511"/>
      <c r="T11" s="510"/>
      <c r="U11" s="510"/>
      <c r="V11" s="389"/>
      <c r="W11" s="323"/>
      <c r="X11" s="323"/>
    </row>
    <row r="12" spans="1:24" ht="13.5" customHeight="1">
      <c r="A12" s="373"/>
      <c r="B12" s="244" t="str">
        <f>'Flat Sizes'!B12</f>
        <v>Living, Dining &amp; Passage</v>
      </c>
      <c r="C12" s="247" t="s">
        <v>387</v>
      </c>
      <c r="D12" s="342"/>
      <c r="E12" s="336">
        <v>1</v>
      </c>
      <c r="F12" s="337">
        <f>VLOOKUP(C12,'D&amp;W Schedule'!$B$4:$F$7,2,FALSE)</f>
        <v>1.2</v>
      </c>
      <c r="G12" s="337">
        <f>VLOOKUP(C12,'D&amp;W Schedule'!$B$4:$F$7,3,FALSE)</f>
        <v>2.1</v>
      </c>
      <c r="H12" s="337">
        <f>VLOOKUP(C12,'D&amp;W Schedule'!$B$4:$F$7,4,FALSE)</f>
        <v>2.52</v>
      </c>
      <c r="I12" s="337">
        <f>VLOOKUP(C12,'D&amp;W Schedule'!$B$4:$F$7,5,FALSE)</f>
        <v>30000</v>
      </c>
      <c r="J12" s="507">
        <f t="shared" ref="J12:J17" si="3">E12*I12</f>
        <v>30000</v>
      </c>
      <c r="K12" s="508"/>
      <c r="L12" s="508">
        <f>+$K$11*E12</f>
        <v>18</v>
      </c>
      <c r="M12" s="512">
        <f>+$K$11*J12</f>
        <v>540000</v>
      </c>
      <c r="N12" s="229"/>
      <c r="O12" s="247" t="str">
        <f t="shared" si="2"/>
        <v>FRD</v>
      </c>
      <c r="P12" s="229"/>
      <c r="Q12" s="415"/>
      <c r="R12" s="510"/>
      <c r="S12" s="511"/>
      <c r="T12" s="510"/>
      <c r="U12" s="510"/>
      <c r="V12" s="323"/>
      <c r="W12" s="323"/>
      <c r="X12" s="323"/>
    </row>
    <row r="13" spans="1:24" ht="13.5" customHeight="1">
      <c r="A13" s="373"/>
      <c r="B13" s="244" t="str">
        <f>'Flat Sizes'!B13</f>
        <v>M. Bedroom</v>
      </c>
      <c r="C13" s="247" t="s">
        <v>388</v>
      </c>
      <c r="D13" s="342"/>
      <c r="E13" s="336">
        <v>1</v>
      </c>
      <c r="F13" s="337">
        <f>VLOOKUP(C13,'D&amp;W Schedule'!$B$4:$F$7,2,FALSE)</f>
        <v>0.9</v>
      </c>
      <c r="G13" s="337">
        <f>VLOOKUP(C13,'D&amp;W Schedule'!$B$4:$F$7,3,FALSE)</f>
        <v>2.1</v>
      </c>
      <c r="H13" s="337">
        <f>VLOOKUP(C13,'D&amp;W Schedule'!$B$4:$F$7,4,FALSE)</f>
        <v>1.8900000000000001</v>
      </c>
      <c r="I13" s="337">
        <f>VLOOKUP(C13,'D&amp;W Schedule'!$B$4:$F$7,5,FALSE)</f>
        <v>18000</v>
      </c>
      <c r="J13" s="507">
        <f t="shared" si="3"/>
        <v>18000</v>
      </c>
      <c r="K13" s="508"/>
      <c r="L13" s="508">
        <f t="shared" ref="L13:L17" si="4">+$K$11*E13</f>
        <v>18</v>
      </c>
      <c r="M13" s="512">
        <f t="shared" ref="M13:M17" si="5">+$K$11*J13</f>
        <v>324000</v>
      </c>
      <c r="N13" s="229"/>
      <c r="O13" s="247" t="str">
        <f t="shared" si="2"/>
        <v>D1</v>
      </c>
      <c r="P13" s="347"/>
      <c r="Q13" s="415"/>
      <c r="R13" s="510"/>
      <c r="S13" s="510"/>
      <c r="T13" s="510"/>
      <c r="U13" s="510"/>
      <c r="V13" s="389"/>
      <c r="W13" s="323"/>
      <c r="X13" s="323"/>
    </row>
    <row r="14" spans="1:24" ht="13.5" customHeight="1">
      <c r="A14" s="373"/>
      <c r="B14" s="244" t="str">
        <f>'Flat Sizes'!B14</f>
        <v>M. Toilet</v>
      </c>
      <c r="C14" s="247" t="s">
        <v>389</v>
      </c>
      <c r="D14" s="342"/>
      <c r="E14" s="336">
        <v>1</v>
      </c>
      <c r="F14" s="337">
        <f>VLOOKUP(C14,'D&amp;W Schedule'!$B$4:$F$7,2,FALSE)</f>
        <v>0.75</v>
      </c>
      <c r="G14" s="337">
        <f>VLOOKUP(C14,'D&amp;W Schedule'!$B$4:$F$7,3,FALSE)</f>
        <v>2.1</v>
      </c>
      <c r="H14" s="337">
        <f>VLOOKUP(C14,'D&amp;W Schedule'!$B$4:$F$7,4,FALSE)</f>
        <v>1.5750000000000002</v>
      </c>
      <c r="I14" s="337">
        <f>VLOOKUP(C14,'D&amp;W Schedule'!$B$4:$F$7,5,FALSE)</f>
        <v>10500</v>
      </c>
      <c r="J14" s="507">
        <f t="shared" si="3"/>
        <v>10500</v>
      </c>
      <c r="K14" s="508"/>
      <c r="L14" s="508">
        <f t="shared" si="4"/>
        <v>18</v>
      </c>
      <c r="M14" s="512">
        <f t="shared" si="5"/>
        <v>189000</v>
      </c>
      <c r="N14" s="229"/>
      <c r="O14" s="247" t="str">
        <f t="shared" si="2"/>
        <v>D2</v>
      </c>
      <c r="P14" s="229"/>
      <c r="Q14" s="415"/>
      <c r="R14" s="513"/>
      <c r="S14" s="510"/>
      <c r="T14" s="510"/>
      <c r="U14" s="510"/>
      <c r="V14" s="323"/>
      <c r="W14" s="323"/>
      <c r="X14" s="323"/>
    </row>
    <row r="15" spans="1:24" ht="13.5" customHeight="1">
      <c r="A15" s="373"/>
      <c r="B15" s="244" t="str">
        <f>'Flat Sizes'!B15</f>
        <v>C.Bedroom</v>
      </c>
      <c r="C15" s="247" t="s">
        <v>388</v>
      </c>
      <c r="D15" s="342"/>
      <c r="E15" s="336">
        <v>1</v>
      </c>
      <c r="F15" s="337">
        <f>VLOOKUP(C15,'D&amp;W Schedule'!$B$4:$F$7,2,FALSE)</f>
        <v>0.9</v>
      </c>
      <c r="G15" s="337">
        <f>VLOOKUP(C15,'D&amp;W Schedule'!$B$4:$F$7,3,FALSE)</f>
        <v>2.1</v>
      </c>
      <c r="H15" s="337">
        <f>VLOOKUP(C15,'D&amp;W Schedule'!$B$4:$F$7,4,FALSE)</f>
        <v>1.8900000000000001</v>
      </c>
      <c r="I15" s="337">
        <f>VLOOKUP(C15,'D&amp;W Schedule'!$B$4:$F$7,5,FALSE)</f>
        <v>18000</v>
      </c>
      <c r="J15" s="507">
        <f t="shared" si="3"/>
        <v>18000</v>
      </c>
      <c r="K15" s="508"/>
      <c r="L15" s="508">
        <f t="shared" si="4"/>
        <v>18</v>
      </c>
      <c r="M15" s="512">
        <f t="shared" si="5"/>
        <v>324000</v>
      </c>
      <c r="N15" s="229"/>
      <c r="O15" s="247" t="str">
        <f t="shared" si="2"/>
        <v>D1</v>
      </c>
      <c r="P15" s="229"/>
      <c r="Q15" s="415"/>
      <c r="R15" s="513"/>
      <c r="S15" s="510"/>
      <c r="T15" s="510"/>
      <c r="U15" s="510"/>
      <c r="V15" s="323"/>
      <c r="W15" s="323"/>
      <c r="X15" s="323"/>
    </row>
    <row r="16" spans="1:24" ht="13.5" customHeight="1">
      <c r="A16" s="241"/>
      <c r="B16" s="244" t="str">
        <f>'Flat Sizes'!B16</f>
        <v>C. Toilet</v>
      </c>
      <c r="C16" s="247" t="s">
        <v>389</v>
      </c>
      <c r="D16" s="331"/>
      <c r="E16" s="336">
        <v>1</v>
      </c>
      <c r="F16" s="337">
        <f>VLOOKUP(C16,'D&amp;W Schedule'!$B$4:$F$7,2,FALSE)</f>
        <v>0.75</v>
      </c>
      <c r="G16" s="337">
        <f>VLOOKUP(C16,'D&amp;W Schedule'!$B$4:$F$7,3,FALSE)</f>
        <v>2.1</v>
      </c>
      <c r="H16" s="337">
        <f>VLOOKUP(C16,'D&amp;W Schedule'!$B$4:$F$7,4,FALSE)</f>
        <v>1.5750000000000002</v>
      </c>
      <c r="I16" s="337">
        <f>VLOOKUP(C16,'D&amp;W Schedule'!$B$4:$F$7,5,FALSE)</f>
        <v>10500</v>
      </c>
      <c r="J16" s="507">
        <f t="shared" si="3"/>
        <v>10500</v>
      </c>
      <c r="K16" s="508"/>
      <c r="L16" s="508">
        <f t="shared" si="4"/>
        <v>18</v>
      </c>
      <c r="M16" s="512">
        <f t="shared" si="5"/>
        <v>189000</v>
      </c>
      <c r="N16" s="350"/>
      <c r="O16" s="247" t="str">
        <f t="shared" si="2"/>
        <v>D2</v>
      </c>
      <c r="P16" s="229"/>
      <c r="Q16" s="415"/>
      <c r="R16" s="368"/>
      <c r="S16" s="510"/>
      <c r="T16" s="510"/>
      <c r="U16" s="510"/>
      <c r="V16" s="323"/>
      <c r="W16" s="323"/>
      <c r="X16" s="323"/>
    </row>
    <row r="17" spans="1:24" ht="13.5" customHeight="1">
      <c r="A17" s="373"/>
      <c r="B17" s="244" t="str">
        <f>'Flat Sizes'!B17</f>
        <v>Kitchen</v>
      </c>
      <c r="C17" s="247" t="s">
        <v>390</v>
      </c>
      <c r="D17" s="342"/>
      <c r="E17" s="336">
        <v>1</v>
      </c>
      <c r="F17" s="337">
        <f>VLOOKUP(C17,'D&amp;W Schedule'!$B$4:$F$7,2,FALSE)</f>
        <v>0.9</v>
      </c>
      <c r="G17" s="337">
        <f>VLOOKUP(C17,'D&amp;W Schedule'!$B$4:$F$7,3,FALSE)</f>
        <v>2.1</v>
      </c>
      <c r="H17" s="337">
        <f>VLOOKUP(C17,'D&amp;W Schedule'!$B$4:$F$7,4,FALSE)</f>
        <v>1.8900000000000001</v>
      </c>
      <c r="I17" s="337">
        <f>VLOOKUP(C17,'D&amp;W Schedule'!$B$4:$F$7,5,FALSE)</f>
        <v>25000</v>
      </c>
      <c r="J17" s="507">
        <f t="shared" si="3"/>
        <v>25000</v>
      </c>
      <c r="K17" s="508"/>
      <c r="L17" s="508">
        <f t="shared" si="4"/>
        <v>18</v>
      </c>
      <c r="M17" s="512">
        <f t="shared" si="5"/>
        <v>450000</v>
      </c>
      <c r="N17" s="229"/>
      <c r="O17" s="247" t="str">
        <f t="shared" si="2"/>
        <v>K FRD</v>
      </c>
      <c r="P17" s="347"/>
      <c r="Q17" s="415"/>
      <c r="R17" s="368"/>
      <c r="S17" s="510"/>
      <c r="T17" s="510"/>
      <c r="U17" s="510"/>
      <c r="V17" s="323"/>
      <c r="W17" s="323"/>
      <c r="X17" s="323"/>
    </row>
    <row r="18" spans="1:24" ht="13.5" customHeight="1">
      <c r="A18" s="373"/>
      <c r="B18" s="246" t="str">
        <f>'Flat Sizes'!B20</f>
        <v>Sub Total</v>
      </c>
      <c r="C18" s="247"/>
      <c r="D18" s="342"/>
      <c r="E18" s="496">
        <f>SUBTOTAL(9,E12:E17)</f>
        <v>6</v>
      </c>
      <c r="F18" s="337"/>
      <c r="G18" s="337"/>
      <c r="H18" s="337"/>
      <c r="I18" s="337"/>
      <c r="J18" s="497">
        <f>SUBTOTAL(9,J12:J17)</f>
        <v>112000</v>
      </c>
      <c r="K18" s="508"/>
      <c r="L18" s="352">
        <f>SUBTOTAL(9,L12:L17)</f>
        <v>108</v>
      </c>
      <c r="M18" s="514">
        <f>SUBTOTAL(9,M12:M17)</f>
        <v>2016000</v>
      </c>
      <c r="N18" s="229"/>
      <c r="O18" s="247">
        <f t="shared" si="2"/>
        <v>0</v>
      </c>
      <c r="P18" s="229"/>
      <c r="Q18" s="415"/>
      <c r="R18" s="368"/>
      <c r="S18" s="510"/>
      <c r="T18" s="510"/>
      <c r="U18" s="510"/>
      <c r="V18" s="510"/>
      <c r="W18" s="323"/>
      <c r="X18" s="323"/>
    </row>
    <row r="19" spans="1:24" ht="13.5" customHeight="1">
      <c r="A19" s="373"/>
      <c r="B19" s="270" t="str">
        <f>'Flat Sizes'!B21</f>
        <v>Flat 2A</v>
      </c>
      <c r="C19" s="247"/>
      <c r="D19" s="342"/>
      <c r="E19" s="336"/>
      <c r="F19" s="337"/>
      <c r="G19" s="337"/>
      <c r="H19" s="337"/>
      <c r="I19" s="337"/>
      <c r="J19" s="194"/>
      <c r="K19" s="328">
        <f>'Room Conf'!N40</f>
        <v>10</v>
      </c>
      <c r="L19" s="328"/>
      <c r="M19" s="377">
        <f>+$K$11*J19</f>
        <v>0</v>
      </c>
      <c r="N19" s="229"/>
      <c r="O19" s="247">
        <f t="shared" si="2"/>
        <v>0</v>
      </c>
      <c r="P19" s="229"/>
      <c r="Q19" s="329"/>
      <c r="R19" s="368"/>
      <c r="S19" s="330"/>
      <c r="T19" s="330"/>
      <c r="U19" s="330"/>
      <c r="V19" s="330"/>
      <c r="W19" s="323"/>
      <c r="X19" s="323"/>
    </row>
    <row r="20" spans="1:24" ht="13.5" customHeight="1">
      <c r="A20" s="373"/>
      <c r="B20" s="244" t="str">
        <f>'Flat Sizes'!B22</f>
        <v>Multi Purpose Room</v>
      </c>
      <c r="C20" s="247" t="s">
        <v>387</v>
      </c>
      <c r="D20" s="342"/>
      <c r="E20" s="336">
        <v>1</v>
      </c>
      <c r="F20" s="337">
        <f>VLOOKUP(C20,'D&amp;W Schedule'!$B$4:$F$7,2,FALSE)</f>
        <v>1.2</v>
      </c>
      <c r="G20" s="337">
        <f>VLOOKUP(C20,'D&amp;W Schedule'!$B$4:$F$7,3,FALSE)</f>
        <v>2.1</v>
      </c>
      <c r="H20" s="337">
        <f>VLOOKUP(C20,'D&amp;W Schedule'!$B$4:$F$7,4,FALSE)</f>
        <v>2.52</v>
      </c>
      <c r="I20" s="337">
        <f>VLOOKUP(C20,'D&amp;W Schedule'!$B$4:$F$7,5,FALSE)</f>
        <v>30000</v>
      </c>
      <c r="J20" s="507">
        <f t="shared" ref="J20:J24" si="6">E20*I20</f>
        <v>30000</v>
      </c>
      <c r="K20" s="508"/>
      <c r="L20" s="508">
        <f>$K$19*E20</f>
        <v>10</v>
      </c>
      <c r="M20" s="512">
        <f>+$K$19*J20</f>
        <v>300000</v>
      </c>
      <c r="N20" s="229"/>
      <c r="O20" s="247" t="str">
        <f t="shared" si="2"/>
        <v>FRD</v>
      </c>
      <c r="P20" s="229"/>
      <c r="Q20" s="415"/>
      <c r="R20" s="368"/>
      <c r="S20" s="521"/>
      <c r="T20" s="510"/>
      <c r="U20" s="510"/>
      <c r="V20" s="510"/>
      <c r="W20" s="323"/>
      <c r="X20" s="323"/>
    </row>
    <row r="21" spans="1:24" ht="13.5" customHeight="1">
      <c r="A21" s="241"/>
      <c r="B21" s="244" t="str">
        <f>'Flat Sizes'!B23</f>
        <v>Study Room</v>
      </c>
      <c r="C21" s="247" t="s">
        <v>390</v>
      </c>
      <c r="D21" s="331"/>
      <c r="E21" s="336">
        <v>1</v>
      </c>
      <c r="F21" s="337">
        <f>VLOOKUP(C21,'D&amp;W Schedule'!$B$4:$F$7,2,FALSE)</f>
        <v>0.9</v>
      </c>
      <c r="G21" s="337">
        <f>VLOOKUP(C21,'D&amp;W Schedule'!$B$4:$F$7,3,FALSE)</f>
        <v>2.1</v>
      </c>
      <c r="H21" s="337">
        <f>VLOOKUP(C21,'D&amp;W Schedule'!$B$4:$F$7,4,FALSE)</f>
        <v>1.8900000000000001</v>
      </c>
      <c r="I21" s="337">
        <f>VLOOKUP(C21,'D&amp;W Schedule'!$B$4:$F$7,5,FALSE)</f>
        <v>25000</v>
      </c>
      <c r="J21" s="507">
        <f t="shared" si="6"/>
        <v>25000</v>
      </c>
      <c r="K21" s="508"/>
      <c r="L21" s="508">
        <f t="shared" ref="L21:L24" si="7">$K$19*E21</f>
        <v>10</v>
      </c>
      <c r="M21" s="512">
        <f t="shared" ref="M21:M24" si="8">+$K$19*J21</f>
        <v>250000</v>
      </c>
      <c r="N21" s="350"/>
      <c r="O21" s="247" t="str">
        <f t="shared" si="2"/>
        <v>K FRD</v>
      </c>
      <c r="P21" s="229"/>
      <c r="Q21" s="415"/>
      <c r="R21" s="368"/>
      <c r="S21" s="521"/>
      <c r="T21" s="510"/>
      <c r="U21" s="510"/>
      <c r="V21" s="510"/>
      <c r="X21" s="323"/>
    </row>
    <row r="22" spans="1:24" ht="13.5" customHeight="1">
      <c r="A22" s="373"/>
      <c r="B22" s="244" t="str">
        <f>'Flat Sizes'!B24</f>
        <v>M. Bedroom</v>
      </c>
      <c r="C22" s="247" t="s">
        <v>388</v>
      </c>
      <c r="D22" s="342"/>
      <c r="E22" s="336">
        <v>1</v>
      </c>
      <c r="F22" s="337">
        <f>VLOOKUP(C22,'D&amp;W Schedule'!$B$4:$F$7,2,FALSE)</f>
        <v>0.9</v>
      </c>
      <c r="G22" s="337">
        <f>VLOOKUP(C22,'D&amp;W Schedule'!$B$4:$F$7,3,FALSE)</f>
        <v>2.1</v>
      </c>
      <c r="H22" s="337">
        <f>VLOOKUP(C22,'D&amp;W Schedule'!$B$4:$F$7,4,FALSE)</f>
        <v>1.8900000000000001</v>
      </c>
      <c r="I22" s="337">
        <f>VLOOKUP(C22,'D&amp;W Schedule'!$B$4:$F$7,5,FALSE)</f>
        <v>18000</v>
      </c>
      <c r="J22" s="507">
        <f t="shared" si="6"/>
        <v>18000</v>
      </c>
      <c r="K22" s="508"/>
      <c r="L22" s="508">
        <f t="shared" si="7"/>
        <v>10</v>
      </c>
      <c r="M22" s="512">
        <f t="shared" si="8"/>
        <v>180000</v>
      </c>
      <c r="N22" s="229"/>
      <c r="O22" s="247" t="str">
        <f t="shared" si="2"/>
        <v>D1</v>
      </c>
      <c r="P22" s="229"/>
      <c r="Q22" s="415"/>
      <c r="R22" s="368"/>
      <c r="S22" s="510"/>
      <c r="T22" s="510"/>
      <c r="U22" s="510"/>
      <c r="V22" s="510"/>
    </row>
    <row r="23" spans="1:24" ht="13.5" customHeight="1">
      <c r="A23" s="373"/>
      <c r="B23" s="244" t="str">
        <f>'Flat Sizes'!B25</f>
        <v>M. Toilet</v>
      </c>
      <c r="C23" s="247" t="s">
        <v>389</v>
      </c>
      <c r="D23" s="342"/>
      <c r="E23" s="336">
        <v>1</v>
      </c>
      <c r="F23" s="337">
        <f>VLOOKUP(C23,'D&amp;W Schedule'!$B$4:$F$7,2,FALSE)</f>
        <v>0.75</v>
      </c>
      <c r="G23" s="337">
        <f>VLOOKUP(C23,'D&amp;W Schedule'!$B$4:$F$7,3,FALSE)</f>
        <v>2.1</v>
      </c>
      <c r="H23" s="337">
        <f>VLOOKUP(C23,'D&amp;W Schedule'!$B$4:$F$7,4,FALSE)</f>
        <v>1.5750000000000002</v>
      </c>
      <c r="I23" s="337">
        <f>VLOOKUP(C23,'D&amp;W Schedule'!$B$4:$F$7,5,FALSE)</f>
        <v>10500</v>
      </c>
      <c r="J23" s="507">
        <f t="shared" si="6"/>
        <v>10500</v>
      </c>
      <c r="K23" s="508"/>
      <c r="L23" s="508">
        <f t="shared" si="7"/>
        <v>10</v>
      </c>
      <c r="M23" s="512">
        <f t="shared" si="8"/>
        <v>105000</v>
      </c>
      <c r="N23" s="229"/>
      <c r="O23" s="247" t="str">
        <f t="shared" si="2"/>
        <v>D2</v>
      </c>
      <c r="P23" s="229"/>
      <c r="Q23" s="415"/>
      <c r="R23" s="368"/>
      <c r="S23" s="510"/>
      <c r="T23" s="510"/>
      <c r="U23" s="510"/>
      <c r="V23" s="510"/>
    </row>
    <row r="24" spans="1:24" ht="13.5" customHeight="1">
      <c r="A24" s="373"/>
      <c r="B24" s="244" t="str">
        <f>'Flat Sizes'!B26</f>
        <v>C. Toilet</v>
      </c>
      <c r="C24" s="247" t="s">
        <v>389</v>
      </c>
      <c r="D24" s="342"/>
      <c r="E24" s="336">
        <v>1</v>
      </c>
      <c r="F24" s="337">
        <f>VLOOKUP(C24,'D&amp;W Schedule'!$B$4:$F$7,2,FALSE)</f>
        <v>0.75</v>
      </c>
      <c r="G24" s="337">
        <f>VLOOKUP(C24,'D&amp;W Schedule'!$B$4:$F$7,3,FALSE)</f>
        <v>2.1</v>
      </c>
      <c r="H24" s="337">
        <f>VLOOKUP(C24,'D&amp;W Schedule'!$B$4:$F$7,4,FALSE)</f>
        <v>1.5750000000000002</v>
      </c>
      <c r="I24" s="337">
        <f>VLOOKUP(C24,'D&amp;W Schedule'!$B$4:$F$7,5,FALSE)</f>
        <v>10500</v>
      </c>
      <c r="J24" s="507">
        <f t="shared" si="6"/>
        <v>10500</v>
      </c>
      <c r="K24" s="508"/>
      <c r="L24" s="508">
        <f t="shared" si="7"/>
        <v>10</v>
      </c>
      <c r="M24" s="512">
        <f t="shared" si="8"/>
        <v>105000</v>
      </c>
      <c r="N24" s="229"/>
      <c r="O24" s="247" t="str">
        <f t="shared" si="2"/>
        <v>D2</v>
      </c>
      <c r="P24" s="229"/>
      <c r="Q24" s="415"/>
      <c r="R24" s="368"/>
      <c r="S24" s="510"/>
      <c r="T24" s="510"/>
      <c r="U24" s="510"/>
      <c r="V24" s="510"/>
    </row>
    <row r="25" spans="1:24" ht="13.5" customHeight="1">
      <c r="A25" s="373"/>
      <c r="B25" s="246" t="str">
        <f>'Flat Sizes'!B27</f>
        <v>Sub Total</v>
      </c>
      <c r="C25" s="247"/>
      <c r="D25" s="342"/>
      <c r="E25" s="496">
        <f>SUBTOTAL(9,E20:E24)</f>
        <v>5</v>
      </c>
      <c r="F25" s="337"/>
      <c r="G25" s="337"/>
      <c r="H25" s="337"/>
      <c r="I25" s="337"/>
      <c r="J25" s="497">
        <f>SUBTOTAL(9,J20:J24)</f>
        <v>94000</v>
      </c>
      <c r="K25" s="328"/>
      <c r="L25" s="352">
        <f>SUBTOTAL(9,L20:L24)</f>
        <v>50</v>
      </c>
      <c r="M25" s="292">
        <f>SUBTOTAL(9,M20:M24)</f>
        <v>940000</v>
      </c>
      <c r="N25" s="229"/>
      <c r="O25" s="247">
        <f t="shared" si="2"/>
        <v>0</v>
      </c>
      <c r="P25" s="347"/>
      <c r="Q25" s="329"/>
      <c r="R25" s="368"/>
      <c r="S25" s="330"/>
      <c r="T25" s="330"/>
      <c r="U25" s="330"/>
      <c r="V25" s="330"/>
      <c r="W25" s="323"/>
    </row>
    <row r="26" spans="1:24" ht="13.5" customHeight="1">
      <c r="A26" s="373"/>
      <c r="B26" s="270" t="str">
        <f>'Flat Sizes'!B28</f>
        <v>Flat 2B,
2BHK</v>
      </c>
      <c r="C26" s="247"/>
      <c r="D26" s="342"/>
      <c r="E26" s="336"/>
      <c r="F26" s="337"/>
      <c r="G26" s="337"/>
      <c r="H26" s="337"/>
      <c r="I26" s="337"/>
      <c r="J26" s="194"/>
      <c r="K26" s="328">
        <f>'Room Conf'!O40</f>
        <v>18</v>
      </c>
      <c r="L26" s="328"/>
      <c r="M26" s="377">
        <f>+$K$11*J26</f>
        <v>0</v>
      </c>
      <c r="N26" s="229"/>
      <c r="O26" s="247">
        <f t="shared" si="2"/>
        <v>0</v>
      </c>
      <c r="P26" s="229"/>
      <c r="Q26" s="329"/>
      <c r="R26" s="368"/>
      <c r="S26" s="330"/>
      <c r="T26" s="330"/>
      <c r="U26" s="330"/>
      <c r="V26" s="330"/>
      <c r="W26" s="323"/>
      <c r="X26" s="323"/>
    </row>
    <row r="27" spans="1:24" ht="13.5" customHeight="1">
      <c r="A27" s="373"/>
      <c r="B27" s="244" t="str">
        <f>'Flat Sizes'!B29</f>
        <v>Living, Dining &amp; Passage</v>
      </c>
      <c r="C27" s="247" t="s">
        <v>387</v>
      </c>
      <c r="D27" s="342"/>
      <c r="E27" s="336">
        <v>1</v>
      </c>
      <c r="F27" s="337">
        <f>VLOOKUP(C27,'D&amp;W Schedule'!$B$4:$F$7,2,FALSE)</f>
        <v>1.2</v>
      </c>
      <c r="G27" s="337">
        <f>VLOOKUP(C27,'D&amp;W Schedule'!$B$4:$F$7,3,FALSE)</f>
        <v>2.1</v>
      </c>
      <c r="H27" s="337">
        <f>VLOOKUP(C27,'D&amp;W Schedule'!$B$4:$F$7,4,FALSE)</f>
        <v>2.52</v>
      </c>
      <c r="I27" s="337">
        <f>VLOOKUP(C27,'D&amp;W Schedule'!$B$4:$F$7,5,FALSE)</f>
        <v>30000</v>
      </c>
      <c r="J27" s="507">
        <f t="shared" ref="J27:J32" si="9">E27*I27</f>
        <v>30000</v>
      </c>
      <c r="K27" s="508"/>
      <c r="L27" s="508">
        <f t="shared" ref="L27:L32" si="10">$K$26*E27</f>
        <v>18</v>
      </c>
      <c r="M27" s="512">
        <f>+$K$26*J27</f>
        <v>540000</v>
      </c>
      <c r="N27" s="229"/>
      <c r="O27" s="247" t="str">
        <f t="shared" si="2"/>
        <v>FRD</v>
      </c>
      <c r="P27" s="229"/>
      <c r="Q27" s="415"/>
      <c r="R27" s="368"/>
      <c r="S27" s="510"/>
      <c r="T27" s="510"/>
      <c r="U27" s="510"/>
      <c r="V27" s="510"/>
      <c r="W27" s="323"/>
      <c r="X27" s="323"/>
    </row>
    <row r="28" spans="1:24" ht="13.5" customHeight="1">
      <c r="A28" s="373"/>
      <c r="B28" s="244" t="str">
        <f>'Flat Sizes'!B30</f>
        <v>M. Bedroom</v>
      </c>
      <c r="C28" s="247" t="s">
        <v>388</v>
      </c>
      <c r="D28" s="342"/>
      <c r="E28" s="336">
        <v>1</v>
      </c>
      <c r="F28" s="337">
        <f>VLOOKUP(C28,'D&amp;W Schedule'!$B$4:$F$7,2,FALSE)</f>
        <v>0.9</v>
      </c>
      <c r="G28" s="337">
        <f>VLOOKUP(C28,'D&amp;W Schedule'!$B$4:$F$7,3,FALSE)</f>
        <v>2.1</v>
      </c>
      <c r="H28" s="337">
        <f>VLOOKUP(C28,'D&amp;W Schedule'!$B$4:$F$7,4,FALSE)</f>
        <v>1.8900000000000001</v>
      </c>
      <c r="I28" s="337">
        <f>VLOOKUP(C28,'D&amp;W Schedule'!$B$4:$F$7,5,FALSE)</f>
        <v>18000</v>
      </c>
      <c r="J28" s="507">
        <f t="shared" si="9"/>
        <v>18000</v>
      </c>
      <c r="K28" s="508"/>
      <c r="L28" s="508">
        <f t="shared" si="10"/>
        <v>18</v>
      </c>
      <c r="M28" s="512">
        <f t="shared" ref="M28:M32" si="11">+$K$26*J28</f>
        <v>324000</v>
      </c>
      <c r="N28" s="229"/>
      <c r="O28" s="247" t="str">
        <f t="shared" si="2"/>
        <v>D1</v>
      </c>
      <c r="P28" s="229"/>
      <c r="Q28" s="415"/>
      <c r="R28" s="368"/>
      <c r="S28" s="510"/>
      <c r="T28" s="510"/>
      <c r="U28" s="510"/>
      <c r="V28" s="510"/>
      <c r="W28" s="323"/>
      <c r="X28" s="323"/>
    </row>
    <row r="29" spans="1:24" ht="13.5" customHeight="1">
      <c r="A29" s="373"/>
      <c r="B29" s="244" t="str">
        <f>'Flat Sizes'!B31</f>
        <v>M. Toilet</v>
      </c>
      <c r="C29" s="247" t="s">
        <v>389</v>
      </c>
      <c r="D29" s="342"/>
      <c r="E29" s="336">
        <v>1</v>
      </c>
      <c r="F29" s="337">
        <f>VLOOKUP(C29,'D&amp;W Schedule'!$B$4:$F$7,2,FALSE)</f>
        <v>0.75</v>
      </c>
      <c r="G29" s="337">
        <f>VLOOKUP(C29,'D&amp;W Schedule'!$B$4:$F$7,3,FALSE)</f>
        <v>2.1</v>
      </c>
      <c r="H29" s="337">
        <f>VLOOKUP(C29,'D&amp;W Schedule'!$B$4:$F$7,4,FALSE)</f>
        <v>1.5750000000000002</v>
      </c>
      <c r="I29" s="337">
        <f>VLOOKUP(C29,'D&amp;W Schedule'!$B$4:$F$7,5,FALSE)</f>
        <v>10500</v>
      </c>
      <c r="J29" s="507">
        <f t="shared" si="9"/>
        <v>10500</v>
      </c>
      <c r="K29" s="508"/>
      <c r="L29" s="508">
        <f t="shared" si="10"/>
        <v>18</v>
      </c>
      <c r="M29" s="512">
        <f t="shared" si="11"/>
        <v>189000</v>
      </c>
      <c r="N29" s="229"/>
      <c r="O29" s="247" t="str">
        <f t="shared" si="2"/>
        <v>D2</v>
      </c>
      <c r="P29" s="229"/>
      <c r="Q29" s="415"/>
      <c r="R29" s="368"/>
      <c r="S29" s="521"/>
      <c r="T29" s="510"/>
      <c r="U29" s="510"/>
      <c r="V29" s="510"/>
      <c r="W29" s="323"/>
      <c r="X29" s="323"/>
    </row>
    <row r="30" spans="1:24" ht="13.5" customHeight="1">
      <c r="A30" s="373"/>
      <c r="B30" s="244" t="str">
        <f>'Flat Sizes'!B32</f>
        <v>C.Bedroom</v>
      </c>
      <c r="C30" s="247" t="s">
        <v>388</v>
      </c>
      <c r="D30" s="342"/>
      <c r="E30" s="336">
        <v>1</v>
      </c>
      <c r="F30" s="337">
        <f>VLOOKUP(C30,'D&amp;W Schedule'!$B$4:$F$7,2,FALSE)</f>
        <v>0.9</v>
      </c>
      <c r="G30" s="337">
        <f>VLOOKUP(C30,'D&amp;W Schedule'!$B$4:$F$7,3,FALSE)</f>
        <v>2.1</v>
      </c>
      <c r="H30" s="337">
        <f>VLOOKUP(C30,'D&amp;W Schedule'!$B$4:$F$7,4,FALSE)</f>
        <v>1.8900000000000001</v>
      </c>
      <c r="I30" s="337">
        <f>VLOOKUP(C30,'D&amp;W Schedule'!$B$4:$F$7,5,FALSE)</f>
        <v>18000</v>
      </c>
      <c r="J30" s="507">
        <f t="shared" si="9"/>
        <v>18000</v>
      </c>
      <c r="K30" s="508"/>
      <c r="L30" s="508">
        <f t="shared" si="10"/>
        <v>18</v>
      </c>
      <c r="M30" s="512">
        <f t="shared" si="11"/>
        <v>324000</v>
      </c>
      <c r="N30" s="229"/>
      <c r="O30" s="247" t="str">
        <f t="shared" si="2"/>
        <v>D1</v>
      </c>
      <c r="P30" s="229"/>
      <c r="Q30" s="415"/>
      <c r="R30" s="368"/>
      <c r="S30" s="521"/>
      <c r="T30" s="510"/>
      <c r="U30" s="510"/>
      <c r="V30" s="510"/>
      <c r="W30" s="323"/>
      <c r="X30" s="323"/>
    </row>
    <row r="31" spans="1:24" ht="13.5" customHeight="1">
      <c r="A31" s="241"/>
      <c r="B31" s="244" t="str">
        <f>'Flat Sizes'!B33</f>
        <v>C. Toilet</v>
      </c>
      <c r="C31" s="247" t="s">
        <v>389</v>
      </c>
      <c r="D31" s="331"/>
      <c r="E31" s="336">
        <v>1</v>
      </c>
      <c r="F31" s="337">
        <f>VLOOKUP(C31,'D&amp;W Schedule'!$B$4:$F$7,2,FALSE)</f>
        <v>0.75</v>
      </c>
      <c r="G31" s="337">
        <f>VLOOKUP(C31,'D&amp;W Schedule'!$B$4:$F$7,3,FALSE)</f>
        <v>2.1</v>
      </c>
      <c r="H31" s="337">
        <f>VLOOKUP(C31,'D&amp;W Schedule'!$B$4:$F$7,4,FALSE)</f>
        <v>1.5750000000000002</v>
      </c>
      <c r="I31" s="337">
        <f>VLOOKUP(C31,'D&amp;W Schedule'!$B$4:$F$7,5,FALSE)</f>
        <v>10500</v>
      </c>
      <c r="J31" s="507">
        <f t="shared" si="9"/>
        <v>10500</v>
      </c>
      <c r="K31" s="508"/>
      <c r="L31" s="508">
        <f t="shared" si="10"/>
        <v>18</v>
      </c>
      <c r="M31" s="512">
        <f t="shared" si="11"/>
        <v>189000</v>
      </c>
      <c r="N31" s="350"/>
      <c r="O31" s="247" t="str">
        <f t="shared" si="2"/>
        <v>D2</v>
      </c>
      <c r="P31" s="229"/>
      <c r="Q31" s="415"/>
      <c r="R31" s="368"/>
      <c r="S31" s="521"/>
      <c r="T31" s="510"/>
      <c r="U31" s="510"/>
      <c r="V31" s="510"/>
      <c r="W31" s="323"/>
      <c r="X31" s="323"/>
    </row>
    <row r="32" spans="1:24" ht="13.5" customHeight="1">
      <c r="A32" s="373"/>
      <c r="B32" s="244" t="str">
        <f>'Flat Sizes'!B34</f>
        <v>Kitchen</v>
      </c>
      <c r="C32" s="247" t="s">
        <v>390</v>
      </c>
      <c r="D32" s="342"/>
      <c r="E32" s="336">
        <v>1</v>
      </c>
      <c r="F32" s="337">
        <f>VLOOKUP(C32,'D&amp;W Schedule'!$B$4:$F$7,2,FALSE)</f>
        <v>0.9</v>
      </c>
      <c r="G32" s="337">
        <f>VLOOKUP(C32,'D&amp;W Schedule'!$B$4:$F$7,3,FALSE)</f>
        <v>2.1</v>
      </c>
      <c r="H32" s="337">
        <f>VLOOKUP(C32,'D&amp;W Schedule'!$B$4:$F$7,4,FALSE)</f>
        <v>1.8900000000000001</v>
      </c>
      <c r="I32" s="337">
        <f>VLOOKUP(C32,'D&amp;W Schedule'!$B$4:$F$7,5,FALSE)</f>
        <v>25000</v>
      </c>
      <c r="J32" s="507">
        <f t="shared" si="9"/>
        <v>25000</v>
      </c>
      <c r="K32" s="508"/>
      <c r="L32" s="508">
        <f t="shared" si="10"/>
        <v>18</v>
      </c>
      <c r="M32" s="512">
        <f t="shared" si="11"/>
        <v>450000</v>
      </c>
      <c r="N32" s="229"/>
      <c r="O32" s="247" t="str">
        <f t="shared" si="2"/>
        <v>K FRD</v>
      </c>
      <c r="P32" s="229"/>
      <c r="Q32" s="415"/>
      <c r="R32" s="368"/>
      <c r="S32" s="521"/>
      <c r="T32" s="510"/>
      <c r="U32" s="510"/>
      <c r="V32" s="510"/>
      <c r="W32" s="323"/>
      <c r="X32" s="323"/>
    </row>
    <row r="33" spans="1:24" ht="13.5" customHeight="1">
      <c r="A33" s="373"/>
      <c r="B33" s="246" t="str">
        <f>'Flat Sizes'!B37</f>
        <v>Sub Total</v>
      </c>
      <c r="C33" s="247"/>
      <c r="D33" s="342"/>
      <c r="E33" s="496">
        <f>SUBTOTAL(9,E27:E32)</f>
        <v>6</v>
      </c>
      <c r="F33" s="337"/>
      <c r="G33" s="337"/>
      <c r="H33" s="337"/>
      <c r="I33" s="337"/>
      <c r="J33" s="497">
        <f>SUBTOTAL(9,J27:J32)</f>
        <v>112000</v>
      </c>
      <c r="K33" s="508"/>
      <c r="L33" s="352">
        <f>SUBTOTAL(9,L27:L32)</f>
        <v>108</v>
      </c>
      <c r="M33" s="514">
        <f>SUBTOTAL(9,M27:M32)</f>
        <v>2016000</v>
      </c>
      <c r="N33" s="229"/>
      <c r="O33" s="247">
        <f t="shared" si="2"/>
        <v>0</v>
      </c>
      <c r="P33" s="229"/>
      <c r="Q33" s="415"/>
      <c r="R33" s="368"/>
      <c r="S33" s="521"/>
      <c r="T33" s="510"/>
      <c r="U33" s="510"/>
      <c r="V33" s="510"/>
      <c r="W33" s="323"/>
      <c r="X33" s="323"/>
    </row>
    <row r="34" spans="1:24" ht="13.5" customHeight="1">
      <c r="A34" s="373"/>
      <c r="B34" s="270" t="str">
        <f>'Flat Sizes'!B38</f>
        <v>Flat 3A,
2BHK</v>
      </c>
      <c r="C34" s="247"/>
      <c r="D34" s="342"/>
      <c r="E34" s="352"/>
      <c r="F34" s="337"/>
      <c r="G34" s="337"/>
      <c r="H34" s="337"/>
      <c r="I34" s="337"/>
      <c r="J34" s="194"/>
      <c r="K34" s="328">
        <f>'Room Conf'!P40</f>
        <v>3</v>
      </c>
      <c r="L34" s="328"/>
      <c r="M34" s="377">
        <f>+$K$11*J34</f>
        <v>0</v>
      </c>
      <c r="N34" s="229"/>
      <c r="O34" s="247">
        <f t="shared" si="2"/>
        <v>0</v>
      </c>
      <c r="P34" s="229"/>
      <c r="Q34" s="329"/>
      <c r="R34" s="368"/>
      <c r="S34" s="369"/>
      <c r="T34" s="330"/>
      <c r="U34" s="330"/>
      <c r="V34" s="330"/>
      <c r="W34" s="323"/>
      <c r="X34" s="323"/>
    </row>
    <row r="35" spans="1:24" ht="13.5" customHeight="1">
      <c r="A35" s="373"/>
      <c r="B35" s="244" t="str">
        <f>'Flat Sizes'!B39</f>
        <v>Living, Dining &amp; Passage</v>
      </c>
      <c r="C35" s="247" t="s">
        <v>387</v>
      </c>
      <c r="D35" s="342"/>
      <c r="E35" s="336">
        <v>1</v>
      </c>
      <c r="F35" s="337">
        <f>VLOOKUP(C35,'D&amp;W Schedule'!$B$4:$F$7,2,FALSE)</f>
        <v>1.2</v>
      </c>
      <c r="G35" s="337">
        <f>VLOOKUP(C35,'D&amp;W Schedule'!$B$4:$F$7,3,FALSE)</f>
        <v>2.1</v>
      </c>
      <c r="H35" s="337">
        <f>VLOOKUP(C35,'D&amp;W Schedule'!$B$4:$F$7,4,FALSE)</f>
        <v>2.52</v>
      </c>
      <c r="I35" s="337">
        <f>VLOOKUP(C35,'D&amp;W Schedule'!$B$4:$F$7,5,FALSE)</f>
        <v>30000</v>
      </c>
      <c r="J35" s="507">
        <f t="shared" ref="J35:J40" si="12">E35*I35</f>
        <v>30000</v>
      </c>
      <c r="K35" s="508"/>
      <c r="L35" s="508">
        <f t="shared" ref="L35:L40" si="13">$K$34*E35</f>
        <v>3</v>
      </c>
      <c r="M35" s="512">
        <f>+$K$34*J35</f>
        <v>90000</v>
      </c>
      <c r="N35" s="229"/>
      <c r="O35" s="247" t="str">
        <f t="shared" si="2"/>
        <v>FRD</v>
      </c>
      <c r="P35" s="229"/>
      <c r="Q35" s="415"/>
      <c r="R35" s="368"/>
      <c r="S35" s="521"/>
      <c r="T35" s="510"/>
      <c r="U35" s="510"/>
      <c r="V35" s="510"/>
      <c r="W35" s="323"/>
      <c r="X35" s="323"/>
    </row>
    <row r="36" spans="1:24" ht="13.5" customHeight="1">
      <c r="A36" s="373"/>
      <c r="B36" s="244" t="str">
        <f>'Flat Sizes'!B40</f>
        <v>M. Bedroom</v>
      </c>
      <c r="C36" s="247" t="s">
        <v>388</v>
      </c>
      <c r="D36" s="342"/>
      <c r="E36" s="336">
        <v>1</v>
      </c>
      <c r="F36" s="337">
        <f>VLOOKUP(C36,'D&amp;W Schedule'!$B$4:$F$7,2,FALSE)</f>
        <v>0.9</v>
      </c>
      <c r="G36" s="337">
        <f>VLOOKUP(C36,'D&amp;W Schedule'!$B$4:$F$7,3,FALSE)</f>
        <v>2.1</v>
      </c>
      <c r="H36" s="337">
        <f>VLOOKUP(C36,'D&amp;W Schedule'!$B$4:$F$7,4,FALSE)</f>
        <v>1.8900000000000001</v>
      </c>
      <c r="I36" s="337">
        <f>VLOOKUP(C36,'D&amp;W Schedule'!$B$4:$F$7,5,FALSE)</f>
        <v>18000</v>
      </c>
      <c r="J36" s="507">
        <f t="shared" si="12"/>
        <v>18000</v>
      </c>
      <c r="K36" s="508"/>
      <c r="L36" s="508">
        <f t="shared" si="13"/>
        <v>3</v>
      </c>
      <c r="M36" s="512">
        <f t="shared" ref="M36:M40" si="14">+$K$34*J36</f>
        <v>54000</v>
      </c>
      <c r="N36" s="229"/>
      <c r="O36" s="247" t="str">
        <f t="shared" si="2"/>
        <v>D1</v>
      </c>
      <c r="P36" s="229"/>
      <c r="Q36" s="415"/>
      <c r="R36" s="368"/>
      <c r="S36" s="521"/>
      <c r="T36" s="510"/>
      <c r="U36" s="510"/>
      <c r="V36" s="510"/>
      <c r="W36" s="323"/>
      <c r="X36" s="323"/>
    </row>
    <row r="37" spans="1:24" ht="13.5" customHeight="1">
      <c r="A37" s="373"/>
      <c r="B37" s="244" t="str">
        <f>'Flat Sizes'!B41</f>
        <v>M. Toilet</v>
      </c>
      <c r="C37" s="247" t="s">
        <v>389</v>
      </c>
      <c r="D37" s="342"/>
      <c r="E37" s="336">
        <v>1</v>
      </c>
      <c r="F37" s="337">
        <f>VLOOKUP(C37,'D&amp;W Schedule'!$B$4:$F$7,2,FALSE)</f>
        <v>0.75</v>
      </c>
      <c r="G37" s="337">
        <f>VLOOKUP(C37,'D&amp;W Schedule'!$B$4:$F$7,3,FALSE)</f>
        <v>2.1</v>
      </c>
      <c r="H37" s="337">
        <f>VLOOKUP(C37,'D&amp;W Schedule'!$B$4:$F$7,4,FALSE)</f>
        <v>1.5750000000000002</v>
      </c>
      <c r="I37" s="337">
        <f>VLOOKUP(C37,'D&amp;W Schedule'!$B$4:$F$7,5,FALSE)</f>
        <v>10500</v>
      </c>
      <c r="J37" s="507">
        <f t="shared" si="12"/>
        <v>10500</v>
      </c>
      <c r="K37" s="508"/>
      <c r="L37" s="508">
        <f t="shared" si="13"/>
        <v>3</v>
      </c>
      <c r="M37" s="512">
        <f t="shared" si="14"/>
        <v>31500</v>
      </c>
      <c r="N37" s="229"/>
      <c r="O37" s="247" t="str">
        <f t="shared" si="2"/>
        <v>D2</v>
      </c>
      <c r="P37" s="347"/>
      <c r="Q37" s="415"/>
      <c r="R37" s="368"/>
      <c r="S37" s="521"/>
      <c r="T37" s="510"/>
      <c r="U37" s="510"/>
      <c r="V37" s="510"/>
      <c r="W37" s="323"/>
      <c r="X37" s="323"/>
    </row>
    <row r="38" spans="1:24" ht="13.5" customHeight="1">
      <c r="A38" s="241"/>
      <c r="B38" s="244" t="str">
        <f>'Flat Sizes'!B42</f>
        <v>M. Bedroom</v>
      </c>
      <c r="C38" s="247" t="s">
        <v>388</v>
      </c>
      <c r="D38" s="331"/>
      <c r="E38" s="336">
        <v>1</v>
      </c>
      <c r="F38" s="337">
        <f>VLOOKUP(C38,'D&amp;W Schedule'!$B$4:$F$7,2,FALSE)</f>
        <v>0.9</v>
      </c>
      <c r="G38" s="337">
        <f>VLOOKUP(C38,'D&amp;W Schedule'!$B$4:$F$7,3,FALSE)</f>
        <v>2.1</v>
      </c>
      <c r="H38" s="337">
        <f>VLOOKUP(C38,'D&amp;W Schedule'!$B$4:$F$7,4,FALSE)</f>
        <v>1.8900000000000001</v>
      </c>
      <c r="I38" s="337">
        <f>VLOOKUP(C38,'D&amp;W Schedule'!$B$4:$F$7,5,FALSE)</f>
        <v>18000</v>
      </c>
      <c r="J38" s="507">
        <f t="shared" si="12"/>
        <v>18000</v>
      </c>
      <c r="K38" s="508"/>
      <c r="L38" s="508">
        <f t="shared" si="13"/>
        <v>3</v>
      </c>
      <c r="M38" s="512">
        <f t="shared" si="14"/>
        <v>54000</v>
      </c>
      <c r="N38" s="350"/>
      <c r="O38" s="247" t="str">
        <f t="shared" si="2"/>
        <v>D1</v>
      </c>
      <c r="P38" s="229"/>
      <c r="Q38" s="415"/>
      <c r="R38" s="368"/>
      <c r="S38" s="510"/>
      <c r="T38" s="510"/>
      <c r="U38" s="510"/>
      <c r="V38" s="510"/>
      <c r="W38" s="323"/>
      <c r="X38" s="323"/>
    </row>
    <row r="39" spans="1:24" ht="13.5" customHeight="1">
      <c r="A39" s="373"/>
      <c r="B39" s="244" t="str">
        <f>'Flat Sizes'!B43</f>
        <v>M. Toilet</v>
      </c>
      <c r="C39" s="247" t="s">
        <v>389</v>
      </c>
      <c r="D39" s="342"/>
      <c r="E39" s="336">
        <v>1</v>
      </c>
      <c r="F39" s="337">
        <f>VLOOKUP(C39,'D&amp;W Schedule'!$B$4:$F$7,2,FALSE)</f>
        <v>0.75</v>
      </c>
      <c r="G39" s="337">
        <f>VLOOKUP(C39,'D&amp;W Schedule'!$B$4:$F$7,3,FALSE)</f>
        <v>2.1</v>
      </c>
      <c r="H39" s="337">
        <f>VLOOKUP(C39,'D&amp;W Schedule'!$B$4:$F$7,4,FALSE)</f>
        <v>1.5750000000000002</v>
      </c>
      <c r="I39" s="337">
        <f>VLOOKUP(C39,'D&amp;W Schedule'!$B$4:$F$7,5,FALSE)</f>
        <v>10500</v>
      </c>
      <c r="J39" s="507">
        <f t="shared" si="12"/>
        <v>10500</v>
      </c>
      <c r="K39" s="508"/>
      <c r="L39" s="508">
        <f t="shared" si="13"/>
        <v>3</v>
      </c>
      <c r="M39" s="512">
        <f t="shared" si="14"/>
        <v>31500</v>
      </c>
      <c r="N39" s="229"/>
      <c r="O39" s="247" t="str">
        <f t="shared" si="2"/>
        <v>D2</v>
      </c>
      <c r="P39" s="229"/>
      <c r="Q39" s="415"/>
      <c r="R39" s="368"/>
      <c r="S39" s="510"/>
      <c r="T39" s="510"/>
      <c r="U39" s="510"/>
      <c r="V39" s="510"/>
      <c r="W39" s="323"/>
      <c r="X39" s="323"/>
    </row>
    <row r="40" spans="1:24" ht="13.5" customHeight="1">
      <c r="A40" s="373"/>
      <c r="B40" s="244" t="str">
        <f>'Flat Sizes'!B44</f>
        <v>Kitchen</v>
      </c>
      <c r="C40" s="247" t="s">
        <v>390</v>
      </c>
      <c r="D40" s="342"/>
      <c r="E40" s="336">
        <v>1</v>
      </c>
      <c r="F40" s="337">
        <f>VLOOKUP(C40,'D&amp;W Schedule'!$B$4:$F$7,2,FALSE)</f>
        <v>0.9</v>
      </c>
      <c r="G40" s="337">
        <f>VLOOKUP(C40,'D&amp;W Schedule'!$B$4:$F$7,3,FALSE)</f>
        <v>2.1</v>
      </c>
      <c r="H40" s="337">
        <f>VLOOKUP(C40,'D&amp;W Schedule'!$B$4:$F$7,4,FALSE)</f>
        <v>1.8900000000000001</v>
      </c>
      <c r="I40" s="337">
        <f>VLOOKUP(C40,'D&amp;W Schedule'!$B$4:$F$7,5,FALSE)</f>
        <v>25000</v>
      </c>
      <c r="J40" s="507">
        <f t="shared" si="12"/>
        <v>25000</v>
      </c>
      <c r="K40" s="508"/>
      <c r="L40" s="508">
        <f t="shared" si="13"/>
        <v>3</v>
      </c>
      <c r="M40" s="512">
        <f t="shared" si="14"/>
        <v>75000</v>
      </c>
      <c r="N40" s="229"/>
      <c r="O40" s="247" t="str">
        <f t="shared" si="2"/>
        <v>K FRD</v>
      </c>
      <c r="P40" s="229"/>
      <c r="Q40" s="415"/>
      <c r="R40" s="368"/>
      <c r="S40" s="510"/>
      <c r="T40" s="510"/>
      <c r="U40" s="510"/>
      <c r="V40" s="510"/>
      <c r="W40" s="323"/>
      <c r="X40" s="323"/>
    </row>
    <row r="41" spans="1:24" ht="13.5" customHeight="1">
      <c r="A41" s="373"/>
      <c r="B41" s="246" t="str">
        <f>'Flat Sizes'!B47</f>
        <v>Sub Total</v>
      </c>
      <c r="C41" s="247"/>
      <c r="D41" s="342"/>
      <c r="E41" s="496">
        <f>SUBTOTAL(9,E35:E40)</f>
        <v>6</v>
      </c>
      <c r="F41" s="337"/>
      <c r="G41" s="337"/>
      <c r="H41" s="337"/>
      <c r="I41" s="337"/>
      <c r="J41" s="497">
        <f>SUBTOTAL(9,J35:J40)</f>
        <v>112000</v>
      </c>
      <c r="K41" s="508"/>
      <c r="L41" s="352">
        <f>SUBTOTAL(9,L35:L40)</f>
        <v>18</v>
      </c>
      <c r="M41" s="514">
        <f>SUBTOTAL(9,M35:M40)</f>
        <v>336000</v>
      </c>
      <c r="N41" s="229"/>
      <c r="O41" s="247">
        <f t="shared" si="2"/>
        <v>0</v>
      </c>
      <c r="P41" s="229"/>
      <c r="Q41" s="415"/>
      <c r="R41" s="368"/>
      <c r="S41" s="521"/>
      <c r="T41" s="510"/>
      <c r="U41" s="510"/>
      <c r="V41" s="510"/>
      <c r="W41" s="323"/>
      <c r="X41" s="323"/>
    </row>
    <row r="42" spans="1:24" ht="13.5" customHeight="1">
      <c r="A42" s="373"/>
      <c r="B42" s="270" t="str">
        <f>'Flat Sizes'!B48</f>
        <v>Flat 3B,
3BHK</v>
      </c>
      <c r="C42" s="247"/>
      <c r="D42" s="342"/>
      <c r="E42" s="336"/>
      <c r="F42" s="337"/>
      <c r="G42" s="337"/>
      <c r="H42" s="337"/>
      <c r="I42" s="337"/>
      <c r="J42" s="194"/>
      <c r="K42" s="328">
        <f>'Room Conf'!Q40</f>
        <v>27</v>
      </c>
      <c r="L42" s="328"/>
      <c r="M42" s="377">
        <f>+$K$11*J42</f>
        <v>0</v>
      </c>
      <c r="N42" s="229"/>
      <c r="O42" s="247">
        <f t="shared" si="2"/>
        <v>0</v>
      </c>
      <c r="P42" s="229"/>
      <c r="Q42" s="329"/>
      <c r="R42" s="368"/>
      <c r="S42" s="369"/>
      <c r="T42" s="330"/>
      <c r="U42" s="330"/>
      <c r="V42" s="330"/>
      <c r="W42" s="323"/>
      <c r="X42" s="323"/>
    </row>
    <row r="43" spans="1:24" ht="13.5" customHeight="1">
      <c r="A43" s="373"/>
      <c r="B43" s="244" t="str">
        <f>'Flat Sizes'!B49</f>
        <v>Living, Dining &amp; Passage</v>
      </c>
      <c r="C43" s="247" t="s">
        <v>387</v>
      </c>
      <c r="D43" s="342"/>
      <c r="E43" s="336">
        <v>1</v>
      </c>
      <c r="F43" s="337">
        <f>VLOOKUP(C43,'D&amp;W Schedule'!$B$4:$F$7,2,FALSE)</f>
        <v>1.2</v>
      </c>
      <c r="G43" s="337">
        <f>VLOOKUP(C43,'D&amp;W Schedule'!$B$4:$F$7,3,FALSE)</f>
        <v>2.1</v>
      </c>
      <c r="H43" s="337">
        <f>VLOOKUP(C43,'D&amp;W Schedule'!$B$4:$F$7,4,FALSE)</f>
        <v>2.52</v>
      </c>
      <c r="I43" s="337">
        <f>VLOOKUP(C43,'D&amp;W Schedule'!$B$4:$F$7,5,FALSE)</f>
        <v>30000</v>
      </c>
      <c r="J43" s="507">
        <f t="shared" ref="J43:J50" si="15">E43*I43</f>
        <v>30000</v>
      </c>
      <c r="K43" s="508"/>
      <c r="L43" s="508">
        <f t="shared" ref="L43:L50" si="16">$K$42*E43</f>
        <v>27</v>
      </c>
      <c r="M43" s="512">
        <f>+$K$42*J43</f>
        <v>810000</v>
      </c>
      <c r="N43" s="229"/>
      <c r="O43" s="247" t="str">
        <f t="shared" si="2"/>
        <v>FRD</v>
      </c>
      <c r="P43" s="229"/>
      <c r="Q43" s="415"/>
      <c r="R43" s="368"/>
      <c r="S43" s="521"/>
      <c r="T43" s="510"/>
      <c r="U43" s="510"/>
      <c r="V43" s="510"/>
      <c r="W43" s="323"/>
      <c r="X43" s="323"/>
    </row>
    <row r="44" spans="1:24" ht="13.5" customHeight="1">
      <c r="A44" s="373"/>
      <c r="B44" s="244" t="str">
        <f>'Flat Sizes'!B50</f>
        <v>M. Bedroom</v>
      </c>
      <c r="C44" s="247" t="s">
        <v>388</v>
      </c>
      <c r="D44" s="342"/>
      <c r="E44" s="336">
        <v>1</v>
      </c>
      <c r="F44" s="337">
        <f>VLOOKUP(C44,'D&amp;W Schedule'!$B$4:$F$7,2,FALSE)</f>
        <v>0.9</v>
      </c>
      <c r="G44" s="337">
        <f>VLOOKUP(C44,'D&amp;W Schedule'!$B$4:$F$7,3,FALSE)</f>
        <v>2.1</v>
      </c>
      <c r="H44" s="337">
        <f>VLOOKUP(C44,'D&amp;W Schedule'!$B$4:$F$7,4,FALSE)</f>
        <v>1.8900000000000001</v>
      </c>
      <c r="I44" s="337">
        <f>VLOOKUP(C44,'D&amp;W Schedule'!$B$4:$F$7,5,FALSE)</f>
        <v>18000</v>
      </c>
      <c r="J44" s="507">
        <f t="shared" si="15"/>
        <v>18000</v>
      </c>
      <c r="K44" s="508"/>
      <c r="L44" s="508">
        <f t="shared" si="16"/>
        <v>27</v>
      </c>
      <c r="M44" s="512">
        <f t="shared" ref="M44:M50" si="17">+$K$42*J44</f>
        <v>486000</v>
      </c>
      <c r="N44" s="229"/>
      <c r="O44" s="247" t="str">
        <f t="shared" si="2"/>
        <v>D1</v>
      </c>
      <c r="P44" s="347"/>
      <c r="Q44" s="415"/>
      <c r="R44" s="368"/>
      <c r="S44" s="521"/>
      <c r="T44" s="510"/>
      <c r="U44" s="510"/>
      <c r="V44" s="510"/>
      <c r="W44" s="323"/>
      <c r="X44" s="323"/>
    </row>
    <row r="45" spans="1:24" ht="13.5" customHeight="1">
      <c r="A45" s="373"/>
      <c r="B45" s="244" t="str">
        <f>'Flat Sizes'!B51</f>
        <v>M. Toilet</v>
      </c>
      <c r="C45" s="247" t="s">
        <v>389</v>
      </c>
      <c r="D45" s="342"/>
      <c r="E45" s="336">
        <v>1</v>
      </c>
      <c r="F45" s="337">
        <f>VLOOKUP(C45,'D&amp;W Schedule'!$B$4:$F$7,2,FALSE)</f>
        <v>0.75</v>
      </c>
      <c r="G45" s="337">
        <f>VLOOKUP(C45,'D&amp;W Schedule'!$B$4:$F$7,3,FALSE)</f>
        <v>2.1</v>
      </c>
      <c r="H45" s="337">
        <f>VLOOKUP(C45,'D&amp;W Schedule'!$B$4:$F$7,4,FALSE)</f>
        <v>1.5750000000000002</v>
      </c>
      <c r="I45" s="337">
        <f>VLOOKUP(C45,'D&amp;W Schedule'!$B$4:$F$7,5,FALSE)</f>
        <v>10500</v>
      </c>
      <c r="J45" s="507">
        <f t="shared" si="15"/>
        <v>10500</v>
      </c>
      <c r="K45" s="508"/>
      <c r="L45" s="508">
        <f t="shared" si="16"/>
        <v>27</v>
      </c>
      <c r="M45" s="512">
        <f t="shared" si="17"/>
        <v>283500</v>
      </c>
      <c r="N45" s="229"/>
      <c r="O45" s="247" t="str">
        <f t="shared" si="2"/>
        <v>D2</v>
      </c>
      <c r="P45" s="347"/>
      <c r="Q45" s="415"/>
      <c r="R45" s="368"/>
      <c r="S45" s="510"/>
      <c r="T45" s="510"/>
      <c r="U45" s="510"/>
      <c r="V45" s="510"/>
      <c r="W45" s="323"/>
      <c r="X45" s="323"/>
    </row>
    <row r="46" spans="1:24" ht="13.5" customHeight="1">
      <c r="A46" s="241"/>
      <c r="B46" s="244" t="str">
        <f>'Flat Sizes'!B52</f>
        <v>M. Bedroom</v>
      </c>
      <c r="C46" s="247" t="s">
        <v>388</v>
      </c>
      <c r="D46" s="331"/>
      <c r="E46" s="336">
        <v>1</v>
      </c>
      <c r="F46" s="337">
        <f>VLOOKUP(C46,'D&amp;W Schedule'!$B$4:$F$7,2,FALSE)</f>
        <v>0.9</v>
      </c>
      <c r="G46" s="337">
        <f>VLOOKUP(C46,'D&amp;W Schedule'!$B$4:$F$7,3,FALSE)</f>
        <v>2.1</v>
      </c>
      <c r="H46" s="337">
        <f>VLOOKUP(C46,'D&amp;W Schedule'!$B$4:$F$7,4,FALSE)</f>
        <v>1.8900000000000001</v>
      </c>
      <c r="I46" s="337">
        <f>VLOOKUP(C46,'D&amp;W Schedule'!$B$4:$F$7,5,FALSE)</f>
        <v>18000</v>
      </c>
      <c r="J46" s="507">
        <f t="shared" si="15"/>
        <v>18000</v>
      </c>
      <c r="K46" s="508"/>
      <c r="L46" s="508">
        <f t="shared" si="16"/>
        <v>27</v>
      </c>
      <c r="M46" s="512">
        <f t="shared" si="17"/>
        <v>486000</v>
      </c>
      <c r="N46" s="350"/>
      <c r="O46" s="247" t="str">
        <f t="shared" si="2"/>
        <v>D1</v>
      </c>
      <c r="P46" s="229"/>
      <c r="Q46" s="415"/>
      <c r="R46" s="368"/>
      <c r="S46" s="510"/>
      <c r="T46" s="510"/>
      <c r="U46" s="510"/>
      <c r="V46" s="510"/>
      <c r="W46" s="323"/>
      <c r="X46" s="323"/>
    </row>
    <row r="47" spans="1:24" ht="13.5" customHeight="1">
      <c r="A47" s="373"/>
      <c r="B47" s="244" t="str">
        <f>'Flat Sizes'!B53</f>
        <v>M. Toilet</v>
      </c>
      <c r="C47" s="247" t="s">
        <v>389</v>
      </c>
      <c r="D47" s="342"/>
      <c r="E47" s="336">
        <v>1</v>
      </c>
      <c r="F47" s="337">
        <f>VLOOKUP(C47,'D&amp;W Schedule'!$B$4:$F$7,2,FALSE)</f>
        <v>0.75</v>
      </c>
      <c r="G47" s="337">
        <f>VLOOKUP(C47,'D&amp;W Schedule'!$B$4:$F$7,3,FALSE)</f>
        <v>2.1</v>
      </c>
      <c r="H47" s="337">
        <f>VLOOKUP(C47,'D&amp;W Schedule'!$B$4:$F$7,4,FALSE)</f>
        <v>1.5750000000000002</v>
      </c>
      <c r="I47" s="337">
        <f>VLOOKUP(C47,'D&amp;W Schedule'!$B$4:$F$7,5,FALSE)</f>
        <v>10500</v>
      </c>
      <c r="J47" s="507">
        <f t="shared" si="15"/>
        <v>10500</v>
      </c>
      <c r="K47" s="508"/>
      <c r="L47" s="508">
        <f t="shared" si="16"/>
        <v>27</v>
      </c>
      <c r="M47" s="512">
        <f t="shared" si="17"/>
        <v>283500</v>
      </c>
      <c r="N47" s="229"/>
      <c r="O47" s="247" t="str">
        <f t="shared" si="2"/>
        <v>D2</v>
      </c>
      <c r="P47" s="229"/>
      <c r="Q47" s="415"/>
      <c r="R47" s="368"/>
      <c r="S47" s="510"/>
      <c r="T47" s="510"/>
      <c r="U47" s="510"/>
      <c r="V47" s="510"/>
      <c r="W47" s="323"/>
      <c r="X47" s="323"/>
    </row>
    <row r="48" spans="1:24" ht="13.5" customHeight="1">
      <c r="A48" s="373"/>
      <c r="B48" s="244" t="str">
        <f>'Flat Sizes'!B54</f>
        <v>C. Bedroom</v>
      </c>
      <c r="C48" s="247" t="s">
        <v>388</v>
      </c>
      <c r="D48" s="342"/>
      <c r="E48" s="336">
        <v>1</v>
      </c>
      <c r="F48" s="337">
        <f>VLOOKUP(C48,'D&amp;W Schedule'!$B$4:$F$7,2,FALSE)</f>
        <v>0.9</v>
      </c>
      <c r="G48" s="337">
        <f>VLOOKUP(C48,'D&amp;W Schedule'!$B$4:$F$7,3,FALSE)</f>
        <v>2.1</v>
      </c>
      <c r="H48" s="337">
        <f>VLOOKUP(C48,'D&amp;W Schedule'!$B$4:$F$7,4,FALSE)</f>
        <v>1.8900000000000001</v>
      </c>
      <c r="I48" s="337">
        <f>VLOOKUP(C48,'D&amp;W Schedule'!$B$4:$F$7,5,FALSE)</f>
        <v>18000</v>
      </c>
      <c r="J48" s="507">
        <f t="shared" si="15"/>
        <v>18000</v>
      </c>
      <c r="K48" s="508"/>
      <c r="L48" s="508">
        <f t="shared" si="16"/>
        <v>27</v>
      </c>
      <c r="M48" s="512">
        <f t="shared" si="17"/>
        <v>486000</v>
      </c>
      <c r="N48" s="229"/>
      <c r="O48" s="247" t="str">
        <f t="shared" si="2"/>
        <v>D1</v>
      </c>
      <c r="P48" s="229"/>
      <c r="Q48" s="415"/>
      <c r="R48" s="368"/>
      <c r="S48" s="510"/>
      <c r="T48" s="510"/>
      <c r="U48" s="510"/>
      <c r="V48" s="510"/>
      <c r="W48" s="323"/>
      <c r="X48" s="323"/>
    </row>
    <row r="49" spans="1:24" ht="13.5" customHeight="1">
      <c r="A49" s="373"/>
      <c r="B49" s="228" t="str">
        <f>'Flat Sizes'!B55</f>
        <v>C. Toilet</v>
      </c>
      <c r="C49" s="247" t="s">
        <v>389</v>
      </c>
      <c r="D49" s="342"/>
      <c r="E49" s="336">
        <v>1</v>
      </c>
      <c r="F49" s="337">
        <f>VLOOKUP(C49,'D&amp;W Schedule'!$B$4:$F$7,2,FALSE)</f>
        <v>0.75</v>
      </c>
      <c r="G49" s="337">
        <f>VLOOKUP(C49,'D&amp;W Schedule'!$B$4:$F$7,3,FALSE)</f>
        <v>2.1</v>
      </c>
      <c r="H49" s="337">
        <f>VLOOKUP(C49,'D&amp;W Schedule'!$B$4:$F$7,4,FALSE)</f>
        <v>1.5750000000000002</v>
      </c>
      <c r="I49" s="337">
        <f>VLOOKUP(C49,'D&amp;W Schedule'!$B$4:$F$7,5,FALSE)</f>
        <v>10500</v>
      </c>
      <c r="J49" s="507">
        <f t="shared" si="15"/>
        <v>10500</v>
      </c>
      <c r="K49" s="508"/>
      <c r="L49" s="508">
        <f t="shared" si="16"/>
        <v>27</v>
      </c>
      <c r="M49" s="512">
        <f t="shared" si="17"/>
        <v>283500</v>
      </c>
      <c r="N49" s="229"/>
      <c r="O49" s="247" t="str">
        <f t="shared" si="2"/>
        <v>D2</v>
      </c>
      <c r="P49" s="229"/>
      <c r="Q49" s="415"/>
      <c r="R49" s="368"/>
      <c r="S49" s="521"/>
      <c r="T49" s="510"/>
      <c r="U49" s="510"/>
      <c r="V49" s="510"/>
      <c r="W49" s="323"/>
      <c r="X49" s="323"/>
    </row>
    <row r="50" spans="1:24" ht="13.5" customHeight="1">
      <c r="A50" s="373"/>
      <c r="B50" s="244" t="str">
        <f>'Flat Sizes'!B56</f>
        <v>Kitchen</v>
      </c>
      <c r="C50" s="247" t="s">
        <v>390</v>
      </c>
      <c r="D50" s="342"/>
      <c r="E50" s="336">
        <v>1</v>
      </c>
      <c r="F50" s="337">
        <f>VLOOKUP(C50,'D&amp;W Schedule'!$B$4:$F$7,2,FALSE)</f>
        <v>0.9</v>
      </c>
      <c r="G50" s="337">
        <f>VLOOKUP(C50,'D&amp;W Schedule'!$B$4:$F$7,3,FALSE)</f>
        <v>2.1</v>
      </c>
      <c r="H50" s="337">
        <f>VLOOKUP(C50,'D&amp;W Schedule'!$B$4:$F$7,4,FALSE)</f>
        <v>1.8900000000000001</v>
      </c>
      <c r="I50" s="337">
        <f>VLOOKUP(C50,'D&amp;W Schedule'!$B$4:$F$7,5,FALSE)</f>
        <v>25000</v>
      </c>
      <c r="J50" s="507">
        <f t="shared" si="15"/>
        <v>25000</v>
      </c>
      <c r="K50" s="508"/>
      <c r="L50" s="508">
        <f t="shared" si="16"/>
        <v>27</v>
      </c>
      <c r="M50" s="512">
        <f t="shared" si="17"/>
        <v>675000</v>
      </c>
      <c r="N50" s="229"/>
      <c r="O50" s="247" t="str">
        <f t="shared" si="2"/>
        <v>K FRD</v>
      </c>
      <c r="P50" s="229"/>
      <c r="Q50" s="415"/>
      <c r="R50" s="368"/>
      <c r="S50" s="521"/>
      <c r="T50" s="510"/>
      <c r="U50" s="510"/>
      <c r="V50" s="510"/>
      <c r="W50" s="323"/>
      <c r="X50" s="323"/>
    </row>
    <row r="51" spans="1:24" ht="13.5" customHeight="1">
      <c r="A51" s="373"/>
      <c r="B51" s="246" t="str">
        <f>'Flat Sizes'!B59</f>
        <v>Sub Total</v>
      </c>
      <c r="C51" s="247"/>
      <c r="D51" s="342"/>
      <c r="E51" s="496">
        <f>SUBTOTAL(9,E43:E50)</f>
        <v>8</v>
      </c>
      <c r="F51" s="337"/>
      <c r="G51" s="337"/>
      <c r="H51" s="337"/>
      <c r="I51" s="337"/>
      <c r="J51" s="497">
        <f>SUBTOTAL(9,J43:J50)</f>
        <v>140500</v>
      </c>
      <c r="K51" s="508"/>
      <c r="L51" s="352">
        <f>SUBTOTAL(9,L43:L50)</f>
        <v>216</v>
      </c>
      <c r="M51" s="514">
        <f>SUBTOTAL(9,M43:M50)</f>
        <v>3793500</v>
      </c>
      <c r="N51" s="229"/>
      <c r="O51" s="247">
        <f t="shared" si="2"/>
        <v>0</v>
      </c>
      <c r="P51" s="229"/>
      <c r="Q51" s="415"/>
      <c r="R51" s="368"/>
      <c r="S51" s="521"/>
      <c r="T51" s="510"/>
      <c r="U51" s="510"/>
      <c r="V51" s="510"/>
      <c r="W51" s="323"/>
      <c r="X51" s="323"/>
    </row>
    <row r="52" spans="1:24" ht="13.5" customHeight="1">
      <c r="A52" s="373"/>
      <c r="B52" s="270" t="str">
        <f>'Flat Sizes'!B60</f>
        <v>Flat 4A,
2BHK</v>
      </c>
      <c r="C52" s="247"/>
      <c r="D52" s="342"/>
      <c r="E52" s="336"/>
      <c r="F52" s="337"/>
      <c r="G52" s="337"/>
      <c r="H52" s="337"/>
      <c r="I52" s="337"/>
      <c r="J52" s="194"/>
      <c r="K52" s="328">
        <f>'Room Conf'!R40</f>
        <v>2</v>
      </c>
      <c r="L52" s="328"/>
      <c r="M52" s="377"/>
      <c r="N52" s="229"/>
      <c r="O52" s="247">
        <f t="shared" si="2"/>
        <v>0</v>
      </c>
      <c r="P52" s="323"/>
      <c r="Q52" s="329"/>
      <c r="R52" s="368"/>
      <c r="S52" s="369"/>
      <c r="T52" s="330"/>
      <c r="U52" s="330"/>
      <c r="V52" s="330"/>
      <c r="W52" s="323"/>
      <c r="X52" s="323"/>
    </row>
    <row r="53" spans="1:24" ht="13.5" customHeight="1">
      <c r="A53" s="373"/>
      <c r="B53" s="244" t="str">
        <f>'Flat Sizes'!B61</f>
        <v>Living, Dining &amp; Passage</v>
      </c>
      <c r="C53" s="247" t="s">
        <v>387</v>
      </c>
      <c r="D53" s="342"/>
      <c r="E53" s="336">
        <v>1</v>
      </c>
      <c r="F53" s="337">
        <f>VLOOKUP(C53,'D&amp;W Schedule'!$B$4:$F$7,2,FALSE)</f>
        <v>1.2</v>
      </c>
      <c r="G53" s="337">
        <f>VLOOKUP(C53,'D&amp;W Schedule'!$B$4:$F$7,3,FALSE)</f>
        <v>2.1</v>
      </c>
      <c r="H53" s="337">
        <f>VLOOKUP(C53,'D&amp;W Schedule'!$B$4:$F$7,4,FALSE)</f>
        <v>2.52</v>
      </c>
      <c r="I53" s="337">
        <f>VLOOKUP(C53,'D&amp;W Schedule'!$B$4:$F$7,5,FALSE)</f>
        <v>30000</v>
      </c>
      <c r="J53" s="507">
        <f t="shared" ref="J53:J58" si="18">E53*I53</f>
        <v>30000</v>
      </c>
      <c r="K53" s="508"/>
      <c r="L53" s="508">
        <f t="shared" ref="L53:L58" si="19">$K$52*E53</f>
        <v>2</v>
      </c>
      <c r="M53" s="512">
        <f>+$K$52*J53</f>
        <v>60000</v>
      </c>
      <c r="N53" s="229"/>
      <c r="O53" s="247" t="str">
        <f t="shared" si="2"/>
        <v>FRD</v>
      </c>
      <c r="P53" s="323"/>
      <c r="Q53" s="415"/>
      <c r="R53" s="368"/>
      <c r="S53" s="510"/>
      <c r="T53" s="510"/>
      <c r="U53" s="510"/>
      <c r="V53" s="510"/>
      <c r="W53" s="323"/>
      <c r="X53" s="323"/>
    </row>
    <row r="54" spans="1:24" ht="13.5" customHeight="1">
      <c r="A54" s="373"/>
      <c r="B54" s="244" t="str">
        <f>'Flat Sizes'!B62</f>
        <v>M. Bedroom</v>
      </c>
      <c r="C54" s="247" t="s">
        <v>388</v>
      </c>
      <c r="D54" s="342"/>
      <c r="E54" s="336">
        <v>1</v>
      </c>
      <c r="F54" s="337">
        <f>VLOOKUP(C54,'D&amp;W Schedule'!$B$4:$F$7,2,FALSE)</f>
        <v>0.9</v>
      </c>
      <c r="G54" s="337">
        <f>VLOOKUP(C54,'D&amp;W Schedule'!$B$4:$F$7,3,FALSE)</f>
        <v>2.1</v>
      </c>
      <c r="H54" s="337">
        <f>VLOOKUP(C54,'D&amp;W Schedule'!$B$4:$F$7,4,FALSE)</f>
        <v>1.8900000000000001</v>
      </c>
      <c r="I54" s="337">
        <f>VLOOKUP(C54,'D&amp;W Schedule'!$B$4:$F$7,5,FALSE)</f>
        <v>18000</v>
      </c>
      <c r="J54" s="507">
        <f t="shared" si="18"/>
        <v>18000</v>
      </c>
      <c r="K54" s="508"/>
      <c r="L54" s="508">
        <f t="shared" si="19"/>
        <v>2</v>
      </c>
      <c r="M54" s="512">
        <f t="shared" ref="M54:M58" si="20">+$K$52*J54</f>
        <v>36000</v>
      </c>
      <c r="N54" s="229"/>
      <c r="O54" s="247" t="str">
        <f t="shared" si="2"/>
        <v>D1</v>
      </c>
      <c r="P54" s="323"/>
      <c r="Q54" s="415"/>
      <c r="R54" s="368"/>
      <c r="S54" s="510"/>
      <c r="T54" s="510"/>
      <c r="U54" s="510"/>
      <c r="V54" s="510"/>
      <c r="W54" s="323"/>
      <c r="X54" s="323"/>
    </row>
    <row r="55" spans="1:24" ht="13.5" customHeight="1">
      <c r="A55" s="373"/>
      <c r="B55" s="244" t="str">
        <f>'Flat Sizes'!B63</f>
        <v>M. Toilet</v>
      </c>
      <c r="C55" s="247" t="s">
        <v>389</v>
      </c>
      <c r="D55" s="342"/>
      <c r="E55" s="336">
        <v>1</v>
      </c>
      <c r="F55" s="337">
        <f>VLOOKUP(C55,'D&amp;W Schedule'!$B$4:$F$7,2,FALSE)</f>
        <v>0.75</v>
      </c>
      <c r="G55" s="337">
        <f>VLOOKUP(C55,'D&amp;W Schedule'!$B$4:$F$7,3,FALSE)</f>
        <v>2.1</v>
      </c>
      <c r="H55" s="337">
        <f>VLOOKUP(C55,'D&amp;W Schedule'!$B$4:$F$7,4,FALSE)</f>
        <v>1.5750000000000002</v>
      </c>
      <c r="I55" s="337">
        <f>VLOOKUP(C55,'D&amp;W Schedule'!$B$4:$F$7,5,FALSE)</f>
        <v>10500</v>
      </c>
      <c r="J55" s="507">
        <f t="shared" si="18"/>
        <v>10500</v>
      </c>
      <c r="K55" s="508"/>
      <c r="L55" s="508">
        <f t="shared" si="19"/>
        <v>2</v>
      </c>
      <c r="M55" s="512">
        <f t="shared" si="20"/>
        <v>21000</v>
      </c>
      <c r="N55" s="229"/>
      <c r="O55" s="247" t="str">
        <f t="shared" si="2"/>
        <v>D2</v>
      </c>
      <c r="P55" s="323"/>
      <c r="Q55" s="415"/>
      <c r="R55" s="368"/>
      <c r="S55" s="510"/>
      <c r="T55" s="510"/>
      <c r="U55" s="510"/>
      <c r="V55" s="510"/>
      <c r="W55" s="323"/>
      <c r="X55" s="323"/>
    </row>
    <row r="56" spans="1:24" ht="13.5" customHeight="1">
      <c r="A56" s="373"/>
      <c r="B56" s="244" t="str">
        <f>'Flat Sizes'!B64</f>
        <v>M. Bedroom</v>
      </c>
      <c r="C56" s="247" t="s">
        <v>388</v>
      </c>
      <c r="D56" s="342"/>
      <c r="E56" s="336">
        <v>1</v>
      </c>
      <c r="F56" s="337">
        <f>VLOOKUP(C56,'D&amp;W Schedule'!$B$4:$F$7,2,FALSE)</f>
        <v>0.9</v>
      </c>
      <c r="G56" s="337">
        <f>VLOOKUP(C56,'D&amp;W Schedule'!$B$4:$F$7,3,FALSE)</f>
        <v>2.1</v>
      </c>
      <c r="H56" s="337">
        <f>VLOOKUP(C56,'D&amp;W Schedule'!$B$4:$F$7,4,FALSE)</f>
        <v>1.8900000000000001</v>
      </c>
      <c r="I56" s="337">
        <f>VLOOKUP(C56,'D&amp;W Schedule'!$B$4:$F$7,5,FALSE)</f>
        <v>18000</v>
      </c>
      <c r="J56" s="507">
        <f t="shared" si="18"/>
        <v>18000</v>
      </c>
      <c r="K56" s="508"/>
      <c r="L56" s="508">
        <f t="shared" si="19"/>
        <v>2</v>
      </c>
      <c r="M56" s="512">
        <f t="shared" si="20"/>
        <v>36000</v>
      </c>
      <c r="N56" s="229"/>
      <c r="O56" s="247" t="str">
        <f t="shared" si="2"/>
        <v>D1</v>
      </c>
      <c r="P56" s="323"/>
      <c r="Q56" s="415"/>
      <c r="R56" s="368"/>
      <c r="S56" s="510"/>
      <c r="T56" s="510"/>
      <c r="U56" s="510"/>
      <c r="V56" s="510"/>
      <c r="W56" s="323"/>
      <c r="X56" s="323"/>
    </row>
    <row r="57" spans="1:24" ht="13.5" customHeight="1">
      <c r="A57" s="241"/>
      <c r="B57" s="244" t="str">
        <f>'Flat Sizes'!B65</f>
        <v>M. Toilet</v>
      </c>
      <c r="C57" s="247" t="s">
        <v>389</v>
      </c>
      <c r="D57" s="331"/>
      <c r="E57" s="336">
        <v>1</v>
      </c>
      <c r="F57" s="337">
        <f>VLOOKUP(C57,'D&amp;W Schedule'!$B$4:$F$7,2,FALSE)</f>
        <v>0.75</v>
      </c>
      <c r="G57" s="337">
        <f>VLOOKUP(C57,'D&amp;W Schedule'!$B$4:$F$7,3,FALSE)</f>
        <v>2.1</v>
      </c>
      <c r="H57" s="337">
        <f>VLOOKUP(C57,'D&amp;W Schedule'!$B$4:$F$7,4,FALSE)</f>
        <v>1.5750000000000002</v>
      </c>
      <c r="I57" s="337">
        <f>VLOOKUP(C57,'D&amp;W Schedule'!$B$4:$F$7,5,FALSE)</f>
        <v>10500</v>
      </c>
      <c r="J57" s="507">
        <f t="shared" si="18"/>
        <v>10500</v>
      </c>
      <c r="K57" s="508"/>
      <c r="L57" s="508">
        <f t="shared" si="19"/>
        <v>2</v>
      </c>
      <c r="M57" s="512">
        <f t="shared" si="20"/>
        <v>21000</v>
      </c>
      <c r="N57" s="351"/>
      <c r="O57" s="247" t="str">
        <f t="shared" si="2"/>
        <v>D2</v>
      </c>
      <c r="P57" s="323"/>
      <c r="Q57" s="415"/>
      <c r="R57" s="368"/>
      <c r="S57" s="510"/>
      <c r="T57" s="510"/>
      <c r="U57" s="510"/>
      <c r="V57" s="510"/>
      <c r="X57" s="323"/>
    </row>
    <row r="58" spans="1:24" ht="13.5" customHeight="1">
      <c r="A58" s="241"/>
      <c r="B58" s="244" t="str">
        <f>'Flat Sizes'!B66</f>
        <v>Kitchen</v>
      </c>
      <c r="C58" s="247" t="s">
        <v>390</v>
      </c>
      <c r="D58" s="331"/>
      <c r="E58" s="336">
        <v>1</v>
      </c>
      <c r="F58" s="337">
        <f>VLOOKUP(C58,'D&amp;W Schedule'!$B$4:$F$7,2,FALSE)</f>
        <v>0.9</v>
      </c>
      <c r="G58" s="337">
        <f>VLOOKUP(C58,'D&amp;W Schedule'!$B$4:$F$7,3,FALSE)</f>
        <v>2.1</v>
      </c>
      <c r="H58" s="337">
        <f>VLOOKUP(C58,'D&amp;W Schedule'!$B$4:$F$7,4,FALSE)</f>
        <v>1.8900000000000001</v>
      </c>
      <c r="I58" s="337">
        <f>VLOOKUP(C58,'D&amp;W Schedule'!$B$4:$F$7,5,FALSE)</f>
        <v>25000</v>
      </c>
      <c r="J58" s="507">
        <f t="shared" si="18"/>
        <v>25000</v>
      </c>
      <c r="K58" s="508"/>
      <c r="L58" s="508">
        <f t="shared" si="19"/>
        <v>2</v>
      </c>
      <c r="M58" s="512">
        <f t="shared" si="20"/>
        <v>50000</v>
      </c>
      <c r="N58" s="229"/>
      <c r="O58" s="247" t="str">
        <f t="shared" si="2"/>
        <v>K FRD</v>
      </c>
      <c r="P58" s="323"/>
      <c r="Q58" s="415"/>
      <c r="R58" s="368"/>
      <c r="S58" s="510"/>
      <c r="T58" s="510"/>
      <c r="U58" s="510"/>
      <c r="V58" s="510"/>
      <c r="W58" s="323"/>
      <c r="X58" s="323"/>
    </row>
    <row r="59" spans="1:24" ht="13.5" customHeight="1">
      <c r="A59" s="241"/>
      <c r="B59" s="246" t="str">
        <f>'Flat Sizes'!B69</f>
        <v>Sub Total</v>
      </c>
      <c r="C59" s="247"/>
      <c r="D59" s="331"/>
      <c r="E59" s="496">
        <f>SUBTOTAL(9,E53:E58)</f>
        <v>6</v>
      </c>
      <c r="F59" s="353"/>
      <c r="G59" s="353"/>
      <c r="H59" s="353"/>
      <c r="I59" s="354"/>
      <c r="J59" s="497">
        <f>SUBTOTAL(9,J53:J58)</f>
        <v>112000</v>
      </c>
      <c r="K59" s="328"/>
      <c r="L59" s="352">
        <f>SUBTOTAL(9,L53:L58)</f>
        <v>12</v>
      </c>
      <c r="M59" s="292">
        <f>SUBTOTAL(9,M53:M58)</f>
        <v>224000</v>
      </c>
      <c r="N59" s="229"/>
      <c r="O59" s="247">
        <f t="shared" si="2"/>
        <v>0</v>
      </c>
      <c r="P59" s="323"/>
      <c r="Q59" s="329"/>
      <c r="R59" s="368"/>
      <c r="S59" s="330"/>
      <c r="T59" s="330"/>
      <c r="U59" s="330"/>
      <c r="V59" s="330"/>
      <c r="W59" s="323"/>
      <c r="X59" s="323"/>
    </row>
    <row r="60" spans="1:24" ht="13.5" customHeight="1">
      <c r="A60" s="241"/>
      <c r="B60" s="270" t="str">
        <f>'Flat Sizes'!B70</f>
        <v>Flat 4B,
3BHK</v>
      </c>
      <c r="C60" s="247"/>
      <c r="D60" s="331"/>
      <c r="E60" s="352"/>
      <c r="F60" s="353"/>
      <c r="G60" s="353"/>
      <c r="H60" s="353"/>
      <c r="I60" s="354"/>
      <c r="J60" s="383"/>
      <c r="K60" s="328">
        <f>'Room Conf'!S40</f>
        <v>24</v>
      </c>
      <c r="L60" s="328"/>
      <c r="M60" s="377"/>
      <c r="N60" s="229"/>
      <c r="O60" s="247">
        <f t="shared" si="2"/>
        <v>0</v>
      </c>
      <c r="P60" s="323"/>
      <c r="Q60" s="329"/>
      <c r="R60" s="368"/>
      <c r="S60" s="330"/>
      <c r="T60" s="330"/>
      <c r="U60" s="330"/>
      <c r="V60" s="330"/>
      <c r="W60" s="323"/>
      <c r="X60" s="323"/>
    </row>
    <row r="61" spans="1:24" ht="13.5" customHeight="1">
      <c r="A61" s="241"/>
      <c r="B61" s="244" t="str">
        <f>'Flat Sizes'!B71</f>
        <v>Living, Dining &amp; Passage</v>
      </c>
      <c r="C61" s="247" t="s">
        <v>387</v>
      </c>
      <c r="D61" s="331"/>
      <c r="E61" s="336">
        <v>1</v>
      </c>
      <c r="F61" s="337">
        <f>VLOOKUP(C61,'D&amp;W Schedule'!$B$4:$F$7,2,FALSE)</f>
        <v>1.2</v>
      </c>
      <c r="G61" s="337">
        <f>VLOOKUP(C61,'D&amp;W Schedule'!$B$4:$F$7,3,FALSE)</f>
        <v>2.1</v>
      </c>
      <c r="H61" s="337">
        <f>VLOOKUP(C61,'D&amp;W Schedule'!$B$4:$F$7,4,FALSE)</f>
        <v>2.52</v>
      </c>
      <c r="I61" s="337">
        <f>VLOOKUP(C61,'D&amp;W Schedule'!$B$4:$F$7,5,FALSE)</f>
        <v>30000</v>
      </c>
      <c r="J61" s="507">
        <f t="shared" ref="J61:J68" si="21">E61*I61</f>
        <v>30000</v>
      </c>
      <c r="K61" s="508"/>
      <c r="L61" s="508">
        <f t="shared" ref="L61:L68" si="22">$K$60*E61</f>
        <v>24</v>
      </c>
      <c r="M61" s="512">
        <f>+$K$60*J61</f>
        <v>720000</v>
      </c>
      <c r="N61" s="229"/>
      <c r="O61" s="247" t="str">
        <f t="shared" si="2"/>
        <v>FRD</v>
      </c>
      <c r="P61" s="323"/>
      <c r="Q61" s="415"/>
      <c r="R61" s="368"/>
      <c r="S61" s="510"/>
      <c r="T61" s="510"/>
      <c r="U61" s="510"/>
      <c r="V61" s="510"/>
      <c r="W61" s="323"/>
      <c r="X61" s="323"/>
    </row>
    <row r="62" spans="1:24" ht="13.5" customHeight="1">
      <c r="A62" s="241"/>
      <c r="B62" s="244" t="str">
        <f>'Flat Sizes'!B72</f>
        <v>M. Bedroom</v>
      </c>
      <c r="C62" s="247" t="s">
        <v>388</v>
      </c>
      <c r="D62" s="331"/>
      <c r="E62" s="336">
        <v>1</v>
      </c>
      <c r="F62" s="337">
        <f>VLOOKUP(C62,'D&amp;W Schedule'!$B$4:$F$7,2,FALSE)</f>
        <v>0.9</v>
      </c>
      <c r="G62" s="337">
        <f>VLOOKUP(C62,'D&amp;W Schedule'!$B$4:$F$7,3,FALSE)</f>
        <v>2.1</v>
      </c>
      <c r="H62" s="337">
        <f>VLOOKUP(C62,'D&amp;W Schedule'!$B$4:$F$7,4,FALSE)</f>
        <v>1.8900000000000001</v>
      </c>
      <c r="I62" s="337">
        <f>VLOOKUP(C62,'D&amp;W Schedule'!$B$4:$F$7,5,FALSE)</f>
        <v>18000</v>
      </c>
      <c r="J62" s="507">
        <f t="shared" si="21"/>
        <v>18000</v>
      </c>
      <c r="K62" s="508"/>
      <c r="L62" s="508">
        <f t="shared" si="22"/>
        <v>24</v>
      </c>
      <c r="M62" s="512">
        <f t="shared" ref="M62:M68" si="23">+$K$60*J62</f>
        <v>432000</v>
      </c>
      <c r="N62" s="229"/>
      <c r="O62" s="247" t="str">
        <f t="shared" si="2"/>
        <v>D1</v>
      </c>
      <c r="P62" s="323"/>
      <c r="Q62" s="415"/>
      <c r="R62" s="368"/>
      <c r="S62" s="510"/>
      <c r="T62" s="510"/>
      <c r="U62" s="510"/>
      <c r="V62" s="510"/>
      <c r="W62" s="323"/>
      <c r="X62" s="323"/>
    </row>
    <row r="63" spans="1:24" ht="13.5" customHeight="1">
      <c r="A63" s="241"/>
      <c r="B63" s="244" t="str">
        <f>'Flat Sizes'!B73</f>
        <v>M. Toilet</v>
      </c>
      <c r="C63" s="247" t="s">
        <v>389</v>
      </c>
      <c r="D63" s="331"/>
      <c r="E63" s="336">
        <v>1</v>
      </c>
      <c r="F63" s="337">
        <f>VLOOKUP(C63,'D&amp;W Schedule'!$B$4:$F$7,2,FALSE)</f>
        <v>0.75</v>
      </c>
      <c r="G63" s="337">
        <f>VLOOKUP(C63,'D&amp;W Schedule'!$B$4:$F$7,3,FALSE)</f>
        <v>2.1</v>
      </c>
      <c r="H63" s="337">
        <f>VLOOKUP(C63,'D&amp;W Schedule'!$B$4:$F$7,4,FALSE)</f>
        <v>1.5750000000000002</v>
      </c>
      <c r="I63" s="337">
        <f>VLOOKUP(C63,'D&amp;W Schedule'!$B$4:$F$7,5,FALSE)</f>
        <v>10500</v>
      </c>
      <c r="J63" s="507">
        <f t="shared" si="21"/>
        <v>10500</v>
      </c>
      <c r="K63" s="508"/>
      <c r="L63" s="508">
        <f t="shared" si="22"/>
        <v>24</v>
      </c>
      <c r="M63" s="512">
        <f t="shared" si="23"/>
        <v>252000</v>
      </c>
      <c r="N63" s="229"/>
      <c r="O63" s="247" t="str">
        <f t="shared" si="2"/>
        <v>D2</v>
      </c>
      <c r="P63" s="323"/>
      <c r="Q63" s="415"/>
      <c r="R63" s="368"/>
      <c r="S63" s="510"/>
      <c r="T63" s="510"/>
      <c r="U63" s="510"/>
      <c r="V63" s="510"/>
      <c r="W63" s="323"/>
      <c r="X63" s="323"/>
    </row>
    <row r="64" spans="1:24" ht="13.5" customHeight="1">
      <c r="A64" s="241"/>
      <c r="B64" s="244" t="str">
        <f>'Flat Sizes'!B74</f>
        <v>M. Bedroom</v>
      </c>
      <c r="C64" s="247" t="s">
        <v>388</v>
      </c>
      <c r="D64" s="331"/>
      <c r="E64" s="336">
        <v>1</v>
      </c>
      <c r="F64" s="337">
        <f>VLOOKUP(C64,'D&amp;W Schedule'!$B$4:$F$7,2,FALSE)</f>
        <v>0.9</v>
      </c>
      <c r="G64" s="337">
        <f>VLOOKUP(C64,'D&amp;W Schedule'!$B$4:$F$7,3,FALSE)</f>
        <v>2.1</v>
      </c>
      <c r="H64" s="337">
        <f>VLOOKUP(C64,'D&amp;W Schedule'!$B$4:$F$7,4,FALSE)</f>
        <v>1.8900000000000001</v>
      </c>
      <c r="I64" s="337">
        <f>VLOOKUP(C64,'D&amp;W Schedule'!$B$4:$F$7,5,FALSE)</f>
        <v>18000</v>
      </c>
      <c r="J64" s="507">
        <f t="shared" si="21"/>
        <v>18000</v>
      </c>
      <c r="K64" s="508"/>
      <c r="L64" s="508">
        <f t="shared" si="22"/>
        <v>24</v>
      </c>
      <c r="M64" s="512">
        <f t="shared" si="23"/>
        <v>432000</v>
      </c>
      <c r="N64" s="229"/>
      <c r="O64" s="247" t="str">
        <f t="shared" si="2"/>
        <v>D1</v>
      </c>
      <c r="P64" s="323"/>
      <c r="Q64" s="415"/>
      <c r="R64" s="368"/>
      <c r="S64" s="510"/>
      <c r="T64" s="510"/>
      <c r="U64" s="510"/>
      <c r="V64" s="510"/>
      <c r="W64" s="323"/>
      <c r="X64" s="323"/>
    </row>
    <row r="65" spans="1:24" ht="13.5" customHeight="1">
      <c r="A65" s="241"/>
      <c r="B65" s="244" t="str">
        <f>'Flat Sizes'!B75</f>
        <v>M. Toilet</v>
      </c>
      <c r="C65" s="247" t="s">
        <v>389</v>
      </c>
      <c r="D65" s="331"/>
      <c r="E65" s="336">
        <v>1</v>
      </c>
      <c r="F65" s="337">
        <f>VLOOKUP(C65,'D&amp;W Schedule'!$B$4:$F$7,2,FALSE)</f>
        <v>0.75</v>
      </c>
      <c r="G65" s="337">
        <f>VLOOKUP(C65,'D&amp;W Schedule'!$B$4:$F$7,3,FALSE)</f>
        <v>2.1</v>
      </c>
      <c r="H65" s="337">
        <f>VLOOKUP(C65,'D&amp;W Schedule'!$B$4:$F$7,4,FALSE)</f>
        <v>1.5750000000000002</v>
      </c>
      <c r="I65" s="337">
        <f>VLOOKUP(C65,'D&amp;W Schedule'!$B$4:$F$7,5,FALSE)</f>
        <v>10500</v>
      </c>
      <c r="J65" s="507">
        <f t="shared" si="21"/>
        <v>10500</v>
      </c>
      <c r="K65" s="508"/>
      <c r="L65" s="508">
        <f t="shared" si="22"/>
        <v>24</v>
      </c>
      <c r="M65" s="512">
        <f t="shared" si="23"/>
        <v>252000</v>
      </c>
      <c r="N65" s="229"/>
      <c r="O65" s="247" t="str">
        <f t="shared" si="2"/>
        <v>D2</v>
      </c>
      <c r="P65" s="323"/>
      <c r="Q65" s="415"/>
      <c r="R65" s="368"/>
      <c r="S65" s="510"/>
      <c r="T65" s="510"/>
      <c r="U65" s="510"/>
      <c r="V65" s="510"/>
      <c r="W65" s="323"/>
      <c r="X65" s="323"/>
    </row>
    <row r="66" spans="1:24" ht="13.5" customHeight="1">
      <c r="A66" s="241"/>
      <c r="B66" s="244" t="str">
        <f>'Flat Sizes'!B76</f>
        <v>C. Bedroom</v>
      </c>
      <c r="C66" s="247" t="s">
        <v>388</v>
      </c>
      <c r="D66" s="331"/>
      <c r="E66" s="336">
        <v>1</v>
      </c>
      <c r="F66" s="337">
        <f>VLOOKUP(C66,'D&amp;W Schedule'!$B$4:$F$7,2,FALSE)</f>
        <v>0.9</v>
      </c>
      <c r="G66" s="337">
        <f>VLOOKUP(C66,'D&amp;W Schedule'!$B$4:$F$7,3,FALSE)</f>
        <v>2.1</v>
      </c>
      <c r="H66" s="337">
        <f>VLOOKUP(C66,'D&amp;W Schedule'!$B$4:$F$7,4,FALSE)</f>
        <v>1.8900000000000001</v>
      </c>
      <c r="I66" s="337">
        <f>VLOOKUP(C66,'D&amp;W Schedule'!$B$4:$F$7,5,FALSE)</f>
        <v>18000</v>
      </c>
      <c r="J66" s="507">
        <f t="shared" si="21"/>
        <v>18000</v>
      </c>
      <c r="K66" s="508"/>
      <c r="L66" s="508">
        <f t="shared" si="22"/>
        <v>24</v>
      </c>
      <c r="M66" s="512">
        <f t="shared" si="23"/>
        <v>432000</v>
      </c>
      <c r="N66" s="229"/>
      <c r="O66" s="247" t="str">
        <f t="shared" si="2"/>
        <v>D1</v>
      </c>
      <c r="P66" s="323"/>
      <c r="Q66" s="415"/>
      <c r="R66" s="368"/>
      <c r="S66" s="510"/>
      <c r="T66" s="510"/>
      <c r="U66" s="510"/>
      <c r="V66" s="510"/>
      <c r="W66" s="323"/>
      <c r="X66" s="323"/>
    </row>
    <row r="67" spans="1:24" ht="13.5" customHeight="1">
      <c r="A67" s="241"/>
      <c r="B67" s="228" t="str">
        <f>'Flat Sizes'!B77</f>
        <v>C. Toilet</v>
      </c>
      <c r="C67" s="247" t="s">
        <v>389</v>
      </c>
      <c r="D67" s="331"/>
      <c r="E67" s="336">
        <v>1</v>
      </c>
      <c r="F67" s="337">
        <f>VLOOKUP(C67,'D&amp;W Schedule'!$B$4:$F$7,2,FALSE)</f>
        <v>0.75</v>
      </c>
      <c r="G67" s="337">
        <f>VLOOKUP(C67,'D&amp;W Schedule'!$B$4:$F$7,3,FALSE)</f>
        <v>2.1</v>
      </c>
      <c r="H67" s="337">
        <f>VLOOKUP(C67,'D&amp;W Schedule'!$B$4:$F$7,4,FALSE)</f>
        <v>1.5750000000000002</v>
      </c>
      <c r="I67" s="337">
        <f>VLOOKUP(C67,'D&amp;W Schedule'!$B$4:$F$7,5,FALSE)</f>
        <v>10500</v>
      </c>
      <c r="J67" s="507">
        <f t="shared" si="21"/>
        <v>10500</v>
      </c>
      <c r="K67" s="508"/>
      <c r="L67" s="508">
        <f t="shared" si="22"/>
        <v>24</v>
      </c>
      <c r="M67" s="512">
        <f t="shared" si="23"/>
        <v>252000</v>
      </c>
      <c r="N67" s="229"/>
      <c r="O67" s="247" t="str">
        <f t="shared" si="2"/>
        <v>D2</v>
      </c>
      <c r="P67" s="323"/>
      <c r="Q67" s="415"/>
      <c r="R67" s="368"/>
      <c r="S67" s="510"/>
      <c r="T67" s="510"/>
      <c r="U67" s="510"/>
      <c r="V67" s="510"/>
      <c r="W67" s="323"/>
      <c r="X67" s="323"/>
    </row>
    <row r="68" spans="1:24" ht="13.5" customHeight="1">
      <c r="A68" s="241"/>
      <c r="B68" s="244" t="str">
        <f>'Flat Sizes'!B78</f>
        <v>Kitchen</v>
      </c>
      <c r="C68" s="247" t="s">
        <v>390</v>
      </c>
      <c r="D68" s="331"/>
      <c r="E68" s="336">
        <v>1</v>
      </c>
      <c r="F68" s="337">
        <f>VLOOKUP(C68,'D&amp;W Schedule'!$B$4:$F$7,2,FALSE)</f>
        <v>0.9</v>
      </c>
      <c r="G68" s="337">
        <f>VLOOKUP(C68,'D&amp;W Schedule'!$B$4:$F$7,3,FALSE)</f>
        <v>2.1</v>
      </c>
      <c r="H68" s="337">
        <f>VLOOKUP(C68,'D&amp;W Schedule'!$B$4:$F$7,4,FALSE)</f>
        <v>1.8900000000000001</v>
      </c>
      <c r="I68" s="337">
        <f>VLOOKUP(C68,'D&amp;W Schedule'!$B$4:$F$7,5,FALSE)</f>
        <v>25000</v>
      </c>
      <c r="J68" s="507">
        <f t="shared" si="21"/>
        <v>25000</v>
      </c>
      <c r="K68" s="508"/>
      <c r="L68" s="508">
        <f t="shared" si="22"/>
        <v>24</v>
      </c>
      <c r="M68" s="512">
        <f t="shared" si="23"/>
        <v>600000</v>
      </c>
      <c r="N68" s="229"/>
      <c r="O68" s="247" t="str">
        <f t="shared" si="2"/>
        <v>K FRD</v>
      </c>
      <c r="P68" s="323"/>
      <c r="Q68" s="415"/>
      <c r="R68" s="368"/>
      <c r="S68" s="510"/>
      <c r="T68" s="510"/>
      <c r="U68" s="510"/>
      <c r="V68" s="510"/>
      <c r="W68" s="323"/>
      <c r="X68" s="323"/>
    </row>
    <row r="69" spans="1:24" ht="13.5" customHeight="1">
      <c r="A69" s="241"/>
      <c r="B69" s="246" t="str">
        <f>'Flat Sizes'!B81</f>
        <v>Sub Total</v>
      </c>
      <c r="C69" s="247"/>
      <c r="D69" s="331"/>
      <c r="E69" s="496">
        <f>SUBTOTAL(9,E61:E68)</f>
        <v>8</v>
      </c>
      <c r="F69" s="353"/>
      <c r="G69" s="353"/>
      <c r="H69" s="353"/>
      <c r="I69" s="354"/>
      <c r="J69" s="497">
        <f>SUBTOTAL(9,J61:J68)</f>
        <v>140500</v>
      </c>
      <c r="K69" s="508"/>
      <c r="L69" s="352">
        <f>SUBTOTAL(9,L61:L68)</f>
        <v>192</v>
      </c>
      <c r="M69" s="514">
        <f>SUBTOTAL(9,M61:M68)</f>
        <v>3372000</v>
      </c>
      <c r="N69" s="229"/>
      <c r="O69" s="247">
        <f t="shared" si="2"/>
        <v>0</v>
      </c>
      <c r="P69" s="323"/>
      <c r="Q69" s="415"/>
      <c r="R69" s="368"/>
      <c r="S69" s="510"/>
      <c r="T69" s="510"/>
      <c r="U69" s="510"/>
      <c r="V69" s="510"/>
      <c r="W69" s="323"/>
      <c r="X69" s="323"/>
    </row>
    <row r="70" spans="1:24" ht="13.5" customHeight="1">
      <c r="A70" s="241"/>
      <c r="B70" s="270" t="str">
        <f>'Flat Sizes'!B82</f>
        <v>Flat 5A</v>
      </c>
      <c r="C70" s="247"/>
      <c r="D70" s="331"/>
      <c r="E70" s="352"/>
      <c r="F70" s="353"/>
      <c r="G70" s="353"/>
      <c r="H70" s="353"/>
      <c r="I70" s="354"/>
      <c r="J70" s="383"/>
      <c r="K70" s="328">
        <f>'Room Conf'!T40</f>
        <v>8</v>
      </c>
      <c r="L70" s="328"/>
      <c r="M70" s="377"/>
      <c r="N70" s="229"/>
      <c r="O70" s="247">
        <f t="shared" ref="O70:O139" si="24">C70</f>
        <v>0</v>
      </c>
      <c r="P70" s="323"/>
      <c r="Q70" s="329"/>
      <c r="R70" s="368"/>
      <c r="S70" s="330"/>
      <c r="T70" s="330"/>
      <c r="U70" s="330"/>
      <c r="V70" s="330"/>
      <c r="W70" s="323"/>
      <c r="X70" s="323"/>
    </row>
    <row r="71" spans="1:24" ht="13.5" customHeight="1">
      <c r="A71" s="241"/>
      <c r="B71" s="244" t="str">
        <f>'Flat Sizes'!B83</f>
        <v>Multi Purpose Room</v>
      </c>
      <c r="C71" s="247" t="s">
        <v>387</v>
      </c>
      <c r="D71" s="331"/>
      <c r="E71" s="336">
        <v>1</v>
      </c>
      <c r="F71" s="337">
        <f>VLOOKUP(C71,'D&amp;W Schedule'!$B$4:$F$7,2,FALSE)</f>
        <v>1.2</v>
      </c>
      <c r="G71" s="337">
        <f>VLOOKUP(C71,'D&amp;W Schedule'!$B$4:$F$7,3,FALSE)</f>
        <v>2.1</v>
      </c>
      <c r="H71" s="337">
        <f>VLOOKUP(C71,'D&amp;W Schedule'!$B$4:$F$7,4,FALSE)</f>
        <v>2.52</v>
      </c>
      <c r="I71" s="337">
        <f>VLOOKUP(C71,'D&amp;W Schedule'!$B$4:$F$7,5,FALSE)</f>
        <v>30000</v>
      </c>
      <c r="J71" s="507">
        <f t="shared" ref="J71:J75" si="25">E71*I71</f>
        <v>30000</v>
      </c>
      <c r="K71" s="508"/>
      <c r="L71" s="508">
        <f>$K$70*E71</f>
        <v>8</v>
      </c>
      <c r="M71" s="512">
        <f>+$K$70*J71</f>
        <v>240000</v>
      </c>
      <c r="N71" s="229"/>
      <c r="O71" s="247" t="str">
        <f t="shared" si="24"/>
        <v>FRD</v>
      </c>
      <c r="P71" s="323"/>
      <c r="Q71" s="415"/>
      <c r="R71" s="368"/>
      <c r="S71" s="510"/>
      <c r="T71" s="510"/>
      <c r="U71" s="510"/>
      <c r="V71" s="510"/>
      <c r="W71" s="323"/>
      <c r="X71" s="323"/>
    </row>
    <row r="72" spans="1:24" ht="13.5" customHeight="1">
      <c r="A72" s="241"/>
      <c r="B72" s="244" t="str">
        <f>'Flat Sizes'!B84</f>
        <v>Study Room</v>
      </c>
      <c r="C72" s="247" t="s">
        <v>390</v>
      </c>
      <c r="D72" s="331"/>
      <c r="E72" s="336">
        <v>1</v>
      </c>
      <c r="F72" s="337">
        <f>VLOOKUP(C72,'D&amp;W Schedule'!$B$4:$F$7,2,FALSE)</f>
        <v>0.9</v>
      </c>
      <c r="G72" s="337">
        <f>VLOOKUP(C72,'D&amp;W Schedule'!$B$4:$F$7,3,FALSE)</f>
        <v>2.1</v>
      </c>
      <c r="H72" s="337">
        <f>VLOOKUP(C72,'D&amp;W Schedule'!$B$4:$F$7,4,FALSE)</f>
        <v>1.8900000000000001</v>
      </c>
      <c r="I72" s="337">
        <f>VLOOKUP(C72,'D&amp;W Schedule'!$B$4:$F$7,5,FALSE)</f>
        <v>25000</v>
      </c>
      <c r="J72" s="507">
        <f t="shared" si="25"/>
        <v>25000</v>
      </c>
      <c r="K72" s="508"/>
      <c r="L72" s="508">
        <f>$K$70*E72</f>
        <v>8</v>
      </c>
      <c r="M72" s="512">
        <f t="shared" ref="M72:M75" si="26">+$K$70*J72</f>
        <v>200000</v>
      </c>
      <c r="N72" s="229"/>
      <c r="O72" s="247" t="str">
        <f t="shared" si="24"/>
        <v>K FRD</v>
      </c>
      <c r="P72" s="323"/>
      <c r="Q72" s="415"/>
      <c r="R72" s="368"/>
      <c r="S72" s="510"/>
      <c r="T72" s="510"/>
      <c r="U72" s="510"/>
      <c r="V72" s="510"/>
      <c r="W72" s="323"/>
      <c r="X72" s="323"/>
    </row>
    <row r="73" spans="1:24" ht="13.5" customHeight="1">
      <c r="A73" s="241"/>
      <c r="B73" s="244" t="str">
        <f>'Flat Sizes'!B85</f>
        <v>M. Bedroom</v>
      </c>
      <c r="C73" s="247" t="s">
        <v>388</v>
      </c>
      <c r="D73" s="331"/>
      <c r="E73" s="336">
        <v>1</v>
      </c>
      <c r="F73" s="337">
        <f>VLOOKUP(C73,'D&amp;W Schedule'!$B$4:$F$7,2,FALSE)</f>
        <v>0.9</v>
      </c>
      <c r="G73" s="337">
        <f>VLOOKUP(C73,'D&amp;W Schedule'!$B$4:$F$7,3,FALSE)</f>
        <v>2.1</v>
      </c>
      <c r="H73" s="337">
        <f>VLOOKUP(C73,'D&amp;W Schedule'!$B$4:$F$7,4,FALSE)</f>
        <v>1.8900000000000001</v>
      </c>
      <c r="I73" s="337">
        <f>VLOOKUP(C73,'D&amp;W Schedule'!$B$4:$F$7,5,FALSE)</f>
        <v>18000</v>
      </c>
      <c r="J73" s="507">
        <f t="shared" si="25"/>
        <v>18000</v>
      </c>
      <c r="K73" s="508"/>
      <c r="L73" s="508">
        <f>$K$70*E73</f>
        <v>8</v>
      </c>
      <c r="M73" s="512">
        <f t="shared" si="26"/>
        <v>144000</v>
      </c>
      <c r="N73" s="229"/>
      <c r="O73" s="247" t="str">
        <f t="shared" si="24"/>
        <v>D1</v>
      </c>
      <c r="P73" s="323"/>
      <c r="Q73" s="415"/>
      <c r="R73" s="368"/>
      <c r="S73" s="510"/>
      <c r="T73" s="510"/>
      <c r="U73" s="510"/>
      <c r="V73" s="510"/>
      <c r="W73" s="323"/>
      <c r="X73" s="323"/>
    </row>
    <row r="74" spans="1:24" ht="13.5" customHeight="1">
      <c r="A74" s="241"/>
      <c r="B74" s="244" t="str">
        <f>'Flat Sizes'!B86</f>
        <v>M. Toilet</v>
      </c>
      <c r="C74" s="247" t="s">
        <v>389</v>
      </c>
      <c r="D74" s="331"/>
      <c r="E74" s="336">
        <v>1</v>
      </c>
      <c r="F74" s="337">
        <f>VLOOKUP(C74,'D&amp;W Schedule'!$B$4:$F$7,2,FALSE)</f>
        <v>0.75</v>
      </c>
      <c r="G74" s="337">
        <f>VLOOKUP(C74,'D&amp;W Schedule'!$B$4:$F$7,3,FALSE)</f>
        <v>2.1</v>
      </c>
      <c r="H74" s="337">
        <f>VLOOKUP(C74,'D&amp;W Schedule'!$B$4:$F$7,4,FALSE)</f>
        <v>1.5750000000000002</v>
      </c>
      <c r="I74" s="337">
        <f>VLOOKUP(C74,'D&amp;W Schedule'!$B$4:$F$7,5,FALSE)</f>
        <v>10500</v>
      </c>
      <c r="J74" s="507">
        <f t="shared" si="25"/>
        <v>10500</v>
      </c>
      <c r="K74" s="508"/>
      <c r="L74" s="508">
        <f>$K$70*E74</f>
        <v>8</v>
      </c>
      <c r="M74" s="512">
        <f t="shared" si="26"/>
        <v>84000</v>
      </c>
      <c r="N74" s="229"/>
      <c r="O74" s="247" t="str">
        <f t="shared" si="24"/>
        <v>D2</v>
      </c>
      <c r="P74" s="323"/>
      <c r="Q74" s="415"/>
      <c r="R74" s="368"/>
      <c r="S74" s="510"/>
      <c r="T74" s="510"/>
      <c r="U74" s="510"/>
      <c r="V74" s="510"/>
      <c r="W74" s="323"/>
      <c r="X74" s="323"/>
    </row>
    <row r="75" spans="1:24" ht="13.5" customHeight="1">
      <c r="A75" s="241"/>
      <c r="B75" s="244" t="str">
        <f>'Flat Sizes'!B87</f>
        <v>C. Toilet</v>
      </c>
      <c r="C75" s="247" t="s">
        <v>389</v>
      </c>
      <c r="D75" s="331"/>
      <c r="E75" s="336">
        <v>1</v>
      </c>
      <c r="F75" s="337">
        <f>VLOOKUP(C75,'D&amp;W Schedule'!$B$4:$F$7,2,FALSE)</f>
        <v>0.75</v>
      </c>
      <c r="G75" s="337">
        <f>VLOOKUP(C75,'D&amp;W Schedule'!$B$4:$F$7,3,FALSE)</f>
        <v>2.1</v>
      </c>
      <c r="H75" s="337">
        <f>VLOOKUP(C75,'D&amp;W Schedule'!$B$4:$F$7,4,FALSE)</f>
        <v>1.5750000000000002</v>
      </c>
      <c r="I75" s="337">
        <f>VLOOKUP(C75,'D&amp;W Schedule'!$B$4:$F$7,5,FALSE)</f>
        <v>10500</v>
      </c>
      <c r="J75" s="507">
        <f t="shared" si="25"/>
        <v>10500</v>
      </c>
      <c r="K75" s="508"/>
      <c r="L75" s="508">
        <f>$K$70*E75</f>
        <v>8</v>
      </c>
      <c r="M75" s="512">
        <f t="shared" si="26"/>
        <v>84000</v>
      </c>
      <c r="N75" s="229"/>
      <c r="O75" s="247" t="str">
        <f t="shared" si="24"/>
        <v>D2</v>
      </c>
      <c r="P75" s="323"/>
      <c r="Q75" s="415"/>
      <c r="R75" s="368"/>
      <c r="S75" s="510"/>
      <c r="T75" s="510"/>
      <c r="U75" s="510"/>
      <c r="V75" s="510"/>
      <c r="W75" s="323"/>
      <c r="X75" s="323"/>
    </row>
    <row r="76" spans="1:24" ht="13.5" customHeight="1">
      <c r="A76" s="241"/>
      <c r="B76" s="246" t="str">
        <f>'Flat Sizes'!B88</f>
        <v>Sub Total</v>
      </c>
      <c r="C76" s="247"/>
      <c r="D76" s="331"/>
      <c r="E76" s="496">
        <f>SUBTOTAL(9,E71:E75)</f>
        <v>5</v>
      </c>
      <c r="F76" s="353"/>
      <c r="G76" s="353"/>
      <c r="H76" s="353"/>
      <c r="I76" s="354"/>
      <c r="J76" s="497">
        <f>SUBTOTAL(9,J71:J75)</f>
        <v>94000</v>
      </c>
      <c r="K76" s="508"/>
      <c r="L76" s="352">
        <f>SUBTOTAL(9,L71:L75)</f>
        <v>40</v>
      </c>
      <c r="M76" s="514">
        <f>SUBTOTAL(9,M71:M75)</f>
        <v>752000</v>
      </c>
      <c r="N76" s="229"/>
      <c r="O76" s="247">
        <f t="shared" si="24"/>
        <v>0</v>
      </c>
      <c r="P76" s="323"/>
      <c r="Q76" s="415"/>
      <c r="R76" s="368"/>
      <c r="S76" s="510"/>
      <c r="T76" s="510"/>
      <c r="U76" s="510"/>
      <c r="V76" s="510"/>
      <c r="W76" s="323"/>
      <c r="X76" s="323"/>
    </row>
    <row r="77" spans="1:24" ht="13.5" customHeight="1">
      <c r="A77" s="241"/>
      <c r="B77" s="270" t="str">
        <f>'Flat Sizes'!B89</f>
        <v>Flat 5B,
2BHK</v>
      </c>
      <c r="C77" s="247"/>
      <c r="D77" s="331"/>
      <c r="E77" s="352"/>
      <c r="F77" s="353"/>
      <c r="G77" s="353"/>
      <c r="H77" s="353"/>
      <c r="I77" s="354"/>
      <c r="J77" s="383"/>
      <c r="K77" s="328">
        <f>'Room Conf'!U40</f>
        <v>18</v>
      </c>
      <c r="L77" s="328"/>
      <c r="M77" s="377"/>
      <c r="N77" s="229"/>
      <c r="O77" s="247">
        <f t="shared" si="24"/>
        <v>0</v>
      </c>
      <c r="P77" s="323"/>
      <c r="Q77" s="329"/>
      <c r="R77" s="368"/>
      <c r="S77" s="330"/>
      <c r="T77" s="330"/>
      <c r="U77" s="330"/>
      <c r="V77" s="330"/>
      <c r="W77" s="323"/>
      <c r="X77" s="323"/>
    </row>
    <row r="78" spans="1:24" ht="13.5" customHeight="1">
      <c r="A78" s="241"/>
      <c r="B78" s="244" t="str">
        <f>'Flat Sizes'!B90</f>
        <v>Living, Dining &amp; Passage</v>
      </c>
      <c r="C78" s="247" t="s">
        <v>387</v>
      </c>
      <c r="D78" s="331"/>
      <c r="E78" s="336">
        <v>1</v>
      </c>
      <c r="F78" s="337">
        <f>VLOOKUP(C78,'D&amp;W Schedule'!$B$4:$F$7,2,FALSE)</f>
        <v>1.2</v>
      </c>
      <c r="G78" s="337">
        <f>VLOOKUP(C78,'D&amp;W Schedule'!$B$4:$F$7,3,FALSE)</f>
        <v>2.1</v>
      </c>
      <c r="H78" s="337">
        <f>VLOOKUP(C78,'D&amp;W Schedule'!$B$4:$F$7,4,FALSE)</f>
        <v>2.52</v>
      </c>
      <c r="I78" s="337">
        <f>VLOOKUP(C78,'D&amp;W Schedule'!$B$4:$F$7,5,FALSE)</f>
        <v>30000</v>
      </c>
      <c r="J78" s="507">
        <f t="shared" ref="J78:J83" si="27">E78*I78</f>
        <v>30000</v>
      </c>
      <c r="K78" s="508"/>
      <c r="L78" s="508">
        <f t="shared" ref="L78:L83" si="28">$K$77*E78</f>
        <v>18</v>
      </c>
      <c r="M78" s="512">
        <f>+$K$77*J78</f>
        <v>540000</v>
      </c>
      <c r="N78" s="229"/>
      <c r="O78" s="247" t="str">
        <f t="shared" si="24"/>
        <v>FRD</v>
      </c>
      <c r="P78" s="323"/>
      <c r="Q78" s="415"/>
      <c r="R78" s="368"/>
      <c r="S78" s="510"/>
      <c r="T78" s="510"/>
      <c r="U78" s="510"/>
      <c r="V78" s="510"/>
      <c r="W78" s="323"/>
      <c r="X78" s="323"/>
    </row>
    <row r="79" spans="1:24" ht="13.5" customHeight="1">
      <c r="A79" s="241"/>
      <c r="B79" s="244" t="str">
        <f>'Flat Sizes'!B91</f>
        <v>M. Bedroom</v>
      </c>
      <c r="C79" s="247" t="s">
        <v>388</v>
      </c>
      <c r="D79" s="331"/>
      <c r="E79" s="336">
        <v>1</v>
      </c>
      <c r="F79" s="337">
        <f>VLOOKUP(C79,'D&amp;W Schedule'!$B$4:$F$7,2,FALSE)</f>
        <v>0.9</v>
      </c>
      <c r="G79" s="337">
        <f>VLOOKUP(C79,'D&amp;W Schedule'!$B$4:$F$7,3,FALSE)</f>
        <v>2.1</v>
      </c>
      <c r="H79" s="337">
        <f>VLOOKUP(C79,'D&amp;W Schedule'!$B$4:$F$7,4,FALSE)</f>
        <v>1.8900000000000001</v>
      </c>
      <c r="I79" s="337">
        <f>VLOOKUP(C79,'D&amp;W Schedule'!$B$4:$F$7,5,FALSE)</f>
        <v>18000</v>
      </c>
      <c r="J79" s="507">
        <f t="shared" si="27"/>
        <v>18000</v>
      </c>
      <c r="K79" s="508"/>
      <c r="L79" s="508">
        <f t="shared" si="28"/>
        <v>18</v>
      </c>
      <c r="M79" s="512">
        <f t="shared" ref="M79:M82" si="29">+$K$77*J79</f>
        <v>324000</v>
      </c>
      <c r="N79" s="229"/>
      <c r="O79" s="247" t="str">
        <f t="shared" si="24"/>
        <v>D1</v>
      </c>
      <c r="P79" s="323"/>
      <c r="Q79" s="415"/>
      <c r="R79" s="368"/>
      <c r="S79" s="510"/>
      <c r="T79" s="510"/>
      <c r="U79" s="510"/>
      <c r="V79" s="510"/>
      <c r="W79" s="323"/>
      <c r="X79" s="323"/>
    </row>
    <row r="80" spans="1:24" ht="13.5" customHeight="1">
      <c r="A80" s="241"/>
      <c r="B80" s="244" t="str">
        <f>'Flat Sizes'!B92</f>
        <v>M. Toilet</v>
      </c>
      <c r="C80" s="247" t="s">
        <v>389</v>
      </c>
      <c r="D80" s="331"/>
      <c r="E80" s="336">
        <v>1</v>
      </c>
      <c r="F80" s="337">
        <f>VLOOKUP(C80,'D&amp;W Schedule'!$B$4:$F$7,2,FALSE)</f>
        <v>0.75</v>
      </c>
      <c r="G80" s="337">
        <f>VLOOKUP(C80,'D&amp;W Schedule'!$B$4:$F$7,3,FALSE)</f>
        <v>2.1</v>
      </c>
      <c r="H80" s="337">
        <f>VLOOKUP(C80,'D&amp;W Schedule'!$B$4:$F$7,4,FALSE)</f>
        <v>1.5750000000000002</v>
      </c>
      <c r="I80" s="337">
        <f>VLOOKUP(C80,'D&amp;W Schedule'!$B$4:$F$7,5,FALSE)</f>
        <v>10500</v>
      </c>
      <c r="J80" s="507">
        <f t="shared" si="27"/>
        <v>10500</v>
      </c>
      <c r="K80" s="508"/>
      <c r="L80" s="508">
        <f t="shared" si="28"/>
        <v>18</v>
      </c>
      <c r="M80" s="512">
        <f t="shared" si="29"/>
        <v>189000</v>
      </c>
      <c r="N80" s="229"/>
      <c r="O80" s="247" t="str">
        <f t="shared" si="24"/>
        <v>D2</v>
      </c>
      <c r="P80" s="323"/>
      <c r="Q80" s="415"/>
      <c r="R80" s="368"/>
      <c r="S80" s="510"/>
      <c r="T80" s="510"/>
      <c r="U80" s="510"/>
      <c r="V80" s="510"/>
      <c r="W80" s="323"/>
      <c r="X80" s="323"/>
    </row>
    <row r="81" spans="1:24" ht="13.5" customHeight="1">
      <c r="A81" s="241"/>
      <c r="B81" s="244" t="str">
        <f>'Flat Sizes'!B93</f>
        <v>C. Bedroom</v>
      </c>
      <c r="C81" s="247" t="s">
        <v>388</v>
      </c>
      <c r="D81" s="331"/>
      <c r="E81" s="336">
        <v>1</v>
      </c>
      <c r="F81" s="337">
        <f>VLOOKUP(C81,'D&amp;W Schedule'!$B$4:$F$7,2,FALSE)</f>
        <v>0.9</v>
      </c>
      <c r="G81" s="337">
        <f>VLOOKUP(C81,'D&amp;W Schedule'!$B$4:$F$7,3,FALSE)</f>
        <v>2.1</v>
      </c>
      <c r="H81" s="337">
        <f>VLOOKUP(C81,'D&amp;W Schedule'!$B$4:$F$7,4,FALSE)</f>
        <v>1.8900000000000001</v>
      </c>
      <c r="I81" s="337">
        <f>VLOOKUP(C81,'D&amp;W Schedule'!$B$4:$F$7,5,FALSE)</f>
        <v>18000</v>
      </c>
      <c r="J81" s="507">
        <f t="shared" si="27"/>
        <v>18000</v>
      </c>
      <c r="K81" s="508"/>
      <c r="L81" s="508">
        <f t="shared" si="28"/>
        <v>18</v>
      </c>
      <c r="M81" s="512">
        <f t="shared" si="29"/>
        <v>324000</v>
      </c>
      <c r="N81" s="229"/>
      <c r="O81" s="247" t="str">
        <f t="shared" si="24"/>
        <v>D1</v>
      </c>
      <c r="P81" s="323"/>
      <c r="Q81" s="415"/>
      <c r="R81" s="368"/>
      <c r="S81" s="510"/>
      <c r="T81" s="510"/>
      <c r="U81" s="510"/>
      <c r="V81" s="510"/>
      <c r="W81" s="323"/>
      <c r="X81" s="323"/>
    </row>
    <row r="82" spans="1:24" ht="13.5" customHeight="1">
      <c r="A82" s="241"/>
      <c r="B82" s="228" t="str">
        <f>'Flat Sizes'!B94</f>
        <v>C. Toilet</v>
      </c>
      <c r="C82" s="247" t="s">
        <v>389</v>
      </c>
      <c r="D82" s="331"/>
      <c r="E82" s="336">
        <v>1</v>
      </c>
      <c r="F82" s="337">
        <f>VLOOKUP(C82,'D&amp;W Schedule'!$B$4:$F$7,2,FALSE)</f>
        <v>0.75</v>
      </c>
      <c r="G82" s="337">
        <f>VLOOKUP(C82,'D&amp;W Schedule'!$B$4:$F$7,3,FALSE)</f>
        <v>2.1</v>
      </c>
      <c r="H82" s="337">
        <f>VLOOKUP(C82,'D&amp;W Schedule'!$B$4:$F$7,4,FALSE)</f>
        <v>1.5750000000000002</v>
      </c>
      <c r="I82" s="337">
        <f>VLOOKUP(C82,'D&amp;W Schedule'!$B$4:$F$7,5,FALSE)</f>
        <v>10500</v>
      </c>
      <c r="J82" s="507">
        <f t="shared" si="27"/>
        <v>10500</v>
      </c>
      <c r="K82" s="508"/>
      <c r="L82" s="508">
        <f t="shared" si="28"/>
        <v>18</v>
      </c>
      <c r="M82" s="512">
        <f t="shared" si="29"/>
        <v>189000</v>
      </c>
      <c r="N82" s="229"/>
      <c r="O82" s="247" t="str">
        <f t="shared" si="24"/>
        <v>D2</v>
      </c>
      <c r="P82" s="323"/>
      <c r="Q82" s="415"/>
      <c r="R82" s="368"/>
      <c r="S82" s="510"/>
      <c r="T82" s="510"/>
      <c r="U82" s="510"/>
      <c r="V82" s="510"/>
      <c r="W82" s="323"/>
      <c r="X82" s="323"/>
    </row>
    <row r="83" spans="1:24" ht="13.5" customHeight="1">
      <c r="A83" s="241"/>
      <c r="B83" s="244" t="str">
        <f>'Flat Sizes'!B95</f>
        <v>Kitchen</v>
      </c>
      <c r="C83" s="247" t="s">
        <v>390</v>
      </c>
      <c r="D83" s="331"/>
      <c r="E83" s="336">
        <v>1</v>
      </c>
      <c r="F83" s="337">
        <f>VLOOKUP(C83,'D&amp;W Schedule'!$B$4:$F$7,2,FALSE)</f>
        <v>0.9</v>
      </c>
      <c r="G83" s="337">
        <f>VLOOKUP(C83,'D&amp;W Schedule'!$B$4:$F$7,3,FALSE)</f>
        <v>2.1</v>
      </c>
      <c r="H83" s="337">
        <f>VLOOKUP(C83,'D&amp;W Schedule'!$B$4:$F$7,4,FALSE)</f>
        <v>1.8900000000000001</v>
      </c>
      <c r="I83" s="337">
        <f>VLOOKUP(C83,'D&amp;W Schedule'!$B$4:$F$7,5,FALSE)</f>
        <v>25000</v>
      </c>
      <c r="J83" s="507">
        <f t="shared" si="27"/>
        <v>25000</v>
      </c>
      <c r="K83" s="508"/>
      <c r="L83" s="508">
        <f t="shared" si="28"/>
        <v>18</v>
      </c>
      <c r="M83" s="512">
        <f>+$K$77*J83</f>
        <v>450000</v>
      </c>
      <c r="N83" s="229"/>
      <c r="O83" s="247" t="str">
        <f t="shared" si="24"/>
        <v>K FRD</v>
      </c>
      <c r="P83" s="323"/>
      <c r="Q83" s="415"/>
      <c r="R83" s="368"/>
      <c r="S83" s="510"/>
      <c r="T83" s="510"/>
      <c r="U83" s="510"/>
      <c r="V83" s="510"/>
      <c r="W83" s="323"/>
      <c r="X83" s="323"/>
    </row>
    <row r="84" spans="1:24" ht="13.5" customHeight="1">
      <c r="A84" s="241"/>
      <c r="B84" s="246" t="str">
        <f>'Flat Sizes'!B98</f>
        <v>Sub Total</v>
      </c>
      <c r="C84" s="247"/>
      <c r="D84" s="331"/>
      <c r="E84" s="496">
        <f>SUBTOTAL(9,E78:E83)</f>
        <v>6</v>
      </c>
      <c r="F84" s="353"/>
      <c r="G84" s="353"/>
      <c r="H84" s="353"/>
      <c r="I84" s="354"/>
      <c r="J84" s="497">
        <f>SUBTOTAL(9,J78:J83)</f>
        <v>112000</v>
      </c>
      <c r="K84" s="508"/>
      <c r="L84" s="352">
        <f>SUBTOTAL(9,L78:L83)</f>
        <v>108</v>
      </c>
      <c r="M84" s="514">
        <f>SUBTOTAL(9,M78:M83)</f>
        <v>2016000</v>
      </c>
      <c r="N84" s="229"/>
      <c r="O84" s="247">
        <f t="shared" si="24"/>
        <v>0</v>
      </c>
      <c r="P84" s="323"/>
      <c r="Q84" s="415"/>
      <c r="R84" s="368"/>
      <c r="S84" s="510"/>
      <c r="T84" s="510"/>
      <c r="U84" s="510"/>
      <c r="V84" s="510"/>
      <c r="W84" s="323"/>
      <c r="X84" s="323"/>
    </row>
    <row r="85" spans="1:24" ht="13.5" customHeight="1">
      <c r="A85" s="241"/>
      <c r="B85" s="270" t="str">
        <f>'Flat Sizes'!B99</f>
        <v>Flat 6,
2BHK</v>
      </c>
      <c r="C85" s="247"/>
      <c r="D85" s="331"/>
      <c r="E85" s="352"/>
      <c r="F85" s="353"/>
      <c r="G85" s="353"/>
      <c r="H85" s="353"/>
      <c r="I85" s="354"/>
      <c r="J85" s="383"/>
      <c r="K85" s="328">
        <f>'Room Conf'!V40</f>
        <v>28</v>
      </c>
      <c r="L85" s="328"/>
      <c r="M85" s="377"/>
      <c r="N85" s="229"/>
      <c r="O85" s="247">
        <f t="shared" si="24"/>
        <v>0</v>
      </c>
      <c r="P85" s="323"/>
      <c r="Q85" s="329"/>
      <c r="R85" s="368"/>
      <c r="S85" s="330"/>
      <c r="T85" s="330"/>
      <c r="U85" s="330"/>
      <c r="V85" s="330"/>
      <c r="W85" s="323"/>
      <c r="X85" s="323"/>
    </row>
    <row r="86" spans="1:24" ht="13.5" customHeight="1">
      <c r="A86" s="241"/>
      <c r="B86" s="244" t="str">
        <f>'Flat Sizes'!B100</f>
        <v>Living, Dining &amp; Passage</v>
      </c>
      <c r="C86" s="247" t="s">
        <v>387</v>
      </c>
      <c r="D86" s="331"/>
      <c r="E86" s="336">
        <v>1</v>
      </c>
      <c r="F86" s="337">
        <f>VLOOKUP(C86,'D&amp;W Schedule'!$B$4:$F$7,2,FALSE)</f>
        <v>1.2</v>
      </c>
      <c r="G86" s="337">
        <f>VLOOKUP(C86,'D&amp;W Schedule'!$B$4:$F$7,3,FALSE)</f>
        <v>2.1</v>
      </c>
      <c r="H86" s="337">
        <f>VLOOKUP(C86,'D&amp;W Schedule'!$B$4:$F$7,4,FALSE)</f>
        <v>2.52</v>
      </c>
      <c r="I86" s="337">
        <f>VLOOKUP(C86,'D&amp;W Schedule'!$B$4:$F$7,5,FALSE)</f>
        <v>30000</v>
      </c>
      <c r="J86" s="507">
        <f t="shared" ref="J86:J91" si="30">E86*I86</f>
        <v>30000</v>
      </c>
      <c r="K86" s="508"/>
      <c r="L86" s="508">
        <f t="shared" ref="L86:L91" si="31">$K$85*E86</f>
        <v>28</v>
      </c>
      <c r="M86" s="512">
        <f>+$K$85*J86</f>
        <v>840000</v>
      </c>
      <c r="N86" s="229"/>
      <c r="O86" s="247" t="str">
        <f t="shared" si="24"/>
        <v>FRD</v>
      </c>
      <c r="P86" s="323"/>
      <c r="Q86" s="415"/>
      <c r="R86" s="368"/>
      <c r="S86" s="510"/>
      <c r="T86" s="510"/>
      <c r="U86" s="510"/>
      <c r="V86" s="510"/>
      <c r="W86" s="323"/>
      <c r="X86" s="323"/>
    </row>
    <row r="87" spans="1:24" ht="13.5" customHeight="1">
      <c r="A87" s="241"/>
      <c r="B87" s="244" t="str">
        <f>'Flat Sizes'!B101</f>
        <v>M. Bedroom</v>
      </c>
      <c r="C87" s="247" t="s">
        <v>388</v>
      </c>
      <c r="D87" s="331"/>
      <c r="E87" s="336">
        <v>1</v>
      </c>
      <c r="F87" s="337">
        <f>VLOOKUP(C87,'D&amp;W Schedule'!$B$4:$F$7,2,FALSE)</f>
        <v>0.9</v>
      </c>
      <c r="G87" s="337">
        <f>VLOOKUP(C87,'D&amp;W Schedule'!$B$4:$F$7,3,FALSE)</f>
        <v>2.1</v>
      </c>
      <c r="H87" s="337">
        <f>VLOOKUP(C87,'D&amp;W Schedule'!$B$4:$F$7,4,FALSE)</f>
        <v>1.8900000000000001</v>
      </c>
      <c r="I87" s="337">
        <f>VLOOKUP(C87,'D&amp;W Schedule'!$B$4:$F$7,5,FALSE)</f>
        <v>18000</v>
      </c>
      <c r="J87" s="507">
        <f t="shared" si="30"/>
        <v>18000</v>
      </c>
      <c r="K87" s="508"/>
      <c r="L87" s="508">
        <f t="shared" si="31"/>
        <v>28</v>
      </c>
      <c r="M87" s="512">
        <f t="shared" ref="M87:M91" si="32">+$K$85*J87</f>
        <v>504000</v>
      </c>
      <c r="N87" s="229"/>
      <c r="O87" s="247" t="str">
        <f t="shared" si="24"/>
        <v>D1</v>
      </c>
      <c r="P87" s="323"/>
      <c r="Q87" s="415"/>
      <c r="R87" s="368"/>
      <c r="S87" s="510"/>
      <c r="T87" s="510"/>
      <c r="U87" s="510"/>
      <c r="V87" s="510"/>
      <c r="W87" s="323"/>
      <c r="X87" s="323"/>
    </row>
    <row r="88" spans="1:24" ht="13.5" customHeight="1">
      <c r="A88" s="241"/>
      <c r="B88" s="244" t="str">
        <f>'Flat Sizes'!B102</f>
        <v>M. Toilet</v>
      </c>
      <c r="C88" s="247" t="s">
        <v>389</v>
      </c>
      <c r="D88" s="331"/>
      <c r="E88" s="336">
        <v>1</v>
      </c>
      <c r="F88" s="337">
        <f>VLOOKUP(C88,'D&amp;W Schedule'!$B$4:$F$7,2,FALSE)</f>
        <v>0.75</v>
      </c>
      <c r="G88" s="337">
        <f>VLOOKUP(C88,'D&amp;W Schedule'!$B$4:$F$7,3,FALSE)</f>
        <v>2.1</v>
      </c>
      <c r="H88" s="337">
        <f>VLOOKUP(C88,'D&amp;W Schedule'!$B$4:$F$7,4,FALSE)</f>
        <v>1.5750000000000002</v>
      </c>
      <c r="I88" s="337">
        <f>VLOOKUP(C88,'D&amp;W Schedule'!$B$4:$F$7,5,FALSE)</f>
        <v>10500</v>
      </c>
      <c r="J88" s="507">
        <f t="shared" si="30"/>
        <v>10500</v>
      </c>
      <c r="K88" s="508"/>
      <c r="L88" s="508">
        <f t="shared" si="31"/>
        <v>28</v>
      </c>
      <c r="M88" s="512">
        <f t="shared" si="32"/>
        <v>294000</v>
      </c>
      <c r="N88" s="229"/>
      <c r="O88" s="247" t="str">
        <f t="shared" si="24"/>
        <v>D2</v>
      </c>
      <c r="P88" s="323"/>
      <c r="Q88" s="415"/>
      <c r="R88" s="368"/>
      <c r="S88" s="510"/>
      <c r="T88" s="510"/>
      <c r="U88" s="510"/>
      <c r="V88" s="510"/>
      <c r="W88" s="323"/>
      <c r="X88" s="323"/>
    </row>
    <row r="89" spans="1:24" ht="13.5" customHeight="1">
      <c r="A89" s="241"/>
      <c r="B89" s="244" t="str">
        <f>'Flat Sizes'!B103</f>
        <v>C. Bedroom</v>
      </c>
      <c r="C89" s="247" t="s">
        <v>388</v>
      </c>
      <c r="D89" s="331"/>
      <c r="E89" s="336">
        <v>1</v>
      </c>
      <c r="F89" s="337">
        <f>VLOOKUP(C89,'D&amp;W Schedule'!$B$4:$F$7,2,FALSE)</f>
        <v>0.9</v>
      </c>
      <c r="G89" s="337">
        <f>VLOOKUP(C89,'D&amp;W Schedule'!$B$4:$F$7,3,FALSE)</f>
        <v>2.1</v>
      </c>
      <c r="H89" s="337">
        <f>VLOOKUP(C89,'D&amp;W Schedule'!$B$4:$F$7,4,FALSE)</f>
        <v>1.8900000000000001</v>
      </c>
      <c r="I89" s="337">
        <f>VLOOKUP(C89,'D&amp;W Schedule'!$B$4:$F$7,5,FALSE)</f>
        <v>18000</v>
      </c>
      <c r="J89" s="507">
        <f t="shared" si="30"/>
        <v>18000</v>
      </c>
      <c r="K89" s="508"/>
      <c r="L89" s="508">
        <f t="shared" si="31"/>
        <v>28</v>
      </c>
      <c r="M89" s="512">
        <f t="shared" si="32"/>
        <v>504000</v>
      </c>
      <c r="N89" s="229"/>
      <c r="O89" s="247" t="str">
        <f t="shared" si="24"/>
        <v>D1</v>
      </c>
      <c r="P89" s="323"/>
      <c r="Q89" s="415"/>
      <c r="R89" s="368"/>
      <c r="S89" s="510"/>
      <c r="T89" s="510"/>
      <c r="U89" s="510"/>
      <c r="V89" s="510"/>
      <c r="W89" s="323"/>
      <c r="X89" s="323"/>
    </row>
    <row r="90" spans="1:24" ht="13.5" customHeight="1">
      <c r="A90" s="241"/>
      <c r="B90" s="228" t="str">
        <f>'Flat Sizes'!B104</f>
        <v>C. Toilet</v>
      </c>
      <c r="C90" s="247" t="s">
        <v>389</v>
      </c>
      <c r="D90" s="331"/>
      <c r="E90" s="336">
        <v>1</v>
      </c>
      <c r="F90" s="337">
        <f>VLOOKUP(C90,'D&amp;W Schedule'!$B$4:$F$7,2,FALSE)</f>
        <v>0.75</v>
      </c>
      <c r="G90" s="337">
        <f>VLOOKUP(C90,'D&amp;W Schedule'!$B$4:$F$7,3,FALSE)</f>
        <v>2.1</v>
      </c>
      <c r="H90" s="337">
        <f>VLOOKUP(C90,'D&amp;W Schedule'!$B$4:$F$7,4,FALSE)</f>
        <v>1.5750000000000002</v>
      </c>
      <c r="I90" s="337">
        <f>VLOOKUP(C90,'D&amp;W Schedule'!$B$4:$F$7,5,FALSE)</f>
        <v>10500</v>
      </c>
      <c r="J90" s="507">
        <f t="shared" si="30"/>
        <v>10500</v>
      </c>
      <c r="K90" s="508"/>
      <c r="L90" s="508">
        <f t="shared" si="31"/>
        <v>28</v>
      </c>
      <c r="M90" s="512">
        <f t="shared" si="32"/>
        <v>294000</v>
      </c>
      <c r="N90" s="229"/>
      <c r="O90" s="247" t="str">
        <f t="shared" si="24"/>
        <v>D2</v>
      </c>
      <c r="P90" s="323"/>
      <c r="Q90" s="415"/>
      <c r="R90" s="368"/>
      <c r="S90" s="510"/>
      <c r="T90" s="510"/>
      <c r="U90" s="510"/>
      <c r="V90" s="510"/>
      <c r="W90" s="323"/>
      <c r="X90" s="323"/>
    </row>
    <row r="91" spans="1:24" ht="13.5" customHeight="1">
      <c r="A91" s="241"/>
      <c r="B91" s="244" t="str">
        <f>'Flat Sizes'!B105</f>
        <v>Kitchen</v>
      </c>
      <c r="C91" s="247" t="s">
        <v>390</v>
      </c>
      <c r="D91" s="331"/>
      <c r="E91" s="336">
        <v>1</v>
      </c>
      <c r="F91" s="337">
        <f>VLOOKUP(C91,'D&amp;W Schedule'!$B$4:$F$7,2,FALSE)</f>
        <v>0.9</v>
      </c>
      <c r="G91" s="337">
        <f>VLOOKUP(C91,'D&amp;W Schedule'!$B$4:$F$7,3,FALSE)</f>
        <v>2.1</v>
      </c>
      <c r="H91" s="337">
        <f>VLOOKUP(C91,'D&amp;W Schedule'!$B$4:$F$7,4,FALSE)</f>
        <v>1.8900000000000001</v>
      </c>
      <c r="I91" s="337">
        <f>VLOOKUP(C91,'D&amp;W Schedule'!$B$4:$F$7,5,FALSE)</f>
        <v>25000</v>
      </c>
      <c r="J91" s="507">
        <f t="shared" si="30"/>
        <v>25000</v>
      </c>
      <c r="K91" s="508"/>
      <c r="L91" s="508">
        <f t="shared" si="31"/>
        <v>28</v>
      </c>
      <c r="M91" s="512">
        <f t="shared" si="32"/>
        <v>700000</v>
      </c>
      <c r="N91" s="229"/>
      <c r="O91" s="247" t="str">
        <f t="shared" si="24"/>
        <v>K FRD</v>
      </c>
      <c r="P91" s="323"/>
      <c r="Q91" s="415"/>
      <c r="R91" s="368"/>
      <c r="S91" s="510"/>
      <c r="T91" s="510"/>
      <c r="U91" s="510"/>
      <c r="V91" s="510"/>
      <c r="W91" s="323"/>
      <c r="X91" s="323"/>
    </row>
    <row r="92" spans="1:24" ht="13.5" customHeight="1">
      <c r="A92" s="241"/>
      <c r="B92" s="246" t="str">
        <f>'Flat Sizes'!B108</f>
        <v>Sub Total</v>
      </c>
      <c r="C92" s="247"/>
      <c r="D92" s="331"/>
      <c r="E92" s="496">
        <f>SUBTOTAL(9,E86:E91)</f>
        <v>6</v>
      </c>
      <c r="F92" s="353"/>
      <c r="G92" s="353"/>
      <c r="H92" s="353"/>
      <c r="I92" s="354"/>
      <c r="J92" s="497">
        <f>SUBTOTAL(9,J86:J91)</f>
        <v>112000</v>
      </c>
      <c r="K92" s="508"/>
      <c r="L92" s="352">
        <f>SUBTOTAL(9,L86:L91)</f>
        <v>168</v>
      </c>
      <c r="M92" s="514">
        <f>SUBTOTAL(9,M86:M91)</f>
        <v>3136000</v>
      </c>
      <c r="N92" s="229"/>
      <c r="O92" s="247">
        <f t="shared" si="24"/>
        <v>0</v>
      </c>
      <c r="P92" s="323"/>
      <c r="Q92" s="415"/>
      <c r="R92" s="368"/>
      <c r="S92" s="510"/>
      <c r="T92" s="510"/>
      <c r="U92" s="510"/>
      <c r="V92" s="510"/>
      <c r="W92" s="323"/>
      <c r="X92" s="323"/>
    </row>
    <row r="93" spans="1:24" ht="13.5" customHeight="1">
      <c r="A93" s="241"/>
      <c r="B93" s="270" t="str">
        <f>'Flat Sizes'!B109</f>
        <v>Flat 7,
3BHK</v>
      </c>
      <c r="C93" s="247"/>
      <c r="D93" s="331"/>
      <c r="E93" s="352"/>
      <c r="F93" s="353"/>
      <c r="G93" s="353"/>
      <c r="H93" s="353"/>
      <c r="I93" s="354"/>
      <c r="J93" s="383"/>
      <c r="K93" s="328">
        <f>'Room Conf'!W40</f>
        <v>26</v>
      </c>
      <c r="L93" s="328"/>
      <c r="M93" s="377"/>
      <c r="N93" s="229"/>
      <c r="O93" s="247">
        <f t="shared" si="24"/>
        <v>0</v>
      </c>
      <c r="P93" s="323"/>
      <c r="Q93" s="329"/>
      <c r="R93" s="368"/>
      <c r="S93" s="330"/>
      <c r="T93" s="330"/>
      <c r="U93" s="330"/>
      <c r="V93" s="330"/>
      <c r="W93" s="323"/>
      <c r="X93" s="323"/>
    </row>
    <row r="94" spans="1:24" ht="13.5" customHeight="1">
      <c r="A94" s="241"/>
      <c r="B94" s="244" t="str">
        <f>'Flat Sizes'!B110</f>
        <v>Living, Dining &amp; Passage</v>
      </c>
      <c r="C94" s="247" t="s">
        <v>387</v>
      </c>
      <c r="D94" s="331"/>
      <c r="E94" s="336">
        <v>1</v>
      </c>
      <c r="F94" s="337">
        <f>VLOOKUP(C94,'D&amp;W Schedule'!$B$4:$F$7,2,FALSE)</f>
        <v>1.2</v>
      </c>
      <c r="G94" s="337">
        <f>VLOOKUP(C94,'D&amp;W Schedule'!$B$4:$F$7,3,FALSE)</f>
        <v>2.1</v>
      </c>
      <c r="H94" s="337">
        <f>VLOOKUP(C94,'D&amp;W Schedule'!$B$4:$F$7,4,FALSE)</f>
        <v>2.52</v>
      </c>
      <c r="I94" s="337">
        <f>VLOOKUP(C94,'D&amp;W Schedule'!$B$4:$F$7,5,FALSE)</f>
        <v>30000</v>
      </c>
      <c r="J94" s="507">
        <f t="shared" ref="J94:J101" si="33">E94*I94</f>
        <v>30000</v>
      </c>
      <c r="K94" s="508"/>
      <c r="L94" s="508">
        <f t="shared" ref="L94:L101" si="34">$K$93*E94</f>
        <v>26</v>
      </c>
      <c r="M94" s="512">
        <f>+$K$93*J94</f>
        <v>780000</v>
      </c>
      <c r="N94" s="229"/>
      <c r="O94" s="247" t="str">
        <f t="shared" si="24"/>
        <v>FRD</v>
      </c>
      <c r="P94" s="323"/>
      <c r="Q94" s="415"/>
      <c r="R94" s="368"/>
      <c r="S94" s="510"/>
      <c r="T94" s="510"/>
      <c r="U94" s="510"/>
      <c r="V94" s="510"/>
      <c r="W94" s="323"/>
      <c r="X94" s="323"/>
    </row>
    <row r="95" spans="1:24" ht="13.5" customHeight="1">
      <c r="A95" s="241"/>
      <c r="B95" s="244" t="str">
        <f>'Flat Sizes'!B111</f>
        <v>M. Bedroom</v>
      </c>
      <c r="C95" s="247" t="s">
        <v>388</v>
      </c>
      <c r="D95" s="331"/>
      <c r="E95" s="336">
        <v>1</v>
      </c>
      <c r="F95" s="337">
        <f>VLOOKUP(C95,'D&amp;W Schedule'!$B$4:$F$7,2,FALSE)</f>
        <v>0.9</v>
      </c>
      <c r="G95" s="337">
        <f>VLOOKUP(C95,'D&amp;W Schedule'!$B$4:$F$7,3,FALSE)</f>
        <v>2.1</v>
      </c>
      <c r="H95" s="337">
        <f>VLOOKUP(C95,'D&amp;W Schedule'!$B$4:$F$7,4,FALSE)</f>
        <v>1.8900000000000001</v>
      </c>
      <c r="I95" s="337">
        <f>VLOOKUP(C95,'D&amp;W Schedule'!$B$4:$F$7,5,FALSE)</f>
        <v>18000</v>
      </c>
      <c r="J95" s="507">
        <f t="shared" si="33"/>
        <v>18000</v>
      </c>
      <c r="K95" s="508"/>
      <c r="L95" s="508">
        <f t="shared" si="34"/>
        <v>26</v>
      </c>
      <c r="M95" s="512">
        <f t="shared" ref="M95:M101" si="35">+$K$93*J95</f>
        <v>468000</v>
      </c>
      <c r="N95" s="229"/>
      <c r="O95" s="247" t="str">
        <f t="shared" si="24"/>
        <v>D1</v>
      </c>
      <c r="P95" s="323"/>
      <c r="Q95" s="415"/>
      <c r="R95" s="368"/>
      <c r="S95" s="510"/>
      <c r="T95" s="510"/>
      <c r="U95" s="510"/>
      <c r="V95" s="510"/>
      <c r="W95" s="323"/>
      <c r="X95" s="323"/>
    </row>
    <row r="96" spans="1:24" ht="13.5" customHeight="1">
      <c r="A96" s="241"/>
      <c r="B96" s="244" t="str">
        <f>'Flat Sizes'!B112</f>
        <v>M. Toilet</v>
      </c>
      <c r="C96" s="247" t="s">
        <v>389</v>
      </c>
      <c r="D96" s="331"/>
      <c r="E96" s="336">
        <v>1</v>
      </c>
      <c r="F96" s="337">
        <f>VLOOKUP(C96,'D&amp;W Schedule'!$B$4:$F$7,2,FALSE)</f>
        <v>0.75</v>
      </c>
      <c r="G96" s="337">
        <f>VLOOKUP(C96,'D&amp;W Schedule'!$B$4:$F$7,3,FALSE)</f>
        <v>2.1</v>
      </c>
      <c r="H96" s="337">
        <f>VLOOKUP(C96,'D&amp;W Schedule'!$B$4:$F$7,4,FALSE)</f>
        <v>1.5750000000000002</v>
      </c>
      <c r="I96" s="337">
        <f>VLOOKUP(C96,'D&amp;W Schedule'!$B$4:$F$7,5,FALSE)</f>
        <v>10500</v>
      </c>
      <c r="J96" s="507">
        <f t="shared" si="33"/>
        <v>10500</v>
      </c>
      <c r="K96" s="508"/>
      <c r="L96" s="508">
        <f t="shared" si="34"/>
        <v>26</v>
      </c>
      <c r="M96" s="512">
        <f t="shared" si="35"/>
        <v>273000</v>
      </c>
      <c r="N96" s="229"/>
      <c r="O96" s="247" t="str">
        <f t="shared" si="24"/>
        <v>D2</v>
      </c>
      <c r="P96" s="323"/>
      <c r="Q96" s="415"/>
      <c r="R96" s="368"/>
      <c r="S96" s="510"/>
      <c r="T96" s="510"/>
      <c r="U96" s="510"/>
      <c r="V96" s="510"/>
      <c r="W96" s="323"/>
      <c r="X96" s="323"/>
    </row>
    <row r="97" spans="1:24" ht="13.5" customHeight="1">
      <c r="A97" s="241"/>
      <c r="B97" s="244" t="str">
        <f>'Flat Sizes'!B113</f>
        <v>M. Bedroom</v>
      </c>
      <c r="C97" s="247" t="s">
        <v>388</v>
      </c>
      <c r="D97" s="331"/>
      <c r="E97" s="336">
        <v>1</v>
      </c>
      <c r="F97" s="337">
        <f>VLOOKUP(C97,'D&amp;W Schedule'!$B$4:$F$7,2,FALSE)</f>
        <v>0.9</v>
      </c>
      <c r="G97" s="337">
        <f>VLOOKUP(C97,'D&amp;W Schedule'!$B$4:$F$7,3,FALSE)</f>
        <v>2.1</v>
      </c>
      <c r="H97" s="337">
        <f>VLOOKUP(C97,'D&amp;W Schedule'!$B$4:$F$7,4,FALSE)</f>
        <v>1.8900000000000001</v>
      </c>
      <c r="I97" s="337">
        <f>VLOOKUP(C97,'D&amp;W Schedule'!$B$4:$F$7,5,FALSE)</f>
        <v>18000</v>
      </c>
      <c r="J97" s="507">
        <f t="shared" si="33"/>
        <v>18000</v>
      </c>
      <c r="K97" s="508"/>
      <c r="L97" s="508">
        <f t="shared" si="34"/>
        <v>26</v>
      </c>
      <c r="M97" s="512">
        <f t="shared" si="35"/>
        <v>468000</v>
      </c>
      <c r="N97" s="229"/>
      <c r="O97" s="247" t="str">
        <f t="shared" si="24"/>
        <v>D1</v>
      </c>
      <c r="P97" s="323"/>
      <c r="Q97" s="415"/>
      <c r="R97" s="368"/>
      <c r="S97" s="510"/>
      <c r="T97" s="510"/>
      <c r="U97" s="510"/>
      <c r="V97" s="510"/>
      <c r="W97" s="323"/>
      <c r="X97" s="323"/>
    </row>
    <row r="98" spans="1:24" ht="13.5" customHeight="1">
      <c r="A98" s="241"/>
      <c r="B98" s="244" t="str">
        <f>'Flat Sizes'!B114</f>
        <v>M. Toilet</v>
      </c>
      <c r="C98" s="247" t="s">
        <v>389</v>
      </c>
      <c r="D98" s="331"/>
      <c r="E98" s="336">
        <v>1</v>
      </c>
      <c r="F98" s="337">
        <f>VLOOKUP(C98,'D&amp;W Schedule'!$B$4:$F$7,2,FALSE)</f>
        <v>0.75</v>
      </c>
      <c r="G98" s="337">
        <f>VLOOKUP(C98,'D&amp;W Schedule'!$B$4:$F$7,3,FALSE)</f>
        <v>2.1</v>
      </c>
      <c r="H98" s="337">
        <f>VLOOKUP(C98,'D&amp;W Schedule'!$B$4:$F$7,4,FALSE)</f>
        <v>1.5750000000000002</v>
      </c>
      <c r="I98" s="337">
        <f>VLOOKUP(C98,'D&amp;W Schedule'!$B$4:$F$7,5,FALSE)</f>
        <v>10500</v>
      </c>
      <c r="J98" s="507">
        <f t="shared" si="33"/>
        <v>10500</v>
      </c>
      <c r="K98" s="508"/>
      <c r="L98" s="508">
        <f t="shared" si="34"/>
        <v>26</v>
      </c>
      <c r="M98" s="512">
        <f t="shared" si="35"/>
        <v>273000</v>
      </c>
      <c r="N98" s="229"/>
      <c r="O98" s="247" t="str">
        <f t="shared" si="24"/>
        <v>D2</v>
      </c>
      <c r="P98" s="323"/>
      <c r="Q98" s="415"/>
      <c r="R98" s="368"/>
      <c r="S98" s="510"/>
      <c r="T98" s="510"/>
      <c r="U98" s="510"/>
      <c r="V98" s="510"/>
      <c r="W98" s="323"/>
      <c r="X98" s="323"/>
    </row>
    <row r="99" spans="1:24" ht="13.5" customHeight="1">
      <c r="A99" s="241"/>
      <c r="B99" s="244" t="str">
        <f>'Flat Sizes'!B115</f>
        <v>C. Bedroom</v>
      </c>
      <c r="C99" s="247" t="s">
        <v>388</v>
      </c>
      <c r="D99" s="331"/>
      <c r="E99" s="336">
        <v>1</v>
      </c>
      <c r="F99" s="337">
        <f>VLOOKUP(C99,'D&amp;W Schedule'!$B$4:$F$7,2,FALSE)</f>
        <v>0.9</v>
      </c>
      <c r="G99" s="337">
        <f>VLOOKUP(C99,'D&amp;W Schedule'!$B$4:$F$7,3,FALSE)</f>
        <v>2.1</v>
      </c>
      <c r="H99" s="337">
        <f>VLOOKUP(C99,'D&amp;W Schedule'!$B$4:$F$7,4,FALSE)</f>
        <v>1.8900000000000001</v>
      </c>
      <c r="I99" s="337">
        <f>VLOOKUP(C99,'D&amp;W Schedule'!$B$4:$F$7,5,FALSE)</f>
        <v>18000</v>
      </c>
      <c r="J99" s="507">
        <f t="shared" si="33"/>
        <v>18000</v>
      </c>
      <c r="K99" s="508"/>
      <c r="L99" s="508">
        <f t="shared" si="34"/>
        <v>26</v>
      </c>
      <c r="M99" s="512">
        <f t="shared" si="35"/>
        <v>468000</v>
      </c>
      <c r="N99" s="229"/>
      <c r="O99" s="247" t="str">
        <f t="shared" si="24"/>
        <v>D1</v>
      </c>
      <c r="P99" s="323"/>
      <c r="Q99" s="415"/>
      <c r="R99" s="368"/>
      <c r="S99" s="510"/>
      <c r="T99" s="510"/>
      <c r="U99" s="510"/>
      <c r="V99" s="510"/>
      <c r="W99" s="323"/>
      <c r="X99" s="323"/>
    </row>
    <row r="100" spans="1:24" ht="13.5" customHeight="1">
      <c r="A100" s="241"/>
      <c r="B100" s="228" t="str">
        <f>'Flat Sizes'!B116</f>
        <v>C. Toilet</v>
      </c>
      <c r="C100" s="247" t="s">
        <v>389</v>
      </c>
      <c r="D100" s="331"/>
      <c r="E100" s="336">
        <v>1</v>
      </c>
      <c r="F100" s="337">
        <f>VLOOKUP(C100,'D&amp;W Schedule'!$B$4:$F$7,2,FALSE)</f>
        <v>0.75</v>
      </c>
      <c r="G100" s="337">
        <f>VLOOKUP(C100,'D&amp;W Schedule'!$B$4:$F$7,3,FALSE)</f>
        <v>2.1</v>
      </c>
      <c r="H100" s="337">
        <f>VLOOKUP(C100,'D&amp;W Schedule'!$B$4:$F$7,4,FALSE)</f>
        <v>1.5750000000000002</v>
      </c>
      <c r="I100" s="337">
        <f>VLOOKUP(C100,'D&amp;W Schedule'!$B$4:$F$7,5,FALSE)</f>
        <v>10500</v>
      </c>
      <c r="J100" s="507">
        <f t="shared" si="33"/>
        <v>10500</v>
      </c>
      <c r="K100" s="508"/>
      <c r="L100" s="508">
        <f t="shared" si="34"/>
        <v>26</v>
      </c>
      <c r="M100" s="512">
        <f t="shared" si="35"/>
        <v>273000</v>
      </c>
      <c r="N100" s="229"/>
      <c r="O100" s="247" t="str">
        <f t="shared" si="24"/>
        <v>D2</v>
      </c>
      <c r="P100" s="323"/>
      <c r="Q100" s="415"/>
      <c r="R100" s="368"/>
      <c r="S100" s="510"/>
      <c r="T100" s="510"/>
      <c r="U100" s="510"/>
      <c r="V100" s="510"/>
      <c r="W100" s="323"/>
      <c r="X100" s="323"/>
    </row>
    <row r="101" spans="1:24" ht="13.5" customHeight="1">
      <c r="A101" s="241"/>
      <c r="B101" s="244" t="str">
        <f>'Flat Sizes'!B117</f>
        <v>Kitchen</v>
      </c>
      <c r="C101" s="247" t="s">
        <v>390</v>
      </c>
      <c r="D101" s="331"/>
      <c r="E101" s="336">
        <v>1</v>
      </c>
      <c r="F101" s="337">
        <f>VLOOKUP(C101,'D&amp;W Schedule'!$B$4:$F$7,2,FALSE)</f>
        <v>0.9</v>
      </c>
      <c r="G101" s="337">
        <f>VLOOKUP(C101,'D&amp;W Schedule'!$B$4:$F$7,3,FALSE)</f>
        <v>2.1</v>
      </c>
      <c r="H101" s="337">
        <f>VLOOKUP(C101,'D&amp;W Schedule'!$B$4:$F$7,4,FALSE)</f>
        <v>1.8900000000000001</v>
      </c>
      <c r="I101" s="337">
        <f>VLOOKUP(C101,'D&amp;W Schedule'!$B$4:$F$7,5,FALSE)</f>
        <v>25000</v>
      </c>
      <c r="J101" s="507">
        <f t="shared" si="33"/>
        <v>25000</v>
      </c>
      <c r="K101" s="508"/>
      <c r="L101" s="508">
        <f t="shared" si="34"/>
        <v>26</v>
      </c>
      <c r="M101" s="512">
        <f t="shared" si="35"/>
        <v>650000</v>
      </c>
      <c r="N101" s="229"/>
      <c r="O101" s="247" t="str">
        <f t="shared" si="24"/>
        <v>K FRD</v>
      </c>
      <c r="P101" s="323"/>
      <c r="Q101" s="415"/>
      <c r="R101" s="368"/>
      <c r="S101" s="510"/>
      <c r="T101" s="510"/>
      <c r="U101" s="510"/>
      <c r="V101" s="510"/>
      <c r="W101" s="323"/>
      <c r="X101" s="323"/>
    </row>
    <row r="102" spans="1:24" ht="13.5" customHeight="1">
      <c r="A102" s="241"/>
      <c r="B102" s="246" t="str">
        <f>'Flat Sizes'!B120</f>
        <v>Sub Total</v>
      </c>
      <c r="C102" s="247"/>
      <c r="D102" s="331"/>
      <c r="E102" s="496">
        <f>SUBTOTAL(9,E94:E101)</f>
        <v>8</v>
      </c>
      <c r="F102" s="353"/>
      <c r="G102" s="353"/>
      <c r="H102" s="353"/>
      <c r="I102" s="354"/>
      <c r="J102" s="497">
        <f>SUBTOTAL(9,J94:J101)</f>
        <v>140500</v>
      </c>
      <c r="K102" s="508"/>
      <c r="L102" s="352">
        <f>SUBTOTAL(9,L94:L101)</f>
        <v>208</v>
      </c>
      <c r="M102" s="514">
        <f>SUBTOTAL(9,M94:M101)</f>
        <v>3653000</v>
      </c>
      <c r="N102" s="229"/>
      <c r="O102" s="247">
        <f t="shared" si="24"/>
        <v>0</v>
      </c>
      <c r="P102" s="323"/>
      <c r="Q102" s="415"/>
      <c r="R102" s="368"/>
      <c r="S102" s="510"/>
      <c r="T102" s="510"/>
      <c r="U102" s="510"/>
      <c r="V102" s="510"/>
      <c r="W102" s="323"/>
      <c r="X102" s="323"/>
    </row>
    <row r="103" spans="1:24" ht="13.5" customHeight="1">
      <c r="A103" s="241"/>
      <c r="B103" s="270" t="str">
        <f>'Flat Sizes'!B121</f>
        <v>Flat 8,
3BHK</v>
      </c>
      <c r="C103" s="247"/>
      <c r="D103" s="331"/>
      <c r="E103" s="352"/>
      <c r="F103" s="353"/>
      <c r="G103" s="353"/>
      <c r="H103" s="353"/>
      <c r="I103" s="354"/>
      <c r="J103" s="383"/>
      <c r="K103" s="328">
        <f>'Room Conf'!X40</f>
        <v>30</v>
      </c>
      <c r="L103" s="328"/>
      <c r="M103" s="377"/>
      <c r="N103" s="229"/>
      <c r="O103" s="247">
        <f t="shared" si="24"/>
        <v>0</v>
      </c>
      <c r="P103" s="323"/>
      <c r="Q103" s="329"/>
      <c r="R103" s="368"/>
      <c r="S103" s="330"/>
      <c r="T103" s="330"/>
      <c r="U103" s="330"/>
      <c r="V103" s="330"/>
      <c r="W103" s="323"/>
      <c r="X103" s="323"/>
    </row>
    <row r="104" spans="1:24" ht="13.5" customHeight="1">
      <c r="A104" s="241"/>
      <c r="B104" s="244" t="str">
        <f>'Flat Sizes'!B122</f>
        <v>Living, Dining &amp; Passage</v>
      </c>
      <c r="C104" s="247" t="s">
        <v>387</v>
      </c>
      <c r="D104" s="331"/>
      <c r="E104" s="336">
        <v>1</v>
      </c>
      <c r="F104" s="337">
        <f>VLOOKUP(C104,'D&amp;W Schedule'!$B$4:$F$7,2,FALSE)</f>
        <v>1.2</v>
      </c>
      <c r="G104" s="337">
        <f>VLOOKUP(C104,'D&amp;W Schedule'!$B$4:$F$7,3,FALSE)</f>
        <v>2.1</v>
      </c>
      <c r="H104" s="337">
        <f>VLOOKUP(C104,'D&amp;W Schedule'!$B$4:$F$7,4,FALSE)</f>
        <v>2.52</v>
      </c>
      <c r="I104" s="337">
        <f>VLOOKUP(C104,'D&amp;W Schedule'!$B$4:$F$7,5,FALSE)</f>
        <v>30000</v>
      </c>
      <c r="J104" s="507">
        <f t="shared" ref="J104:J111" si="36">E104*I104</f>
        <v>30000</v>
      </c>
      <c r="K104" s="508"/>
      <c r="L104" s="508">
        <f t="shared" ref="L104:L111" si="37">$K$103*E104</f>
        <v>30</v>
      </c>
      <c r="M104" s="512">
        <f>+$K$103*J104</f>
        <v>900000</v>
      </c>
      <c r="N104" s="229"/>
      <c r="O104" s="247" t="str">
        <f t="shared" si="24"/>
        <v>FRD</v>
      </c>
      <c r="P104" s="323"/>
      <c r="Q104" s="415"/>
      <c r="R104" s="368"/>
      <c r="S104" s="510"/>
      <c r="T104" s="510"/>
      <c r="U104" s="510"/>
      <c r="V104" s="510"/>
      <c r="W104" s="323"/>
      <c r="X104" s="323"/>
    </row>
    <row r="105" spans="1:24" ht="13.5" customHeight="1">
      <c r="A105" s="241"/>
      <c r="B105" s="244" t="str">
        <f>'Flat Sizes'!B123</f>
        <v>M. Bedroom</v>
      </c>
      <c r="C105" s="247" t="s">
        <v>388</v>
      </c>
      <c r="D105" s="331"/>
      <c r="E105" s="336">
        <v>1</v>
      </c>
      <c r="F105" s="337">
        <f>VLOOKUP(C105,'D&amp;W Schedule'!$B$4:$F$7,2,FALSE)</f>
        <v>0.9</v>
      </c>
      <c r="G105" s="337">
        <f>VLOOKUP(C105,'D&amp;W Schedule'!$B$4:$F$7,3,FALSE)</f>
        <v>2.1</v>
      </c>
      <c r="H105" s="337">
        <f>VLOOKUP(C105,'D&amp;W Schedule'!$B$4:$F$7,4,FALSE)</f>
        <v>1.8900000000000001</v>
      </c>
      <c r="I105" s="337">
        <f>VLOOKUP(C105,'D&amp;W Schedule'!$B$4:$F$7,5,FALSE)</f>
        <v>18000</v>
      </c>
      <c r="J105" s="507">
        <f t="shared" si="36"/>
        <v>18000</v>
      </c>
      <c r="K105" s="508"/>
      <c r="L105" s="508">
        <f t="shared" si="37"/>
        <v>30</v>
      </c>
      <c r="M105" s="512">
        <f t="shared" ref="M105:M111" si="38">+$K$103*J105</f>
        <v>540000</v>
      </c>
      <c r="N105" s="229"/>
      <c r="O105" s="247" t="str">
        <f t="shared" si="24"/>
        <v>D1</v>
      </c>
      <c r="P105" s="323"/>
      <c r="Q105" s="415"/>
      <c r="R105" s="368"/>
      <c r="S105" s="510"/>
      <c r="T105" s="510"/>
      <c r="U105" s="510"/>
      <c r="V105" s="510"/>
      <c r="W105" s="323"/>
      <c r="X105" s="323"/>
    </row>
    <row r="106" spans="1:24" ht="13.5" customHeight="1">
      <c r="A106" s="241"/>
      <c r="B106" s="244" t="str">
        <f>'Flat Sizes'!B124</f>
        <v>M. Toilet</v>
      </c>
      <c r="C106" s="247" t="s">
        <v>389</v>
      </c>
      <c r="D106" s="331"/>
      <c r="E106" s="336">
        <v>1</v>
      </c>
      <c r="F106" s="337">
        <f>VLOOKUP(C106,'D&amp;W Schedule'!$B$4:$F$7,2,FALSE)</f>
        <v>0.75</v>
      </c>
      <c r="G106" s="337">
        <f>VLOOKUP(C106,'D&amp;W Schedule'!$B$4:$F$7,3,FALSE)</f>
        <v>2.1</v>
      </c>
      <c r="H106" s="337">
        <f>VLOOKUP(C106,'D&amp;W Schedule'!$B$4:$F$7,4,FALSE)</f>
        <v>1.5750000000000002</v>
      </c>
      <c r="I106" s="337">
        <f>VLOOKUP(C106,'D&amp;W Schedule'!$B$4:$F$7,5,FALSE)</f>
        <v>10500</v>
      </c>
      <c r="J106" s="507">
        <f t="shared" si="36"/>
        <v>10500</v>
      </c>
      <c r="K106" s="508"/>
      <c r="L106" s="508">
        <f t="shared" si="37"/>
        <v>30</v>
      </c>
      <c r="M106" s="512">
        <f t="shared" si="38"/>
        <v>315000</v>
      </c>
      <c r="N106" s="229"/>
      <c r="O106" s="247" t="str">
        <f t="shared" si="24"/>
        <v>D2</v>
      </c>
      <c r="P106" s="323"/>
      <c r="Q106" s="415"/>
      <c r="R106" s="368"/>
      <c r="S106" s="510"/>
      <c r="T106" s="510"/>
      <c r="U106" s="510"/>
      <c r="V106" s="510"/>
      <c r="W106" s="323"/>
      <c r="X106" s="323"/>
    </row>
    <row r="107" spans="1:24" ht="13.5" customHeight="1">
      <c r="A107" s="241"/>
      <c r="B107" s="244" t="str">
        <f>'Flat Sizes'!B125</f>
        <v>M. Bedroom</v>
      </c>
      <c r="C107" s="247" t="s">
        <v>388</v>
      </c>
      <c r="D107" s="331"/>
      <c r="E107" s="336">
        <v>1</v>
      </c>
      <c r="F107" s="337">
        <f>VLOOKUP(C107,'D&amp;W Schedule'!$B$4:$F$7,2,FALSE)</f>
        <v>0.9</v>
      </c>
      <c r="G107" s="337">
        <f>VLOOKUP(C107,'D&amp;W Schedule'!$B$4:$F$7,3,FALSE)</f>
        <v>2.1</v>
      </c>
      <c r="H107" s="337">
        <f>VLOOKUP(C107,'D&amp;W Schedule'!$B$4:$F$7,4,FALSE)</f>
        <v>1.8900000000000001</v>
      </c>
      <c r="I107" s="337">
        <f>VLOOKUP(C107,'D&amp;W Schedule'!$B$4:$F$7,5,FALSE)</f>
        <v>18000</v>
      </c>
      <c r="J107" s="507">
        <f t="shared" si="36"/>
        <v>18000</v>
      </c>
      <c r="K107" s="508"/>
      <c r="L107" s="508">
        <f t="shared" si="37"/>
        <v>30</v>
      </c>
      <c r="M107" s="512">
        <f t="shared" si="38"/>
        <v>540000</v>
      </c>
      <c r="N107" s="229"/>
      <c r="O107" s="247" t="str">
        <f t="shared" si="24"/>
        <v>D1</v>
      </c>
      <c r="P107" s="323"/>
      <c r="Q107" s="415"/>
      <c r="R107" s="368"/>
      <c r="S107" s="510"/>
      <c r="T107" s="510"/>
      <c r="U107" s="510"/>
      <c r="V107" s="510"/>
      <c r="W107" s="323"/>
      <c r="X107" s="323"/>
    </row>
    <row r="108" spans="1:24" ht="13.5" customHeight="1">
      <c r="A108" s="241"/>
      <c r="B108" s="244" t="str">
        <f>'Flat Sizes'!B126</f>
        <v>M. Toilet</v>
      </c>
      <c r="C108" s="247" t="s">
        <v>389</v>
      </c>
      <c r="D108" s="331"/>
      <c r="E108" s="336">
        <v>1</v>
      </c>
      <c r="F108" s="337">
        <f>VLOOKUP(C108,'D&amp;W Schedule'!$B$4:$F$7,2,FALSE)</f>
        <v>0.75</v>
      </c>
      <c r="G108" s="337">
        <f>VLOOKUP(C108,'D&amp;W Schedule'!$B$4:$F$7,3,FALSE)</f>
        <v>2.1</v>
      </c>
      <c r="H108" s="337">
        <f>VLOOKUP(C108,'D&amp;W Schedule'!$B$4:$F$7,4,FALSE)</f>
        <v>1.5750000000000002</v>
      </c>
      <c r="I108" s="337">
        <f>VLOOKUP(C108,'D&amp;W Schedule'!$B$4:$F$7,5,FALSE)</f>
        <v>10500</v>
      </c>
      <c r="J108" s="507">
        <f t="shared" si="36"/>
        <v>10500</v>
      </c>
      <c r="K108" s="508"/>
      <c r="L108" s="508">
        <f t="shared" si="37"/>
        <v>30</v>
      </c>
      <c r="M108" s="512">
        <f t="shared" si="38"/>
        <v>315000</v>
      </c>
      <c r="N108" s="229"/>
      <c r="O108" s="247" t="str">
        <f t="shared" si="24"/>
        <v>D2</v>
      </c>
      <c r="P108" s="323"/>
      <c r="Q108" s="415"/>
      <c r="R108" s="368"/>
      <c r="S108" s="510"/>
      <c r="T108" s="510"/>
      <c r="U108" s="510"/>
      <c r="V108" s="510"/>
      <c r="W108" s="323"/>
      <c r="X108" s="323"/>
    </row>
    <row r="109" spans="1:24" ht="13.5" customHeight="1">
      <c r="A109" s="241"/>
      <c r="B109" s="244" t="str">
        <f>'Flat Sizes'!B127</f>
        <v>C. Bedroom</v>
      </c>
      <c r="C109" s="247" t="s">
        <v>388</v>
      </c>
      <c r="D109" s="331"/>
      <c r="E109" s="336">
        <v>1</v>
      </c>
      <c r="F109" s="337">
        <f>VLOOKUP(C109,'D&amp;W Schedule'!$B$4:$F$7,2,FALSE)</f>
        <v>0.9</v>
      </c>
      <c r="G109" s="337">
        <f>VLOOKUP(C109,'D&amp;W Schedule'!$B$4:$F$7,3,FALSE)</f>
        <v>2.1</v>
      </c>
      <c r="H109" s="337">
        <f>VLOOKUP(C109,'D&amp;W Schedule'!$B$4:$F$7,4,FALSE)</f>
        <v>1.8900000000000001</v>
      </c>
      <c r="I109" s="337">
        <f>VLOOKUP(C109,'D&amp;W Schedule'!$B$4:$F$7,5,FALSE)</f>
        <v>18000</v>
      </c>
      <c r="J109" s="507">
        <f t="shared" si="36"/>
        <v>18000</v>
      </c>
      <c r="K109" s="508"/>
      <c r="L109" s="508">
        <f t="shared" si="37"/>
        <v>30</v>
      </c>
      <c r="M109" s="512">
        <f t="shared" si="38"/>
        <v>540000</v>
      </c>
      <c r="N109" s="229"/>
      <c r="O109" s="247" t="str">
        <f t="shared" si="24"/>
        <v>D1</v>
      </c>
      <c r="P109" s="323"/>
      <c r="Q109" s="415"/>
      <c r="R109" s="368"/>
      <c r="S109" s="510"/>
      <c r="T109" s="510"/>
      <c r="U109" s="510"/>
      <c r="V109" s="510"/>
      <c r="W109" s="323"/>
      <c r="X109" s="323"/>
    </row>
    <row r="110" spans="1:24" ht="13.5" customHeight="1">
      <c r="A110" s="241"/>
      <c r="B110" s="228" t="str">
        <f>'Flat Sizes'!B128</f>
        <v>C. Toilet</v>
      </c>
      <c r="C110" s="247" t="s">
        <v>389</v>
      </c>
      <c r="D110" s="331"/>
      <c r="E110" s="336">
        <v>1</v>
      </c>
      <c r="F110" s="337">
        <f>VLOOKUP(C110,'D&amp;W Schedule'!$B$4:$F$7,2,FALSE)</f>
        <v>0.75</v>
      </c>
      <c r="G110" s="337">
        <f>VLOOKUP(C110,'D&amp;W Schedule'!$B$4:$F$7,3,FALSE)</f>
        <v>2.1</v>
      </c>
      <c r="H110" s="337">
        <f>VLOOKUP(C110,'D&amp;W Schedule'!$B$4:$F$7,4,FALSE)</f>
        <v>1.5750000000000002</v>
      </c>
      <c r="I110" s="337">
        <f>VLOOKUP(C110,'D&amp;W Schedule'!$B$4:$F$7,5,FALSE)</f>
        <v>10500</v>
      </c>
      <c r="J110" s="507">
        <f t="shared" si="36"/>
        <v>10500</v>
      </c>
      <c r="K110" s="508"/>
      <c r="L110" s="508">
        <f t="shared" si="37"/>
        <v>30</v>
      </c>
      <c r="M110" s="512">
        <f t="shared" si="38"/>
        <v>315000</v>
      </c>
      <c r="N110" s="229"/>
      <c r="O110" s="247" t="str">
        <f t="shared" si="24"/>
        <v>D2</v>
      </c>
      <c r="P110" s="323"/>
      <c r="Q110" s="415"/>
      <c r="R110" s="368"/>
      <c r="S110" s="510"/>
      <c r="T110" s="510"/>
      <c r="U110" s="510"/>
      <c r="V110" s="510"/>
      <c r="W110" s="323"/>
      <c r="X110" s="323"/>
    </row>
    <row r="111" spans="1:24" ht="13.5" customHeight="1">
      <c r="A111" s="241"/>
      <c r="B111" s="244" t="str">
        <f>'Flat Sizes'!B129</f>
        <v>Kitchen</v>
      </c>
      <c r="C111" s="247" t="s">
        <v>390</v>
      </c>
      <c r="D111" s="331"/>
      <c r="E111" s="336">
        <v>1</v>
      </c>
      <c r="F111" s="337">
        <f>VLOOKUP(C111,'D&amp;W Schedule'!$B$4:$F$7,2,FALSE)</f>
        <v>0.9</v>
      </c>
      <c r="G111" s="337">
        <f>VLOOKUP(C111,'D&amp;W Schedule'!$B$4:$F$7,3,FALSE)</f>
        <v>2.1</v>
      </c>
      <c r="H111" s="337">
        <f>VLOOKUP(C111,'D&amp;W Schedule'!$B$4:$F$7,4,FALSE)</f>
        <v>1.8900000000000001</v>
      </c>
      <c r="I111" s="337">
        <f>VLOOKUP(C111,'D&amp;W Schedule'!$B$4:$F$7,5,FALSE)</f>
        <v>25000</v>
      </c>
      <c r="J111" s="507">
        <f t="shared" si="36"/>
        <v>25000</v>
      </c>
      <c r="K111" s="508"/>
      <c r="L111" s="508">
        <f t="shared" si="37"/>
        <v>30</v>
      </c>
      <c r="M111" s="512">
        <f t="shared" si="38"/>
        <v>750000</v>
      </c>
      <c r="N111" s="229"/>
      <c r="O111" s="247" t="str">
        <f t="shared" si="24"/>
        <v>K FRD</v>
      </c>
      <c r="P111" s="323"/>
      <c r="Q111" s="415"/>
      <c r="R111" s="368"/>
      <c r="S111" s="510"/>
      <c r="T111" s="510"/>
      <c r="U111" s="510"/>
      <c r="V111" s="510"/>
      <c r="W111" s="323"/>
      <c r="X111" s="323"/>
    </row>
    <row r="112" spans="1:24" ht="13.5" customHeight="1">
      <c r="A112" s="241"/>
      <c r="B112" s="246" t="str">
        <f>'Flat Sizes'!B132</f>
        <v>Sub Total</v>
      </c>
      <c r="C112" s="247"/>
      <c r="D112" s="331"/>
      <c r="E112" s="496">
        <f>SUBTOTAL(9,E104:E111)</f>
        <v>8</v>
      </c>
      <c r="F112" s="353"/>
      <c r="G112" s="353"/>
      <c r="H112" s="353"/>
      <c r="I112" s="354"/>
      <c r="J112" s="497">
        <f>SUBTOTAL(9,J104:J111)</f>
        <v>140500</v>
      </c>
      <c r="K112" s="508"/>
      <c r="L112" s="352">
        <f>SUBTOTAL(9,L104:L111)</f>
        <v>240</v>
      </c>
      <c r="M112" s="514">
        <f>SUBTOTAL(9,M104:M111)</f>
        <v>4215000</v>
      </c>
      <c r="N112" s="229"/>
      <c r="O112" s="247">
        <f t="shared" si="24"/>
        <v>0</v>
      </c>
      <c r="P112" s="323"/>
      <c r="Q112" s="415"/>
      <c r="R112" s="368"/>
      <c r="S112" s="510"/>
      <c r="T112" s="510"/>
      <c r="U112" s="510"/>
      <c r="V112" s="510"/>
      <c r="W112" s="323"/>
      <c r="X112" s="323"/>
    </row>
    <row r="113" spans="1:24" ht="13.5" customHeight="1">
      <c r="A113" s="241"/>
      <c r="B113" s="270" t="str">
        <f>'Flat Sizes'!B133</f>
        <v>Flat 9,
2BHK</v>
      </c>
      <c r="C113" s="247"/>
      <c r="D113" s="331"/>
      <c r="E113" s="352"/>
      <c r="F113" s="353"/>
      <c r="G113" s="353"/>
      <c r="H113" s="353"/>
      <c r="I113" s="354"/>
      <c r="J113" s="383"/>
      <c r="K113" s="328">
        <f>'Room Conf'!Y40</f>
        <v>28</v>
      </c>
      <c r="L113" s="328"/>
      <c r="M113" s="377"/>
      <c r="N113" s="229"/>
      <c r="O113" s="247">
        <f t="shared" si="24"/>
        <v>0</v>
      </c>
      <c r="P113" s="323"/>
      <c r="Q113" s="329"/>
      <c r="R113" s="368"/>
      <c r="S113" s="330"/>
      <c r="T113" s="330"/>
      <c r="U113" s="330"/>
      <c r="V113" s="330"/>
      <c r="W113" s="323"/>
      <c r="X113" s="323"/>
    </row>
    <row r="114" spans="1:24" ht="13.5" customHeight="1">
      <c r="A114" s="241"/>
      <c r="B114" s="244" t="str">
        <f>'Flat Sizes'!B134</f>
        <v>Living, Dining &amp; Passage</v>
      </c>
      <c r="C114" s="247" t="s">
        <v>387</v>
      </c>
      <c r="D114" s="331"/>
      <c r="E114" s="336">
        <v>1</v>
      </c>
      <c r="F114" s="337">
        <f>VLOOKUP(C114,'D&amp;W Schedule'!$B$4:$F$7,2,FALSE)</f>
        <v>1.2</v>
      </c>
      <c r="G114" s="337">
        <f>VLOOKUP(C114,'D&amp;W Schedule'!$B$4:$F$7,3,FALSE)</f>
        <v>2.1</v>
      </c>
      <c r="H114" s="337">
        <f>VLOOKUP(C114,'D&amp;W Schedule'!$B$4:$F$7,4,FALSE)</f>
        <v>2.52</v>
      </c>
      <c r="I114" s="337">
        <f>VLOOKUP(C114,'D&amp;W Schedule'!$B$4:$F$7,5,FALSE)</f>
        <v>30000</v>
      </c>
      <c r="J114" s="507">
        <f t="shared" ref="J114:J119" si="39">E114*I114</f>
        <v>30000</v>
      </c>
      <c r="K114" s="508"/>
      <c r="L114" s="508">
        <f t="shared" ref="L114:L119" si="40">$K$113*E114</f>
        <v>28</v>
      </c>
      <c r="M114" s="512">
        <f>+$K$113*J114</f>
        <v>840000</v>
      </c>
      <c r="N114" s="229"/>
      <c r="O114" s="247" t="str">
        <f t="shared" si="24"/>
        <v>FRD</v>
      </c>
      <c r="P114" s="323"/>
      <c r="Q114" s="415"/>
      <c r="R114" s="368"/>
      <c r="S114" s="510"/>
      <c r="T114" s="510"/>
      <c r="U114" s="510"/>
      <c r="V114" s="510"/>
      <c r="W114" s="323"/>
      <c r="X114" s="323"/>
    </row>
    <row r="115" spans="1:24" ht="13.5" customHeight="1">
      <c r="A115" s="241"/>
      <c r="B115" s="244" t="str">
        <f>'Flat Sizes'!B135</f>
        <v>M. Bedroom</v>
      </c>
      <c r="C115" s="247" t="s">
        <v>388</v>
      </c>
      <c r="D115" s="331"/>
      <c r="E115" s="336">
        <v>1</v>
      </c>
      <c r="F115" s="337">
        <f>VLOOKUP(C115,'D&amp;W Schedule'!$B$4:$F$7,2,FALSE)</f>
        <v>0.9</v>
      </c>
      <c r="G115" s="337">
        <f>VLOOKUP(C115,'D&amp;W Schedule'!$B$4:$F$7,3,FALSE)</f>
        <v>2.1</v>
      </c>
      <c r="H115" s="337">
        <f>VLOOKUP(C115,'D&amp;W Schedule'!$B$4:$F$7,4,FALSE)</f>
        <v>1.8900000000000001</v>
      </c>
      <c r="I115" s="337">
        <f>VLOOKUP(C115,'D&amp;W Schedule'!$B$4:$F$7,5,FALSE)</f>
        <v>18000</v>
      </c>
      <c r="J115" s="507">
        <f t="shared" si="39"/>
        <v>18000</v>
      </c>
      <c r="K115" s="508"/>
      <c r="L115" s="508">
        <f t="shared" si="40"/>
        <v>28</v>
      </c>
      <c r="M115" s="512">
        <f t="shared" ref="M115:M119" si="41">+$K$113*J115</f>
        <v>504000</v>
      </c>
      <c r="N115" s="229"/>
      <c r="O115" s="247" t="str">
        <f t="shared" si="24"/>
        <v>D1</v>
      </c>
      <c r="P115" s="323"/>
      <c r="Q115" s="415"/>
      <c r="R115" s="368"/>
      <c r="S115" s="510"/>
      <c r="T115" s="510"/>
      <c r="U115" s="510"/>
      <c r="V115" s="510"/>
      <c r="W115" s="323"/>
      <c r="X115" s="323"/>
    </row>
    <row r="116" spans="1:24" ht="13.5" customHeight="1">
      <c r="A116" s="241"/>
      <c r="B116" s="244" t="str">
        <f>'Flat Sizes'!B136</f>
        <v>M. Toilet</v>
      </c>
      <c r="C116" s="247" t="s">
        <v>389</v>
      </c>
      <c r="D116" s="331"/>
      <c r="E116" s="336">
        <v>1</v>
      </c>
      <c r="F116" s="337">
        <f>VLOOKUP(C116,'D&amp;W Schedule'!$B$4:$F$7,2,FALSE)</f>
        <v>0.75</v>
      </c>
      <c r="G116" s="337">
        <f>VLOOKUP(C116,'D&amp;W Schedule'!$B$4:$F$7,3,FALSE)</f>
        <v>2.1</v>
      </c>
      <c r="H116" s="337">
        <f>VLOOKUP(C116,'D&amp;W Schedule'!$B$4:$F$7,4,FALSE)</f>
        <v>1.5750000000000002</v>
      </c>
      <c r="I116" s="337">
        <f>VLOOKUP(C116,'D&amp;W Schedule'!$B$4:$F$7,5,FALSE)</f>
        <v>10500</v>
      </c>
      <c r="J116" s="507">
        <f t="shared" si="39"/>
        <v>10500</v>
      </c>
      <c r="K116" s="508"/>
      <c r="L116" s="508">
        <f t="shared" si="40"/>
        <v>28</v>
      </c>
      <c r="M116" s="512">
        <f t="shared" si="41"/>
        <v>294000</v>
      </c>
      <c r="N116" s="229"/>
      <c r="O116" s="247" t="str">
        <f t="shared" si="24"/>
        <v>D2</v>
      </c>
      <c r="P116" s="323"/>
      <c r="Q116" s="415"/>
      <c r="R116" s="368"/>
      <c r="S116" s="510"/>
      <c r="T116" s="510"/>
      <c r="U116" s="510"/>
      <c r="V116" s="510"/>
      <c r="W116" s="323"/>
      <c r="X116" s="323"/>
    </row>
    <row r="117" spans="1:24" ht="13.5" customHeight="1">
      <c r="A117" s="241"/>
      <c r="B117" s="244" t="str">
        <f>'Flat Sizes'!B137</f>
        <v>C. Bedroom</v>
      </c>
      <c r="C117" s="247" t="s">
        <v>388</v>
      </c>
      <c r="D117" s="331"/>
      <c r="E117" s="336">
        <v>1</v>
      </c>
      <c r="F117" s="337">
        <f>VLOOKUP(C117,'D&amp;W Schedule'!$B$4:$F$7,2,FALSE)</f>
        <v>0.9</v>
      </c>
      <c r="G117" s="337">
        <f>VLOOKUP(C117,'D&amp;W Schedule'!$B$4:$F$7,3,FALSE)</f>
        <v>2.1</v>
      </c>
      <c r="H117" s="337">
        <f>VLOOKUP(C117,'D&amp;W Schedule'!$B$4:$F$7,4,FALSE)</f>
        <v>1.8900000000000001</v>
      </c>
      <c r="I117" s="337">
        <f>VLOOKUP(C117,'D&amp;W Schedule'!$B$4:$F$7,5,FALSE)</f>
        <v>18000</v>
      </c>
      <c r="J117" s="507">
        <f t="shared" si="39"/>
        <v>18000</v>
      </c>
      <c r="K117" s="508"/>
      <c r="L117" s="508">
        <f t="shared" si="40"/>
        <v>28</v>
      </c>
      <c r="M117" s="512">
        <f t="shared" si="41"/>
        <v>504000</v>
      </c>
      <c r="N117" s="229"/>
      <c r="O117" s="247" t="str">
        <f t="shared" si="24"/>
        <v>D1</v>
      </c>
      <c r="P117" s="323"/>
      <c r="Q117" s="415"/>
      <c r="R117" s="368"/>
      <c r="S117" s="510"/>
      <c r="T117" s="510"/>
      <c r="U117" s="510"/>
      <c r="V117" s="510"/>
      <c r="W117" s="323"/>
      <c r="X117" s="323"/>
    </row>
    <row r="118" spans="1:24" ht="13.5" customHeight="1">
      <c r="A118" s="241"/>
      <c r="B118" s="228" t="str">
        <f>'Flat Sizes'!B138</f>
        <v>C. Toilet</v>
      </c>
      <c r="C118" s="247" t="s">
        <v>389</v>
      </c>
      <c r="D118" s="331"/>
      <c r="E118" s="336">
        <v>1</v>
      </c>
      <c r="F118" s="337">
        <f>VLOOKUP(C118,'D&amp;W Schedule'!$B$4:$F$7,2,FALSE)</f>
        <v>0.75</v>
      </c>
      <c r="G118" s="337">
        <f>VLOOKUP(C118,'D&amp;W Schedule'!$B$4:$F$7,3,FALSE)</f>
        <v>2.1</v>
      </c>
      <c r="H118" s="337">
        <f>VLOOKUP(C118,'D&amp;W Schedule'!$B$4:$F$7,4,FALSE)</f>
        <v>1.5750000000000002</v>
      </c>
      <c r="I118" s="337">
        <f>VLOOKUP(C118,'D&amp;W Schedule'!$B$4:$F$7,5,FALSE)</f>
        <v>10500</v>
      </c>
      <c r="J118" s="507">
        <f t="shared" si="39"/>
        <v>10500</v>
      </c>
      <c r="K118" s="508"/>
      <c r="L118" s="508">
        <f t="shared" si="40"/>
        <v>28</v>
      </c>
      <c r="M118" s="512">
        <f t="shared" si="41"/>
        <v>294000</v>
      </c>
      <c r="N118" s="229"/>
      <c r="O118" s="247" t="str">
        <f t="shared" si="24"/>
        <v>D2</v>
      </c>
      <c r="P118" s="323"/>
      <c r="Q118" s="415"/>
      <c r="R118" s="368"/>
      <c r="S118" s="510"/>
      <c r="T118" s="510"/>
      <c r="U118" s="510"/>
      <c r="V118" s="510"/>
      <c r="W118" s="323"/>
      <c r="X118" s="323"/>
    </row>
    <row r="119" spans="1:24" ht="13.5" customHeight="1">
      <c r="A119" s="241"/>
      <c r="B119" s="244" t="str">
        <f>'Flat Sizes'!B139</f>
        <v>Kitchen</v>
      </c>
      <c r="C119" s="247" t="s">
        <v>390</v>
      </c>
      <c r="D119" s="331"/>
      <c r="E119" s="336">
        <v>1</v>
      </c>
      <c r="F119" s="337">
        <f>VLOOKUP(C119,'D&amp;W Schedule'!$B$4:$F$7,2,FALSE)</f>
        <v>0.9</v>
      </c>
      <c r="G119" s="337">
        <f>VLOOKUP(C119,'D&amp;W Schedule'!$B$4:$F$7,3,FALSE)</f>
        <v>2.1</v>
      </c>
      <c r="H119" s="337">
        <f>VLOOKUP(C119,'D&amp;W Schedule'!$B$4:$F$7,4,FALSE)</f>
        <v>1.8900000000000001</v>
      </c>
      <c r="I119" s="337">
        <f>VLOOKUP(C119,'D&amp;W Schedule'!$B$4:$F$7,5,FALSE)</f>
        <v>25000</v>
      </c>
      <c r="J119" s="507">
        <f t="shared" si="39"/>
        <v>25000</v>
      </c>
      <c r="K119" s="508"/>
      <c r="L119" s="508">
        <f t="shared" si="40"/>
        <v>28</v>
      </c>
      <c r="M119" s="512">
        <f t="shared" si="41"/>
        <v>700000</v>
      </c>
      <c r="N119" s="229"/>
      <c r="O119" s="247" t="str">
        <f t="shared" si="24"/>
        <v>K FRD</v>
      </c>
      <c r="P119" s="323"/>
      <c r="Q119" s="415"/>
      <c r="R119" s="368"/>
      <c r="S119" s="510"/>
      <c r="T119" s="510"/>
      <c r="U119" s="510"/>
      <c r="V119" s="510"/>
      <c r="W119" s="323"/>
      <c r="X119" s="323"/>
    </row>
    <row r="120" spans="1:24" ht="13.5" customHeight="1">
      <c r="A120" s="241"/>
      <c r="B120" s="246" t="str">
        <f>'Flat Sizes'!B142</f>
        <v>Sub Total</v>
      </c>
      <c r="C120" s="247"/>
      <c r="D120" s="331"/>
      <c r="E120" s="496">
        <f>SUBTOTAL(9,E114:E119)</f>
        <v>6</v>
      </c>
      <c r="F120" s="353"/>
      <c r="G120" s="353"/>
      <c r="H120" s="353"/>
      <c r="I120" s="354"/>
      <c r="J120" s="497">
        <f>SUBTOTAL(9,J114:J119)</f>
        <v>112000</v>
      </c>
      <c r="K120" s="508"/>
      <c r="L120" s="352">
        <f>SUBTOTAL(9,L114:L119)</f>
        <v>168</v>
      </c>
      <c r="M120" s="514">
        <f>SUBTOTAL(9,M114:M119)</f>
        <v>3136000</v>
      </c>
      <c r="N120" s="229"/>
      <c r="O120" s="247">
        <f t="shared" si="24"/>
        <v>0</v>
      </c>
      <c r="P120" s="323"/>
      <c r="Q120" s="415"/>
      <c r="R120" s="368"/>
      <c r="S120" s="510"/>
      <c r="T120" s="510"/>
      <c r="U120" s="510"/>
      <c r="V120" s="510"/>
      <c r="W120" s="323"/>
      <c r="X120" s="323"/>
    </row>
    <row r="121" spans="1:24" ht="13.2" customHeight="1">
      <c r="A121" s="241"/>
      <c r="B121" s="270" t="str">
        <f>'Flat Sizes'!B143</f>
        <v>Flat 10,
2BHK</v>
      </c>
      <c r="C121" s="247"/>
      <c r="D121" s="331"/>
      <c r="E121" s="352"/>
      <c r="F121" s="353"/>
      <c r="G121" s="353"/>
      <c r="H121" s="353"/>
      <c r="I121" s="354"/>
      <c r="J121" s="383"/>
      <c r="K121" s="328">
        <f>'Room Conf'!Z40</f>
        <v>28</v>
      </c>
      <c r="L121" s="328"/>
      <c r="M121" s="377"/>
      <c r="N121" s="229"/>
      <c r="O121" s="247">
        <f t="shared" si="24"/>
        <v>0</v>
      </c>
      <c r="P121" s="323"/>
      <c r="Q121" s="329"/>
      <c r="R121" s="368"/>
      <c r="S121" s="330"/>
      <c r="T121" s="330"/>
      <c r="U121" s="330"/>
      <c r="V121" s="330"/>
      <c r="W121" s="323"/>
      <c r="X121" s="323"/>
    </row>
    <row r="122" spans="1:24" s="915" customFormat="1" ht="13.5" customHeight="1">
      <c r="A122" s="901"/>
      <c r="B122" s="902" t="str">
        <f>'Flat Sizes'!B144</f>
        <v>Living, Dining &amp; Passage</v>
      </c>
      <c r="C122" s="903" t="s">
        <v>387</v>
      </c>
      <c r="D122" s="904"/>
      <c r="E122" s="905">
        <v>1</v>
      </c>
      <c r="F122" s="906">
        <f>VLOOKUP(C122,'D&amp;W Schedule'!$B$4:$F$7,2,FALSE)</f>
        <v>1.2</v>
      </c>
      <c r="G122" s="906">
        <f>VLOOKUP(C122,'D&amp;W Schedule'!$B$4:$F$7,3,FALSE)</f>
        <v>2.1</v>
      </c>
      <c r="H122" s="906">
        <f>VLOOKUP(C122,'D&amp;W Schedule'!$B$4:$F$7,4,FALSE)</f>
        <v>2.52</v>
      </c>
      <c r="I122" s="906">
        <f>VLOOKUP(C122,'D&amp;W Schedule'!$B$4:$F$7,5,FALSE)</f>
        <v>30000</v>
      </c>
      <c r="J122" s="907">
        <f t="shared" ref="J122:J127" si="42">E122*I122</f>
        <v>30000</v>
      </c>
      <c r="K122" s="908"/>
      <c r="L122" s="908">
        <f t="shared" ref="L122:L127" si="43">$K$121*E122</f>
        <v>28</v>
      </c>
      <c r="M122" s="909">
        <f>$K$121*J122</f>
        <v>840000</v>
      </c>
      <c r="N122" s="910"/>
      <c r="O122" s="903" t="str">
        <f t="shared" si="24"/>
        <v>FRD</v>
      </c>
      <c r="P122" s="911"/>
      <c r="Q122" s="912"/>
      <c r="R122" s="913"/>
      <c r="S122" s="914"/>
      <c r="T122" s="914"/>
      <c r="U122" s="914"/>
      <c r="V122" s="914"/>
      <c r="W122" s="911"/>
      <c r="X122" s="911"/>
    </row>
    <row r="123" spans="1:24" s="915" customFormat="1" ht="13.5" customHeight="1">
      <c r="A123" s="901"/>
      <c r="B123" s="902" t="str">
        <f>'Flat Sizes'!B145</f>
        <v>M. Bedroom</v>
      </c>
      <c r="C123" s="903" t="s">
        <v>388</v>
      </c>
      <c r="D123" s="904"/>
      <c r="E123" s="905">
        <v>1</v>
      </c>
      <c r="F123" s="906">
        <f>VLOOKUP(C123,'D&amp;W Schedule'!$B$4:$F$7,2,FALSE)</f>
        <v>0.9</v>
      </c>
      <c r="G123" s="906">
        <f>VLOOKUP(C123,'D&amp;W Schedule'!$B$4:$F$7,3,FALSE)</f>
        <v>2.1</v>
      </c>
      <c r="H123" s="906">
        <f>VLOOKUP(C123,'D&amp;W Schedule'!$B$4:$F$7,4,FALSE)</f>
        <v>1.8900000000000001</v>
      </c>
      <c r="I123" s="906">
        <f>VLOOKUP(C123,'D&amp;W Schedule'!$B$4:$F$7,5,FALSE)</f>
        <v>18000</v>
      </c>
      <c r="J123" s="907">
        <f t="shared" si="42"/>
        <v>18000</v>
      </c>
      <c r="K123" s="908"/>
      <c r="L123" s="908">
        <f t="shared" si="43"/>
        <v>28</v>
      </c>
      <c r="M123" s="909">
        <f t="shared" ref="M123:M127" si="44">$K$121*J123</f>
        <v>504000</v>
      </c>
      <c r="N123" s="910"/>
      <c r="O123" s="903" t="str">
        <f t="shared" si="24"/>
        <v>D1</v>
      </c>
      <c r="P123" s="911"/>
      <c r="Q123" s="912"/>
      <c r="R123" s="913"/>
      <c r="S123" s="914"/>
      <c r="T123" s="914"/>
      <c r="U123" s="914"/>
      <c r="V123" s="914"/>
      <c r="W123" s="911"/>
      <c r="X123" s="911"/>
    </row>
    <row r="124" spans="1:24" s="915" customFormat="1" ht="13.5" customHeight="1">
      <c r="A124" s="901"/>
      <c r="B124" s="902" t="str">
        <f>'Flat Sizes'!B146</f>
        <v>M. Toilet</v>
      </c>
      <c r="C124" s="903" t="s">
        <v>389</v>
      </c>
      <c r="D124" s="904"/>
      <c r="E124" s="905">
        <v>1</v>
      </c>
      <c r="F124" s="906">
        <f>VLOOKUP(C124,'D&amp;W Schedule'!$B$4:$F$7,2,FALSE)</f>
        <v>0.75</v>
      </c>
      <c r="G124" s="906">
        <f>VLOOKUP(C124,'D&amp;W Schedule'!$B$4:$F$7,3,FALSE)</f>
        <v>2.1</v>
      </c>
      <c r="H124" s="906">
        <f>VLOOKUP(C124,'D&amp;W Schedule'!$B$4:$F$7,4,FALSE)</f>
        <v>1.5750000000000002</v>
      </c>
      <c r="I124" s="906">
        <f>VLOOKUP(C124,'D&amp;W Schedule'!$B$4:$F$7,5,FALSE)</f>
        <v>10500</v>
      </c>
      <c r="J124" s="907">
        <f t="shared" si="42"/>
        <v>10500</v>
      </c>
      <c r="K124" s="908"/>
      <c r="L124" s="908">
        <f t="shared" si="43"/>
        <v>28</v>
      </c>
      <c r="M124" s="909">
        <f t="shared" si="44"/>
        <v>294000</v>
      </c>
      <c r="N124" s="910"/>
      <c r="O124" s="903" t="str">
        <f t="shared" si="24"/>
        <v>D2</v>
      </c>
      <c r="P124" s="911"/>
      <c r="Q124" s="912"/>
      <c r="R124" s="913"/>
      <c r="S124" s="914"/>
      <c r="T124" s="914"/>
      <c r="U124" s="914"/>
      <c r="V124" s="914"/>
      <c r="W124" s="911"/>
      <c r="X124" s="911"/>
    </row>
    <row r="125" spans="1:24" s="915" customFormat="1" ht="13.5" customHeight="1">
      <c r="A125" s="901"/>
      <c r="B125" s="902" t="str">
        <f>'Flat Sizes'!B147</f>
        <v>C. Bedroom</v>
      </c>
      <c r="C125" s="903" t="s">
        <v>388</v>
      </c>
      <c r="D125" s="904"/>
      <c r="E125" s="905">
        <v>1</v>
      </c>
      <c r="F125" s="906">
        <f>VLOOKUP(C125,'D&amp;W Schedule'!$B$4:$F$7,2,FALSE)</f>
        <v>0.9</v>
      </c>
      <c r="G125" s="906">
        <f>VLOOKUP(C125,'D&amp;W Schedule'!$B$4:$F$7,3,FALSE)</f>
        <v>2.1</v>
      </c>
      <c r="H125" s="906">
        <f>VLOOKUP(C125,'D&amp;W Schedule'!$B$4:$F$7,4,FALSE)</f>
        <v>1.8900000000000001</v>
      </c>
      <c r="I125" s="906">
        <f>VLOOKUP(C125,'D&amp;W Schedule'!$B$4:$F$7,5,FALSE)</f>
        <v>18000</v>
      </c>
      <c r="J125" s="907">
        <f t="shared" si="42"/>
        <v>18000</v>
      </c>
      <c r="K125" s="908"/>
      <c r="L125" s="908">
        <f t="shared" si="43"/>
        <v>28</v>
      </c>
      <c r="M125" s="909">
        <f t="shared" si="44"/>
        <v>504000</v>
      </c>
      <c r="N125" s="910"/>
      <c r="O125" s="903" t="str">
        <f t="shared" si="24"/>
        <v>D1</v>
      </c>
      <c r="P125" s="911"/>
      <c r="Q125" s="912"/>
      <c r="R125" s="913"/>
      <c r="S125" s="914"/>
      <c r="T125" s="914"/>
      <c r="U125" s="914"/>
      <c r="V125" s="914"/>
      <c r="W125" s="911"/>
      <c r="X125" s="911"/>
    </row>
    <row r="126" spans="1:24" s="915" customFormat="1" ht="13.5" customHeight="1">
      <c r="A126" s="901"/>
      <c r="B126" s="915" t="str">
        <f>'Flat Sizes'!B148</f>
        <v>C. Toilet</v>
      </c>
      <c r="C126" s="903" t="s">
        <v>389</v>
      </c>
      <c r="D126" s="904"/>
      <c r="E126" s="905">
        <v>1</v>
      </c>
      <c r="F126" s="906">
        <f>VLOOKUP(C126,'D&amp;W Schedule'!$B$4:$F$7,2,FALSE)</f>
        <v>0.75</v>
      </c>
      <c r="G126" s="906">
        <f>VLOOKUP(C126,'D&amp;W Schedule'!$B$4:$F$7,3,FALSE)</f>
        <v>2.1</v>
      </c>
      <c r="H126" s="906">
        <f>VLOOKUP(C126,'D&amp;W Schedule'!$B$4:$F$7,4,FALSE)</f>
        <v>1.5750000000000002</v>
      </c>
      <c r="I126" s="906">
        <f>VLOOKUP(C126,'D&amp;W Schedule'!$B$4:$F$7,5,FALSE)</f>
        <v>10500</v>
      </c>
      <c r="J126" s="907">
        <f t="shared" si="42"/>
        <v>10500</v>
      </c>
      <c r="K126" s="908"/>
      <c r="L126" s="908">
        <f t="shared" si="43"/>
        <v>28</v>
      </c>
      <c r="M126" s="909">
        <f t="shared" si="44"/>
        <v>294000</v>
      </c>
      <c r="N126" s="910"/>
      <c r="O126" s="903" t="str">
        <f t="shared" si="24"/>
        <v>D2</v>
      </c>
      <c r="P126" s="911"/>
      <c r="Q126" s="912"/>
      <c r="R126" s="913"/>
      <c r="S126" s="914"/>
      <c r="T126" s="914"/>
      <c r="U126" s="914"/>
      <c r="V126" s="914"/>
      <c r="W126" s="911"/>
      <c r="X126" s="911"/>
    </row>
    <row r="127" spans="1:24" s="915" customFormat="1" ht="13.5" customHeight="1">
      <c r="A127" s="901"/>
      <c r="B127" s="902" t="str">
        <f>'Flat Sizes'!B149</f>
        <v>Kitchen</v>
      </c>
      <c r="C127" s="903" t="s">
        <v>390</v>
      </c>
      <c r="D127" s="904"/>
      <c r="E127" s="905">
        <v>1</v>
      </c>
      <c r="F127" s="906">
        <f>VLOOKUP(C127,'D&amp;W Schedule'!$B$4:$F$7,2,FALSE)</f>
        <v>0.9</v>
      </c>
      <c r="G127" s="906">
        <f>VLOOKUP(C127,'D&amp;W Schedule'!$B$4:$F$7,3,FALSE)</f>
        <v>2.1</v>
      </c>
      <c r="H127" s="906">
        <f>VLOOKUP(C127,'D&amp;W Schedule'!$B$4:$F$7,4,FALSE)</f>
        <v>1.8900000000000001</v>
      </c>
      <c r="I127" s="906">
        <f>VLOOKUP(C127,'D&amp;W Schedule'!$B$4:$F$7,5,FALSE)</f>
        <v>25000</v>
      </c>
      <c r="J127" s="907">
        <f t="shared" si="42"/>
        <v>25000</v>
      </c>
      <c r="K127" s="908"/>
      <c r="L127" s="908">
        <f t="shared" si="43"/>
        <v>28</v>
      </c>
      <c r="M127" s="909">
        <f t="shared" si="44"/>
        <v>700000</v>
      </c>
      <c r="N127" s="910"/>
      <c r="O127" s="903" t="str">
        <f t="shared" si="24"/>
        <v>K FRD</v>
      </c>
      <c r="P127" s="911"/>
      <c r="Q127" s="912"/>
      <c r="R127" s="913"/>
      <c r="S127" s="914"/>
      <c r="T127" s="914"/>
      <c r="U127" s="914"/>
      <c r="V127" s="914"/>
      <c r="W127" s="911"/>
      <c r="X127" s="911"/>
    </row>
    <row r="128" spans="1:24" s="915" customFormat="1" ht="13.5" customHeight="1">
      <c r="A128" s="901"/>
      <c r="B128" s="916" t="str">
        <f>'Flat Sizes'!B152</f>
        <v>Sub Total</v>
      </c>
      <c r="C128" s="903"/>
      <c r="D128" s="904"/>
      <c r="E128" s="496">
        <f>SUBTOTAL(9,E122:E127)</f>
        <v>6</v>
      </c>
      <c r="F128" s="918"/>
      <c r="G128" s="918"/>
      <c r="H128" s="918"/>
      <c r="I128" s="919"/>
      <c r="J128" s="497">
        <f>SUBTOTAL(9,J122:J127)</f>
        <v>112000</v>
      </c>
      <c r="K128" s="908"/>
      <c r="L128" s="917">
        <f>SUBTOTAL(9,L122:L127)</f>
        <v>168</v>
      </c>
      <c r="M128" s="920">
        <f>SUBTOTAL(9,M122:M127)</f>
        <v>3136000</v>
      </c>
      <c r="N128" s="910"/>
      <c r="O128" s="903">
        <f t="shared" si="24"/>
        <v>0</v>
      </c>
      <c r="P128" s="911"/>
      <c r="Q128" s="912"/>
      <c r="R128" s="913"/>
      <c r="S128" s="914"/>
      <c r="T128" s="914"/>
      <c r="U128" s="914"/>
      <c r="V128" s="914"/>
      <c r="W128" s="911"/>
      <c r="X128" s="911"/>
    </row>
    <row r="129" spans="1:24" ht="13.2" customHeight="1">
      <c r="A129" s="241"/>
      <c r="B129" s="270" t="s">
        <v>826</v>
      </c>
      <c r="C129" s="247"/>
      <c r="D129" s="331"/>
      <c r="E129" s="352"/>
      <c r="F129" s="353"/>
      <c r="G129" s="353"/>
      <c r="H129" s="353"/>
      <c r="I129" s="354"/>
      <c r="J129" s="383"/>
      <c r="K129" s="328">
        <f>SUM('Room Conf'!D40:K40)</f>
        <v>32</v>
      </c>
      <c r="L129" s="908"/>
      <c r="M129" s="377"/>
      <c r="N129" s="229"/>
      <c r="O129" s="247"/>
      <c r="P129" s="323"/>
      <c r="Q129" s="329"/>
      <c r="R129" s="368"/>
      <c r="S129" s="330"/>
      <c r="T129" s="330"/>
      <c r="U129" s="330"/>
      <c r="V129" s="330"/>
      <c r="W129" s="323"/>
      <c r="X129" s="323"/>
    </row>
    <row r="130" spans="1:24" s="915" customFormat="1" ht="13.5" customHeight="1">
      <c r="A130" s="901"/>
      <c r="B130" s="902" t="s">
        <v>827</v>
      </c>
      <c r="C130" s="903" t="s">
        <v>387</v>
      </c>
      <c r="D130" s="904"/>
      <c r="E130" s="905">
        <v>1</v>
      </c>
      <c r="F130" s="906">
        <f>VLOOKUP(C130,'D&amp;W Schedule'!$B$4:$F$7,2,FALSE)</f>
        <v>1.2</v>
      </c>
      <c r="G130" s="906">
        <f>VLOOKUP(C130,'D&amp;W Schedule'!$B$4:$F$7,3,FALSE)</f>
        <v>2.1</v>
      </c>
      <c r="H130" s="906">
        <f>VLOOKUP(C130,'D&amp;W Schedule'!$B$4:$F$7,4,FALSE)</f>
        <v>2.52</v>
      </c>
      <c r="I130" s="906">
        <f>VLOOKUP(C130,'D&amp;W Schedule'!$B$4:$F$7,5,FALSE)</f>
        <v>30000</v>
      </c>
      <c r="J130" s="907">
        <f t="shared" ref="J130:J132" si="45">E130*I130</f>
        <v>30000</v>
      </c>
      <c r="K130" s="908"/>
      <c r="L130" s="908">
        <f>$K$129*E130</f>
        <v>32</v>
      </c>
      <c r="M130" s="909">
        <f>$K$129*J130</f>
        <v>960000</v>
      </c>
      <c r="N130" s="910"/>
      <c r="O130" s="903" t="str">
        <f t="shared" si="24"/>
        <v>FRD</v>
      </c>
      <c r="P130" s="911"/>
      <c r="Q130" s="912"/>
      <c r="R130" s="913"/>
      <c r="S130" s="914"/>
      <c r="T130" s="914"/>
      <c r="U130" s="914"/>
      <c r="V130" s="914"/>
      <c r="W130" s="911"/>
      <c r="X130" s="911"/>
    </row>
    <row r="131" spans="1:24" s="915" customFormat="1" ht="13.5" customHeight="1">
      <c r="A131" s="901"/>
      <c r="B131" s="902" t="s">
        <v>828</v>
      </c>
      <c r="C131" s="903" t="s">
        <v>388</v>
      </c>
      <c r="D131" s="904"/>
      <c r="E131" s="905">
        <v>1</v>
      </c>
      <c r="F131" s="906">
        <f>VLOOKUP(C131,'D&amp;W Schedule'!$B$4:$F$7,2,FALSE)</f>
        <v>0.9</v>
      </c>
      <c r="G131" s="906">
        <f>VLOOKUP(C131,'D&amp;W Schedule'!$B$4:$F$7,3,FALSE)</f>
        <v>2.1</v>
      </c>
      <c r="H131" s="906">
        <f>VLOOKUP(C131,'D&amp;W Schedule'!$B$4:$F$7,4,FALSE)</f>
        <v>1.8900000000000001</v>
      </c>
      <c r="I131" s="906">
        <f>VLOOKUP(C131,'D&amp;W Schedule'!$B$4:$F$7,5,FALSE)</f>
        <v>18000</v>
      </c>
      <c r="J131" s="907">
        <f t="shared" si="45"/>
        <v>18000</v>
      </c>
      <c r="K131" s="908"/>
      <c r="L131" s="908">
        <f t="shared" ref="L131:L132" si="46">$K$129*E131</f>
        <v>32</v>
      </c>
      <c r="M131" s="909">
        <f t="shared" ref="M131:M132" si="47">$K$129*J131</f>
        <v>576000</v>
      </c>
      <c r="N131" s="910"/>
      <c r="O131" s="903" t="str">
        <f t="shared" si="24"/>
        <v>D1</v>
      </c>
      <c r="P131" s="911"/>
      <c r="Q131" s="912"/>
      <c r="R131" s="913"/>
      <c r="S131" s="914"/>
      <c r="T131" s="914"/>
      <c r="U131" s="914"/>
      <c r="V131" s="914"/>
      <c r="W131" s="911"/>
      <c r="X131" s="911"/>
    </row>
    <row r="132" spans="1:24" s="915" customFormat="1" ht="13.5" customHeight="1">
      <c r="A132" s="901"/>
      <c r="B132" s="902" t="s">
        <v>709</v>
      </c>
      <c r="C132" s="903" t="s">
        <v>389</v>
      </c>
      <c r="D132" s="904"/>
      <c r="E132" s="905">
        <v>1</v>
      </c>
      <c r="F132" s="906">
        <f>VLOOKUP(C132,'D&amp;W Schedule'!$B$4:$F$7,2,FALSE)</f>
        <v>0.75</v>
      </c>
      <c r="G132" s="906">
        <f>VLOOKUP(C132,'D&amp;W Schedule'!$B$4:$F$7,3,FALSE)</f>
        <v>2.1</v>
      </c>
      <c r="H132" s="906">
        <f>VLOOKUP(C132,'D&amp;W Schedule'!$B$4:$F$7,4,FALSE)</f>
        <v>1.5750000000000002</v>
      </c>
      <c r="I132" s="906">
        <f>VLOOKUP(C132,'D&amp;W Schedule'!$B$4:$F$7,5,FALSE)</f>
        <v>10500</v>
      </c>
      <c r="J132" s="907">
        <f t="shared" si="45"/>
        <v>10500</v>
      </c>
      <c r="K132" s="908"/>
      <c r="L132" s="908">
        <f t="shared" si="46"/>
        <v>32</v>
      </c>
      <c r="M132" s="909">
        <f t="shared" si="47"/>
        <v>336000</v>
      </c>
      <c r="N132" s="910"/>
      <c r="O132" s="903" t="str">
        <f t="shared" si="24"/>
        <v>D2</v>
      </c>
      <c r="P132" s="911"/>
      <c r="Q132" s="912"/>
      <c r="R132" s="913"/>
      <c r="S132" s="914"/>
      <c r="T132" s="914"/>
      <c r="U132" s="914"/>
      <c r="V132" s="914"/>
      <c r="W132" s="911"/>
      <c r="X132" s="911"/>
    </row>
    <row r="133" spans="1:24" s="915" customFormat="1" ht="13.5" customHeight="1">
      <c r="A133" s="901"/>
      <c r="B133" s="916"/>
      <c r="C133" s="903"/>
      <c r="D133" s="904"/>
      <c r="E133" s="352"/>
      <c r="F133" s="906"/>
      <c r="G133" s="906"/>
      <c r="H133" s="906"/>
      <c r="I133" s="906"/>
      <c r="J133" s="514"/>
      <c r="K133" s="908"/>
      <c r="L133" s="921"/>
      <c r="M133" s="922"/>
      <c r="N133" s="910"/>
      <c r="O133" s="903"/>
      <c r="P133" s="911"/>
      <c r="Q133" s="912"/>
      <c r="R133" s="913"/>
      <c r="S133" s="914"/>
      <c r="T133" s="914"/>
      <c r="U133" s="914"/>
      <c r="V133" s="914"/>
      <c r="W133" s="911"/>
      <c r="X133" s="911"/>
    </row>
    <row r="134" spans="1:24" ht="13.5" customHeight="1">
      <c r="A134" s="241"/>
      <c r="B134" s="270" t="str">
        <f>'Flat Sizes'!B153</f>
        <v>Common Area - Typical Floors</v>
      </c>
      <c r="C134" s="247"/>
      <c r="D134" s="331"/>
      <c r="E134" s="336"/>
      <c r="F134" s="337"/>
      <c r="G134" s="337"/>
      <c r="H134" s="337"/>
      <c r="I134" s="337"/>
      <c r="J134" s="194"/>
      <c r="K134" s="328"/>
      <c r="L134" s="328"/>
      <c r="M134" s="379"/>
      <c r="N134" s="229"/>
      <c r="O134" s="247">
        <f t="shared" si="24"/>
        <v>0</v>
      </c>
      <c r="P134" s="323"/>
      <c r="Q134" s="329"/>
      <c r="R134" s="368"/>
      <c r="S134" s="330"/>
      <c r="T134" s="330"/>
      <c r="U134" s="330"/>
      <c r="V134" s="330"/>
      <c r="W134" s="323"/>
      <c r="X134" s="323"/>
    </row>
    <row r="135" spans="1:24" ht="13.5" customHeight="1">
      <c r="A135" s="241"/>
      <c r="B135" s="244" t="str">
        <f>'Flat Sizes'!B154</f>
        <v>Common Lobby 1</v>
      </c>
      <c r="C135" s="247" t="s">
        <v>387</v>
      </c>
      <c r="D135" s="331"/>
      <c r="E135" s="336">
        <v>2</v>
      </c>
      <c r="F135" s="337">
        <f>VLOOKUP(C135,'D&amp;W Schedule'!$B$4:$F$7,2,FALSE)</f>
        <v>1.2</v>
      </c>
      <c r="G135" s="337">
        <f>VLOOKUP(C135,'D&amp;W Schedule'!$B$4:$F$7,3,FALSE)</f>
        <v>2.1</v>
      </c>
      <c r="H135" s="337">
        <f>VLOOKUP(C135,'D&amp;W Schedule'!$B$4:$F$7,4,FALSE)</f>
        <v>2.52</v>
      </c>
      <c r="I135" s="337">
        <f>VLOOKUP(C135,'D&amp;W Schedule'!$B$4:$F$7,5,FALSE)</f>
        <v>30000</v>
      </c>
      <c r="J135" s="194">
        <f t="shared" ref="J135:J139" si="48">E135*I135</f>
        <v>60000</v>
      </c>
      <c r="K135" s="328">
        <f>'Room Conf'!AA40</f>
        <v>37</v>
      </c>
      <c r="L135" s="328">
        <f>K135*E135</f>
        <v>74</v>
      </c>
      <c r="M135" s="379">
        <f>I135*L135</f>
        <v>2220000</v>
      </c>
      <c r="N135" s="229"/>
      <c r="O135" s="247" t="str">
        <f t="shared" si="24"/>
        <v>FRD</v>
      </c>
      <c r="P135" s="323"/>
      <c r="Q135" s="329"/>
      <c r="R135" s="368"/>
      <c r="S135" s="330"/>
      <c r="T135" s="330"/>
      <c r="U135" s="330"/>
      <c r="V135" s="330"/>
      <c r="W135" s="323"/>
      <c r="X135" s="323"/>
    </row>
    <row r="136" spans="1:24" ht="13.5" customHeight="1">
      <c r="A136" s="241"/>
      <c r="B136" s="244" t="str">
        <f>'Flat Sizes'!B155</f>
        <v>Common Lobby 2</v>
      </c>
      <c r="C136" s="247" t="s">
        <v>387</v>
      </c>
      <c r="D136" s="331"/>
      <c r="E136" s="336">
        <v>2</v>
      </c>
      <c r="F136" s="337">
        <f>VLOOKUP(C136,'D&amp;W Schedule'!$B$4:$F$7,2,FALSE)</f>
        <v>1.2</v>
      </c>
      <c r="G136" s="337">
        <f>VLOOKUP(C136,'D&amp;W Schedule'!$B$4:$F$7,3,FALSE)</f>
        <v>2.1</v>
      </c>
      <c r="H136" s="337">
        <f>VLOOKUP(C136,'D&amp;W Schedule'!$B$4:$F$7,4,FALSE)</f>
        <v>2.52</v>
      </c>
      <c r="I136" s="337">
        <f>VLOOKUP(C136,'D&amp;W Schedule'!$B$4:$F$7,5,FALSE)</f>
        <v>30000</v>
      </c>
      <c r="J136" s="194">
        <f t="shared" si="48"/>
        <v>60000</v>
      </c>
      <c r="K136" s="328">
        <f>'Room Conf'!AB40</f>
        <v>37</v>
      </c>
      <c r="L136" s="328">
        <f>K136*E136</f>
        <v>74</v>
      </c>
      <c r="M136" s="379">
        <f>I136*L136</f>
        <v>2220000</v>
      </c>
      <c r="N136" s="229"/>
      <c r="O136" s="247" t="str">
        <f t="shared" si="24"/>
        <v>FRD</v>
      </c>
      <c r="P136" s="323"/>
      <c r="Q136" s="329"/>
      <c r="R136" s="368"/>
      <c r="S136" s="330"/>
      <c r="T136" s="330"/>
      <c r="U136" s="330"/>
      <c r="V136" s="330"/>
      <c r="W136" s="323"/>
      <c r="X136" s="323"/>
    </row>
    <row r="137" spans="1:24" ht="13.5" customHeight="1">
      <c r="A137" s="241"/>
      <c r="B137" s="244" t="str">
        <f>'Flat Sizes'!B156</f>
        <v>Smoke Check Lobby 1</v>
      </c>
      <c r="C137" s="247" t="s">
        <v>387</v>
      </c>
      <c r="D137" s="331"/>
      <c r="E137" s="336">
        <v>1</v>
      </c>
      <c r="F137" s="337">
        <f>VLOOKUP(C137,'D&amp;W Schedule'!$B$4:$F$7,2,FALSE)</f>
        <v>1.2</v>
      </c>
      <c r="G137" s="337">
        <f>VLOOKUP(C137,'D&amp;W Schedule'!$B$4:$F$7,3,FALSE)</f>
        <v>2.1</v>
      </c>
      <c r="H137" s="337">
        <f>VLOOKUP(C137,'D&amp;W Schedule'!$B$4:$F$7,4,FALSE)</f>
        <v>2.52</v>
      </c>
      <c r="I137" s="337">
        <f>VLOOKUP(C137,'D&amp;W Schedule'!$B$4:$F$7,5,FALSE)</f>
        <v>30000</v>
      </c>
      <c r="J137" s="194">
        <f t="shared" si="48"/>
        <v>30000</v>
      </c>
      <c r="K137" s="328">
        <v>37</v>
      </c>
      <c r="L137" s="328">
        <f>K137*E137</f>
        <v>37</v>
      </c>
      <c r="M137" s="379">
        <f>I137*L137</f>
        <v>1110000</v>
      </c>
      <c r="N137" s="229"/>
      <c r="O137" s="247" t="str">
        <f t="shared" si="24"/>
        <v>FRD</v>
      </c>
      <c r="P137" s="323"/>
      <c r="Q137" s="329"/>
      <c r="R137" s="368"/>
      <c r="S137" s="330"/>
      <c r="T137" s="330"/>
      <c r="U137" s="330"/>
      <c r="V137" s="330"/>
      <c r="W137" s="323"/>
      <c r="X137" s="323"/>
    </row>
    <row r="138" spans="1:24" ht="13.5" customHeight="1">
      <c r="A138" s="241"/>
      <c r="B138" s="244" t="str">
        <f>'Flat Sizes'!B157</f>
        <v>Smoke Check Lobby 2</v>
      </c>
      <c r="C138" s="247" t="s">
        <v>387</v>
      </c>
      <c r="D138" s="331"/>
      <c r="E138" s="336">
        <v>1</v>
      </c>
      <c r="F138" s="337">
        <f>VLOOKUP(C138,'D&amp;W Schedule'!$B$4:$F$7,2,FALSE)</f>
        <v>1.2</v>
      </c>
      <c r="G138" s="337">
        <f>VLOOKUP(C138,'D&amp;W Schedule'!$B$4:$F$7,3,FALSE)</f>
        <v>2.1</v>
      </c>
      <c r="H138" s="337">
        <f>VLOOKUP(C138,'D&amp;W Schedule'!$B$4:$F$7,4,FALSE)</f>
        <v>2.52</v>
      </c>
      <c r="I138" s="337">
        <f>VLOOKUP(C138,'D&amp;W Schedule'!$B$4:$F$7,5,FALSE)</f>
        <v>30000</v>
      </c>
      <c r="J138" s="194">
        <f t="shared" si="48"/>
        <v>30000</v>
      </c>
      <c r="K138" s="328">
        <v>37</v>
      </c>
      <c r="L138" s="328">
        <f>K138*E138</f>
        <v>37</v>
      </c>
      <c r="M138" s="379">
        <f>I138*L138</f>
        <v>1110000</v>
      </c>
      <c r="N138" s="229"/>
      <c r="O138" s="247" t="str">
        <f t="shared" si="24"/>
        <v>FRD</v>
      </c>
      <c r="P138" s="323"/>
      <c r="Q138" s="329"/>
      <c r="R138" s="368"/>
      <c r="S138" s="330"/>
      <c r="T138" s="330"/>
      <c r="U138" s="330"/>
      <c r="V138" s="330"/>
      <c r="W138" s="323"/>
      <c r="X138" s="323"/>
    </row>
    <row r="139" spans="1:24" ht="13.5" customHeight="1">
      <c r="A139" s="241"/>
      <c r="B139" s="244" t="s">
        <v>762</v>
      </c>
      <c r="C139" s="247" t="s">
        <v>387</v>
      </c>
      <c r="D139" s="331"/>
      <c r="E139" s="336">
        <v>2</v>
      </c>
      <c r="F139" s="337">
        <f>VLOOKUP(C139,'D&amp;W Schedule'!$B$4:$F$7,2,FALSE)</f>
        <v>1.2</v>
      </c>
      <c r="G139" s="337">
        <f>VLOOKUP(C139,'D&amp;W Schedule'!$B$4:$F$7,3,FALSE)</f>
        <v>2.1</v>
      </c>
      <c r="H139" s="337">
        <f>VLOOKUP(C139,'D&amp;W Schedule'!$B$4:$F$7,4,FALSE)</f>
        <v>2.52</v>
      </c>
      <c r="I139" s="337">
        <f>VLOOKUP(C139,'D&amp;W Schedule'!$B$4:$F$7,5,FALSE)</f>
        <v>30000</v>
      </c>
      <c r="J139" s="194">
        <f t="shared" si="48"/>
        <v>60000</v>
      </c>
      <c r="K139" s="328">
        <v>4</v>
      </c>
      <c r="L139" s="328">
        <f>K139*E139</f>
        <v>8</v>
      </c>
      <c r="M139" s="379">
        <f>I139*L139</f>
        <v>240000</v>
      </c>
      <c r="N139" s="229"/>
      <c r="O139" s="247" t="str">
        <f t="shared" si="24"/>
        <v>FRD</v>
      </c>
      <c r="P139" s="323"/>
      <c r="Q139" s="329"/>
      <c r="R139" s="368"/>
      <c r="S139" s="330"/>
      <c r="T139" s="330"/>
      <c r="U139" s="330"/>
      <c r="V139" s="330"/>
      <c r="W139" s="323"/>
      <c r="X139" s="323"/>
    </row>
    <row r="140" spans="1:24" ht="13.5" customHeight="1">
      <c r="A140" s="241"/>
      <c r="B140" s="246" t="s">
        <v>494</v>
      </c>
      <c r="C140" s="247"/>
      <c r="D140" s="331"/>
      <c r="E140" s="352">
        <f>SUBTOTAL(9,E135:E139)</f>
        <v>8</v>
      </c>
      <c r="F140" s="349"/>
      <c r="G140" s="349"/>
      <c r="H140" s="349"/>
      <c r="I140" s="348"/>
      <c r="J140" s="292">
        <f>SUBTOTAL(9,J135:J139)</f>
        <v>240000</v>
      </c>
      <c r="K140" s="328"/>
      <c r="L140" s="352">
        <f>SUBTOTAL(9,L135:L139)</f>
        <v>230</v>
      </c>
      <c r="M140" s="292">
        <f>SUBTOTAL(9,M135:M139)</f>
        <v>6900000</v>
      </c>
      <c r="N140" s="351"/>
      <c r="O140" s="247">
        <f t="shared" ref="O140" si="49">C140</f>
        <v>0</v>
      </c>
      <c r="P140" s="323"/>
      <c r="Q140" s="329"/>
      <c r="R140" s="368"/>
      <c r="S140" s="330"/>
      <c r="T140" s="330"/>
      <c r="U140" s="330"/>
      <c r="V140" s="330"/>
      <c r="W140" s="323"/>
      <c r="X140" s="323"/>
    </row>
    <row r="141" spans="1:24" s="362" customFormat="1" ht="13.5" customHeight="1">
      <c r="A141" s="241"/>
      <c r="B141" s="357" t="s">
        <v>829</v>
      </c>
      <c r="C141" s="374"/>
      <c r="D141" s="358"/>
      <c r="E141" s="359">
        <f>SUBTOTAL(9,E67:E140)</f>
        <v>58</v>
      </c>
      <c r="F141" s="359"/>
      <c r="G141" s="359"/>
      <c r="H141" s="360"/>
      <c r="I141" s="359"/>
      <c r="J141" s="375">
        <f>SUBTOTAL(9,J5:J140)</f>
        <v>2038500</v>
      </c>
      <c r="K141" s="361"/>
      <c r="L141" s="359">
        <f>SUBTOTAL(9,L5:L140)</f>
        <v>2180</v>
      </c>
      <c r="M141" s="375">
        <f>SUBTOTAL(9,M5:M140)</f>
        <v>42453500</v>
      </c>
      <c r="N141" s="351"/>
      <c r="O141" s="347"/>
      <c r="P141" s="323"/>
      <c r="Q141" s="329"/>
      <c r="R141" s="368"/>
      <c r="S141" s="330"/>
      <c r="T141" s="330"/>
      <c r="U141" s="330"/>
      <c r="V141" s="330"/>
      <c r="W141" s="323"/>
      <c r="X141" s="322"/>
    </row>
    <row r="142" spans="1:24" ht="15" customHeight="1">
      <c r="M142" s="380"/>
      <c r="P142" s="323"/>
      <c r="Q142" s="329"/>
      <c r="R142" s="368"/>
      <c r="S142" s="330"/>
      <c r="T142" s="330"/>
      <c r="U142" s="330"/>
      <c r="V142" s="330"/>
      <c r="W142" s="323"/>
    </row>
    <row r="143" spans="1:24" ht="13.5" customHeight="1">
      <c r="A143" s="323"/>
      <c r="B143" s="323"/>
      <c r="C143" s="229"/>
      <c r="D143" s="324"/>
      <c r="E143" s="325"/>
      <c r="F143" s="326"/>
      <c r="G143" s="326"/>
      <c r="H143" s="326"/>
      <c r="I143" s="327"/>
      <c r="J143" s="385"/>
      <c r="K143" s="328"/>
      <c r="L143" s="328"/>
      <c r="M143" s="379"/>
      <c r="N143" s="229"/>
      <c r="O143" s="229"/>
      <c r="P143" s="323"/>
      <c r="Q143" s="329"/>
      <c r="R143" s="368"/>
      <c r="S143" s="330"/>
      <c r="T143" s="330"/>
      <c r="U143" s="330"/>
      <c r="V143" s="330"/>
      <c r="W143" s="323"/>
      <c r="X143" s="323"/>
    </row>
    <row r="144" spans="1:24" ht="13.5" customHeight="1">
      <c r="A144" s="323"/>
      <c r="B144" s="323"/>
      <c r="C144" s="1099" t="s">
        <v>386</v>
      </c>
      <c r="D144" s="1099"/>
      <c r="E144" s="1099"/>
      <c r="F144" s="1099"/>
      <c r="G144" s="1099"/>
      <c r="H144" s="1099"/>
      <c r="I144" s="327"/>
      <c r="J144" s="385"/>
      <c r="K144" s="328"/>
      <c r="L144" s="328"/>
      <c r="M144" s="379"/>
      <c r="N144" s="229"/>
      <c r="O144" s="229"/>
      <c r="P144" s="323"/>
      <c r="Q144" s="329"/>
      <c r="R144" s="368"/>
      <c r="S144" s="330"/>
      <c r="T144" s="330"/>
      <c r="U144" s="330"/>
      <c r="V144" s="330"/>
      <c r="W144" s="323"/>
      <c r="X144" s="323"/>
    </row>
    <row r="145" spans="1:24" ht="13.5" customHeight="1">
      <c r="A145" s="323"/>
      <c r="B145" s="323"/>
      <c r="C145" s="339" t="s">
        <v>288</v>
      </c>
      <c r="D145" s="340" t="s">
        <v>2</v>
      </c>
      <c r="E145" s="341" t="s">
        <v>315</v>
      </c>
      <c r="F145" s="341" t="s">
        <v>657</v>
      </c>
      <c r="G145" s="341" t="s">
        <v>5</v>
      </c>
      <c r="H145" s="341" t="s">
        <v>205</v>
      </c>
      <c r="I145" s="328"/>
      <c r="J145" s="328"/>
      <c r="K145" s="379"/>
      <c r="L145" s="229"/>
      <c r="M145" s="229"/>
      <c r="N145" s="323"/>
      <c r="O145" s="329"/>
      <c r="P145" s="368"/>
      <c r="Q145" s="330"/>
      <c r="R145" s="330"/>
      <c r="S145" s="330"/>
      <c r="T145" s="330"/>
      <c r="U145" s="323"/>
      <c r="V145" s="323"/>
    </row>
    <row r="146" spans="1:24" ht="13.5" customHeight="1">
      <c r="A146" s="323"/>
      <c r="B146" s="323"/>
      <c r="C146" s="343">
        <v>1</v>
      </c>
      <c r="D146" s="355" t="s">
        <v>387</v>
      </c>
      <c r="E146" s="344" t="s">
        <v>91</v>
      </c>
      <c r="F146" s="344">
        <f>SUMIF($O$5:$O$140,D146,$L$5:$L$140)</f>
        <v>540</v>
      </c>
      <c r="G146" s="345">
        <f>+N(H146/F146)</f>
        <v>30000</v>
      </c>
      <c r="H146" s="387">
        <f>+SUMIF($O$5:$O$140,D146,$M$5:$M$140)</f>
        <v>16200000</v>
      </c>
      <c r="I146" s="328"/>
      <c r="J146" s="328">
        <f>F146-32</f>
        <v>508</v>
      </c>
      <c r="K146" s="379"/>
      <c r="L146" s="229"/>
      <c r="M146" s="229"/>
      <c r="N146" s="323"/>
      <c r="O146" s="329"/>
      <c r="P146" s="368"/>
      <c r="Q146" s="330"/>
      <c r="R146" s="330"/>
      <c r="S146" s="330"/>
      <c r="T146" s="330"/>
      <c r="U146" s="323"/>
      <c r="V146" s="323"/>
    </row>
    <row r="147" spans="1:24" ht="13.5" customHeight="1">
      <c r="A147" s="323"/>
      <c r="B147" s="323"/>
      <c r="C147" s="343">
        <v>2</v>
      </c>
      <c r="D147" s="376" t="s">
        <v>388</v>
      </c>
      <c r="E147" s="344" t="s">
        <v>91</v>
      </c>
      <c r="F147" s="344">
        <f>SUMIF($O$5:$O$140,D147,$L$5:$L$140)</f>
        <v>667</v>
      </c>
      <c r="G147" s="345">
        <f t="shared" ref="G147:G148" si="50">+N(H147/F147)</f>
        <v>18000</v>
      </c>
      <c r="H147" s="387">
        <f>+SUMIF($O$5:$O$140,D147,$M$5:$M$140)</f>
        <v>12006000</v>
      </c>
      <c r="I147" s="328"/>
      <c r="J147" s="328">
        <f t="shared" ref="J147:J148" si="51">F147-32</f>
        <v>635</v>
      </c>
      <c r="K147" s="379"/>
      <c r="L147" s="229"/>
      <c r="M147" s="229"/>
      <c r="N147" s="323"/>
      <c r="O147" s="329"/>
      <c r="P147" s="370"/>
      <c r="Q147" s="330"/>
      <c r="R147" s="330"/>
      <c r="S147" s="330"/>
      <c r="T147" s="330"/>
      <c r="U147" s="323"/>
      <c r="V147" s="323"/>
    </row>
    <row r="148" spans="1:24" ht="13.5" customHeight="1">
      <c r="A148" s="323"/>
      <c r="B148" s="323"/>
      <c r="C148" s="343">
        <v>3</v>
      </c>
      <c r="D148" s="376" t="s">
        <v>389</v>
      </c>
      <c r="E148" s="344" t="s">
        <v>91</v>
      </c>
      <c r="F148" s="344">
        <f>SUMIF($O$5:$O$140,D148,$L$5:$L$140)</f>
        <v>695</v>
      </c>
      <c r="G148" s="345">
        <f t="shared" si="50"/>
        <v>10500</v>
      </c>
      <c r="H148" s="387">
        <f>+SUMIF($O$5:$O$140,D148,$M$5:$M$140)</f>
        <v>7297500</v>
      </c>
      <c r="I148" s="328"/>
      <c r="J148" s="328">
        <f t="shared" si="51"/>
        <v>663</v>
      </c>
      <c r="K148" s="379"/>
      <c r="L148" s="229"/>
      <c r="M148" s="371"/>
      <c r="N148" s="323"/>
      <c r="O148" s="329"/>
      <c r="P148" s="370"/>
      <c r="Q148" s="330"/>
      <c r="R148" s="330"/>
      <c r="S148" s="330"/>
      <c r="T148" s="330"/>
      <c r="U148" s="323"/>
      <c r="V148" s="323"/>
    </row>
    <row r="149" spans="1:24" ht="13.5" customHeight="1">
      <c r="A149" s="323"/>
      <c r="B149" s="323"/>
      <c r="C149" s="343">
        <v>4</v>
      </c>
      <c r="D149" s="376" t="s">
        <v>390</v>
      </c>
      <c r="E149" s="344" t="s">
        <v>91</v>
      </c>
      <c r="F149" s="344">
        <f>SUMIF($O$5:$O$140,D149,$L$5:$L$140)</f>
        <v>278</v>
      </c>
      <c r="G149" s="345">
        <f t="shared" ref="G149" si="52">+N(H149/F149)</f>
        <v>25000</v>
      </c>
      <c r="H149" s="387">
        <f>+SUMIF($O$5:$O$140,D149,$M$5:$M$140)</f>
        <v>6950000</v>
      </c>
      <c r="I149" s="327"/>
      <c r="J149" s="385"/>
      <c r="K149" s="328"/>
      <c r="L149" s="328"/>
      <c r="M149" s="379"/>
      <c r="N149" s="229"/>
      <c r="O149" s="368"/>
      <c r="P149" s="323"/>
      <c r="Q149" s="329"/>
      <c r="R149" s="370"/>
      <c r="S149" s="330"/>
      <c r="T149" s="330"/>
      <c r="U149" s="330"/>
      <c r="V149" s="330"/>
      <c r="W149" s="323"/>
      <c r="X149" s="323"/>
    </row>
    <row r="150" spans="1:24" ht="13.5" customHeight="1">
      <c r="A150" s="323"/>
      <c r="B150" s="323"/>
      <c r="C150" s="1100" t="s">
        <v>232</v>
      </c>
      <c r="D150" s="1100"/>
      <c r="E150" s="1100"/>
      <c r="F150" s="386">
        <f>SUM(F146:F149)</f>
        <v>2180</v>
      </c>
      <c r="G150" s="386"/>
      <c r="H150" s="388">
        <f>SUM(H146:H149)</f>
        <v>42453500</v>
      </c>
      <c r="I150" s="327"/>
      <c r="J150" s="385"/>
      <c r="K150" s="328"/>
      <c r="L150" s="328"/>
      <c r="M150" s="379"/>
      <c r="N150" s="229"/>
      <c r="O150" s="368"/>
      <c r="P150" s="323"/>
      <c r="Q150" s="329"/>
      <c r="R150" s="370"/>
      <c r="S150" s="330"/>
      <c r="T150" s="330"/>
      <c r="U150" s="330"/>
      <c r="V150" s="330"/>
      <c r="W150" s="323"/>
      <c r="X150" s="323"/>
    </row>
    <row r="151" spans="1:24" ht="13.5" customHeight="1">
      <c r="A151" s="323"/>
      <c r="B151" s="323"/>
      <c r="C151" s="229"/>
      <c r="D151" s="370"/>
      <c r="E151" s="325"/>
      <c r="F151" s="326"/>
      <c r="G151" s="326"/>
      <c r="H151" s="326"/>
      <c r="I151" s="327"/>
      <c r="J151" s="385"/>
      <c r="K151" s="328"/>
      <c r="L151" s="328"/>
      <c r="M151" s="379"/>
      <c r="N151" s="229"/>
      <c r="O151" s="368"/>
      <c r="P151" s="323"/>
      <c r="Q151" s="329"/>
      <c r="R151" s="370"/>
      <c r="S151" s="330"/>
      <c r="T151" s="330"/>
      <c r="U151" s="330"/>
      <c r="V151" s="330"/>
      <c r="W151" s="323"/>
      <c r="X151" s="323"/>
    </row>
    <row r="152" spans="1:24" ht="13.5" customHeight="1">
      <c r="A152" s="323"/>
      <c r="B152" s="323"/>
      <c r="C152" s="229"/>
      <c r="D152" s="370"/>
      <c r="E152" s="325"/>
      <c r="F152" s="326"/>
      <c r="G152" s="326"/>
      <c r="H152" s="326"/>
      <c r="I152" s="327"/>
      <c r="J152" s="385"/>
      <c r="K152" s="328"/>
      <c r="L152" s="328"/>
      <c r="M152" s="379"/>
      <c r="N152" s="229"/>
      <c r="O152" s="368"/>
      <c r="P152" s="323"/>
      <c r="Q152" s="329"/>
      <c r="R152" s="370"/>
      <c r="S152" s="330"/>
      <c r="T152" s="330"/>
      <c r="U152" s="330"/>
      <c r="V152" s="330"/>
      <c r="W152" s="323"/>
      <c r="X152" s="323"/>
    </row>
    <row r="153" spans="1:24" ht="13.5" customHeight="1">
      <c r="A153" s="323"/>
      <c r="B153" s="323"/>
      <c r="C153" s="229"/>
      <c r="D153" s="370"/>
      <c r="E153" s="325"/>
      <c r="F153" s="326"/>
      <c r="G153" s="326"/>
      <c r="H153" s="326"/>
      <c r="I153" s="327"/>
      <c r="J153" s="385"/>
      <c r="K153" s="328"/>
      <c r="L153" s="328"/>
      <c r="M153" s="379"/>
      <c r="N153" s="229"/>
      <c r="O153" s="368"/>
      <c r="P153" s="323"/>
      <c r="Q153" s="329"/>
      <c r="R153" s="370"/>
      <c r="S153" s="330"/>
      <c r="T153" s="330"/>
      <c r="U153" s="330"/>
      <c r="V153" s="330"/>
      <c r="W153" s="323"/>
      <c r="X153" s="323"/>
    </row>
    <row r="154" spans="1:24" ht="13.5" customHeight="1">
      <c r="A154" s="323"/>
      <c r="B154" s="323"/>
      <c r="C154" s="229"/>
      <c r="D154" s="370"/>
      <c r="E154" s="325"/>
      <c r="F154" s="326"/>
      <c r="G154" s="326"/>
      <c r="H154" s="326"/>
      <c r="I154" s="327"/>
      <c r="J154" s="385"/>
      <c r="K154" s="328"/>
      <c r="L154" s="328"/>
      <c r="M154" s="379"/>
      <c r="N154" s="229"/>
      <c r="O154" s="368"/>
      <c r="P154" s="323"/>
      <c r="Q154" s="329"/>
      <c r="R154" s="370"/>
      <c r="S154" s="330"/>
      <c r="T154" s="330"/>
      <c r="U154" s="330"/>
      <c r="V154" s="330"/>
      <c r="W154" s="323"/>
      <c r="X154" s="323"/>
    </row>
    <row r="155" spans="1:24" ht="13.5" customHeight="1">
      <c r="A155" s="323"/>
      <c r="B155" s="323"/>
      <c r="C155" s="229"/>
      <c r="D155" s="370"/>
      <c r="E155" s="325"/>
      <c r="F155" s="326"/>
      <c r="G155" s="326"/>
      <c r="H155" s="326"/>
      <c r="I155" s="327"/>
      <c r="J155" s="385"/>
      <c r="K155" s="328"/>
      <c r="L155" s="328"/>
      <c r="M155" s="379"/>
      <c r="N155" s="229"/>
      <c r="O155" s="368"/>
      <c r="P155" s="323"/>
      <c r="Q155" s="329"/>
      <c r="R155" s="370"/>
      <c r="S155" s="330"/>
      <c r="T155" s="330"/>
      <c r="U155" s="330"/>
      <c r="V155" s="330"/>
      <c r="W155" s="323"/>
      <c r="X155" s="323"/>
    </row>
    <row r="156" spans="1:24" ht="13.5" customHeight="1">
      <c r="A156" s="323"/>
      <c r="B156" s="323"/>
      <c r="C156" s="229"/>
      <c r="D156" s="370"/>
      <c r="E156" s="325"/>
      <c r="F156" s="326"/>
      <c r="G156" s="326"/>
      <c r="H156" s="326"/>
      <c r="I156" s="327"/>
      <c r="J156" s="385"/>
      <c r="K156" s="328"/>
      <c r="L156" s="328"/>
      <c r="M156" s="379"/>
      <c r="N156" s="229"/>
      <c r="O156" s="368"/>
      <c r="P156" s="323"/>
      <c r="Q156" s="329"/>
      <c r="R156" s="370"/>
      <c r="S156" s="330"/>
      <c r="T156" s="330"/>
      <c r="U156" s="330"/>
      <c r="V156" s="330"/>
      <c r="W156" s="323"/>
      <c r="X156" s="323"/>
    </row>
    <row r="157" spans="1:24" ht="13.5" customHeight="1">
      <c r="A157" s="323"/>
      <c r="B157" s="323"/>
      <c r="C157" s="229"/>
      <c r="D157" s="370"/>
      <c r="E157" s="325"/>
      <c r="F157" s="326"/>
      <c r="G157" s="326"/>
      <c r="H157" s="326"/>
      <c r="I157" s="327"/>
      <c r="J157" s="385"/>
      <c r="K157" s="328"/>
      <c r="L157" s="328"/>
      <c r="M157" s="379"/>
      <c r="N157" s="229"/>
      <c r="O157" s="368"/>
      <c r="P157" s="323"/>
      <c r="Q157" s="329"/>
      <c r="R157" s="370"/>
      <c r="S157" s="330"/>
      <c r="T157" s="330"/>
      <c r="U157" s="330"/>
      <c r="V157" s="330"/>
      <c r="W157" s="323"/>
      <c r="X157" s="323"/>
    </row>
    <row r="158" spans="1:24" ht="13.5" customHeight="1">
      <c r="A158" s="323"/>
      <c r="B158" s="323"/>
      <c r="C158" s="229"/>
      <c r="D158" s="370"/>
      <c r="E158" s="325"/>
      <c r="F158" s="326"/>
      <c r="G158" s="326"/>
      <c r="H158" s="326"/>
      <c r="I158" s="327"/>
      <c r="J158" s="385"/>
      <c r="K158" s="328"/>
      <c r="L158" s="328"/>
      <c r="M158" s="379"/>
      <c r="N158" s="229"/>
      <c r="O158" s="368"/>
      <c r="P158" s="323"/>
      <c r="Q158" s="329"/>
      <c r="R158" s="370"/>
      <c r="S158" s="330"/>
      <c r="T158" s="330"/>
      <c r="U158" s="330"/>
      <c r="V158" s="330"/>
      <c r="W158" s="323"/>
      <c r="X158" s="323"/>
    </row>
    <row r="159" spans="1:24" ht="13.5" customHeight="1">
      <c r="A159" s="323"/>
      <c r="B159" s="323"/>
      <c r="C159" s="229"/>
      <c r="D159" s="370"/>
      <c r="E159" s="325"/>
      <c r="F159" s="326"/>
      <c r="G159" s="326"/>
      <c r="H159" s="326"/>
      <c r="I159" s="327"/>
      <c r="J159" s="385"/>
      <c r="K159" s="328"/>
      <c r="L159" s="328"/>
      <c r="M159" s="379"/>
      <c r="N159" s="229"/>
      <c r="O159" s="368"/>
      <c r="P159" s="323"/>
      <c r="Q159" s="329"/>
      <c r="R159" s="370"/>
      <c r="S159" s="330"/>
      <c r="T159" s="330"/>
      <c r="U159" s="330"/>
      <c r="V159" s="330"/>
      <c r="W159" s="323"/>
      <c r="X159" s="323"/>
    </row>
    <row r="160" spans="1:24" ht="13.5" customHeight="1">
      <c r="A160" s="323"/>
      <c r="B160" s="323"/>
      <c r="C160" s="229"/>
      <c r="D160" s="370"/>
      <c r="E160" s="325"/>
      <c r="F160" s="326"/>
      <c r="G160" s="326"/>
      <c r="H160" s="326"/>
      <c r="I160" s="327"/>
      <c r="J160" s="385"/>
      <c r="K160" s="328"/>
      <c r="L160" s="328"/>
      <c r="M160" s="379"/>
      <c r="N160" s="229"/>
      <c r="O160" s="368"/>
      <c r="P160" s="323"/>
      <c r="Q160" s="329"/>
      <c r="R160" s="370"/>
      <c r="S160" s="330"/>
      <c r="T160" s="330"/>
      <c r="U160" s="330"/>
      <c r="V160" s="330"/>
      <c r="W160" s="323"/>
      <c r="X160" s="323"/>
    </row>
    <row r="161" spans="1:24" ht="13.5" customHeight="1">
      <c r="A161" s="323"/>
      <c r="B161" s="323"/>
      <c r="C161" s="229"/>
      <c r="D161" s="370"/>
      <c r="E161" s="325"/>
      <c r="F161" s="326"/>
      <c r="G161" s="326"/>
      <c r="H161" s="326"/>
      <c r="I161" s="327"/>
      <c r="J161" s="385"/>
      <c r="K161" s="328"/>
      <c r="L161" s="328"/>
      <c r="M161" s="379"/>
      <c r="N161" s="229"/>
      <c r="O161" s="368"/>
      <c r="P161" s="323"/>
      <c r="Q161" s="329"/>
      <c r="R161" s="370"/>
      <c r="S161" s="330"/>
      <c r="T161" s="330"/>
      <c r="U161" s="330"/>
      <c r="V161" s="330"/>
      <c r="W161" s="323"/>
      <c r="X161" s="323"/>
    </row>
    <row r="162" spans="1:24" ht="13.5" customHeight="1">
      <c r="A162" s="323"/>
      <c r="B162" s="323"/>
      <c r="C162" s="229"/>
      <c r="D162" s="370"/>
      <c r="E162" s="325"/>
      <c r="F162" s="326"/>
      <c r="G162" s="326"/>
      <c r="H162" s="326"/>
      <c r="I162" s="327"/>
      <c r="J162" s="385"/>
      <c r="K162" s="328"/>
      <c r="L162" s="328"/>
      <c r="M162" s="379"/>
      <c r="N162" s="229"/>
      <c r="O162" s="368"/>
      <c r="P162" s="323"/>
      <c r="Q162" s="329"/>
      <c r="R162" s="370"/>
      <c r="S162" s="330"/>
      <c r="T162" s="330"/>
      <c r="U162" s="330"/>
      <c r="V162" s="330"/>
      <c r="W162" s="323"/>
      <c r="X162" s="323"/>
    </row>
    <row r="163" spans="1:24" ht="13.5" customHeight="1">
      <c r="A163" s="323"/>
      <c r="B163" s="323"/>
      <c r="C163" s="229"/>
      <c r="D163" s="370"/>
      <c r="E163" s="325"/>
      <c r="F163" s="326"/>
      <c r="G163" s="326"/>
      <c r="H163" s="326"/>
      <c r="I163" s="327"/>
      <c r="J163" s="385"/>
      <c r="K163" s="328"/>
      <c r="L163" s="328"/>
      <c r="M163" s="379"/>
      <c r="N163" s="229"/>
      <c r="O163" s="368"/>
      <c r="P163" s="323"/>
      <c r="Q163" s="329"/>
      <c r="R163" s="370"/>
      <c r="S163" s="330"/>
      <c r="T163" s="330"/>
      <c r="U163" s="330"/>
      <c r="V163" s="330"/>
      <c r="W163" s="323"/>
      <c r="X163" s="323"/>
    </row>
    <row r="164" spans="1:24" ht="13.5" customHeight="1">
      <c r="A164" s="323"/>
      <c r="B164" s="323"/>
      <c r="C164" s="229"/>
      <c r="D164" s="370"/>
      <c r="E164" s="325"/>
      <c r="F164" s="326"/>
      <c r="G164" s="326"/>
      <c r="H164" s="326"/>
      <c r="I164" s="327"/>
      <c r="J164" s="385"/>
      <c r="K164" s="328"/>
      <c r="L164" s="328"/>
      <c r="M164" s="379"/>
      <c r="N164" s="229"/>
      <c r="O164" s="368"/>
      <c r="P164" s="323"/>
      <c r="Q164" s="329"/>
      <c r="R164" s="370"/>
      <c r="S164" s="330"/>
      <c r="T164" s="330"/>
      <c r="U164" s="330"/>
      <c r="V164" s="330"/>
      <c r="W164" s="323"/>
      <c r="X164" s="323"/>
    </row>
    <row r="165" spans="1:24" ht="13.5" customHeight="1">
      <c r="A165" s="323"/>
      <c r="B165" s="323"/>
      <c r="C165" s="229"/>
      <c r="D165" s="370"/>
      <c r="E165" s="325"/>
      <c r="F165" s="326"/>
      <c r="G165" s="326"/>
      <c r="H165" s="326"/>
      <c r="I165" s="327"/>
      <c r="J165" s="385"/>
      <c r="K165" s="328"/>
      <c r="L165" s="328"/>
      <c r="M165" s="379"/>
      <c r="N165" s="229"/>
      <c r="O165" s="368"/>
      <c r="P165" s="323"/>
      <c r="Q165" s="329"/>
      <c r="R165" s="370"/>
      <c r="S165" s="330"/>
      <c r="T165" s="330"/>
      <c r="U165" s="330"/>
      <c r="V165" s="330"/>
      <c r="W165" s="323"/>
      <c r="X165" s="323"/>
    </row>
    <row r="166" spans="1:24" ht="13.5" customHeight="1">
      <c r="A166" s="323"/>
      <c r="B166" s="323"/>
      <c r="C166" s="229"/>
      <c r="D166" s="370"/>
      <c r="E166" s="325"/>
      <c r="F166" s="326"/>
      <c r="G166" s="326"/>
      <c r="H166" s="326"/>
      <c r="I166" s="327"/>
      <c r="J166" s="385"/>
      <c r="K166" s="328"/>
      <c r="L166" s="328"/>
      <c r="M166" s="379"/>
      <c r="N166" s="229"/>
      <c r="O166" s="368"/>
      <c r="P166" s="323"/>
      <c r="Q166" s="329"/>
      <c r="R166" s="370"/>
      <c r="S166" s="330"/>
      <c r="T166" s="330"/>
      <c r="U166" s="330"/>
      <c r="V166" s="330"/>
      <c r="W166" s="323"/>
      <c r="X166" s="323"/>
    </row>
    <row r="167" spans="1:24" ht="13.5" customHeight="1">
      <c r="A167" s="323"/>
      <c r="B167" s="323"/>
      <c r="C167" s="229"/>
      <c r="D167" s="370"/>
      <c r="E167" s="325"/>
      <c r="F167" s="326"/>
      <c r="G167" s="326"/>
      <c r="H167" s="326"/>
      <c r="I167" s="327"/>
      <c r="J167" s="385"/>
      <c r="K167" s="328"/>
      <c r="L167" s="328"/>
      <c r="M167" s="379"/>
      <c r="N167" s="229"/>
      <c r="O167" s="368"/>
      <c r="P167" s="323"/>
      <c r="Q167" s="329"/>
      <c r="R167" s="370"/>
      <c r="S167" s="330"/>
      <c r="T167" s="330"/>
      <c r="U167" s="330"/>
      <c r="V167" s="330"/>
      <c r="W167" s="323"/>
      <c r="X167" s="323"/>
    </row>
    <row r="168" spans="1:24" ht="13.5" customHeight="1">
      <c r="A168" s="323"/>
      <c r="B168" s="323"/>
      <c r="C168" s="229"/>
      <c r="D168" s="370"/>
      <c r="E168" s="325"/>
      <c r="F168" s="326"/>
      <c r="G168" s="326"/>
      <c r="H168" s="326"/>
      <c r="I168" s="327"/>
      <c r="J168" s="385"/>
      <c r="K168" s="328"/>
      <c r="L168" s="328"/>
      <c r="M168" s="379"/>
      <c r="N168" s="229"/>
      <c r="O168" s="368"/>
      <c r="P168" s="323"/>
      <c r="Q168" s="329"/>
      <c r="R168" s="370"/>
      <c r="S168" s="330"/>
      <c r="T168" s="330"/>
      <c r="U168" s="330"/>
      <c r="V168" s="330"/>
      <c r="W168" s="323"/>
      <c r="X168" s="323"/>
    </row>
    <row r="169" spans="1:24" ht="13.5" customHeight="1">
      <c r="A169" s="323"/>
      <c r="B169" s="323"/>
      <c r="C169" s="229"/>
      <c r="D169" s="370"/>
      <c r="E169" s="325"/>
      <c r="F169" s="326"/>
      <c r="G169" s="326"/>
      <c r="H169" s="326"/>
      <c r="I169" s="327"/>
      <c r="J169" s="385"/>
      <c r="K169" s="328"/>
      <c r="L169" s="328"/>
      <c r="M169" s="379"/>
      <c r="N169" s="229"/>
      <c r="O169" s="368"/>
      <c r="P169" s="323"/>
      <c r="Q169" s="329"/>
      <c r="R169" s="370"/>
      <c r="S169" s="330"/>
      <c r="T169" s="330"/>
      <c r="U169" s="330"/>
      <c r="V169" s="330"/>
      <c r="W169" s="323"/>
      <c r="X169" s="323"/>
    </row>
    <row r="170" spans="1:24" ht="13.5" customHeight="1">
      <c r="A170" s="323"/>
      <c r="B170" s="323"/>
      <c r="C170" s="229"/>
      <c r="D170" s="370"/>
      <c r="E170" s="325"/>
      <c r="F170" s="326"/>
      <c r="G170" s="326"/>
      <c r="H170" s="326"/>
      <c r="I170" s="327"/>
      <c r="J170" s="385"/>
      <c r="K170" s="328"/>
      <c r="L170" s="328"/>
      <c r="M170" s="379"/>
      <c r="N170" s="229"/>
      <c r="O170" s="368"/>
      <c r="P170" s="323"/>
      <c r="Q170" s="329"/>
      <c r="R170" s="370"/>
      <c r="S170" s="330"/>
      <c r="T170" s="330"/>
      <c r="U170" s="330"/>
      <c r="V170" s="330"/>
      <c r="W170" s="323"/>
      <c r="X170" s="323"/>
    </row>
    <row r="171" spans="1:24" ht="13.5" customHeight="1">
      <c r="A171" s="323"/>
      <c r="B171" s="323"/>
      <c r="C171" s="229"/>
      <c r="D171" s="370"/>
      <c r="E171" s="325"/>
      <c r="F171" s="326"/>
      <c r="G171" s="326"/>
      <c r="H171" s="326"/>
      <c r="I171" s="327"/>
      <c r="J171" s="385"/>
      <c r="K171" s="328"/>
      <c r="L171" s="328"/>
      <c r="M171" s="379"/>
      <c r="N171" s="229"/>
      <c r="O171" s="368"/>
      <c r="P171" s="323"/>
      <c r="Q171" s="329"/>
      <c r="R171" s="370"/>
      <c r="S171" s="330"/>
      <c r="T171" s="330"/>
      <c r="U171" s="330"/>
      <c r="V171" s="330"/>
      <c r="W171" s="323"/>
      <c r="X171" s="323"/>
    </row>
    <row r="172" spans="1:24" ht="13.5" customHeight="1">
      <c r="A172" s="323"/>
      <c r="B172" s="323"/>
      <c r="C172" s="229"/>
      <c r="D172" s="370"/>
      <c r="E172" s="325"/>
      <c r="F172" s="326"/>
      <c r="G172" s="326"/>
      <c r="H172" s="326"/>
      <c r="I172" s="327"/>
      <c r="J172" s="385"/>
      <c r="K172" s="328"/>
      <c r="L172" s="328"/>
      <c r="M172" s="379"/>
      <c r="N172" s="229"/>
      <c r="O172" s="368"/>
      <c r="P172" s="323"/>
      <c r="Q172" s="329"/>
      <c r="R172" s="370"/>
      <c r="S172" s="330"/>
      <c r="T172" s="330"/>
      <c r="U172" s="330"/>
      <c r="V172" s="330"/>
      <c r="W172" s="323"/>
      <c r="X172" s="323"/>
    </row>
    <row r="173" spans="1:24" ht="13.5" customHeight="1">
      <c r="A173" s="323"/>
      <c r="B173" s="323"/>
      <c r="C173" s="229"/>
      <c r="D173" s="370"/>
      <c r="E173" s="325"/>
      <c r="F173" s="326"/>
      <c r="G173" s="326"/>
      <c r="H173" s="326"/>
      <c r="I173" s="327"/>
      <c r="J173" s="385"/>
      <c r="K173" s="328"/>
      <c r="L173" s="328"/>
      <c r="M173" s="379"/>
      <c r="N173" s="229"/>
      <c r="O173" s="368"/>
      <c r="P173" s="323"/>
      <c r="Q173" s="329"/>
      <c r="R173" s="370"/>
      <c r="S173" s="330"/>
      <c r="T173" s="330"/>
      <c r="U173" s="330"/>
      <c r="V173" s="330"/>
      <c r="W173" s="323"/>
      <c r="X173" s="323"/>
    </row>
    <row r="174" spans="1:24" ht="13.5" customHeight="1">
      <c r="A174" s="323"/>
      <c r="B174" s="323"/>
      <c r="C174" s="229"/>
      <c r="D174" s="370"/>
      <c r="E174" s="325"/>
      <c r="F174" s="326"/>
      <c r="G174" s="326"/>
      <c r="H174" s="326"/>
      <c r="I174" s="327"/>
      <c r="J174" s="385"/>
      <c r="K174" s="328"/>
      <c r="L174" s="328"/>
      <c r="M174" s="379"/>
      <c r="N174" s="229"/>
      <c r="O174" s="368"/>
      <c r="P174" s="323"/>
      <c r="Q174" s="329"/>
      <c r="R174" s="370"/>
      <c r="S174" s="330"/>
      <c r="T174" s="330"/>
      <c r="U174" s="330"/>
      <c r="V174" s="330"/>
      <c r="W174" s="323"/>
      <c r="X174" s="323"/>
    </row>
    <row r="175" spans="1:24" ht="13.5" customHeight="1">
      <c r="A175" s="323"/>
      <c r="B175" s="323"/>
      <c r="C175" s="229"/>
      <c r="D175" s="370"/>
      <c r="E175" s="325"/>
      <c r="F175" s="326"/>
      <c r="G175" s="326"/>
      <c r="H175" s="326"/>
      <c r="I175" s="327"/>
      <c r="J175" s="385"/>
      <c r="K175" s="328"/>
      <c r="L175" s="328"/>
      <c r="M175" s="379"/>
      <c r="N175" s="229"/>
      <c r="O175" s="368"/>
      <c r="P175" s="323"/>
      <c r="Q175" s="329"/>
      <c r="R175" s="370"/>
      <c r="S175" s="330"/>
      <c r="T175" s="330"/>
      <c r="U175" s="330"/>
      <c r="V175" s="330"/>
      <c r="W175" s="323"/>
      <c r="X175" s="323"/>
    </row>
    <row r="176" spans="1:24" ht="13.5" customHeight="1">
      <c r="A176" s="323"/>
      <c r="B176" s="323"/>
      <c r="C176" s="229"/>
      <c r="D176" s="370"/>
      <c r="E176" s="325"/>
      <c r="F176" s="326"/>
      <c r="G176" s="326"/>
      <c r="H176" s="326"/>
      <c r="I176" s="327"/>
      <c r="J176" s="385"/>
      <c r="K176" s="328"/>
      <c r="L176" s="328"/>
      <c r="M176" s="379"/>
      <c r="N176" s="229"/>
      <c r="O176" s="368"/>
      <c r="P176" s="323"/>
      <c r="Q176" s="329"/>
      <c r="R176" s="370"/>
      <c r="S176" s="330"/>
      <c r="T176" s="330"/>
      <c r="U176" s="330"/>
      <c r="V176" s="330"/>
      <c r="W176" s="323"/>
      <c r="X176" s="323"/>
    </row>
    <row r="177" spans="1:24" ht="13.5" customHeight="1">
      <c r="A177" s="323"/>
      <c r="B177" s="323"/>
      <c r="C177" s="229"/>
      <c r="D177" s="370"/>
      <c r="E177" s="325"/>
      <c r="F177" s="326"/>
      <c r="G177" s="326"/>
      <c r="H177" s="326"/>
      <c r="I177" s="327"/>
      <c r="J177" s="385"/>
      <c r="K177" s="328"/>
      <c r="L177" s="328"/>
      <c r="M177" s="379"/>
      <c r="N177" s="229"/>
      <c r="O177" s="368"/>
      <c r="P177" s="323"/>
      <c r="Q177" s="329"/>
      <c r="R177" s="370"/>
      <c r="S177" s="330"/>
      <c r="T177" s="330"/>
      <c r="U177" s="330"/>
      <c r="V177" s="330"/>
      <c r="W177" s="323"/>
      <c r="X177" s="323"/>
    </row>
    <row r="178" spans="1:24" ht="13.5" customHeight="1">
      <c r="A178" s="323"/>
      <c r="B178" s="323"/>
      <c r="C178" s="229"/>
      <c r="D178" s="370"/>
      <c r="E178" s="325"/>
      <c r="F178" s="326"/>
      <c r="G178" s="326"/>
      <c r="H178" s="326"/>
      <c r="I178" s="327"/>
      <c r="J178" s="385"/>
      <c r="K178" s="328"/>
      <c r="L178" s="328"/>
      <c r="M178" s="379"/>
      <c r="N178" s="229"/>
      <c r="O178" s="368"/>
      <c r="P178" s="323"/>
      <c r="Q178" s="329"/>
      <c r="R178" s="370"/>
      <c r="S178" s="330"/>
      <c r="T178" s="330"/>
      <c r="U178" s="330"/>
      <c r="V178" s="330"/>
      <c r="W178" s="323"/>
      <c r="X178" s="323"/>
    </row>
    <row r="179" spans="1:24" ht="13.5" customHeight="1">
      <c r="A179" s="323"/>
      <c r="B179" s="323"/>
      <c r="C179" s="229"/>
      <c r="D179" s="370"/>
      <c r="E179" s="325"/>
      <c r="F179" s="326"/>
      <c r="G179" s="326"/>
      <c r="H179" s="326"/>
      <c r="I179" s="327"/>
      <c r="J179" s="385"/>
      <c r="K179" s="328"/>
      <c r="L179" s="328"/>
      <c r="M179" s="379"/>
      <c r="N179" s="229"/>
      <c r="O179" s="368"/>
      <c r="P179" s="323"/>
      <c r="Q179" s="329"/>
      <c r="R179" s="370"/>
      <c r="S179" s="330"/>
      <c r="T179" s="330"/>
      <c r="U179" s="330"/>
      <c r="V179" s="330"/>
      <c r="W179" s="323"/>
      <c r="X179" s="323"/>
    </row>
    <row r="180" spans="1:24" ht="13.5" customHeight="1">
      <c r="A180" s="323"/>
      <c r="B180" s="323"/>
      <c r="C180" s="229"/>
      <c r="D180" s="370"/>
      <c r="E180" s="325"/>
      <c r="F180" s="326"/>
      <c r="G180" s="326"/>
      <c r="H180" s="326"/>
      <c r="I180" s="327"/>
      <c r="J180" s="385"/>
      <c r="K180" s="328"/>
      <c r="L180" s="328"/>
      <c r="M180" s="379"/>
      <c r="N180" s="229"/>
      <c r="O180" s="368"/>
      <c r="P180" s="323"/>
      <c r="Q180" s="329"/>
      <c r="R180" s="370"/>
      <c r="S180" s="330"/>
      <c r="T180" s="330"/>
      <c r="U180" s="330"/>
      <c r="V180" s="330"/>
      <c r="W180" s="323"/>
      <c r="X180" s="323"/>
    </row>
    <row r="181" spans="1:24" ht="13.5" customHeight="1">
      <c r="A181" s="323"/>
      <c r="B181" s="323"/>
      <c r="C181" s="229"/>
      <c r="D181" s="370"/>
      <c r="E181" s="325"/>
      <c r="F181" s="326"/>
      <c r="G181" s="326"/>
      <c r="H181" s="326"/>
      <c r="I181" s="327"/>
      <c r="J181" s="385"/>
      <c r="K181" s="328"/>
      <c r="L181" s="328"/>
      <c r="M181" s="379"/>
      <c r="N181" s="229"/>
      <c r="O181" s="368"/>
      <c r="P181" s="323"/>
      <c r="Q181" s="329"/>
      <c r="R181" s="370"/>
      <c r="S181" s="330"/>
      <c r="T181" s="330"/>
      <c r="U181" s="330"/>
      <c r="V181" s="330"/>
      <c r="W181" s="323"/>
      <c r="X181" s="323"/>
    </row>
    <row r="182" spans="1:24" ht="13.5" customHeight="1">
      <c r="A182" s="323"/>
      <c r="B182" s="323"/>
      <c r="C182" s="229"/>
      <c r="D182" s="370"/>
      <c r="E182" s="325"/>
      <c r="F182" s="326"/>
      <c r="G182" s="326"/>
      <c r="H182" s="326"/>
      <c r="I182" s="327"/>
      <c r="J182" s="385"/>
      <c r="K182" s="328"/>
      <c r="L182" s="328"/>
      <c r="M182" s="379"/>
      <c r="N182" s="229"/>
      <c r="O182" s="368"/>
      <c r="P182" s="323"/>
      <c r="Q182" s="329"/>
      <c r="R182" s="370"/>
      <c r="S182" s="330"/>
      <c r="T182" s="330"/>
      <c r="U182" s="330"/>
      <c r="V182" s="330"/>
      <c r="W182" s="323"/>
      <c r="X182" s="323"/>
    </row>
    <row r="183" spans="1:24" ht="13.5" customHeight="1">
      <c r="A183" s="323"/>
      <c r="B183" s="323"/>
      <c r="C183" s="229"/>
      <c r="D183" s="370"/>
      <c r="E183" s="325"/>
      <c r="F183" s="326"/>
      <c r="G183" s="326"/>
      <c r="H183" s="326"/>
      <c r="I183" s="327"/>
      <c r="J183" s="385"/>
      <c r="K183" s="328"/>
      <c r="L183" s="328"/>
      <c r="M183" s="379"/>
      <c r="N183" s="229"/>
      <c r="O183" s="368"/>
      <c r="P183" s="323"/>
      <c r="Q183" s="329"/>
      <c r="R183" s="370"/>
      <c r="S183" s="330"/>
      <c r="T183" s="330"/>
      <c r="U183" s="330"/>
      <c r="V183" s="330"/>
      <c r="W183" s="323"/>
      <c r="X183" s="323"/>
    </row>
    <row r="184" spans="1:24" ht="13.5" customHeight="1">
      <c r="A184" s="323"/>
      <c r="B184" s="323"/>
      <c r="C184" s="229"/>
      <c r="D184" s="370"/>
      <c r="E184" s="325"/>
      <c r="F184" s="326"/>
      <c r="G184" s="326"/>
      <c r="H184" s="326"/>
      <c r="I184" s="327"/>
      <c r="J184" s="385"/>
      <c r="K184" s="328"/>
      <c r="L184" s="328"/>
      <c r="M184" s="379"/>
      <c r="N184" s="229"/>
      <c r="O184" s="368"/>
      <c r="P184" s="323"/>
      <c r="Q184" s="329"/>
      <c r="R184" s="370"/>
      <c r="S184" s="330"/>
      <c r="T184" s="330"/>
      <c r="U184" s="330"/>
      <c r="V184" s="330"/>
      <c r="W184" s="323"/>
      <c r="X184" s="323"/>
    </row>
    <row r="185" spans="1:24" ht="13.5" customHeight="1">
      <c r="A185" s="323"/>
      <c r="B185" s="323"/>
      <c r="C185" s="229"/>
      <c r="D185" s="370"/>
      <c r="E185" s="325"/>
      <c r="F185" s="326"/>
      <c r="G185" s="326"/>
      <c r="H185" s="326"/>
      <c r="I185" s="327"/>
      <c r="J185" s="385"/>
      <c r="K185" s="328"/>
      <c r="L185" s="328"/>
      <c r="M185" s="379"/>
      <c r="N185" s="229"/>
      <c r="O185" s="368"/>
      <c r="P185" s="323"/>
      <c r="Q185" s="329"/>
      <c r="R185" s="370"/>
      <c r="S185" s="330"/>
      <c r="T185" s="330"/>
      <c r="U185" s="330"/>
      <c r="V185" s="330"/>
      <c r="W185" s="323"/>
      <c r="X185" s="323"/>
    </row>
    <row r="186" spans="1:24" ht="13.5" customHeight="1">
      <c r="A186" s="323"/>
      <c r="B186" s="323"/>
      <c r="C186" s="229"/>
      <c r="D186" s="370"/>
      <c r="E186" s="325"/>
      <c r="F186" s="326"/>
      <c r="G186" s="326"/>
      <c r="H186" s="326"/>
      <c r="I186" s="327"/>
      <c r="J186" s="385"/>
      <c r="K186" s="328"/>
      <c r="L186" s="328"/>
      <c r="M186" s="379"/>
      <c r="N186" s="229"/>
      <c r="O186" s="368"/>
      <c r="P186" s="323"/>
      <c r="Q186" s="329"/>
      <c r="R186" s="370"/>
      <c r="S186" s="330"/>
      <c r="T186" s="330"/>
      <c r="U186" s="330"/>
      <c r="V186" s="330"/>
      <c r="W186" s="323"/>
      <c r="X186" s="323"/>
    </row>
    <row r="187" spans="1:24" ht="13.5" customHeight="1">
      <c r="A187" s="323"/>
      <c r="B187" s="323"/>
      <c r="C187" s="229"/>
      <c r="D187" s="370"/>
      <c r="E187" s="325"/>
      <c r="F187" s="326"/>
      <c r="G187" s="326"/>
      <c r="H187" s="326"/>
      <c r="I187" s="327"/>
      <c r="J187" s="385"/>
      <c r="K187" s="328"/>
      <c r="L187" s="328"/>
      <c r="M187" s="379"/>
      <c r="N187" s="229"/>
      <c r="O187" s="368"/>
      <c r="P187" s="323"/>
      <c r="Q187" s="329"/>
      <c r="R187" s="370"/>
      <c r="S187" s="330"/>
      <c r="T187" s="330"/>
      <c r="U187" s="330"/>
      <c r="V187" s="330"/>
      <c r="W187" s="323"/>
      <c r="X187" s="323"/>
    </row>
    <row r="188" spans="1:24" ht="13.5" customHeight="1">
      <c r="A188" s="323"/>
      <c r="B188" s="323"/>
      <c r="C188" s="229"/>
      <c r="D188" s="370"/>
      <c r="E188" s="325"/>
      <c r="F188" s="326"/>
      <c r="G188" s="326"/>
      <c r="H188" s="326"/>
      <c r="I188" s="327"/>
      <c r="J188" s="385"/>
      <c r="K188" s="328"/>
      <c r="L188" s="328"/>
      <c r="M188" s="379"/>
      <c r="N188" s="229"/>
      <c r="O188" s="368"/>
      <c r="P188" s="323"/>
      <c r="Q188" s="329"/>
      <c r="R188" s="370"/>
      <c r="S188" s="330"/>
      <c r="T188" s="330"/>
      <c r="U188" s="330"/>
      <c r="V188" s="330"/>
      <c r="W188" s="323"/>
      <c r="X188" s="323"/>
    </row>
    <row r="189" spans="1:24" ht="13.5" customHeight="1">
      <c r="A189" s="323"/>
      <c r="B189" s="323"/>
      <c r="C189" s="229"/>
      <c r="D189" s="370"/>
      <c r="E189" s="325"/>
      <c r="F189" s="326"/>
      <c r="G189" s="326"/>
      <c r="H189" s="326"/>
      <c r="I189" s="327"/>
      <c r="J189" s="385"/>
      <c r="K189" s="328"/>
      <c r="L189" s="328"/>
      <c r="M189" s="379"/>
      <c r="N189" s="229"/>
      <c r="O189" s="368"/>
      <c r="P189" s="323"/>
      <c r="Q189" s="329"/>
      <c r="R189" s="370"/>
      <c r="S189" s="330"/>
      <c r="T189" s="330"/>
      <c r="U189" s="330"/>
      <c r="V189" s="330"/>
      <c r="W189" s="323"/>
      <c r="X189" s="323"/>
    </row>
    <row r="190" spans="1:24" ht="13.5" customHeight="1">
      <c r="A190" s="323"/>
      <c r="B190" s="323"/>
      <c r="C190" s="229"/>
      <c r="D190" s="370"/>
      <c r="E190" s="325"/>
      <c r="F190" s="326"/>
      <c r="G190" s="326"/>
      <c r="H190" s="326"/>
      <c r="I190" s="327"/>
      <c r="J190" s="385"/>
      <c r="K190" s="328"/>
      <c r="L190" s="328"/>
      <c r="M190" s="379"/>
      <c r="N190" s="229"/>
      <c r="O190" s="368"/>
      <c r="P190" s="323"/>
      <c r="Q190" s="329"/>
      <c r="R190" s="370"/>
      <c r="S190" s="330"/>
      <c r="T190" s="330"/>
      <c r="U190" s="330"/>
      <c r="V190" s="330"/>
      <c r="W190" s="323"/>
      <c r="X190" s="323"/>
    </row>
    <row r="191" spans="1:24" ht="13.5" customHeight="1">
      <c r="A191" s="323"/>
      <c r="B191" s="323"/>
      <c r="C191" s="229"/>
      <c r="D191" s="370"/>
      <c r="E191" s="325"/>
      <c r="F191" s="326"/>
      <c r="G191" s="326"/>
      <c r="H191" s="326"/>
      <c r="I191" s="327"/>
      <c r="J191" s="385"/>
      <c r="K191" s="328"/>
      <c r="L191" s="328"/>
      <c r="M191" s="379"/>
      <c r="N191" s="229"/>
      <c r="O191" s="368"/>
      <c r="P191" s="323"/>
      <c r="Q191" s="329"/>
      <c r="R191" s="370"/>
      <c r="S191" s="330"/>
      <c r="T191" s="330"/>
      <c r="U191" s="330"/>
      <c r="V191" s="330"/>
      <c r="W191" s="323"/>
      <c r="X191" s="323"/>
    </row>
    <row r="192" spans="1:24" ht="13.5" customHeight="1">
      <c r="A192" s="323"/>
      <c r="B192" s="323"/>
      <c r="C192" s="229"/>
      <c r="D192" s="370"/>
      <c r="E192" s="325"/>
      <c r="F192" s="326"/>
      <c r="G192" s="326"/>
      <c r="H192" s="326"/>
      <c r="I192" s="327"/>
      <c r="J192" s="385"/>
      <c r="K192" s="328"/>
      <c r="L192" s="328"/>
      <c r="M192" s="379"/>
      <c r="N192" s="229"/>
      <c r="O192" s="368"/>
      <c r="P192" s="323"/>
      <c r="Q192" s="329"/>
      <c r="R192" s="370"/>
      <c r="S192" s="330"/>
      <c r="T192" s="330"/>
      <c r="U192" s="330"/>
      <c r="V192" s="330"/>
      <c r="W192" s="323"/>
      <c r="X192" s="323"/>
    </row>
    <row r="193" spans="1:24" ht="13.5" customHeight="1">
      <c r="A193" s="323"/>
      <c r="B193" s="323"/>
      <c r="C193" s="229"/>
      <c r="D193" s="370"/>
      <c r="E193" s="325"/>
      <c r="F193" s="326"/>
      <c r="G193" s="326"/>
      <c r="H193" s="326"/>
      <c r="I193" s="327"/>
      <c r="J193" s="385"/>
      <c r="K193" s="328"/>
      <c r="L193" s="328"/>
      <c r="M193" s="379"/>
      <c r="N193" s="229"/>
      <c r="O193" s="368"/>
      <c r="P193" s="323"/>
      <c r="Q193" s="329"/>
      <c r="R193" s="370"/>
      <c r="S193" s="330"/>
      <c r="T193" s="330"/>
      <c r="U193" s="330"/>
      <c r="V193" s="330"/>
      <c r="W193" s="323"/>
      <c r="X193" s="323"/>
    </row>
    <row r="194" spans="1:24" ht="13.5" customHeight="1">
      <c r="A194" s="323"/>
      <c r="B194" s="323"/>
      <c r="C194" s="229"/>
      <c r="D194" s="370"/>
      <c r="E194" s="325"/>
      <c r="F194" s="326"/>
      <c r="G194" s="326"/>
      <c r="H194" s="326"/>
      <c r="I194" s="327"/>
      <c r="J194" s="385"/>
      <c r="K194" s="328"/>
      <c r="L194" s="328"/>
      <c r="M194" s="379"/>
      <c r="N194" s="229"/>
      <c r="O194" s="368"/>
      <c r="P194" s="323"/>
      <c r="Q194" s="329"/>
      <c r="R194" s="370"/>
      <c r="S194" s="330"/>
      <c r="T194" s="330"/>
      <c r="U194" s="330"/>
      <c r="V194" s="330"/>
      <c r="W194" s="323"/>
      <c r="X194" s="323"/>
    </row>
    <row r="195" spans="1:24" ht="13.5" customHeight="1">
      <c r="A195" s="323"/>
      <c r="B195" s="323"/>
      <c r="C195" s="229"/>
      <c r="D195" s="370"/>
      <c r="E195" s="325"/>
      <c r="F195" s="326"/>
      <c r="G195" s="326"/>
      <c r="H195" s="326"/>
      <c r="I195" s="327"/>
      <c r="J195" s="385"/>
      <c r="K195" s="328"/>
      <c r="L195" s="328"/>
      <c r="M195" s="379"/>
      <c r="N195" s="229"/>
      <c r="O195" s="368"/>
      <c r="P195" s="323"/>
      <c r="Q195" s="329"/>
      <c r="R195" s="370"/>
      <c r="S195" s="330"/>
      <c r="T195" s="330"/>
      <c r="U195" s="330"/>
      <c r="V195" s="330"/>
      <c r="W195" s="323"/>
      <c r="X195" s="323"/>
    </row>
    <row r="196" spans="1:24" ht="13.5" customHeight="1">
      <c r="A196" s="323"/>
      <c r="B196" s="323"/>
      <c r="C196" s="229"/>
      <c r="D196" s="370"/>
      <c r="E196" s="325"/>
      <c r="F196" s="326"/>
      <c r="G196" s="326"/>
      <c r="H196" s="326"/>
      <c r="I196" s="327"/>
      <c r="J196" s="385"/>
      <c r="K196" s="328"/>
      <c r="L196" s="328"/>
      <c r="M196" s="379"/>
      <c r="N196" s="229"/>
      <c r="O196" s="368"/>
      <c r="P196" s="323"/>
      <c r="Q196" s="329"/>
      <c r="R196" s="370"/>
      <c r="S196" s="330"/>
      <c r="T196" s="330"/>
      <c r="U196" s="330"/>
      <c r="V196" s="330"/>
      <c r="W196" s="323"/>
      <c r="X196" s="323"/>
    </row>
    <row r="197" spans="1:24" ht="13.5" customHeight="1">
      <c r="A197" s="323"/>
      <c r="B197" s="323"/>
      <c r="C197" s="229"/>
      <c r="D197" s="370"/>
      <c r="E197" s="325"/>
      <c r="F197" s="326"/>
      <c r="G197" s="326"/>
      <c r="H197" s="326"/>
      <c r="I197" s="327"/>
      <c r="J197" s="385"/>
      <c r="K197" s="328"/>
      <c r="L197" s="328"/>
      <c r="M197" s="379"/>
      <c r="N197" s="229"/>
      <c r="O197" s="368"/>
      <c r="P197" s="323"/>
      <c r="Q197" s="329"/>
      <c r="R197" s="370"/>
      <c r="S197" s="330"/>
      <c r="T197" s="330"/>
      <c r="U197" s="330"/>
      <c r="V197" s="330"/>
      <c r="W197" s="323"/>
      <c r="X197" s="323"/>
    </row>
    <row r="198" spans="1:24" ht="13.5" customHeight="1">
      <c r="A198" s="323"/>
      <c r="B198" s="323"/>
      <c r="C198" s="229"/>
      <c r="D198" s="370"/>
      <c r="E198" s="325"/>
      <c r="F198" s="326"/>
      <c r="G198" s="326"/>
      <c r="H198" s="326"/>
      <c r="I198" s="327"/>
      <c r="J198" s="385"/>
      <c r="K198" s="328"/>
      <c r="L198" s="328"/>
      <c r="M198" s="379"/>
      <c r="N198" s="229"/>
      <c r="O198" s="368"/>
      <c r="P198" s="323"/>
      <c r="Q198" s="329"/>
      <c r="R198" s="370"/>
      <c r="S198" s="330"/>
      <c r="T198" s="330"/>
      <c r="U198" s="330"/>
      <c r="V198" s="330"/>
      <c r="W198" s="323"/>
      <c r="X198" s="323"/>
    </row>
    <row r="199" spans="1:24" ht="13.5" customHeight="1">
      <c r="A199" s="323"/>
      <c r="B199" s="323"/>
      <c r="C199" s="229"/>
      <c r="D199" s="370"/>
      <c r="E199" s="325"/>
      <c r="F199" s="326"/>
      <c r="G199" s="326"/>
      <c r="H199" s="326"/>
      <c r="I199" s="327"/>
      <c r="J199" s="385"/>
      <c r="K199" s="328"/>
      <c r="L199" s="328"/>
      <c r="M199" s="379"/>
      <c r="N199" s="229"/>
      <c r="O199" s="368"/>
      <c r="P199" s="323"/>
      <c r="Q199" s="329"/>
      <c r="R199" s="370"/>
      <c r="S199" s="330"/>
      <c r="T199" s="330"/>
      <c r="U199" s="330"/>
      <c r="V199" s="330"/>
      <c r="W199" s="323"/>
      <c r="X199" s="323"/>
    </row>
    <row r="200" spans="1:24" ht="13.5" customHeight="1">
      <c r="A200" s="323"/>
      <c r="B200" s="323"/>
      <c r="C200" s="229"/>
      <c r="D200" s="370"/>
      <c r="E200" s="325"/>
      <c r="F200" s="326"/>
      <c r="G200" s="326"/>
      <c r="H200" s="326"/>
      <c r="I200" s="327"/>
      <c r="J200" s="385"/>
      <c r="K200" s="328"/>
      <c r="L200" s="328"/>
      <c r="M200" s="379"/>
      <c r="N200" s="229"/>
      <c r="O200" s="368"/>
      <c r="P200" s="323"/>
      <c r="Q200" s="329"/>
      <c r="R200" s="370"/>
      <c r="S200" s="330"/>
      <c r="T200" s="330"/>
      <c r="U200" s="330"/>
      <c r="V200" s="330"/>
      <c r="W200" s="323"/>
      <c r="X200" s="323"/>
    </row>
    <row r="201" spans="1:24" ht="13.5" customHeight="1">
      <c r="A201" s="323"/>
      <c r="B201" s="323"/>
      <c r="C201" s="229"/>
      <c r="D201" s="370"/>
      <c r="E201" s="325"/>
      <c r="F201" s="326"/>
      <c r="G201" s="326"/>
      <c r="H201" s="326"/>
      <c r="I201" s="327"/>
      <c r="J201" s="385"/>
      <c r="K201" s="328"/>
      <c r="L201" s="328"/>
      <c r="M201" s="379"/>
      <c r="N201" s="229"/>
      <c r="O201" s="368"/>
      <c r="P201" s="323"/>
      <c r="Q201" s="329"/>
      <c r="R201" s="370"/>
      <c r="S201" s="330"/>
      <c r="T201" s="330"/>
      <c r="U201" s="330"/>
      <c r="V201" s="330"/>
      <c r="W201" s="323"/>
      <c r="X201" s="323"/>
    </row>
    <row r="202" spans="1:24" ht="13.5" customHeight="1">
      <c r="A202" s="323"/>
      <c r="B202" s="323"/>
      <c r="C202" s="229"/>
      <c r="D202" s="370"/>
      <c r="E202" s="325"/>
      <c r="F202" s="326"/>
      <c r="G202" s="326"/>
      <c r="H202" s="326"/>
      <c r="I202" s="327"/>
      <c r="J202" s="385"/>
      <c r="K202" s="328"/>
      <c r="L202" s="328"/>
      <c r="M202" s="379"/>
      <c r="N202" s="229"/>
      <c r="O202" s="368"/>
      <c r="P202" s="323"/>
      <c r="Q202" s="329"/>
      <c r="R202" s="370"/>
      <c r="S202" s="330"/>
      <c r="T202" s="330"/>
      <c r="U202" s="330"/>
      <c r="V202" s="330"/>
      <c r="W202" s="323"/>
      <c r="X202" s="323"/>
    </row>
    <row r="203" spans="1:24" ht="13.5" customHeight="1">
      <c r="A203" s="323"/>
      <c r="B203" s="323"/>
      <c r="C203" s="229"/>
      <c r="D203" s="370"/>
      <c r="E203" s="325"/>
      <c r="F203" s="326"/>
      <c r="G203" s="326"/>
      <c r="H203" s="326"/>
      <c r="I203" s="327"/>
      <c r="J203" s="385"/>
      <c r="K203" s="328"/>
      <c r="L203" s="328"/>
      <c r="M203" s="379"/>
      <c r="N203" s="229"/>
      <c r="O203" s="368"/>
      <c r="P203" s="323"/>
      <c r="Q203" s="329"/>
      <c r="R203" s="370"/>
      <c r="S203" s="330"/>
      <c r="T203" s="330"/>
      <c r="U203" s="330"/>
      <c r="V203" s="330"/>
      <c r="W203" s="323"/>
      <c r="X203" s="323"/>
    </row>
    <row r="204" spans="1:24" ht="13.5" customHeight="1">
      <c r="A204" s="323"/>
      <c r="B204" s="323"/>
      <c r="C204" s="229"/>
      <c r="D204" s="370"/>
      <c r="E204" s="325"/>
      <c r="F204" s="326"/>
      <c r="G204" s="326"/>
      <c r="H204" s="326"/>
      <c r="I204" s="327"/>
      <c r="J204" s="385"/>
      <c r="K204" s="328"/>
      <c r="L204" s="328"/>
      <c r="M204" s="379"/>
      <c r="N204" s="229"/>
      <c r="O204" s="368"/>
      <c r="P204" s="323"/>
      <c r="Q204" s="329"/>
      <c r="R204" s="370"/>
      <c r="S204" s="330"/>
      <c r="T204" s="330"/>
      <c r="U204" s="330"/>
      <c r="V204" s="330"/>
      <c r="W204" s="323"/>
      <c r="X204" s="323"/>
    </row>
    <row r="205" spans="1:24" ht="13.5" customHeight="1">
      <c r="A205" s="323"/>
      <c r="B205" s="323"/>
      <c r="C205" s="229"/>
      <c r="D205" s="370"/>
      <c r="E205" s="325"/>
      <c r="F205" s="326"/>
      <c r="G205" s="326"/>
      <c r="H205" s="326"/>
      <c r="I205" s="327"/>
      <c r="J205" s="385"/>
      <c r="K205" s="328"/>
      <c r="L205" s="328"/>
      <c r="M205" s="379"/>
      <c r="N205" s="229"/>
      <c r="O205" s="368"/>
      <c r="P205" s="323"/>
      <c r="Q205" s="329"/>
      <c r="R205" s="370"/>
      <c r="S205" s="330"/>
      <c r="T205" s="330"/>
      <c r="U205" s="330"/>
      <c r="V205" s="330"/>
      <c r="W205" s="323"/>
      <c r="X205" s="323"/>
    </row>
    <row r="206" spans="1:24" ht="13.5" customHeight="1">
      <c r="A206" s="323"/>
      <c r="B206" s="323"/>
      <c r="C206" s="229"/>
      <c r="D206" s="370"/>
      <c r="E206" s="325"/>
      <c r="F206" s="326"/>
      <c r="G206" s="326"/>
      <c r="H206" s="326"/>
      <c r="I206" s="327"/>
      <c r="J206" s="385"/>
      <c r="K206" s="328"/>
      <c r="L206" s="328"/>
      <c r="M206" s="379"/>
      <c r="N206" s="229"/>
      <c r="O206" s="368"/>
      <c r="P206" s="323"/>
      <c r="Q206" s="329"/>
      <c r="R206" s="370"/>
      <c r="S206" s="330"/>
      <c r="T206" s="330"/>
      <c r="U206" s="330"/>
      <c r="V206" s="330"/>
      <c r="W206" s="323"/>
      <c r="X206" s="323"/>
    </row>
    <row r="207" spans="1:24" ht="13.5" customHeight="1">
      <c r="A207" s="323"/>
      <c r="B207" s="323"/>
      <c r="C207" s="229"/>
      <c r="D207" s="370"/>
      <c r="E207" s="325"/>
      <c r="F207" s="326"/>
      <c r="G207" s="326"/>
      <c r="H207" s="326"/>
      <c r="I207" s="327"/>
      <c r="J207" s="385"/>
      <c r="K207" s="328"/>
      <c r="L207" s="328"/>
      <c r="M207" s="379"/>
      <c r="N207" s="229"/>
      <c r="O207" s="368"/>
      <c r="P207" s="323"/>
      <c r="Q207" s="329"/>
      <c r="R207" s="370"/>
      <c r="S207" s="330"/>
      <c r="T207" s="330"/>
      <c r="U207" s="330"/>
      <c r="V207" s="330"/>
      <c r="W207" s="323"/>
      <c r="X207" s="323"/>
    </row>
    <row r="208" spans="1:24" ht="13.5" customHeight="1">
      <c r="A208" s="323"/>
      <c r="B208" s="323"/>
      <c r="C208" s="229"/>
      <c r="D208" s="370"/>
      <c r="E208" s="325"/>
      <c r="F208" s="326"/>
      <c r="G208" s="326"/>
      <c r="H208" s="326"/>
      <c r="I208" s="327"/>
      <c r="J208" s="385"/>
      <c r="K208" s="328"/>
      <c r="L208" s="328"/>
      <c r="M208" s="379"/>
      <c r="N208" s="229"/>
      <c r="O208" s="368"/>
      <c r="P208" s="323"/>
      <c r="Q208" s="329"/>
      <c r="R208" s="370"/>
      <c r="S208" s="330"/>
      <c r="T208" s="330"/>
      <c r="U208" s="330"/>
      <c r="V208" s="330"/>
      <c r="W208" s="323"/>
      <c r="X208" s="323"/>
    </row>
    <row r="209" spans="1:24" ht="13.5" customHeight="1">
      <c r="A209" s="323"/>
      <c r="B209" s="323"/>
      <c r="C209" s="229"/>
      <c r="D209" s="370"/>
      <c r="E209" s="325"/>
      <c r="F209" s="326"/>
      <c r="G209" s="326"/>
      <c r="H209" s="326"/>
      <c r="I209" s="327"/>
      <c r="J209" s="385"/>
      <c r="K209" s="328"/>
      <c r="L209" s="328"/>
      <c r="M209" s="379"/>
      <c r="N209" s="229"/>
      <c r="O209" s="368"/>
      <c r="P209" s="323"/>
      <c r="Q209" s="329"/>
      <c r="R209" s="370"/>
      <c r="S209" s="330"/>
      <c r="T209" s="330"/>
      <c r="U209" s="330"/>
      <c r="V209" s="330"/>
      <c r="W209" s="323"/>
      <c r="X209" s="323"/>
    </row>
    <row r="210" spans="1:24" ht="13.5" customHeight="1">
      <c r="A210" s="323"/>
      <c r="B210" s="323"/>
      <c r="C210" s="229"/>
      <c r="D210" s="370"/>
      <c r="E210" s="325"/>
      <c r="F210" s="326"/>
      <c r="G210" s="326"/>
      <c r="H210" s="326"/>
      <c r="I210" s="327"/>
      <c r="J210" s="385"/>
      <c r="K210" s="328"/>
      <c r="L210" s="328"/>
      <c r="M210" s="379"/>
      <c r="N210" s="229"/>
      <c r="O210" s="368"/>
      <c r="P210" s="323"/>
      <c r="Q210" s="329"/>
      <c r="R210" s="370"/>
      <c r="S210" s="330"/>
      <c r="T210" s="330"/>
      <c r="U210" s="330"/>
      <c r="V210" s="330"/>
      <c r="W210" s="323"/>
      <c r="X210" s="323"/>
    </row>
    <row r="211" spans="1:24" ht="13.5" customHeight="1">
      <c r="A211" s="323"/>
      <c r="B211" s="323"/>
      <c r="C211" s="229"/>
      <c r="D211" s="370"/>
      <c r="E211" s="325"/>
      <c r="F211" s="326"/>
      <c r="G211" s="326"/>
      <c r="H211" s="326"/>
      <c r="I211" s="327"/>
      <c r="J211" s="385"/>
      <c r="K211" s="328"/>
      <c r="L211" s="328"/>
      <c r="M211" s="379"/>
      <c r="N211" s="229"/>
      <c r="O211" s="368"/>
      <c r="P211" s="323"/>
      <c r="Q211" s="329"/>
      <c r="R211" s="370"/>
      <c r="S211" s="330"/>
      <c r="T211" s="330"/>
      <c r="U211" s="330"/>
      <c r="V211" s="330"/>
      <c r="W211" s="323"/>
      <c r="X211" s="323"/>
    </row>
    <row r="212" spans="1:24" ht="13.5" customHeight="1">
      <c r="A212" s="323"/>
      <c r="B212" s="323"/>
      <c r="C212" s="229"/>
      <c r="D212" s="370"/>
      <c r="E212" s="325"/>
      <c r="F212" s="326"/>
      <c r="G212" s="326"/>
      <c r="H212" s="326"/>
      <c r="I212" s="327"/>
      <c r="J212" s="385"/>
      <c r="K212" s="328"/>
      <c r="L212" s="328"/>
      <c r="M212" s="379"/>
      <c r="N212" s="229"/>
      <c r="O212" s="229"/>
      <c r="P212" s="323"/>
      <c r="Q212" s="329"/>
      <c r="R212" s="370"/>
      <c r="S212" s="330"/>
      <c r="T212" s="330"/>
      <c r="U212" s="330"/>
      <c r="V212" s="330"/>
      <c r="W212" s="323"/>
      <c r="X212" s="323"/>
    </row>
    <row r="213" spans="1:24" ht="13.5" customHeight="1">
      <c r="A213" s="323"/>
      <c r="B213" s="323"/>
      <c r="C213" s="229"/>
      <c r="D213" s="370"/>
      <c r="E213" s="325"/>
      <c r="F213" s="326"/>
      <c r="G213" s="326"/>
      <c r="H213" s="326"/>
      <c r="I213" s="327"/>
      <c r="J213" s="385"/>
      <c r="K213" s="328"/>
      <c r="L213" s="328"/>
      <c r="M213" s="379"/>
      <c r="N213" s="229"/>
      <c r="O213" s="229"/>
      <c r="P213" s="323"/>
      <c r="Q213" s="329"/>
      <c r="R213" s="370"/>
      <c r="S213" s="330"/>
      <c r="T213" s="330"/>
      <c r="U213" s="330"/>
      <c r="V213" s="330"/>
      <c r="W213" s="323"/>
      <c r="X213" s="323"/>
    </row>
    <row r="214" spans="1:24" ht="13.5" customHeight="1">
      <c r="A214" s="323"/>
      <c r="B214" s="323"/>
      <c r="C214" s="229"/>
      <c r="D214" s="370"/>
      <c r="E214" s="325"/>
      <c r="F214" s="326"/>
      <c r="G214" s="326"/>
      <c r="H214" s="326"/>
      <c r="I214" s="327"/>
      <c r="J214" s="385"/>
      <c r="K214" s="328"/>
      <c r="L214" s="328"/>
      <c r="M214" s="379"/>
      <c r="N214" s="229"/>
      <c r="O214" s="229"/>
      <c r="P214" s="323"/>
      <c r="Q214" s="329"/>
      <c r="R214" s="370"/>
      <c r="S214" s="330"/>
      <c r="T214" s="330"/>
      <c r="U214" s="330"/>
      <c r="V214" s="330"/>
      <c r="W214" s="323"/>
      <c r="X214" s="323"/>
    </row>
    <row r="215" spans="1:24" ht="13.5" customHeight="1">
      <c r="A215" s="323"/>
      <c r="B215" s="323"/>
      <c r="C215" s="229"/>
      <c r="D215" s="370"/>
      <c r="E215" s="325"/>
      <c r="F215" s="326"/>
      <c r="G215" s="326"/>
      <c r="H215" s="326"/>
      <c r="I215" s="327"/>
      <c r="J215" s="385"/>
      <c r="K215" s="328"/>
      <c r="L215" s="328"/>
      <c r="M215" s="379"/>
      <c r="N215" s="229"/>
      <c r="O215" s="229"/>
      <c r="P215" s="323"/>
      <c r="Q215" s="329"/>
      <c r="R215" s="370"/>
      <c r="S215" s="330"/>
      <c r="T215" s="330"/>
      <c r="U215" s="330"/>
      <c r="V215" s="330"/>
      <c r="W215" s="323"/>
      <c r="X215" s="323"/>
    </row>
    <row r="216" spans="1:24" ht="13.5" customHeight="1">
      <c r="A216" s="323"/>
      <c r="B216" s="323"/>
      <c r="C216" s="229"/>
      <c r="D216" s="370"/>
      <c r="E216" s="325"/>
      <c r="F216" s="326"/>
      <c r="G216" s="326"/>
      <c r="H216" s="326"/>
      <c r="I216" s="327"/>
      <c r="J216" s="385"/>
      <c r="K216" s="328"/>
      <c r="L216" s="328"/>
      <c r="M216" s="379"/>
      <c r="N216" s="229"/>
      <c r="O216" s="229"/>
      <c r="P216" s="323"/>
      <c r="Q216" s="329"/>
      <c r="R216" s="370"/>
      <c r="S216" s="330"/>
      <c r="T216" s="330"/>
      <c r="U216" s="330"/>
      <c r="V216" s="330"/>
      <c r="W216" s="323"/>
      <c r="X216" s="323"/>
    </row>
    <row r="217" spans="1:24" ht="13.5" customHeight="1">
      <c r="A217" s="323"/>
      <c r="B217" s="323"/>
      <c r="C217" s="229"/>
      <c r="D217" s="370"/>
      <c r="E217" s="325"/>
      <c r="F217" s="326"/>
      <c r="G217" s="326"/>
      <c r="H217" s="326"/>
      <c r="I217" s="327"/>
      <c r="J217" s="385"/>
      <c r="K217" s="328"/>
      <c r="L217" s="328"/>
      <c r="M217" s="379"/>
      <c r="N217" s="229"/>
      <c r="O217" s="229"/>
      <c r="P217" s="323"/>
      <c r="Q217" s="329"/>
      <c r="R217" s="370"/>
      <c r="S217" s="330"/>
      <c r="T217" s="330"/>
      <c r="U217" s="330"/>
      <c r="V217" s="330"/>
      <c r="W217" s="323"/>
      <c r="X217" s="323"/>
    </row>
    <row r="218" spans="1:24" ht="13.5" customHeight="1">
      <c r="A218" s="323"/>
      <c r="B218" s="323"/>
      <c r="C218" s="229"/>
      <c r="D218" s="370"/>
      <c r="E218" s="325"/>
      <c r="F218" s="326"/>
      <c r="G218" s="326"/>
      <c r="H218" s="326"/>
      <c r="I218" s="327"/>
      <c r="J218" s="385"/>
      <c r="K218" s="328"/>
      <c r="L218" s="328"/>
      <c r="M218" s="379"/>
      <c r="N218" s="229"/>
      <c r="O218" s="229"/>
      <c r="P218" s="323"/>
      <c r="Q218" s="329"/>
      <c r="R218" s="370"/>
      <c r="S218" s="330"/>
      <c r="T218" s="330"/>
      <c r="U218" s="330"/>
      <c r="V218" s="330"/>
      <c r="W218" s="323"/>
      <c r="X218" s="323"/>
    </row>
    <row r="219" spans="1:24" ht="13.5" customHeight="1">
      <c r="A219" s="323"/>
      <c r="B219" s="323"/>
      <c r="C219" s="229"/>
      <c r="D219" s="324"/>
      <c r="E219" s="325"/>
      <c r="F219" s="326"/>
      <c r="G219" s="326"/>
      <c r="H219" s="326"/>
      <c r="I219" s="327"/>
      <c r="J219" s="385"/>
      <c r="K219" s="328"/>
      <c r="L219" s="328"/>
      <c r="M219" s="379"/>
      <c r="N219" s="229"/>
      <c r="O219" s="229"/>
      <c r="P219" s="323"/>
      <c r="Q219" s="329"/>
      <c r="R219" s="370"/>
      <c r="S219" s="330"/>
      <c r="T219" s="330"/>
      <c r="U219" s="330"/>
      <c r="V219" s="330"/>
      <c r="W219" s="323"/>
      <c r="X219" s="323"/>
    </row>
    <row r="220" spans="1:24" ht="13.5" customHeight="1">
      <c r="A220" s="323"/>
      <c r="B220" s="323"/>
      <c r="C220" s="229"/>
      <c r="D220" s="324"/>
      <c r="E220" s="325"/>
      <c r="F220" s="326"/>
      <c r="G220" s="326"/>
      <c r="H220" s="326"/>
      <c r="I220" s="327"/>
      <c r="J220" s="385"/>
      <c r="K220" s="328"/>
      <c r="L220" s="328"/>
      <c r="M220" s="379"/>
      <c r="N220" s="229"/>
      <c r="O220" s="229"/>
      <c r="P220" s="323"/>
      <c r="Q220" s="329"/>
      <c r="R220" s="370"/>
      <c r="S220" s="330"/>
      <c r="T220" s="330"/>
      <c r="U220" s="330"/>
      <c r="V220" s="330"/>
      <c r="W220" s="323"/>
      <c r="X220" s="323"/>
    </row>
    <row r="221" spans="1:24" ht="13.5" customHeight="1">
      <c r="A221" s="323"/>
      <c r="B221" s="323"/>
      <c r="C221" s="229"/>
      <c r="D221" s="324"/>
      <c r="E221" s="325"/>
      <c r="F221" s="326"/>
      <c r="G221" s="326"/>
      <c r="H221" s="326"/>
      <c r="I221" s="327"/>
      <c r="J221" s="385"/>
      <c r="K221" s="328"/>
      <c r="L221" s="328"/>
      <c r="M221" s="379"/>
      <c r="N221" s="229"/>
      <c r="O221" s="229"/>
      <c r="P221" s="323"/>
      <c r="Q221" s="329"/>
      <c r="R221" s="370"/>
      <c r="S221" s="330"/>
      <c r="T221" s="330"/>
      <c r="U221" s="330"/>
      <c r="V221" s="330"/>
      <c r="W221" s="323"/>
      <c r="X221" s="323"/>
    </row>
    <row r="222" spans="1:24" ht="13.5" customHeight="1">
      <c r="A222" s="323"/>
      <c r="B222" s="323"/>
      <c r="C222" s="229"/>
      <c r="D222" s="324"/>
      <c r="E222" s="325"/>
      <c r="F222" s="326"/>
      <c r="G222" s="326"/>
      <c r="H222" s="326"/>
      <c r="I222" s="327"/>
      <c r="J222" s="385"/>
      <c r="K222" s="328"/>
      <c r="L222" s="328"/>
      <c r="M222" s="379"/>
      <c r="N222" s="229"/>
      <c r="O222" s="229"/>
      <c r="P222" s="323"/>
      <c r="Q222" s="329"/>
      <c r="R222" s="370"/>
      <c r="S222" s="330"/>
      <c r="T222" s="330"/>
      <c r="U222" s="330"/>
      <c r="V222" s="330"/>
      <c r="W222" s="323"/>
      <c r="X222" s="323"/>
    </row>
    <row r="223" spans="1:24" ht="13.5" customHeight="1">
      <c r="A223" s="323"/>
      <c r="B223" s="323"/>
      <c r="C223" s="229"/>
      <c r="D223" s="324"/>
      <c r="E223" s="325"/>
      <c r="F223" s="326"/>
      <c r="G223" s="326"/>
      <c r="H223" s="326"/>
      <c r="I223" s="327"/>
      <c r="J223" s="385"/>
      <c r="K223" s="328"/>
      <c r="L223" s="328"/>
      <c r="M223" s="379"/>
      <c r="N223" s="229"/>
      <c r="O223" s="229"/>
      <c r="P223" s="323"/>
      <c r="Q223" s="329"/>
      <c r="R223" s="370"/>
      <c r="S223" s="330"/>
      <c r="T223" s="330"/>
      <c r="U223" s="330"/>
      <c r="V223" s="330"/>
      <c r="W223" s="323"/>
      <c r="X223" s="323"/>
    </row>
    <row r="224" spans="1:24" ht="13.5" customHeight="1">
      <c r="A224" s="323"/>
      <c r="B224" s="323"/>
      <c r="C224" s="229"/>
      <c r="D224" s="324"/>
      <c r="E224" s="325"/>
      <c r="F224" s="326"/>
      <c r="G224" s="326"/>
      <c r="H224" s="326"/>
      <c r="I224" s="327"/>
      <c r="J224" s="385"/>
      <c r="K224" s="328"/>
      <c r="L224" s="328"/>
      <c r="M224" s="379"/>
      <c r="N224" s="229"/>
      <c r="O224" s="229"/>
      <c r="P224" s="323"/>
      <c r="Q224" s="329"/>
      <c r="R224" s="370"/>
      <c r="S224" s="330"/>
      <c r="T224" s="330"/>
      <c r="U224" s="330"/>
      <c r="V224" s="330"/>
      <c r="W224" s="323"/>
      <c r="X224" s="323"/>
    </row>
    <row r="225" spans="1:24" ht="13.5" customHeight="1">
      <c r="A225" s="323"/>
      <c r="B225" s="323"/>
      <c r="C225" s="229"/>
      <c r="D225" s="324"/>
      <c r="E225" s="325"/>
      <c r="F225" s="326"/>
      <c r="G225" s="326"/>
      <c r="H225" s="326"/>
      <c r="I225" s="327"/>
      <c r="J225" s="385"/>
      <c r="K225" s="328"/>
      <c r="L225" s="328"/>
      <c r="M225" s="379"/>
      <c r="N225" s="229"/>
      <c r="O225" s="229"/>
      <c r="P225" s="323"/>
      <c r="Q225" s="329"/>
      <c r="R225" s="370"/>
      <c r="S225" s="330"/>
      <c r="T225" s="330"/>
      <c r="U225" s="330"/>
      <c r="V225" s="330"/>
      <c r="W225" s="323"/>
      <c r="X225" s="323"/>
    </row>
    <row r="226" spans="1:24" ht="13.5" customHeight="1">
      <c r="A226" s="323"/>
      <c r="B226" s="323"/>
      <c r="C226" s="229"/>
      <c r="D226" s="324"/>
      <c r="E226" s="325"/>
      <c r="F226" s="326"/>
      <c r="G226" s="326"/>
      <c r="H226" s="326"/>
      <c r="I226" s="327"/>
      <c r="J226" s="385"/>
      <c r="K226" s="328"/>
      <c r="L226" s="328"/>
      <c r="M226" s="379"/>
      <c r="N226" s="229"/>
      <c r="O226" s="229"/>
      <c r="P226" s="323"/>
      <c r="Q226" s="329"/>
      <c r="R226" s="370"/>
      <c r="S226" s="330"/>
      <c r="T226" s="330"/>
      <c r="U226" s="330"/>
      <c r="V226" s="330"/>
      <c r="W226" s="323"/>
      <c r="X226" s="323"/>
    </row>
    <row r="227" spans="1:24" ht="13.5" customHeight="1">
      <c r="A227" s="323"/>
      <c r="B227" s="323"/>
      <c r="C227" s="229"/>
      <c r="D227" s="324"/>
      <c r="E227" s="325"/>
      <c r="F227" s="326"/>
      <c r="G227" s="326"/>
      <c r="H227" s="326"/>
      <c r="I227" s="327"/>
      <c r="J227" s="385"/>
      <c r="K227" s="328"/>
      <c r="L227" s="328"/>
      <c r="M227" s="379"/>
      <c r="N227" s="229"/>
      <c r="O227" s="229"/>
      <c r="P227" s="323"/>
      <c r="Q227" s="329"/>
      <c r="R227" s="370"/>
      <c r="S227" s="330"/>
      <c r="T227" s="330"/>
      <c r="U227" s="330"/>
      <c r="V227" s="330"/>
      <c r="W227" s="323"/>
      <c r="X227" s="323"/>
    </row>
    <row r="228" spans="1:24" ht="13.5" customHeight="1">
      <c r="A228" s="323"/>
      <c r="B228" s="323"/>
      <c r="C228" s="229"/>
      <c r="D228" s="324"/>
      <c r="E228" s="325"/>
      <c r="F228" s="326"/>
      <c r="G228" s="326"/>
      <c r="H228" s="326"/>
      <c r="I228" s="327"/>
      <c r="J228" s="385"/>
      <c r="K228" s="328"/>
      <c r="L228" s="328"/>
      <c r="M228" s="379"/>
      <c r="N228" s="229"/>
      <c r="O228" s="229"/>
      <c r="P228" s="323"/>
      <c r="Q228" s="329"/>
      <c r="R228" s="370"/>
      <c r="S228" s="330"/>
      <c r="T228" s="330"/>
      <c r="U228" s="330"/>
      <c r="V228" s="330"/>
      <c r="W228" s="323"/>
      <c r="X228" s="323"/>
    </row>
    <row r="229" spans="1:24" ht="13.5" customHeight="1">
      <c r="A229" s="323"/>
      <c r="B229" s="323"/>
      <c r="C229" s="229"/>
      <c r="D229" s="324"/>
      <c r="E229" s="325"/>
      <c r="F229" s="326"/>
      <c r="G229" s="326"/>
      <c r="H229" s="326"/>
      <c r="I229" s="327"/>
      <c r="J229" s="385"/>
      <c r="K229" s="328"/>
      <c r="L229" s="328"/>
      <c r="M229" s="379"/>
      <c r="N229" s="229"/>
      <c r="O229" s="229"/>
      <c r="P229" s="323"/>
      <c r="Q229" s="329"/>
      <c r="R229" s="370"/>
      <c r="S229" s="330"/>
      <c r="T229" s="330"/>
      <c r="U229" s="330"/>
      <c r="V229" s="330"/>
      <c r="W229" s="323"/>
      <c r="X229" s="323"/>
    </row>
    <row r="230" spans="1:24" ht="13.5" customHeight="1">
      <c r="A230" s="323"/>
      <c r="B230" s="323"/>
      <c r="C230" s="229"/>
      <c r="D230" s="324"/>
      <c r="E230" s="325"/>
      <c r="F230" s="326"/>
      <c r="G230" s="326"/>
      <c r="H230" s="326"/>
      <c r="I230" s="327"/>
      <c r="J230" s="385"/>
      <c r="K230" s="328"/>
      <c r="L230" s="328"/>
      <c r="M230" s="379"/>
      <c r="N230" s="229"/>
      <c r="O230" s="229"/>
      <c r="P230" s="323"/>
      <c r="Q230" s="329"/>
      <c r="R230" s="370"/>
      <c r="S230" s="330"/>
      <c r="T230" s="330"/>
      <c r="U230" s="330"/>
      <c r="V230" s="330"/>
      <c r="W230" s="323"/>
      <c r="X230" s="323"/>
    </row>
    <row r="231" spans="1:24" ht="13.5" customHeight="1">
      <c r="A231" s="323"/>
      <c r="B231" s="323"/>
      <c r="C231" s="229"/>
      <c r="D231" s="324"/>
      <c r="E231" s="325"/>
      <c r="F231" s="326"/>
      <c r="G231" s="326"/>
      <c r="H231" s="326"/>
      <c r="I231" s="327"/>
      <c r="J231" s="385"/>
      <c r="K231" s="328"/>
      <c r="L231" s="328"/>
      <c r="M231" s="379"/>
      <c r="N231" s="229"/>
      <c r="O231" s="229"/>
      <c r="P231" s="323"/>
      <c r="Q231" s="329"/>
      <c r="R231" s="370"/>
      <c r="S231" s="330"/>
      <c r="T231" s="330"/>
      <c r="U231" s="330"/>
      <c r="V231" s="330"/>
      <c r="W231" s="323"/>
      <c r="X231" s="323"/>
    </row>
    <row r="232" spans="1:24" ht="13.5" customHeight="1">
      <c r="A232" s="323"/>
      <c r="B232" s="323"/>
      <c r="C232" s="229"/>
      <c r="D232" s="324"/>
      <c r="E232" s="325"/>
      <c r="F232" s="326"/>
      <c r="G232" s="326"/>
      <c r="H232" s="326"/>
      <c r="I232" s="327"/>
      <c r="J232" s="385"/>
      <c r="K232" s="328"/>
      <c r="L232" s="328"/>
      <c r="M232" s="379"/>
      <c r="N232" s="229"/>
      <c r="O232" s="229"/>
      <c r="P232" s="323"/>
      <c r="Q232" s="329"/>
      <c r="R232" s="370"/>
      <c r="S232" s="330"/>
      <c r="T232" s="330"/>
      <c r="U232" s="330"/>
      <c r="V232" s="330"/>
      <c r="W232" s="323"/>
      <c r="X232" s="323"/>
    </row>
    <row r="233" spans="1:24" ht="13.5" customHeight="1">
      <c r="A233" s="323"/>
      <c r="B233" s="323"/>
      <c r="C233" s="229"/>
      <c r="D233" s="324"/>
      <c r="E233" s="325"/>
      <c r="F233" s="326"/>
      <c r="G233" s="326"/>
      <c r="H233" s="326"/>
      <c r="I233" s="327"/>
      <c r="J233" s="385"/>
      <c r="K233" s="328"/>
      <c r="L233" s="328"/>
      <c r="M233" s="379"/>
      <c r="N233" s="229"/>
      <c r="O233" s="229"/>
      <c r="P233" s="323"/>
      <c r="Q233" s="329"/>
      <c r="R233" s="370"/>
      <c r="S233" s="330"/>
      <c r="T233" s="330"/>
      <c r="U233" s="330"/>
      <c r="V233" s="330"/>
      <c r="W233" s="323"/>
      <c r="X233" s="323"/>
    </row>
    <row r="234" spans="1:24" ht="13.5" customHeight="1">
      <c r="A234" s="323"/>
      <c r="B234" s="323"/>
      <c r="C234" s="229"/>
      <c r="D234" s="324"/>
      <c r="E234" s="325"/>
      <c r="F234" s="326"/>
      <c r="G234" s="326"/>
      <c r="H234" s="326"/>
      <c r="I234" s="327"/>
      <c r="J234" s="385"/>
      <c r="K234" s="328"/>
      <c r="L234" s="328"/>
      <c r="M234" s="379"/>
      <c r="N234" s="229"/>
      <c r="O234" s="229"/>
      <c r="P234" s="323"/>
      <c r="Q234" s="329"/>
      <c r="R234" s="330"/>
      <c r="S234" s="330"/>
      <c r="T234" s="330"/>
      <c r="U234" s="330"/>
      <c r="V234" s="330"/>
      <c r="W234" s="323"/>
      <c r="X234" s="323"/>
    </row>
    <row r="235" spans="1:24" ht="13.5" customHeight="1">
      <c r="A235" s="323"/>
      <c r="B235" s="323"/>
      <c r="C235" s="229"/>
      <c r="D235" s="324"/>
      <c r="E235" s="325"/>
      <c r="F235" s="326"/>
      <c r="G235" s="326"/>
      <c r="H235" s="326"/>
      <c r="I235" s="327"/>
      <c r="J235" s="385"/>
      <c r="K235" s="328"/>
      <c r="L235" s="328"/>
      <c r="M235" s="379"/>
      <c r="N235" s="229"/>
      <c r="O235" s="229"/>
      <c r="P235" s="323"/>
      <c r="Q235" s="329"/>
      <c r="R235" s="330"/>
      <c r="S235" s="330"/>
      <c r="T235" s="330"/>
      <c r="U235" s="330"/>
      <c r="V235" s="330"/>
      <c r="W235" s="323"/>
      <c r="X235" s="323"/>
    </row>
    <row r="236" spans="1:24" ht="13.5" customHeight="1">
      <c r="A236" s="323"/>
      <c r="B236" s="323"/>
      <c r="C236" s="229"/>
      <c r="D236" s="324"/>
      <c r="E236" s="325"/>
      <c r="F236" s="326"/>
      <c r="G236" s="326"/>
      <c r="H236" s="326"/>
      <c r="I236" s="327"/>
      <c r="J236" s="385"/>
      <c r="K236" s="328"/>
      <c r="L236" s="328"/>
      <c r="M236" s="379"/>
      <c r="N236" s="229"/>
      <c r="O236" s="229"/>
      <c r="P236" s="323"/>
      <c r="Q236" s="329"/>
      <c r="R236" s="330"/>
      <c r="S236" s="330"/>
      <c r="T236" s="330"/>
      <c r="U236" s="330"/>
      <c r="V236" s="330"/>
      <c r="W236" s="323"/>
      <c r="X236" s="323"/>
    </row>
    <row r="237" spans="1:24" ht="13.5" customHeight="1">
      <c r="A237" s="323"/>
      <c r="B237" s="323"/>
      <c r="C237" s="229"/>
      <c r="D237" s="324"/>
      <c r="E237" s="325"/>
      <c r="F237" s="326"/>
      <c r="G237" s="326"/>
      <c r="H237" s="326"/>
      <c r="I237" s="327"/>
      <c r="J237" s="385"/>
      <c r="K237" s="328"/>
      <c r="L237" s="328"/>
      <c r="M237" s="379"/>
      <c r="N237" s="229"/>
      <c r="O237" s="229"/>
      <c r="P237" s="323"/>
      <c r="Q237" s="329"/>
      <c r="R237" s="330"/>
      <c r="S237" s="330"/>
      <c r="T237" s="330"/>
      <c r="U237" s="330"/>
      <c r="V237" s="330"/>
      <c r="W237" s="323"/>
      <c r="X237" s="323"/>
    </row>
    <row r="238" spans="1:24" ht="13.5" customHeight="1">
      <c r="A238" s="323"/>
      <c r="B238" s="323"/>
      <c r="C238" s="229"/>
      <c r="D238" s="324"/>
      <c r="E238" s="325"/>
      <c r="F238" s="326"/>
      <c r="G238" s="326"/>
      <c r="H238" s="326"/>
      <c r="I238" s="327"/>
      <c r="J238" s="385"/>
      <c r="K238" s="328"/>
      <c r="L238" s="328"/>
      <c r="M238" s="379"/>
      <c r="N238" s="229"/>
      <c r="O238" s="229"/>
      <c r="P238" s="323"/>
      <c r="Q238" s="329"/>
      <c r="R238" s="330"/>
      <c r="S238" s="330"/>
      <c r="T238" s="330"/>
      <c r="U238" s="330"/>
      <c r="V238" s="330"/>
      <c r="W238" s="323"/>
      <c r="X238" s="323"/>
    </row>
    <row r="239" spans="1:24" ht="13.5" customHeight="1">
      <c r="A239" s="323"/>
      <c r="B239" s="323"/>
      <c r="C239" s="229"/>
      <c r="D239" s="324"/>
      <c r="E239" s="325"/>
      <c r="F239" s="326"/>
      <c r="G239" s="326"/>
      <c r="H239" s="326"/>
      <c r="I239" s="327"/>
      <c r="J239" s="385"/>
      <c r="K239" s="328"/>
      <c r="L239" s="328"/>
      <c r="M239" s="379"/>
      <c r="N239" s="229"/>
      <c r="O239" s="229"/>
      <c r="P239" s="323"/>
      <c r="Q239" s="329"/>
      <c r="R239" s="330"/>
      <c r="S239" s="330"/>
      <c r="T239" s="330"/>
      <c r="U239" s="330"/>
      <c r="V239" s="330"/>
      <c r="W239" s="323"/>
      <c r="X239" s="323"/>
    </row>
    <row r="240" spans="1:24" ht="13.5" customHeight="1">
      <c r="A240" s="323"/>
      <c r="B240" s="323"/>
      <c r="C240" s="229"/>
      <c r="D240" s="324"/>
      <c r="E240" s="325"/>
      <c r="F240" s="326"/>
      <c r="G240" s="326"/>
      <c r="H240" s="326"/>
      <c r="I240" s="327"/>
      <c r="J240" s="385"/>
      <c r="K240" s="328"/>
      <c r="L240" s="328"/>
      <c r="M240" s="379"/>
      <c r="N240" s="229"/>
      <c r="O240" s="229"/>
      <c r="P240" s="323"/>
      <c r="Q240" s="329"/>
      <c r="R240" s="330"/>
      <c r="S240" s="330"/>
      <c r="T240" s="330"/>
      <c r="U240" s="330"/>
      <c r="V240" s="330"/>
      <c r="W240" s="323"/>
      <c r="X240" s="323"/>
    </row>
    <row r="241" spans="1:24" ht="13.5" customHeight="1">
      <c r="A241" s="323"/>
      <c r="B241" s="323"/>
      <c r="C241" s="229"/>
      <c r="D241" s="324"/>
      <c r="E241" s="325"/>
      <c r="F241" s="326"/>
      <c r="G241" s="326"/>
      <c r="H241" s="326"/>
      <c r="I241" s="327"/>
      <c r="J241" s="385"/>
      <c r="K241" s="328"/>
      <c r="L241" s="328"/>
      <c r="M241" s="379"/>
      <c r="N241" s="229"/>
      <c r="O241" s="229"/>
      <c r="P241" s="323"/>
      <c r="Q241" s="329"/>
      <c r="R241" s="330"/>
      <c r="S241" s="330"/>
      <c r="T241" s="330"/>
      <c r="U241" s="330"/>
      <c r="V241" s="330"/>
      <c r="W241" s="323"/>
      <c r="X241" s="323"/>
    </row>
    <row r="242" spans="1:24" ht="13.5" customHeight="1">
      <c r="A242" s="323"/>
      <c r="B242" s="323"/>
      <c r="C242" s="229"/>
      <c r="D242" s="324"/>
      <c r="E242" s="325"/>
      <c r="F242" s="326"/>
      <c r="G242" s="326"/>
      <c r="H242" s="326"/>
      <c r="I242" s="327"/>
      <c r="J242" s="385"/>
      <c r="K242" s="328"/>
      <c r="L242" s="328"/>
      <c r="M242" s="379"/>
      <c r="N242" s="229"/>
      <c r="O242" s="229"/>
      <c r="P242" s="323"/>
      <c r="Q242" s="329"/>
      <c r="R242" s="330"/>
      <c r="S242" s="330"/>
      <c r="T242" s="330"/>
      <c r="U242" s="330"/>
      <c r="V242" s="330"/>
      <c r="W242" s="323"/>
      <c r="X242" s="323"/>
    </row>
    <row r="243" spans="1:24" ht="13.5" customHeight="1">
      <c r="A243" s="323"/>
      <c r="B243" s="323"/>
      <c r="C243" s="229"/>
      <c r="D243" s="324"/>
      <c r="E243" s="325"/>
      <c r="F243" s="326"/>
      <c r="G243" s="326"/>
      <c r="H243" s="326"/>
      <c r="I243" s="327"/>
      <c r="J243" s="385"/>
      <c r="K243" s="328"/>
      <c r="L243" s="328"/>
      <c r="M243" s="379"/>
      <c r="N243" s="229"/>
      <c r="O243" s="229"/>
      <c r="P243" s="323"/>
      <c r="Q243" s="329"/>
      <c r="R243" s="330"/>
      <c r="S243" s="330"/>
      <c r="T243" s="330"/>
      <c r="U243" s="330"/>
      <c r="V243" s="330"/>
      <c r="W243" s="323"/>
      <c r="X243" s="323"/>
    </row>
    <row r="244" spans="1:24" ht="13.5" customHeight="1">
      <c r="A244" s="323"/>
      <c r="B244" s="323"/>
      <c r="C244" s="229"/>
      <c r="D244" s="324"/>
      <c r="E244" s="325"/>
      <c r="F244" s="326"/>
      <c r="G244" s="326"/>
      <c r="H244" s="326"/>
      <c r="I244" s="327"/>
      <c r="J244" s="385"/>
      <c r="K244" s="328"/>
      <c r="L244" s="328"/>
      <c r="M244" s="379"/>
      <c r="N244" s="229"/>
      <c r="O244" s="229"/>
      <c r="P244" s="323"/>
      <c r="Q244" s="329"/>
      <c r="R244" s="330"/>
      <c r="S244" s="330"/>
      <c r="T244" s="330"/>
      <c r="U244" s="330"/>
      <c r="V244" s="330"/>
      <c r="W244" s="323"/>
      <c r="X244" s="323"/>
    </row>
    <row r="245" spans="1:24" ht="13.5" customHeight="1">
      <c r="A245" s="323"/>
      <c r="B245" s="323"/>
      <c r="C245" s="229"/>
      <c r="D245" s="324"/>
      <c r="E245" s="325"/>
      <c r="F245" s="326"/>
      <c r="G245" s="326"/>
      <c r="H245" s="326"/>
      <c r="I245" s="327"/>
      <c r="J245" s="385"/>
      <c r="K245" s="328"/>
      <c r="L245" s="328"/>
      <c r="M245" s="379"/>
      <c r="N245" s="229"/>
      <c r="O245" s="229"/>
      <c r="P245" s="323"/>
      <c r="Q245" s="329"/>
      <c r="R245" s="330"/>
      <c r="S245" s="330"/>
      <c r="T245" s="330"/>
      <c r="U245" s="330"/>
      <c r="V245" s="330"/>
      <c r="W245" s="323"/>
      <c r="X245" s="323"/>
    </row>
    <row r="246" spans="1:24" ht="13.5" customHeight="1">
      <c r="A246" s="323"/>
      <c r="B246" s="323"/>
      <c r="C246" s="229"/>
      <c r="D246" s="324"/>
      <c r="E246" s="325"/>
      <c r="F246" s="326"/>
      <c r="G246" s="326"/>
      <c r="H246" s="326"/>
      <c r="I246" s="327"/>
      <c r="J246" s="385"/>
      <c r="K246" s="328"/>
      <c r="L246" s="328"/>
      <c r="M246" s="379"/>
      <c r="N246" s="229"/>
      <c r="O246" s="229"/>
      <c r="P246" s="323"/>
      <c r="Q246" s="329"/>
      <c r="R246" s="330"/>
      <c r="S246" s="330"/>
      <c r="T246" s="330"/>
      <c r="U246" s="330"/>
      <c r="V246" s="330"/>
      <c r="W246" s="323"/>
      <c r="X246" s="323"/>
    </row>
    <row r="247" spans="1:24" ht="13.5" customHeight="1">
      <c r="A247" s="323"/>
      <c r="B247" s="323"/>
      <c r="C247" s="229"/>
      <c r="D247" s="324"/>
      <c r="E247" s="325"/>
      <c r="F247" s="326"/>
      <c r="G247" s="326"/>
      <c r="H247" s="326"/>
      <c r="I247" s="327"/>
      <c r="J247" s="385"/>
      <c r="K247" s="328"/>
      <c r="L247" s="328"/>
      <c r="M247" s="379"/>
      <c r="N247" s="229"/>
      <c r="O247" s="229"/>
      <c r="P247" s="323"/>
      <c r="Q247" s="329"/>
      <c r="R247" s="330"/>
      <c r="S247" s="330"/>
      <c r="T247" s="330"/>
      <c r="U247" s="330"/>
      <c r="V247" s="330"/>
      <c r="W247" s="323"/>
      <c r="X247" s="323"/>
    </row>
    <row r="248" spans="1:24" ht="13.5" customHeight="1">
      <c r="A248" s="323"/>
      <c r="B248" s="323"/>
      <c r="C248" s="229"/>
      <c r="D248" s="324"/>
      <c r="E248" s="325"/>
      <c r="F248" s="326"/>
      <c r="G248" s="326"/>
      <c r="H248" s="326"/>
      <c r="I248" s="327"/>
      <c r="J248" s="385"/>
      <c r="K248" s="328"/>
      <c r="L248" s="328"/>
      <c r="M248" s="379"/>
      <c r="N248" s="229"/>
      <c r="O248" s="229"/>
      <c r="P248" s="323"/>
      <c r="Q248" s="329"/>
      <c r="R248" s="330"/>
      <c r="S248" s="330"/>
      <c r="T248" s="330"/>
      <c r="U248" s="330"/>
      <c r="V248" s="330"/>
      <c r="W248" s="323"/>
      <c r="X248" s="323"/>
    </row>
    <row r="249" spans="1:24" ht="13.5" customHeight="1">
      <c r="A249" s="323"/>
      <c r="B249" s="323"/>
      <c r="C249" s="229"/>
      <c r="D249" s="324"/>
      <c r="E249" s="325"/>
      <c r="F249" s="326"/>
      <c r="G249" s="326"/>
      <c r="H249" s="326"/>
      <c r="I249" s="327"/>
      <c r="J249" s="385"/>
      <c r="K249" s="328"/>
      <c r="L249" s="328"/>
      <c r="M249" s="379"/>
      <c r="N249" s="229"/>
      <c r="O249" s="229"/>
      <c r="P249" s="323"/>
      <c r="Q249" s="329"/>
      <c r="R249" s="330"/>
      <c r="S249" s="330"/>
      <c r="T249" s="330"/>
      <c r="U249" s="330"/>
      <c r="V249" s="330"/>
      <c r="W249" s="323"/>
      <c r="X249" s="323"/>
    </row>
    <row r="250" spans="1:24" ht="13.5" customHeight="1">
      <c r="A250" s="323"/>
      <c r="B250" s="323"/>
      <c r="C250" s="229"/>
      <c r="D250" s="324"/>
      <c r="E250" s="325"/>
      <c r="F250" s="326"/>
      <c r="G250" s="326"/>
      <c r="H250" s="326"/>
      <c r="I250" s="327"/>
      <c r="J250" s="385"/>
      <c r="K250" s="328"/>
      <c r="L250" s="328"/>
      <c r="M250" s="379"/>
      <c r="N250" s="229"/>
      <c r="O250" s="229"/>
      <c r="P250" s="323"/>
      <c r="Q250" s="329"/>
      <c r="R250" s="330"/>
      <c r="S250" s="330"/>
      <c r="T250" s="330"/>
      <c r="U250" s="330"/>
      <c r="V250" s="330"/>
      <c r="W250" s="323"/>
      <c r="X250" s="323"/>
    </row>
    <row r="251" spans="1:24" ht="13.5" customHeight="1">
      <c r="A251" s="323"/>
      <c r="B251" s="323"/>
      <c r="C251" s="229"/>
      <c r="D251" s="324"/>
      <c r="E251" s="325"/>
      <c r="F251" s="326"/>
      <c r="G251" s="326"/>
      <c r="H251" s="326"/>
      <c r="I251" s="327"/>
      <c r="J251" s="385"/>
      <c r="K251" s="328"/>
      <c r="L251" s="328"/>
      <c r="M251" s="379"/>
      <c r="N251" s="229"/>
      <c r="O251" s="229"/>
      <c r="P251" s="323"/>
      <c r="Q251" s="329"/>
      <c r="R251" s="330"/>
      <c r="S251" s="330"/>
      <c r="T251" s="330"/>
      <c r="U251" s="330"/>
      <c r="V251" s="330"/>
      <c r="W251" s="323"/>
      <c r="X251" s="323"/>
    </row>
    <row r="252" spans="1:24" ht="13.5" customHeight="1">
      <c r="A252" s="323"/>
      <c r="B252" s="323"/>
      <c r="C252" s="229"/>
      <c r="D252" s="324"/>
      <c r="E252" s="325"/>
      <c r="F252" s="326"/>
      <c r="G252" s="326"/>
      <c r="H252" s="326"/>
      <c r="I252" s="327"/>
      <c r="J252" s="385"/>
      <c r="K252" s="328"/>
      <c r="L252" s="328"/>
      <c r="M252" s="379"/>
      <c r="N252" s="229"/>
      <c r="O252" s="229"/>
      <c r="P252" s="323"/>
      <c r="Q252" s="329"/>
      <c r="R252" s="330"/>
      <c r="S252" s="330"/>
      <c r="T252" s="330"/>
      <c r="U252" s="330"/>
      <c r="V252" s="330"/>
      <c r="W252" s="323"/>
      <c r="X252" s="323"/>
    </row>
    <row r="253" spans="1:24" ht="13.5" customHeight="1">
      <c r="A253" s="323"/>
      <c r="B253" s="323"/>
      <c r="C253" s="229"/>
      <c r="D253" s="324"/>
      <c r="E253" s="325"/>
      <c r="F253" s="326"/>
      <c r="G253" s="326"/>
      <c r="H253" s="326"/>
      <c r="I253" s="327"/>
      <c r="J253" s="385"/>
      <c r="K253" s="328"/>
      <c r="L253" s="328"/>
      <c r="M253" s="379"/>
      <c r="N253" s="229"/>
      <c r="O253" s="229"/>
      <c r="P253" s="323"/>
      <c r="Q253" s="329"/>
      <c r="R253" s="330"/>
      <c r="S253" s="330"/>
      <c r="T253" s="330"/>
      <c r="U253" s="330"/>
      <c r="V253" s="330"/>
      <c r="W253" s="323"/>
      <c r="X253" s="323"/>
    </row>
    <row r="254" spans="1:24" ht="13.5" customHeight="1">
      <c r="A254" s="323"/>
      <c r="B254" s="323"/>
      <c r="C254" s="229"/>
      <c r="D254" s="324"/>
      <c r="E254" s="325"/>
      <c r="F254" s="326"/>
      <c r="G254" s="326"/>
      <c r="H254" s="326"/>
      <c r="I254" s="327"/>
      <c r="J254" s="385"/>
      <c r="K254" s="328"/>
      <c r="L254" s="328"/>
      <c r="M254" s="379"/>
      <c r="N254" s="229"/>
      <c r="O254" s="229"/>
      <c r="P254" s="323"/>
      <c r="Q254" s="329"/>
      <c r="R254" s="330"/>
      <c r="S254" s="330"/>
      <c r="T254" s="330"/>
      <c r="U254" s="330"/>
      <c r="V254" s="330"/>
      <c r="W254" s="323"/>
      <c r="X254" s="323"/>
    </row>
    <row r="255" spans="1:24" ht="13.5" customHeight="1">
      <c r="A255" s="323"/>
      <c r="B255" s="323"/>
      <c r="C255" s="229"/>
      <c r="D255" s="324"/>
      <c r="E255" s="325"/>
      <c r="F255" s="326"/>
      <c r="G255" s="326"/>
      <c r="H255" s="326"/>
      <c r="I255" s="327"/>
      <c r="J255" s="385"/>
      <c r="K255" s="328"/>
      <c r="L255" s="328"/>
      <c r="M255" s="379"/>
      <c r="N255" s="229"/>
      <c r="O255" s="229"/>
      <c r="P255" s="323"/>
      <c r="Q255" s="329"/>
      <c r="R255" s="330"/>
      <c r="S255" s="330"/>
      <c r="T255" s="330"/>
      <c r="U255" s="330"/>
      <c r="V255" s="330"/>
      <c r="W255" s="323"/>
      <c r="X255" s="323"/>
    </row>
    <row r="256" spans="1:24" ht="13.5" customHeight="1">
      <c r="A256" s="323"/>
      <c r="B256" s="323"/>
      <c r="C256" s="229"/>
      <c r="D256" s="324"/>
      <c r="E256" s="325"/>
      <c r="F256" s="326"/>
      <c r="G256" s="326"/>
      <c r="H256" s="326"/>
      <c r="I256" s="327"/>
      <c r="J256" s="385"/>
      <c r="K256" s="328"/>
      <c r="L256" s="328"/>
      <c r="M256" s="379"/>
      <c r="N256" s="229"/>
      <c r="O256" s="229"/>
      <c r="P256" s="323"/>
      <c r="Q256" s="329"/>
      <c r="R256" s="330"/>
      <c r="S256" s="330"/>
      <c r="T256" s="330"/>
      <c r="U256" s="330"/>
      <c r="V256" s="330"/>
      <c r="W256" s="323"/>
      <c r="X256" s="323"/>
    </row>
    <row r="257" spans="1:24" ht="13.5" customHeight="1">
      <c r="A257" s="323"/>
      <c r="B257" s="323"/>
      <c r="C257" s="229"/>
      <c r="D257" s="324"/>
      <c r="E257" s="325"/>
      <c r="F257" s="326"/>
      <c r="G257" s="326"/>
      <c r="H257" s="326"/>
      <c r="I257" s="327"/>
      <c r="J257" s="385"/>
      <c r="K257" s="328"/>
      <c r="L257" s="328"/>
      <c r="M257" s="379"/>
      <c r="N257" s="229"/>
      <c r="O257" s="229"/>
      <c r="P257" s="323"/>
      <c r="Q257" s="329"/>
      <c r="R257" s="330"/>
      <c r="S257" s="330"/>
      <c r="T257" s="330"/>
      <c r="U257" s="330"/>
      <c r="V257" s="330"/>
      <c r="W257" s="323"/>
      <c r="X257" s="323"/>
    </row>
    <row r="258" spans="1:24" ht="13.5" customHeight="1">
      <c r="A258" s="323"/>
      <c r="B258" s="323"/>
      <c r="C258" s="229"/>
      <c r="D258" s="324"/>
      <c r="E258" s="325"/>
      <c r="F258" s="326"/>
      <c r="G258" s="326"/>
      <c r="H258" s="326"/>
      <c r="I258" s="327"/>
      <c r="J258" s="385"/>
      <c r="K258" s="328"/>
      <c r="L258" s="328"/>
      <c r="M258" s="379"/>
      <c r="N258" s="229"/>
      <c r="O258" s="229"/>
      <c r="P258" s="323"/>
      <c r="Q258" s="329"/>
      <c r="R258" s="330"/>
      <c r="S258" s="330"/>
      <c r="T258" s="330"/>
      <c r="U258" s="330"/>
      <c r="V258" s="330"/>
      <c r="W258" s="323"/>
      <c r="X258" s="323"/>
    </row>
    <row r="259" spans="1:24" ht="13.5" customHeight="1">
      <c r="A259" s="323"/>
      <c r="B259" s="323"/>
      <c r="C259" s="229"/>
      <c r="D259" s="324"/>
      <c r="E259" s="325"/>
      <c r="F259" s="326"/>
      <c r="G259" s="326"/>
      <c r="H259" s="326"/>
      <c r="I259" s="327"/>
      <c r="J259" s="385"/>
      <c r="K259" s="328"/>
      <c r="L259" s="328"/>
      <c r="M259" s="379"/>
      <c r="N259" s="229"/>
      <c r="O259" s="229"/>
      <c r="P259" s="323"/>
      <c r="Q259" s="329"/>
      <c r="R259" s="330"/>
      <c r="S259" s="330"/>
      <c r="T259" s="330"/>
      <c r="U259" s="330"/>
      <c r="V259" s="330"/>
      <c r="W259" s="323"/>
      <c r="X259" s="323"/>
    </row>
    <row r="260" spans="1:24" ht="13.5" customHeight="1">
      <c r="A260" s="323"/>
      <c r="B260" s="323"/>
      <c r="C260" s="229"/>
      <c r="D260" s="324"/>
      <c r="E260" s="325"/>
      <c r="F260" s="326"/>
      <c r="G260" s="326"/>
      <c r="H260" s="326"/>
      <c r="I260" s="327"/>
      <c r="J260" s="385"/>
      <c r="K260" s="328"/>
      <c r="L260" s="328"/>
      <c r="M260" s="379"/>
      <c r="N260" s="229"/>
      <c r="O260" s="229"/>
      <c r="P260" s="323"/>
      <c r="Q260" s="329"/>
      <c r="R260" s="330"/>
      <c r="S260" s="330"/>
      <c r="T260" s="330"/>
      <c r="U260" s="330"/>
      <c r="V260" s="330"/>
      <c r="W260" s="323"/>
      <c r="X260" s="323"/>
    </row>
    <row r="261" spans="1:24" ht="13.5" customHeight="1">
      <c r="A261" s="323"/>
      <c r="B261" s="323"/>
      <c r="C261" s="229"/>
      <c r="D261" s="324"/>
      <c r="E261" s="325"/>
      <c r="F261" s="326"/>
      <c r="G261" s="326"/>
      <c r="H261" s="326"/>
      <c r="I261" s="327"/>
      <c r="J261" s="385"/>
      <c r="K261" s="328"/>
      <c r="L261" s="328"/>
      <c r="M261" s="379"/>
      <c r="N261" s="229"/>
      <c r="O261" s="229"/>
      <c r="P261" s="323"/>
      <c r="Q261" s="329"/>
      <c r="R261" s="330"/>
      <c r="S261" s="330"/>
      <c r="T261" s="330"/>
      <c r="U261" s="330"/>
      <c r="V261" s="330"/>
      <c r="W261" s="323"/>
      <c r="X261" s="323"/>
    </row>
    <row r="262" spans="1:24" ht="13.5" customHeight="1">
      <c r="A262" s="323"/>
      <c r="B262" s="323"/>
      <c r="C262" s="229"/>
      <c r="D262" s="324"/>
      <c r="E262" s="325"/>
      <c r="F262" s="326"/>
      <c r="G262" s="326"/>
      <c r="H262" s="326"/>
      <c r="I262" s="327"/>
      <c r="J262" s="385"/>
      <c r="K262" s="328"/>
      <c r="L262" s="328"/>
      <c r="M262" s="379"/>
      <c r="N262" s="229"/>
      <c r="O262" s="229"/>
      <c r="P262" s="323"/>
      <c r="Q262" s="329"/>
      <c r="R262" s="330"/>
      <c r="S262" s="330"/>
      <c r="T262" s="330"/>
      <c r="U262" s="330"/>
      <c r="V262" s="330"/>
      <c r="W262" s="323"/>
      <c r="X262" s="323"/>
    </row>
    <row r="263" spans="1:24" ht="13.5" customHeight="1">
      <c r="A263" s="323"/>
      <c r="B263" s="323"/>
      <c r="C263" s="229"/>
      <c r="D263" s="324"/>
      <c r="E263" s="325"/>
      <c r="F263" s="326"/>
      <c r="G263" s="326"/>
      <c r="H263" s="326"/>
      <c r="I263" s="327"/>
      <c r="J263" s="385"/>
      <c r="K263" s="328"/>
      <c r="L263" s="328"/>
      <c r="M263" s="379"/>
      <c r="N263" s="229"/>
      <c r="O263" s="229"/>
      <c r="P263" s="323"/>
      <c r="Q263" s="329"/>
      <c r="R263" s="330"/>
      <c r="S263" s="330"/>
      <c r="T263" s="330"/>
      <c r="U263" s="330"/>
      <c r="V263" s="330"/>
      <c r="W263" s="323"/>
      <c r="X263" s="323"/>
    </row>
    <row r="264" spans="1:24" ht="13.5" customHeight="1">
      <c r="A264" s="323"/>
      <c r="B264" s="323"/>
      <c r="C264" s="229"/>
      <c r="D264" s="324"/>
      <c r="E264" s="325"/>
      <c r="F264" s="326"/>
      <c r="G264" s="326"/>
      <c r="H264" s="326"/>
      <c r="I264" s="327"/>
      <c r="J264" s="385"/>
      <c r="K264" s="328"/>
      <c r="L264" s="328"/>
      <c r="M264" s="379"/>
      <c r="N264" s="229"/>
      <c r="O264" s="229"/>
      <c r="P264" s="323"/>
      <c r="Q264" s="329"/>
      <c r="R264" s="330"/>
      <c r="S264" s="330"/>
      <c r="T264" s="330"/>
      <c r="U264" s="330"/>
      <c r="V264" s="330"/>
      <c r="W264" s="323"/>
      <c r="X264" s="323"/>
    </row>
    <row r="265" spans="1:24" ht="13.5" customHeight="1">
      <c r="A265" s="323"/>
      <c r="B265" s="323"/>
      <c r="C265" s="229"/>
      <c r="D265" s="324"/>
      <c r="E265" s="325"/>
      <c r="F265" s="326"/>
      <c r="G265" s="326"/>
      <c r="H265" s="326"/>
      <c r="I265" s="327"/>
      <c r="J265" s="385"/>
      <c r="K265" s="328"/>
      <c r="L265" s="328"/>
      <c r="M265" s="379"/>
      <c r="N265" s="229"/>
      <c r="O265" s="229"/>
      <c r="P265" s="323"/>
      <c r="Q265" s="329"/>
      <c r="R265" s="330"/>
      <c r="S265" s="330"/>
      <c r="T265" s="330"/>
      <c r="U265" s="330"/>
      <c r="V265" s="330"/>
      <c r="W265" s="323"/>
      <c r="X265" s="323"/>
    </row>
    <row r="266" spans="1:24" ht="13.5" customHeight="1">
      <c r="A266" s="323"/>
      <c r="B266" s="323"/>
      <c r="C266" s="229"/>
      <c r="D266" s="324"/>
      <c r="E266" s="325"/>
      <c r="F266" s="326"/>
      <c r="G266" s="326"/>
      <c r="H266" s="326"/>
      <c r="I266" s="327"/>
      <c r="J266" s="385"/>
      <c r="K266" s="328"/>
      <c r="L266" s="328"/>
      <c r="M266" s="379"/>
      <c r="N266" s="229"/>
      <c r="O266" s="229"/>
      <c r="P266" s="323"/>
      <c r="Q266" s="329"/>
      <c r="R266" s="330"/>
      <c r="S266" s="330"/>
      <c r="T266" s="330"/>
      <c r="U266" s="330"/>
      <c r="V266" s="330"/>
      <c r="W266" s="323"/>
      <c r="X266" s="323"/>
    </row>
    <row r="267" spans="1:24" ht="13.5" customHeight="1">
      <c r="A267" s="323"/>
      <c r="B267" s="323"/>
      <c r="C267" s="229"/>
      <c r="D267" s="324"/>
      <c r="E267" s="325"/>
      <c r="F267" s="326"/>
      <c r="G267" s="326"/>
      <c r="H267" s="326"/>
      <c r="I267" s="327"/>
      <c r="J267" s="385"/>
      <c r="K267" s="328"/>
      <c r="L267" s="328"/>
      <c r="M267" s="379"/>
      <c r="N267" s="229"/>
      <c r="O267" s="229"/>
      <c r="P267" s="323"/>
      <c r="Q267" s="329"/>
      <c r="R267" s="330"/>
      <c r="S267" s="330"/>
      <c r="T267" s="330"/>
      <c r="U267" s="330"/>
      <c r="V267" s="330"/>
      <c r="W267" s="323"/>
      <c r="X267" s="323"/>
    </row>
    <row r="268" spans="1:24" ht="13.5" customHeight="1">
      <c r="A268" s="323"/>
      <c r="B268" s="323"/>
      <c r="C268" s="229"/>
      <c r="D268" s="324"/>
      <c r="E268" s="325"/>
      <c r="F268" s="326"/>
      <c r="G268" s="326"/>
      <c r="H268" s="326"/>
      <c r="I268" s="327"/>
      <c r="J268" s="385"/>
      <c r="K268" s="328"/>
      <c r="L268" s="328"/>
      <c r="M268" s="379"/>
      <c r="N268" s="229"/>
      <c r="O268" s="229"/>
      <c r="P268" s="323"/>
      <c r="Q268" s="329"/>
      <c r="R268" s="330"/>
      <c r="S268" s="330"/>
      <c r="T268" s="330"/>
      <c r="U268" s="330"/>
      <c r="V268" s="330"/>
      <c r="W268" s="323"/>
      <c r="X268" s="323"/>
    </row>
    <row r="269" spans="1:24" ht="13.5" customHeight="1">
      <c r="A269" s="323"/>
      <c r="B269" s="323"/>
      <c r="C269" s="229"/>
      <c r="D269" s="324"/>
      <c r="E269" s="325"/>
      <c r="F269" s="326"/>
      <c r="G269" s="326"/>
      <c r="H269" s="326"/>
      <c r="I269" s="327"/>
      <c r="J269" s="385"/>
      <c r="K269" s="328"/>
      <c r="L269" s="328"/>
      <c r="M269" s="379"/>
      <c r="N269" s="229"/>
      <c r="O269" s="229"/>
      <c r="P269" s="323"/>
      <c r="Q269" s="329"/>
      <c r="R269" s="330"/>
      <c r="S269" s="330"/>
      <c r="T269" s="330"/>
      <c r="U269" s="330"/>
      <c r="V269" s="330"/>
      <c r="W269" s="323"/>
      <c r="X269" s="323"/>
    </row>
    <row r="270" spans="1:24" ht="13.5" customHeight="1">
      <c r="A270" s="323"/>
      <c r="B270" s="323"/>
      <c r="C270" s="229"/>
      <c r="D270" s="324"/>
      <c r="E270" s="325"/>
      <c r="F270" s="326"/>
      <c r="G270" s="326"/>
      <c r="H270" s="326"/>
      <c r="I270" s="327"/>
      <c r="J270" s="385"/>
      <c r="K270" s="328"/>
      <c r="L270" s="328"/>
      <c r="M270" s="379"/>
      <c r="N270" s="229"/>
      <c r="O270" s="229"/>
      <c r="P270" s="323"/>
      <c r="Q270" s="329"/>
      <c r="R270" s="330"/>
      <c r="S270" s="330"/>
      <c r="T270" s="330"/>
      <c r="U270" s="330"/>
      <c r="V270" s="330"/>
      <c r="W270" s="323"/>
      <c r="X270" s="323"/>
    </row>
    <row r="271" spans="1:24" ht="13.5" customHeight="1">
      <c r="A271" s="323"/>
      <c r="B271" s="323"/>
      <c r="C271" s="229"/>
      <c r="D271" s="324"/>
      <c r="E271" s="325"/>
      <c r="F271" s="326"/>
      <c r="G271" s="326"/>
      <c r="H271" s="326"/>
      <c r="I271" s="327"/>
      <c r="J271" s="385"/>
      <c r="K271" s="328"/>
      <c r="L271" s="328"/>
      <c r="M271" s="379"/>
      <c r="N271" s="229"/>
      <c r="O271" s="229"/>
      <c r="P271" s="323"/>
      <c r="Q271" s="329"/>
      <c r="R271" s="330"/>
      <c r="S271" s="330"/>
      <c r="T271" s="330"/>
      <c r="U271" s="330"/>
      <c r="V271" s="330"/>
      <c r="W271" s="323"/>
      <c r="X271" s="323"/>
    </row>
    <row r="272" spans="1:24" ht="13.5" customHeight="1">
      <c r="A272" s="323"/>
      <c r="B272" s="323"/>
      <c r="C272" s="229"/>
      <c r="D272" s="324"/>
      <c r="E272" s="325"/>
      <c r="F272" s="326"/>
      <c r="G272" s="326"/>
      <c r="H272" s="326"/>
      <c r="I272" s="327"/>
      <c r="J272" s="385"/>
      <c r="K272" s="328"/>
      <c r="L272" s="328"/>
      <c r="M272" s="379"/>
      <c r="N272" s="229"/>
      <c r="O272" s="229"/>
      <c r="P272" s="323"/>
      <c r="Q272" s="329"/>
      <c r="R272" s="330"/>
      <c r="S272" s="330"/>
      <c r="T272" s="330"/>
      <c r="U272" s="330"/>
      <c r="V272" s="330"/>
      <c r="W272" s="323"/>
      <c r="X272" s="323"/>
    </row>
    <row r="273" spans="1:24" ht="13.5" customHeight="1">
      <c r="A273" s="323"/>
      <c r="B273" s="323"/>
      <c r="C273" s="229"/>
      <c r="D273" s="324"/>
      <c r="E273" s="325"/>
      <c r="F273" s="326"/>
      <c r="G273" s="326"/>
      <c r="H273" s="326"/>
      <c r="I273" s="327"/>
      <c r="J273" s="385"/>
      <c r="K273" s="328"/>
      <c r="L273" s="328"/>
      <c r="M273" s="379"/>
      <c r="N273" s="229"/>
      <c r="O273" s="229"/>
      <c r="P273" s="323"/>
      <c r="Q273" s="329"/>
      <c r="R273" s="330"/>
      <c r="S273" s="330"/>
      <c r="T273" s="330"/>
      <c r="U273" s="330"/>
      <c r="V273" s="330"/>
      <c r="W273" s="323"/>
      <c r="X273" s="323"/>
    </row>
    <row r="274" spans="1:24" ht="13.5" customHeight="1">
      <c r="A274" s="323"/>
      <c r="B274" s="323"/>
      <c r="C274" s="229"/>
      <c r="D274" s="324"/>
      <c r="E274" s="325"/>
      <c r="F274" s="326"/>
      <c r="G274" s="326"/>
      <c r="H274" s="326"/>
      <c r="I274" s="327"/>
      <c r="J274" s="385"/>
      <c r="K274" s="328"/>
      <c r="L274" s="328"/>
      <c r="M274" s="379"/>
      <c r="N274" s="229"/>
      <c r="O274" s="229"/>
      <c r="P274" s="323"/>
      <c r="Q274" s="329"/>
      <c r="R274" s="330"/>
      <c r="S274" s="330"/>
      <c r="T274" s="330"/>
      <c r="U274" s="330"/>
      <c r="V274" s="330"/>
      <c r="W274" s="323"/>
      <c r="X274" s="323"/>
    </row>
    <row r="275" spans="1:24" ht="13.5" customHeight="1">
      <c r="A275" s="323"/>
      <c r="B275" s="323"/>
      <c r="C275" s="229"/>
      <c r="D275" s="324"/>
      <c r="E275" s="325"/>
      <c r="F275" s="326"/>
      <c r="G275" s="326"/>
      <c r="H275" s="326"/>
      <c r="I275" s="327"/>
      <c r="J275" s="385"/>
      <c r="K275" s="328"/>
      <c r="L275" s="328"/>
      <c r="M275" s="379"/>
      <c r="N275" s="229"/>
      <c r="O275" s="229"/>
      <c r="P275" s="323"/>
      <c r="Q275" s="329"/>
      <c r="R275" s="330"/>
      <c r="S275" s="330"/>
      <c r="T275" s="330"/>
      <c r="U275" s="330"/>
      <c r="V275" s="330"/>
      <c r="W275" s="323"/>
      <c r="X275" s="323"/>
    </row>
    <row r="276" spans="1:24" ht="13.5" customHeight="1">
      <c r="A276" s="323"/>
      <c r="B276" s="323"/>
      <c r="C276" s="229"/>
      <c r="D276" s="324"/>
      <c r="E276" s="325"/>
      <c r="F276" s="326"/>
      <c r="G276" s="326"/>
      <c r="H276" s="326"/>
      <c r="I276" s="327"/>
      <c r="J276" s="385"/>
      <c r="K276" s="328"/>
      <c r="L276" s="328"/>
      <c r="M276" s="379"/>
      <c r="N276" s="229"/>
      <c r="O276" s="229"/>
      <c r="P276" s="323"/>
      <c r="Q276" s="329"/>
      <c r="R276" s="330"/>
      <c r="S276" s="330"/>
      <c r="T276" s="330"/>
      <c r="U276" s="330"/>
      <c r="V276" s="330"/>
      <c r="W276" s="323"/>
      <c r="X276" s="323"/>
    </row>
    <row r="277" spans="1:24" ht="13.5" customHeight="1">
      <c r="A277" s="323"/>
      <c r="B277" s="323"/>
      <c r="C277" s="229"/>
      <c r="D277" s="324"/>
      <c r="E277" s="325"/>
      <c r="F277" s="326"/>
      <c r="G277" s="326"/>
      <c r="H277" s="326"/>
      <c r="I277" s="327"/>
      <c r="J277" s="385"/>
      <c r="K277" s="328"/>
      <c r="L277" s="328"/>
      <c r="M277" s="379"/>
      <c r="N277" s="229"/>
      <c r="O277" s="229"/>
      <c r="P277" s="323"/>
      <c r="Q277" s="329"/>
      <c r="R277" s="330"/>
      <c r="S277" s="330"/>
      <c r="T277" s="330"/>
      <c r="U277" s="330"/>
      <c r="V277" s="330"/>
      <c r="W277" s="323"/>
      <c r="X277" s="323"/>
    </row>
    <row r="278" spans="1:24" ht="13.5" customHeight="1">
      <c r="A278" s="323"/>
      <c r="B278" s="323"/>
      <c r="C278" s="229"/>
      <c r="D278" s="324"/>
      <c r="E278" s="325"/>
      <c r="F278" s="326"/>
      <c r="G278" s="326"/>
      <c r="H278" s="326"/>
      <c r="I278" s="327"/>
      <c r="J278" s="385"/>
      <c r="K278" s="328"/>
      <c r="L278" s="328"/>
      <c r="M278" s="379"/>
      <c r="N278" s="229"/>
      <c r="O278" s="229"/>
      <c r="P278" s="323"/>
      <c r="Q278" s="329"/>
      <c r="R278" s="330"/>
      <c r="S278" s="330"/>
      <c r="T278" s="330"/>
      <c r="U278" s="330"/>
      <c r="V278" s="330"/>
      <c r="W278" s="323"/>
      <c r="X278" s="323"/>
    </row>
    <row r="279" spans="1:24" ht="13.5" customHeight="1">
      <c r="A279" s="323"/>
      <c r="B279" s="323"/>
      <c r="C279" s="229"/>
      <c r="D279" s="324"/>
      <c r="E279" s="325"/>
      <c r="F279" s="326"/>
      <c r="G279" s="326"/>
      <c r="H279" s="326"/>
      <c r="I279" s="327"/>
      <c r="J279" s="385"/>
      <c r="K279" s="328"/>
      <c r="L279" s="328"/>
      <c r="M279" s="379"/>
      <c r="N279" s="229"/>
      <c r="O279" s="229"/>
      <c r="P279" s="323"/>
      <c r="Q279" s="329"/>
      <c r="R279" s="330"/>
      <c r="S279" s="330"/>
      <c r="T279" s="330"/>
      <c r="U279" s="330"/>
      <c r="V279" s="330"/>
      <c r="W279" s="323"/>
      <c r="X279" s="323"/>
    </row>
    <row r="280" spans="1:24" ht="13.5" customHeight="1">
      <c r="A280" s="323"/>
      <c r="B280" s="323"/>
      <c r="C280" s="229"/>
      <c r="D280" s="324"/>
      <c r="E280" s="325"/>
      <c r="F280" s="326"/>
      <c r="G280" s="326"/>
      <c r="H280" s="326"/>
      <c r="I280" s="327"/>
      <c r="J280" s="385"/>
      <c r="K280" s="328"/>
      <c r="L280" s="328"/>
      <c r="M280" s="379"/>
      <c r="N280" s="229"/>
      <c r="O280" s="229"/>
      <c r="P280" s="323"/>
      <c r="Q280" s="329"/>
      <c r="R280" s="330"/>
      <c r="S280" s="330"/>
      <c r="T280" s="330"/>
      <c r="U280" s="330"/>
      <c r="V280" s="330"/>
      <c r="W280" s="323"/>
      <c r="X280" s="323"/>
    </row>
    <row r="281" spans="1:24" ht="13.5" customHeight="1">
      <c r="A281" s="323"/>
      <c r="B281" s="323"/>
      <c r="C281" s="229"/>
      <c r="D281" s="324"/>
      <c r="E281" s="325"/>
      <c r="F281" s="326"/>
      <c r="G281" s="326"/>
      <c r="H281" s="326"/>
      <c r="I281" s="327"/>
      <c r="J281" s="385"/>
      <c r="K281" s="328"/>
      <c r="L281" s="328"/>
      <c r="M281" s="379"/>
      <c r="N281" s="229"/>
      <c r="O281" s="229"/>
      <c r="P281" s="323"/>
      <c r="Q281" s="329"/>
      <c r="R281" s="330"/>
      <c r="S281" s="330"/>
      <c r="T281" s="330"/>
      <c r="U281" s="330"/>
      <c r="V281" s="330"/>
      <c r="W281" s="323"/>
      <c r="X281" s="323"/>
    </row>
    <row r="282" spans="1:24" ht="13.5" customHeight="1">
      <c r="A282" s="323"/>
      <c r="B282" s="323"/>
      <c r="C282" s="229"/>
      <c r="D282" s="324"/>
      <c r="E282" s="325"/>
      <c r="F282" s="326"/>
      <c r="G282" s="326"/>
      <c r="H282" s="326"/>
      <c r="I282" s="327"/>
      <c r="J282" s="385"/>
      <c r="K282" s="328"/>
      <c r="L282" s="328"/>
      <c r="M282" s="379"/>
      <c r="N282" s="229"/>
      <c r="O282" s="229"/>
      <c r="P282" s="323"/>
      <c r="Q282" s="329"/>
      <c r="R282" s="330"/>
      <c r="S282" s="330"/>
      <c r="T282" s="330"/>
      <c r="U282" s="330"/>
      <c r="V282" s="330"/>
      <c r="W282" s="323"/>
      <c r="X282" s="323"/>
    </row>
    <row r="283" spans="1:24" ht="13.5" customHeight="1">
      <c r="A283" s="323"/>
      <c r="B283" s="323"/>
      <c r="C283" s="229"/>
      <c r="D283" s="324"/>
      <c r="E283" s="325"/>
      <c r="F283" s="326"/>
      <c r="G283" s="326"/>
      <c r="H283" s="326"/>
      <c r="I283" s="327"/>
      <c r="J283" s="385"/>
      <c r="K283" s="328"/>
      <c r="L283" s="328"/>
      <c r="M283" s="379"/>
      <c r="N283" s="229"/>
      <c r="O283" s="229"/>
      <c r="P283" s="323"/>
      <c r="Q283" s="329"/>
      <c r="R283" s="330"/>
      <c r="S283" s="330"/>
      <c r="T283" s="330"/>
      <c r="U283" s="330"/>
      <c r="V283" s="330"/>
      <c r="W283" s="323"/>
      <c r="X283" s="323"/>
    </row>
    <row r="284" spans="1:24" ht="13.5" customHeight="1">
      <c r="A284" s="323"/>
      <c r="B284" s="323"/>
      <c r="C284" s="229"/>
      <c r="D284" s="324"/>
      <c r="E284" s="325"/>
      <c r="F284" s="326"/>
      <c r="G284" s="326"/>
      <c r="H284" s="326"/>
      <c r="I284" s="327"/>
      <c r="J284" s="385"/>
      <c r="K284" s="328"/>
      <c r="L284" s="328"/>
      <c r="M284" s="379"/>
      <c r="N284" s="229"/>
      <c r="O284" s="229"/>
      <c r="P284" s="323"/>
      <c r="Q284" s="329"/>
      <c r="R284" s="330"/>
      <c r="S284" s="330"/>
      <c r="T284" s="330"/>
      <c r="U284" s="330"/>
      <c r="V284" s="330"/>
      <c r="W284" s="323"/>
      <c r="X284" s="323"/>
    </row>
    <row r="285" spans="1:24" ht="13.5" customHeight="1">
      <c r="A285" s="323"/>
      <c r="B285" s="323"/>
      <c r="C285" s="229"/>
      <c r="D285" s="324"/>
      <c r="E285" s="325"/>
      <c r="F285" s="326"/>
      <c r="G285" s="326"/>
      <c r="H285" s="326"/>
      <c r="I285" s="327"/>
      <c r="J285" s="385"/>
      <c r="K285" s="328"/>
      <c r="L285" s="328"/>
      <c r="M285" s="379"/>
      <c r="N285" s="229"/>
      <c r="O285" s="229"/>
      <c r="P285" s="323"/>
      <c r="Q285" s="329"/>
      <c r="R285" s="330"/>
      <c r="S285" s="330"/>
      <c r="T285" s="330"/>
      <c r="U285" s="330"/>
      <c r="V285" s="330"/>
      <c r="W285" s="323"/>
      <c r="X285" s="323"/>
    </row>
    <row r="286" spans="1:24" ht="13.5" customHeight="1">
      <c r="A286" s="323"/>
      <c r="B286" s="323"/>
      <c r="C286" s="229"/>
      <c r="D286" s="324"/>
      <c r="E286" s="325"/>
      <c r="F286" s="326"/>
      <c r="G286" s="326"/>
      <c r="H286" s="326"/>
      <c r="I286" s="327"/>
      <c r="J286" s="385"/>
      <c r="K286" s="328"/>
      <c r="L286" s="328"/>
      <c r="M286" s="379"/>
      <c r="N286" s="229"/>
      <c r="O286" s="229"/>
      <c r="P286" s="323"/>
      <c r="Q286" s="329"/>
      <c r="R286" s="330"/>
      <c r="S286" s="330"/>
      <c r="T286" s="330"/>
      <c r="U286" s="330"/>
      <c r="V286" s="330"/>
      <c r="W286" s="323"/>
      <c r="X286" s="323"/>
    </row>
    <row r="287" spans="1:24" ht="13.5" customHeight="1">
      <c r="A287" s="323"/>
      <c r="B287" s="323"/>
      <c r="C287" s="229"/>
      <c r="D287" s="324"/>
      <c r="E287" s="325"/>
      <c r="F287" s="326"/>
      <c r="G287" s="326"/>
      <c r="H287" s="326"/>
      <c r="I287" s="327"/>
      <c r="J287" s="385"/>
      <c r="K287" s="328"/>
      <c r="L287" s="328"/>
      <c r="M287" s="379"/>
      <c r="N287" s="229"/>
      <c r="O287" s="229"/>
      <c r="P287" s="323"/>
      <c r="Q287" s="329"/>
      <c r="R287" s="330"/>
      <c r="S287" s="330"/>
      <c r="T287" s="330"/>
      <c r="U287" s="330"/>
      <c r="V287" s="330"/>
      <c r="W287" s="323"/>
      <c r="X287" s="323"/>
    </row>
    <row r="288" spans="1:24" ht="13.5" customHeight="1">
      <c r="A288" s="323"/>
      <c r="B288" s="323"/>
      <c r="C288" s="229"/>
      <c r="D288" s="324"/>
      <c r="E288" s="325"/>
      <c r="F288" s="326"/>
      <c r="G288" s="326"/>
      <c r="H288" s="326"/>
      <c r="I288" s="327"/>
      <c r="J288" s="385"/>
      <c r="K288" s="328"/>
      <c r="L288" s="328"/>
      <c r="M288" s="379"/>
      <c r="N288" s="229"/>
      <c r="O288" s="229"/>
      <c r="P288" s="323"/>
      <c r="Q288" s="329"/>
      <c r="R288" s="330"/>
      <c r="S288" s="330"/>
      <c r="T288" s="330"/>
      <c r="U288" s="330"/>
      <c r="V288" s="330"/>
      <c r="W288" s="323"/>
      <c r="X288" s="323"/>
    </row>
    <row r="289" spans="1:24" ht="13.5" customHeight="1">
      <c r="A289" s="323"/>
      <c r="B289" s="323"/>
      <c r="C289" s="229"/>
      <c r="D289" s="324"/>
      <c r="E289" s="325"/>
      <c r="F289" s="326"/>
      <c r="G289" s="326"/>
      <c r="H289" s="326"/>
      <c r="I289" s="327"/>
      <c r="J289" s="385"/>
      <c r="K289" s="328"/>
      <c r="L289" s="328"/>
      <c r="M289" s="379"/>
      <c r="N289" s="229"/>
      <c r="O289" s="229"/>
      <c r="P289" s="323"/>
      <c r="Q289" s="329"/>
      <c r="R289" s="330"/>
      <c r="S289" s="330"/>
      <c r="T289" s="330"/>
      <c r="U289" s="330"/>
      <c r="V289" s="330"/>
      <c r="W289" s="323"/>
      <c r="X289" s="323"/>
    </row>
    <row r="290" spans="1:24" ht="13.5" customHeight="1">
      <c r="A290" s="323"/>
      <c r="B290" s="323"/>
      <c r="C290" s="229"/>
      <c r="D290" s="324"/>
      <c r="E290" s="325"/>
      <c r="F290" s="326"/>
      <c r="G290" s="326"/>
      <c r="H290" s="326"/>
      <c r="I290" s="327"/>
      <c r="J290" s="385"/>
      <c r="K290" s="328"/>
      <c r="L290" s="328"/>
      <c r="M290" s="379"/>
      <c r="N290" s="229"/>
      <c r="O290" s="229"/>
      <c r="P290" s="323"/>
      <c r="Q290" s="329"/>
      <c r="R290" s="330"/>
      <c r="S290" s="330"/>
      <c r="T290" s="330"/>
      <c r="U290" s="330"/>
      <c r="V290" s="330"/>
      <c r="W290" s="323"/>
      <c r="X290" s="323"/>
    </row>
    <row r="291" spans="1:24" ht="13.5" customHeight="1">
      <c r="A291" s="323"/>
      <c r="B291" s="323"/>
      <c r="C291" s="229"/>
      <c r="D291" s="324"/>
      <c r="E291" s="325"/>
      <c r="F291" s="326"/>
      <c r="G291" s="326"/>
      <c r="H291" s="326"/>
      <c r="I291" s="327"/>
      <c r="J291" s="385"/>
      <c r="K291" s="328"/>
      <c r="L291" s="328"/>
      <c r="M291" s="379"/>
      <c r="N291" s="229"/>
      <c r="O291" s="229"/>
      <c r="P291" s="323"/>
      <c r="Q291" s="329"/>
      <c r="R291" s="330"/>
      <c r="S291" s="330"/>
      <c r="T291" s="330"/>
      <c r="U291" s="330"/>
      <c r="V291" s="330"/>
      <c r="W291" s="323"/>
      <c r="X291" s="323"/>
    </row>
    <row r="292" spans="1:24" ht="13.5" customHeight="1">
      <c r="A292" s="323"/>
      <c r="B292" s="323"/>
      <c r="C292" s="229"/>
      <c r="D292" s="324"/>
      <c r="E292" s="325"/>
      <c r="F292" s="326"/>
      <c r="G292" s="326"/>
      <c r="H292" s="326"/>
      <c r="I292" s="327"/>
      <c r="J292" s="385"/>
      <c r="K292" s="328"/>
      <c r="L292" s="328"/>
      <c r="M292" s="379"/>
      <c r="N292" s="229"/>
      <c r="O292" s="229"/>
      <c r="P292" s="323"/>
      <c r="Q292" s="329"/>
      <c r="R292" s="330"/>
      <c r="S292" s="330"/>
      <c r="T292" s="330"/>
      <c r="U292" s="330"/>
      <c r="V292" s="330"/>
      <c r="W292" s="323"/>
      <c r="X292" s="323"/>
    </row>
    <row r="293" spans="1:24" ht="13.5" customHeight="1">
      <c r="A293" s="323"/>
      <c r="B293" s="323"/>
      <c r="C293" s="229"/>
      <c r="D293" s="324"/>
      <c r="E293" s="325"/>
      <c r="F293" s="326"/>
      <c r="G293" s="326"/>
      <c r="H293" s="326"/>
      <c r="I293" s="327"/>
      <c r="J293" s="385"/>
      <c r="K293" s="328"/>
      <c r="L293" s="328"/>
      <c r="M293" s="379"/>
      <c r="N293" s="229"/>
      <c r="O293" s="229"/>
      <c r="P293" s="323"/>
      <c r="Q293" s="329"/>
      <c r="R293" s="330"/>
      <c r="S293" s="330"/>
      <c r="T293" s="330"/>
      <c r="U293" s="330"/>
      <c r="V293" s="330"/>
      <c r="W293" s="323"/>
      <c r="X293" s="323"/>
    </row>
    <row r="294" spans="1:24" ht="13.5" customHeight="1">
      <c r="A294" s="323"/>
      <c r="B294" s="323"/>
      <c r="C294" s="229"/>
      <c r="D294" s="324"/>
      <c r="E294" s="325"/>
      <c r="F294" s="326"/>
      <c r="G294" s="326"/>
      <c r="H294" s="326"/>
      <c r="I294" s="327"/>
      <c r="J294" s="385"/>
      <c r="K294" s="328"/>
      <c r="L294" s="328"/>
      <c r="M294" s="377"/>
      <c r="N294" s="229"/>
      <c r="O294" s="229"/>
      <c r="P294" s="323"/>
      <c r="Q294" s="329"/>
      <c r="R294" s="330"/>
      <c r="S294" s="330"/>
      <c r="T294" s="330"/>
      <c r="U294" s="330"/>
      <c r="V294" s="330"/>
      <c r="W294" s="323"/>
      <c r="X294" s="323"/>
    </row>
    <row r="295" spans="1:24" ht="13.5" customHeight="1">
      <c r="A295" s="323"/>
      <c r="B295" s="323"/>
      <c r="C295" s="229"/>
      <c r="D295" s="324"/>
      <c r="E295" s="325"/>
      <c r="F295" s="326"/>
      <c r="G295" s="326"/>
      <c r="H295" s="326"/>
      <c r="I295" s="327"/>
      <c r="J295" s="385"/>
      <c r="K295" s="328"/>
      <c r="L295" s="328"/>
      <c r="M295" s="377"/>
      <c r="N295" s="229"/>
      <c r="O295" s="229"/>
      <c r="P295" s="323"/>
      <c r="Q295" s="329"/>
      <c r="R295" s="330"/>
      <c r="S295" s="330"/>
      <c r="T295" s="330"/>
      <c r="U295" s="330"/>
      <c r="V295" s="330"/>
      <c r="W295" s="323"/>
      <c r="X295" s="323"/>
    </row>
    <row r="296" spans="1:24" ht="13.5" customHeight="1">
      <c r="A296" s="323"/>
      <c r="B296" s="323"/>
      <c r="C296" s="229"/>
      <c r="D296" s="324"/>
      <c r="E296" s="325"/>
      <c r="F296" s="326"/>
      <c r="G296" s="326"/>
      <c r="H296" s="326"/>
      <c r="I296" s="327"/>
      <c r="J296" s="385"/>
      <c r="K296" s="328"/>
      <c r="L296" s="328"/>
      <c r="M296" s="377"/>
      <c r="N296" s="229"/>
      <c r="O296" s="229"/>
      <c r="P296" s="323"/>
      <c r="Q296" s="329"/>
      <c r="R296" s="330"/>
      <c r="S296" s="330"/>
      <c r="T296" s="330"/>
      <c r="U296" s="330"/>
      <c r="V296" s="330"/>
      <c r="W296" s="323"/>
      <c r="X296" s="323"/>
    </row>
    <row r="297" spans="1:24" ht="13.5" customHeight="1">
      <c r="A297" s="323"/>
      <c r="B297" s="323"/>
      <c r="C297" s="229"/>
      <c r="D297" s="324"/>
      <c r="E297" s="325"/>
      <c r="F297" s="326"/>
      <c r="G297" s="326"/>
      <c r="H297" s="326"/>
      <c r="I297" s="327"/>
      <c r="J297" s="385"/>
      <c r="K297" s="328"/>
      <c r="L297" s="328"/>
      <c r="M297" s="377"/>
      <c r="N297" s="229"/>
      <c r="O297" s="229"/>
      <c r="P297" s="323"/>
      <c r="Q297" s="329"/>
      <c r="R297" s="330"/>
      <c r="S297" s="330"/>
      <c r="T297" s="330"/>
      <c r="U297" s="330"/>
      <c r="V297" s="330"/>
      <c r="W297" s="323"/>
      <c r="X297" s="323"/>
    </row>
    <row r="298" spans="1:24" ht="13.5" customHeight="1">
      <c r="A298" s="323"/>
      <c r="B298" s="323"/>
      <c r="C298" s="229"/>
      <c r="D298" s="324"/>
      <c r="E298" s="325"/>
      <c r="F298" s="326"/>
      <c r="G298" s="326"/>
      <c r="H298" s="326"/>
      <c r="I298" s="327"/>
      <c r="J298" s="385"/>
      <c r="K298" s="328"/>
      <c r="L298" s="328"/>
      <c r="M298" s="377"/>
      <c r="N298" s="229"/>
      <c r="O298" s="229"/>
      <c r="P298" s="323"/>
      <c r="Q298" s="329"/>
      <c r="R298" s="330"/>
      <c r="S298" s="330"/>
      <c r="T298" s="330"/>
      <c r="U298" s="330"/>
      <c r="V298" s="330"/>
      <c r="W298" s="323"/>
      <c r="X298" s="323"/>
    </row>
    <row r="299" spans="1:24" ht="13.5" customHeight="1">
      <c r="A299" s="323"/>
      <c r="B299" s="323"/>
      <c r="C299" s="229"/>
      <c r="D299" s="324"/>
      <c r="E299" s="325"/>
      <c r="F299" s="326"/>
      <c r="G299" s="326"/>
      <c r="H299" s="326"/>
      <c r="I299" s="327"/>
      <c r="J299" s="385"/>
      <c r="K299" s="328"/>
      <c r="L299" s="328"/>
      <c r="M299" s="377"/>
      <c r="N299" s="229"/>
      <c r="O299" s="229"/>
      <c r="P299" s="323"/>
      <c r="Q299" s="329"/>
      <c r="R299" s="330"/>
      <c r="S299" s="330"/>
      <c r="T299" s="330"/>
      <c r="U299" s="330"/>
      <c r="V299" s="330"/>
      <c r="W299" s="323"/>
      <c r="X299" s="323"/>
    </row>
    <row r="300" spans="1:24" ht="13.5" customHeight="1">
      <c r="A300" s="323"/>
      <c r="B300" s="323"/>
      <c r="C300" s="229"/>
      <c r="D300" s="324"/>
      <c r="E300" s="325"/>
      <c r="F300" s="326"/>
      <c r="G300" s="326"/>
      <c r="H300" s="326"/>
      <c r="I300" s="327"/>
      <c r="J300" s="385"/>
      <c r="K300" s="328"/>
      <c r="L300" s="328"/>
      <c r="M300" s="377"/>
      <c r="N300" s="229"/>
      <c r="O300" s="229"/>
      <c r="P300" s="323"/>
      <c r="Q300" s="329"/>
      <c r="R300" s="330"/>
      <c r="S300" s="330"/>
      <c r="T300" s="330"/>
      <c r="U300" s="330"/>
      <c r="V300" s="330"/>
      <c r="W300" s="323"/>
      <c r="X300" s="323"/>
    </row>
    <row r="301" spans="1:24" ht="13.5" customHeight="1">
      <c r="A301" s="323"/>
      <c r="B301" s="323"/>
      <c r="C301" s="229"/>
      <c r="D301" s="324"/>
      <c r="E301" s="325"/>
      <c r="F301" s="326"/>
      <c r="G301" s="326"/>
      <c r="H301" s="326"/>
      <c r="I301" s="327"/>
      <c r="J301" s="385"/>
      <c r="K301" s="328"/>
      <c r="L301" s="328"/>
      <c r="M301" s="377"/>
      <c r="N301" s="229"/>
      <c r="O301" s="229"/>
      <c r="P301" s="323"/>
      <c r="Q301" s="329"/>
      <c r="R301" s="330"/>
      <c r="S301" s="330"/>
      <c r="T301" s="330"/>
      <c r="U301" s="330"/>
      <c r="V301" s="330"/>
      <c r="W301" s="323"/>
      <c r="X301" s="323"/>
    </row>
    <row r="302" spans="1:24" ht="13.5" customHeight="1">
      <c r="A302" s="323"/>
      <c r="B302" s="323"/>
      <c r="C302" s="229"/>
      <c r="D302" s="324"/>
      <c r="E302" s="325"/>
      <c r="F302" s="326"/>
      <c r="G302" s="326"/>
      <c r="H302" s="326"/>
      <c r="I302" s="327"/>
      <c r="J302" s="385"/>
      <c r="K302" s="328"/>
      <c r="L302" s="328"/>
      <c r="M302" s="377"/>
      <c r="N302" s="229"/>
      <c r="O302" s="229"/>
      <c r="P302" s="323"/>
      <c r="Q302" s="329"/>
      <c r="R302" s="330"/>
      <c r="S302" s="330"/>
      <c r="T302" s="330"/>
      <c r="U302" s="330"/>
      <c r="V302" s="330"/>
      <c r="W302" s="323"/>
      <c r="X302" s="323"/>
    </row>
    <row r="303" spans="1:24" ht="13.5" customHeight="1">
      <c r="A303" s="323"/>
      <c r="B303" s="323"/>
      <c r="C303" s="229"/>
      <c r="D303" s="324"/>
      <c r="E303" s="325"/>
      <c r="F303" s="326"/>
      <c r="G303" s="326"/>
      <c r="H303" s="326"/>
      <c r="I303" s="327"/>
      <c r="J303" s="385"/>
      <c r="K303" s="328"/>
      <c r="L303" s="328"/>
      <c r="M303" s="377"/>
      <c r="N303" s="229"/>
      <c r="O303" s="229"/>
      <c r="P303" s="323"/>
      <c r="Q303" s="329"/>
      <c r="R303" s="330"/>
      <c r="S303" s="330"/>
      <c r="T303" s="330"/>
      <c r="U303" s="330"/>
      <c r="V303" s="330"/>
      <c r="W303" s="323"/>
      <c r="X303" s="323"/>
    </row>
    <row r="304" spans="1:24" ht="13.5" customHeight="1">
      <c r="A304" s="323"/>
      <c r="B304" s="323"/>
      <c r="C304" s="229"/>
      <c r="D304" s="324"/>
      <c r="E304" s="325"/>
      <c r="F304" s="326"/>
      <c r="G304" s="326"/>
      <c r="H304" s="326"/>
      <c r="I304" s="327"/>
      <c r="J304" s="385"/>
      <c r="K304" s="328"/>
      <c r="L304" s="328"/>
      <c r="M304" s="377"/>
      <c r="N304" s="229"/>
      <c r="O304" s="229"/>
      <c r="P304" s="323"/>
      <c r="Q304" s="329"/>
      <c r="R304" s="330"/>
      <c r="S304" s="330"/>
      <c r="T304" s="330"/>
      <c r="U304" s="330"/>
      <c r="V304" s="330"/>
      <c r="W304" s="323"/>
      <c r="X304" s="323"/>
    </row>
    <row r="305" spans="1:24" ht="13.5" customHeight="1">
      <c r="A305" s="323"/>
      <c r="B305" s="323"/>
      <c r="C305" s="229"/>
      <c r="D305" s="324"/>
      <c r="E305" s="325"/>
      <c r="F305" s="326"/>
      <c r="G305" s="326"/>
      <c r="H305" s="326"/>
      <c r="I305" s="327"/>
      <c r="J305" s="385"/>
      <c r="K305" s="328"/>
      <c r="L305" s="328"/>
      <c r="M305" s="377"/>
      <c r="N305" s="229"/>
      <c r="O305" s="229"/>
      <c r="P305" s="323"/>
      <c r="Q305" s="329"/>
      <c r="R305" s="330"/>
      <c r="S305" s="330"/>
      <c r="T305" s="330"/>
      <c r="U305" s="330"/>
      <c r="V305" s="330"/>
      <c r="W305" s="323"/>
      <c r="X305" s="323"/>
    </row>
    <row r="306" spans="1:24" ht="13.5" customHeight="1">
      <c r="A306" s="323"/>
      <c r="B306" s="323"/>
      <c r="C306" s="229"/>
      <c r="D306" s="324"/>
      <c r="E306" s="325"/>
      <c r="F306" s="326"/>
      <c r="G306" s="326"/>
      <c r="H306" s="326"/>
      <c r="I306" s="327"/>
      <c r="J306" s="385"/>
      <c r="K306" s="328"/>
      <c r="L306" s="328"/>
      <c r="M306" s="377"/>
      <c r="N306" s="229"/>
      <c r="O306" s="229"/>
      <c r="P306" s="323"/>
      <c r="Q306" s="329"/>
      <c r="R306" s="330"/>
      <c r="S306" s="330"/>
      <c r="T306" s="330"/>
      <c r="U306" s="330"/>
      <c r="V306" s="330"/>
      <c r="W306" s="323"/>
      <c r="X306" s="323"/>
    </row>
    <row r="307" spans="1:24" ht="13.5" customHeight="1">
      <c r="A307" s="323"/>
      <c r="B307" s="323"/>
      <c r="C307" s="229"/>
      <c r="D307" s="324"/>
      <c r="E307" s="325"/>
      <c r="F307" s="326"/>
      <c r="G307" s="326"/>
      <c r="H307" s="326"/>
      <c r="I307" s="327"/>
      <c r="J307" s="385"/>
      <c r="K307" s="328"/>
      <c r="L307" s="328"/>
      <c r="M307" s="377"/>
      <c r="N307" s="229"/>
      <c r="O307" s="229"/>
      <c r="P307" s="323"/>
      <c r="Q307" s="329"/>
      <c r="R307" s="330"/>
      <c r="S307" s="330"/>
      <c r="T307" s="330"/>
      <c r="U307" s="330"/>
      <c r="V307" s="330"/>
      <c r="W307" s="323"/>
      <c r="X307" s="323"/>
    </row>
    <row r="308" spans="1:24" ht="13.5" customHeight="1">
      <c r="A308" s="323"/>
      <c r="B308" s="323"/>
      <c r="C308" s="229"/>
      <c r="D308" s="324"/>
      <c r="E308" s="325"/>
      <c r="F308" s="326"/>
      <c r="G308" s="326"/>
      <c r="H308" s="326"/>
      <c r="I308" s="327"/>
      <c r="J308" s="385"/>
      <c r="K308" s="328"/>
      <c r="L308" s="328"/>
      <c r="M308" s="377"/>
      <c r="N308" s="229"/>
      <c r="O308" s="229"/>
      <c r="P308" s="323"/>
      <c r="Q308" s="329"/>
      <c r="R308" s="330"/>
      <c r="S308" s="330"/>
      <c r="T308" s="330"/>
      <c r="U308" s="330"/>
      <c r="V308" s="330"/>
      <c r="W308" s="323"/>
      <c r="X308" s="323"/>
    </row>
    <row r="309" spans="1:24" ht="13.5" customHeight="1">
      <c r="A309" s="323"/>
      <c r="B309" s="323"/>
      <c r="C309" s="229"/>
      <c r="D309" s="324"/>
      <c r="E309" s="325"/>
      <c r="F309" s="326"/>
      <c r="G309" s="326"/>
      <c r="H309" s="326"/>
      <c r="I309" s="327"/>
      <c r="J309" s="385"/>
      <c r="K309" s="328"/>
      <c r="L309" s="328"/>
      <c r="M309" s="377"/>
      <c r="N309" s="229"/>
      <c r="O309" s="229"/>
      <c r="P309" s="323"/>
      <c r="Q309" s="329"/>
      <c r="R309" s="330"/>
      <c r="S309" s="330"/>
      <c r="T309" s="330"/>
      <c r="U309" s="330"/>
      <c r="V309" s="330"/>
      <c r="W309" s="323"/>
      <c r="X309" s="323"/>
    </row>
    <row r="310" spans="1:24" ht="13.5" customHeight="1">
      <c r="A310" s="323"/>
      <c r="B310" s="323"/>
      <c r="C310" s="229"/>
      <c r="D310" s="324"/>
      <c r="E310" s="325"/>
      <c r="F310" s="326"/>
      <c r="G310" s="326"/>
      <c r="H310" s="326"/>
      <c r="I310" s="327"/>
      <c r="J310" s="385"/>
      <c r="K310" s="328"/>
      <c r="L310" s="328"/>
      <c r="M310" s="377"/>
      <c r="N310" s="229"/>
      <c r="O310" s="229"/>
      <c r="P310" s="323"/>
      <c r="Q310" s="329"/>
      <c r="R310" s="330"/>
      <c r="S310" s="330"/>
      <c r="T310" s="330"/>
      <c r="U310" s="330"/>
      <c r="V310" s="330"/>
      <c r="W310" s="323"/>
      <c r="X310" s="323"/>
    </row>
    <row r="311" spans="1:24" ht="13.5" customHeight="1">
      <c r="A311" s="323"/>
      <c r="B311" s="323"/>
      <c r="C311" s="229"/>
      <c r="D311" s="324"/>
      <c r="E311" s="325"/>
      <c r="F311" s="326"/>
      <c r="G311" s="326"/>
      <c r="H311" s="326"/>
      <c r="I311" s="327"/>
      <c r="J311" s="385"/>
      <c r="K311" s="328"/>
      <c r="L311" s="328"/>
      <c r="M311" s="377"/>
      <c r="N311" s="229"/>
      <c r="O311" s="229"/>
      <c r="P311" s="323"/>
      <c r="Q311" s="329"/>
      <c r="R311" s="330"/>
      <c r="S311" s="330"/>
      <c r="T311" s="330"/>
      <c r="U311" s="330"/>
      <c r="V311" s="330"/>
      <c r="W311" s="323"/>
      <c r="X311" s="323"/>
    </row>
    <row r="312" spans="1:24" ht="13.5" customHeight="1">
      <c r="A312" s="323"/>
      <c r="B312" s="323"/>
      <c r="C312" s="229"/>
      <c r="D312" s="324"/>
      <c r="E312" s="325"/>
      <c r="F312" s="326"/>
      <c r="G312" s="326"/>
      <c r="H312" s="326"/>
      <c r="I312" s="327"/>
      <c r="J312" s="385"/>
      <c r="K312" s="328"/>
      <c r="L312" s="328"/>
      <c r="M312" s="377"/>
      <c r="N312" s="229"/>
      <c r="O312" s="229"/>
      <c r="P312" s="323"/>
      <c r="Q312" s="329"/>
      <c r="R312" s="330"/>
      <c r="S312" s="330"/>
      <c r="T312" s="330"/>
      <c r="U312" s="330"/>
      <c r="V312" s="330"/>
      <c r="W312" s="323"/>
      <c r="X312" s="323"/>
    </row>
    <row r="313" spans="1:24" ht="13.5" customHeight="1">
      <c r="A313" s="323"/>
      <c r="B313" s="323"/>
      <c r="C313" s="229"/>
      <c r="D313" s="324"/>
      <c r="E313" s="325"/>
      <c r="F313" s="326"/>
      <c r="G313" s="326"/>
      <c r="H313" s="326"/>
      <c r="I313" s="327"/>
      <c r="J313" s="385"/>
      <c r="K313" s="328"/>
      <c r="L313" s="328"/>
      <c r="M313" s="377"/>
      <c r="N313" s="229"/>
      <c r="O313" s="229"/>
      <c r="P313" s="323"/>
      <c r="Q313" s="329"/>
      <c r="R313" s="330"/>
      <c r="S313" s="330"/>
      <c r="T313" s="330"/>
      <c r="U313" s="330"/>
      <c r="V313" s="330"/>
      <c r="W313" s="323"/>
      <c r="X313" s="323"/>
    </row>
    <row r="314" spans="1:24" ht="13.5" customHeight="1">
      <c r="A314" s="323"/>
      <c r="B314" s="323"/>
      <c r="C314" s="229"/>
      <c r="D314" s="324"/>
      <c r="E314" s="325"/>
      <c r="F314" s="326"/>
      <c r="G314" s="326"/>
      <c r="H314" s="326"/>
      <c r="I314" s="327"/>
      <c r="J314" s="385"/>
      <c r="K314" s="328"/>
      <c r="L314" s="328"/>
      <c r="M314" s="377"/>
      <c r="N314" s="229"/>
      <c r="O314" s="229"/>
      <c r="P314" s="323"/>
      <c r="Q314" s="329"/>
      <c r="R314" s="330"/>
      <c r="S314" s="330"/>
      <c r="T314" s="330"/>
      <c r="U314" s="330"/>
      <c r="V314" s="330"/>
      <c r="W314" s="323"/>
      <c r="X314" s="323"/>
    </row>
    <row r="315" spans="1:24" ht="13.5" customHeight="1">
      <c r="A315" s="323"/>
      <c r="B315" s="323"/>
      <c r="C315" s="229"/>
      <c r="D315" s="324"/>
      <c r="E315" s="325"/>
      <c r="F315" s="326"/>
      <c r="G315" s="326"/>
      <c r="H315" s="326"/>
      <c r="I315" s="327"/>
      <c r="J315" s="385"/>
      <c r="K315" s="328"/>
      <c r="L315" s="328"/>
      <c r="M315" s="377"/>
      <c r="N315" s="229"/>
      <c r="O315" s="229"/>
      <c r="P315" s="323"/>
      <c r="Q315" s="329"/>
      <c r="R315" s="330"/>
      <c r="S315" s="330"/>
      <c r="T315" s="330"/>
      <c r="U315" s="330"/>
      <c r="V315" s="330"/>
      <c r="W315" s="323"/>
      <c r="X315" s="323"/>
    </row>
    <row r="316" spans="1:24" ht="13.5" customHeight="1">
      <c r="A316" s="323"/>
      <c r="B316" s="323"/>
      <c r="C316" s="229"/>
      <c r="D316" s="324"/>
      <c r="E316" s="325"/>
      <c r="F316" s="326"/>
      <c r="G316" s="326"/>
      <c r="H316" s="326"/>
      <c r="I316" s="327"/>
      <c r="J316" s="385"/>
      <c r="K316" s="328"/>
      <c r="L316" s="328"/>
      <c r="M316" s="377"/>
      <c r="N316" s="229"/>
      <c r="O316" s="229"/>
      <c r="P316" s="323"/>
      <c r="Q316" s="329"/>
      <c r="R316" s="330"/>
      <c r="S316" s="330"/>
      <c r="T316" s="330"/>
      <c r="U316" s="330"/>
      <c r="V316" s="330"/>
      <c r="W316" s="323"/>
      <c r="X316" s="323"/>
    </row>
    <row r="317" spans="1:24" ht="13.5" customHeight="1">
      <c r="A317" s="323"/>
      <c r="B317" s="323"/>
      <c r="C317" s="229"/>
      <c r="D317" s="324"/>
      <c r="E317" s="325"/>
      <c r="F317" s="326"/>
      <c r="G317" s="326"/>
      <c r="H317" s="326"/>
      <c r="I317" s="327"/>
      <c r="J317" s="385"/>
      <c r="K317" s="328"/>
      <c r="L317" s="328"/>
      <c r="M317" s="377"/>
      <c r="N317" s="229"/>
      <c r="O317" s="229"/>
      <c r="P317" s="323"/>
      <c r="Q317" s="329"/>
      <c r="R317" s="330"/>
      <c r="S317" s="330"/>
      <c r="T317" s="330"/>
      <c r="U317" s="330"/>
      <c r="V317" s="330"/>
      <c r="W317" s="323"/>
      <c r="X317" s="323"/>
    </row>
    <row r="318" spans="1:24" ht="13.5" customHeight="1">
      <c r="A318" s="323"/>
      <c r="B318" s="323"/>
      <c r="C318" s="229"/>
      <c r="D318" s="324"/>
      <c r="E318" s="325"/>
      <c r="F318" s="326"/>
      <c r="G318" s="326"/>
      <c r="H318" s="326"/>
      <c r="I318" s="327"/>
      <c r="J318" s="385"/>
      <c r="K318" s="328"/>
      <c r="L318" s="328"/>
      <c r="M318" s="377"/>
      <c r="N318" s="229"/>
      <c r="O318" s="229"/>
      <c r="P318" s="323"/>
      <c r="Q318" s="329"/>
      <c r="R318" s="330"/>
      <c r="S318" s="330"/>
      <c r="T318" s="330"/>
      <c r="U318" s="330"/>
      <c r="V318" s="330"/>
      <c r="W318" s="323"/>
      <c r="X318" s="323"/>
    </row>
    <row r="319" spans="1:24" ht="13.5" customHeight="1">
      <c r="A319" s="323"/>
      <c r="B319" s="323"/>
      <c r="C319" s="229"/>
      <c r="D319" s="324"/>
      <c r="E319" s="325"/>
      <c r="F319" s="326"/>
      <c r="G319" s="326"/>
      <c r="H319" s="326"/>
      <c r="I319" s="327"/>
      <c r="J319" s="385"/>
      <c r="K319" s="328"/>
      <c r="L319" s="328"/>
      <c r="M319" s="377"/>
      <c r="N319" s="229"/>
      <c r="O319" s="229"/>
      <c r="P319" s="323"/>
      <c r="Q319" s="329"/>
      <c r="R319" s="330"/>
      <c r="S319" s="330"/>
      <c r="T319" s="330"/>
      <c r="U319" s="330"/>
      <c r="V319" s="330"/>
      <c r="W319" s="323"/>
      <c r="X319" s="323"/>
    </row>
    <row r="320" spans="1:24" ht="13.5" customHeight="1">
      <c r="A320" s="323"/>
      <c r="B320" s="323"/>
      <c r="C320" s="229"/>
      <c r="D320" s="324"/>
      <c r="E320" s="325"/>
      <c r="F320" s="326"/>
      <c r="G320" s="326"/>
      <c r="H320" s="326"/>
      <c r="I320" s="327"/>
      <c r="J320" s="385"/>
      <c r="K320" s="328"/>
      <c r="L320" s="328"/>
      <c r="M320" s="377"/>
      <c r="N320" s="229"/>
      <c r="O320" s="229"/>
      <c r="P320" s="323"/>
      <c r="Q320" s="329"/>
      <c r="R320" s="330"/>
      <c r="S320" s="330"/>
      <c r="T320" s="330"/>
      <c r="U320" s="330"/>
      <c r="V320" s="330"/>
      <c r="W320" s="323"/>
      <c r="X320" s="323"/>
    </row>
    <row r="321" spans="1:24" ht="13.5" customHeight="1">
      <c r="A321" s="323"/>
      <c r="B321" s="323"/>
      <c r="C321" s="229"/>
      <c r="D321" s="324"/>
      <c r="E321" s="325"/>
      <c r="F321" s="326"/>
      <c r="G321" s="326"/>
      <c r="H321" s="326"/>
      <c r="I321" s="327"/>
      <c r="J321" s="385"/>
      <c r="K321" s="328"/>
      <c r="L321" s="328"/>
      <c r="M321" s="377"/>
      <c r="N321" s="229"/>
      <c r="O321" s="229"/>
      <c r="P321" s="323"/>
      <c r="Q321" s="329"/>
      <c r="R321" s="330"/>
      <c r="S321" s="330"/>
      <c r="T321" s="330"/>
      <c r="U321" s="330"/>
      <c r="V321" s="330"/>
      <c r="W321" s="323"/>
      <c r="X321" s="323"/>
    </row>
    <row r="322" spans="1:24" ht="13.5" customHeight="1">
      <c r="A322" s="323"/>
      <c r="B322" s="323"/>
      <c r="C322" s="229"/>
      <c r="D322" s="324"/>
      <c r="E322" s="325"/>
      <c r="F322" s="326"/>
      <c r="G322" s="326"/>
      <c r="H322" s="326"/>
      <c r="I322" s="327"/>
      <c r="J322" s="385"/>
      <c r="K322" s="328"/>
      <c r="L322" s="328"/>
      <c r="M322" s="377"/>
      <c r="N322" s="229"/>
      <c r="O322" s="229"/>
      <c r="P322" s="323"/>
      <c r="Q322" s="329"/>
      <c r="R322" s="330"/>
      <c r="S322" s="330"/>
      <c r="T322" s="330"/>
      <c r="U322" s="330"/>
      <c r="V322" s="330"/>
      <c r="W322" s="323"/>
      <c r="X322" s="323"/>
    </row>
    <row r="323" spans="1:24" ht="13.5" customHeight="1">
      <c r="A323" s="323"/>
      <c r="B323" s="323"/>
      <c r="C323" s="229"/>
      <c r="D323" s="324"/>
      <c r="E323" s="325"/>
      <c r="F323" s="326"/>
      <c r="G323" s="326"/>
      <c r="H323" s="326"/>
      <c r="I323" s="327"/>
      <c r="J323" s="385"/>
      <c r="K323" s="328"/>
      <c r="L323" s="328"/>
      <c r="M323" s="377"/>
      <c r="N323" s="229"/>
      <c r="O323" s="229"/>
      <c r="P323" s="323"/>
      <c r="Q323" s="329"/>
      <c r="R323" s="330"/>
      <c r="S323" s="330"/>
      <c r="T323" s="330"/>
      <c r="U323" s="330"/>
      <c r="V323" s="330"/>
      <c r="W323" s="323"/>
      <c r="X323" s="323"/>
    </row>
    <row r="324" spans="1:24" ht="13.5" customHeight="1">
      <c r="A324" s="323"/>
      <c r="B324" s="323"/>
      <c r="C324" s="229"/>
      <c r="D324" s="324"/>
      <c r="E324" s="325"/>
      <c r="F324" s="326"/>
      <c r="G324" s="326"/>
      <c r="H324" s="326"/>
      <c r="I324" s="327"/>
      <c r="J324" s="385"/>
      <c r="K324" s="328"/>
      <c r="L324" s="328"/>
      <c r="M324" s="377"/>
      <c r="N324" s="229"/>
      <c r="O324" s="229"/>
      <c r="P324" s="323"/>
      <c r="Q324" s="329"/>
      <c r="R324" s="330"/>
      <c r="S324" s="330"/>
      <c r="T324" s="330"/>
      <c r="U324" s="330"/>
      <c r="V324" s="330"/>
      <c r="W324" s="323"/>
      <c r="X324" s="323"/>
    </row>
    <row r="325" spans="1:24" ht="13.5" customHeight="1">
      <c r="A325" s="323"/>
      <c r="B325" s="323"/>
      <c r="C325" s="229"/>
      <c r="D325" s="324"/>
      <c r="E325" s="325"/>
      <c r="F325" s="326"/>
      <c r="G325" s="326"/>
      <c r="H325" s="326"/>
      <c r="I325" s="327"/>
      <c r="J325" s="385"/>
      <c r="K325" s="328"/>
      <c r="L325" s="328"/>
      <c r="M325" s="377"/>
      <c r="N325" s="229"/>
      <c r="O325" s="229"/>
      <c r="P325" s="323"/>
      <c r="Q325" s="329"/>
      <c r="R325" s="330"/>
      <c r="S325" s="330"/>
      <c r="T325" s="330"/>
      <c r="U325" s="330"/>
      <c r="V325" s="330"/>
      <c r="W325" s="323"/>
      <c r="X325" s="323"/>
    </row>
    <row r="326" spans="1:24" ht="13.5" customHeight="1">
      <c r="A326" s="323"/>
      <c r="B326" s="323"/>
      <c r="C326" s="229"/>
      <c r="D326" s="324"/>
      <c r="E326" s="325"/>
      <c r="F326" s="326"/>
      <c r="G326" s="326"/>
      <c r="H326" s="326"/>
      <c r="I326" s="327"/>
      <c r="J326" s="385"/>
      <c r="K326" s="328"/>
      <c r="L326" s="328"/>
      <c r="M326" s="377"/>
      <c r="N326" s="229"/>
      <c r="O326" s="229"/>
      <c r="P326" s="323"/>
      <c r="Q326" s="329"/>
      <c r="R326" s="330"/>
      <c r="S326" s="330"/>
      <c r="T326" s="330"/>
      <c r="U326" s="330"/>
      <c r="V326" s="330"/>
      <c r="W326" s="323"/>
      <c r="X326" s="323"/>
    </row>
    <row r="327" spans="1:24" ht="13.5" customHeight="1">
      <c r="A327" s="323"/>
      <c r="B327" s="323"/>
      <c r="C327" s="229"/>
      <c r="D327" s="324"/>
      <c r="E327" s="325"/>
      <c r="F327" s="326"/>
      <c r="G327" s="326"/>
      <c r="H327" s="326"/>
      <c r="I327" s="327"/>
      <c r="J327" s="385"/>
      <c r="K327" s="328"/>
      <c r="L327" s="328"/>
      <c r="M327" s="377"/>
      <c r="N327" s="229"/>
      <c r="O327" s="229"/>
      <c r="P327" s="323"/>
      <c r="Q327" s="329"/>
      <c r="R327" s="330"/>
      <c r="S327" s="330"/>
      <c r="T327" s="330"/>
      <c r="U327" s="330"/>
      <c r="V327" s="330"/>
      <c r="W327" s="323"/>
      <c r="X327" s="323"/>
    </row>
    <row r="328" spans="1:24" ht="13.5" customHeight="1">
      <c r="A328" s="323"/>
      <c r="B328" s="323"/>
      <c r="C328" s="229"/>
      <c r="D328" s="324"/>
      <c r="E328" s="325"/>
      <c r="F328" s="326"/>
      <c r="G328" s="326"/>
      <c r="H328" s="326"/>
      <c r="I328" s="327"/>
      <c r="J328" s="385"/>
      <c r="K328" s="328"/>
      <c r="L328" s="328"/>
      <c r="M328" s="377"/>
      <c r="N328" s="229"/>
      <c r="O328" s="229"/>
      <c r="P328" s="323"/>
      <c r="Q328" s="329"/>
      <c r="R328" s="330"/>
      <c r="S328" s="330"/>
      <c r="T328" s="330"/>
      <c r="U328" s="330"/>
      <c r="V328" s="330"/>
      <c r="W328" s="323"/>
      <c r="X328" s="323"/>
    </row>
    <row r="329" spans="1:24" ht="13.5" customHeight="1">
      <c r="A329" s="323"/>
      <c r="B329" s="323"/>
      <c r="C329" s="229"/>
      <c r="D329" s="324"/>
      <c r="E329" s="325"/>
      <c r="F329" s="326"/>
      <c r="G329" s="326"/>
      <c r="H329" s="326"/>
      <c r="I329" s="327"/>
      <c r="J329" s="385"/>
      <c r="K329" s="328"/>
      <c r="L329" s="328"/>
      <c r="M329" s="377"/>
      <c r="N329" s="229"/>
      <c r="O329" s="229"/>
      <c r="P329" s="323"/>
      <c r="Q329" s="329"/>
      <c r="R329" s="330"/>
      <c r="S329" s="330"/>
      <c r="T329" s="330"/>
      <c r="U329" s="330"/>
      <c r="V329" s="330"/>
      <c r="W329" s="323"/>
      <c r="X329" s="323"/>
    </row>
    <row r="330" spans="1:24" ht="13.5" customHeight="1">
      <c r="A330" s="323"/>
      <c r="B330" s="323"/>
      <c r="C330" s="229"/>
      <c r="D330" s="324"/>
      <c r="E330" s="325"/>
      <c r="F330" s="326"/>
      <c r="G330" s="326"/>
      <c r="H330" s="326"/>
      <c r="I330" s="327"/>
      <c r="J330" s="385"/>
      <c r="K330" s="328"/>
      <c r="L330" s="328"/>
      <c r="M330" s="377"/>
      <c r="N330" s="229"/>
      <c r="O330" s="229"/>
      <c r="P330" s="323"/>
      <c r="Q330" s="329"/>
      <c r="R330" s="330"/>
      <c r="S330" s="330"/>
      <c r="T330" s="330"/>
      <c r="U330" s="330"/>
      <c r="V330" s="330"/>
      <c r="W330" s="323"/>
      <c r="X330" s="323"/>
    </row>
    <row r="331" spans="1:24" ht="13.5" customHeight="1">
      <c r="A331" s="323"/>
      <c r="B331" s="323"/>
      <c r="C331" s="229"/>
      <c r="D331" s="324"/>
      <c r="E331" s="325"/>
      <c r="F331" s="326"/>
      <c r="G331" s="326"/>
      <c r="H331" s="326"/>
      <c r="I331" s="327"/>
      <c r="J331" s="385"/>
      <c r="K331" s="328"/>
      <c r="L331" s="328"/>
      <c r="M331" s="377"/>
      <c r="N331" s="229"/>
      <c r="O331" s="229"/>
      <c r="P331" s="323"/>
      <c r="Q331" s="329"/>
      <c r="R331" s="330"/>
      <c r="S331" s="330"/>
      <c r="T331" s="330"/>
      <c r="U331" s="330"/>
      <c r="V331" s="330"/>
      <c r="W331" s="323"/>
      <c r="X331" s="323"/>
    </row>
    <row r="332" spans="1:24" ht="13.5" customHeight="1">
      <c r="A332" s="323"/>
      <c r="B332" s="323"/>
      <c r="C332" s="229"/>
      <c r="D332" s="324"/>
      <c r="E332" s="325"/>
      <c r="F332" s="326"/>
      <c r="G332" s="326"/>
      <c r="H332" s="326"/>
      <c r="I332" s="327"/>
      <c r="J332" s="385"/>
      <c r="K332" s="328"/>
      <c r="L332" s="328"/>
      <c r="M332" s="377"/>
      <c r="N332" s="229"/>
      <c r="O332" s="229"/>
      <c r="P332" s="323"/>
      <c r="Q332" s="329"/>
      <c r="R332" s="330"/>
      <c r="S332" s="330"/>
      <c r="T332" s="330"/>
      <c r="U332" s="330"/>
      <c r="V332" s="330"/>
      <c r="W332" s="323"/>
      <c r="X332" s="323"/>
    </row>
    <row r="333" spans="1:24" ht="13.5" customHeight="1">
      <c r="A333" s="323"/>
      <c r="B333" s="323"/>
      <c r="C333" s="229"/>
      <c r="D333" s="324"/>
      <c r="E333" s="325"/>
      <c r="F333" s="326"/>
      <c r="G333" s="326"/>
      <c r="H333" s="326"/>
      <c r="I333" s="327"/>
      <c r="J333" s="385"/>
      <c r="K333" s="328"/>
      <c r="L333" s="328"/>
      <c r="M333" s="377"/>
      <c r="N333" s="229"/>
      <c r="O333" s="229"/>
      <c r="P333" s="323"/>
      <c r="Q333" s="329"/>
      <c r="R333" s="330"/>
      <c r="S333" s="330"/>
      <c r="T333" s="330"/>
      <c r="U333" s="330"/>
      <c r="V333" s="330"/>
      <c r="W333" s="323"/>
      <c r="X333" s="323"/>
    </row>
    <row r="334" spans="1:24" ht="13.5" customHeight="1">
      <c r="A334" s="323"/>
      <c r="B334" s="323"/>
      <c r="C334" s="229"/>
      <c r="D334" s="324"/>
      <c r="E334" s="325"/>
      <c r="F334" s="326"/>
      <c r="G334" s="326"/>
      <c r="H334" s="326"/>
      <c r="I334" s="327"/>
      <c r="J334" s="385"/>
      <c r="K334" s="328"/>
      <c r="L334" s="328"/>
      <c r="M334" s="377"/>
      <c r="N334" s="229"/>
      <c r="O334" s="229"/>
      <c r="P334" s="323"/>
      <c r="Q334" s="329"/>
      <c r="R334" s="330"/>
      <c r="S334" s="330"/>
      <c r="T334" s="330"/>
      <c r="U334" s="330"/>
      <c r="V334" s="330"/>
      <c r="W334" s="323"/>
      <c r="X334" s="323"/>
    </row>
    <row r="335" spans="1:24" ht="13.5" customHeight="1">
      <c r="A335" s="323"/>
      <c r="B335" s="323"/>
      <c r="C335" s="229"/>
      <c r="D335" s="324"/>
      <c r="E335" s="325"/>
      <c r="F335" s="326"/>
      <c r="G335" s="326"/>
      <c r="H335" s="326"/>
      <c r="I335" s="327"/>
      <c r="J335" s="385"/>
      <c r="K335" s="328"/>
      <c r="L335" s="328"/>
      <c r="M335" s="377"/>
      <c r="N335" s="229"/>
      <c r="O335" s="229"/>
      <c r="P335" s="323"/>
      <c r="Q335" s="329"/>
      <c r="R335" s="330"/>
      <c r="S335" s="330"/>
      <c r="T335" s="330"/>
      <c r="U335" s="330"/>
      <c r="V335" s="330"/>
      <c r="W335" s="323"/>
      <c r="X335" s="323"/>
    </row>
    <row r="336" spans="1:24" ht="13.5" customHeight="1">
      <c r="A336" s="323"/>
      <c r="B336" s="323"/>
      <c r="C336" s="229"/>
      <c r="D336" s="324"/>
      <c r="E336" s="325"/>
      <c r="F336" s="326"/>
      <c r="G336" s="326"/>
      <c r="H336" s="326"/>
      <c r="I336" s="327"/>
      <c r="J336" s="385"/>
      <c r="K336" s="328"/>
      <c r="L336" s="328"/>
      <c r="M336" s="377"/>
      <c r="N336" s="229"/>
      <c r="O336" s="229"/>
      <c r="P336" s="323"/>
      <c r="Q336" s="329"/>
      <c r="R336" s="330"/>
      <c r="S336" s="330"/>
      <c r="T336" s="330"/>
      <c r="U336" s="330"/>
      <c r="V336" s="330"/>
      <c r="W336" s="323"/>
      <c r="X336" s="323"/>
    </row>
    <row r="337" spans="1:24" ht="13.5" customHeight="1">
      <c r="A337" s="323"/>
      <c r="B337" s="323"/>
      <c r="C337" s="229"/>
      <c r="D337" s="324"/>
      <c r="E337" s="325"/>
      <c r="F337" s="326"/>
      <c r="G337" s="326"/>
      <c r="H337" s="326"/>
      <c r="I337" s="327"/>
      <c r="J337" s="385"/>
      <c r="K337" s="328"/>
      <c r="L337" s="328"/>
      <c r="M337" s="377"/>
      <c r="N337" s="229"/>
      <c r="O337" s="229"/>
      <c r="P337" s="323"/>
      <c r="Q337" s="329"/>
      <c r="R337" s="330"/>
      <c r="S337" s="330"/>
      <c r="T337" s="330"/>
      <c r="U337" s="330"/>
      <c r="V337" s="330"/>
      <c r="W337" s="323"/>
      <c r="X337" s="323"/>
    </row>
    <row r="338" spans="1:24" ht="13.5" customHeight="1">
      <c r="A338" s="323"/>
      <c r="B338" s="323"/>
      <c r="C338" s="229"/>
      <c r="D338" s="324"/>
      <c r="E338" s="325"/>
      <c r="F338" s="326"/>
      <c r="G338" s="326"/>
      <c r="H338" s="326"/>
      <c r="I338" s="327"/>
      <c r="J338" s="385"/>
      <c r="K338" s="328"/>
      <c r="L338" s="328"/>
      <c r="M338" s="377"/>
      <c r="N338" s="229"/>
      <c r="O338" s="229"/>
      <c r="P338" s="323"/>
      <c r="Q338" s="329"/>
      <c r="R338" s="330"/>
      <c r="S338" s="330"/>
      <c r="T338" s="330"/>
      <c r="U338" s="330"/>
      <c r="V338" s="330"/>
      <c r="W338" s="323"/>
      <c r="X338" s="323"/>
    </row>
    <row r="339" spans="1:24" ht="13.5" customHeight="1">
      <c r="A339" s="323"/>
      <c r="B339" s="323"/>
      <c r="C339" s="229"/>
      <c r="D339" s="324"/>
      <c r="E339" s="325"/>
      <c r="F339" s="326"/>
      <c r="G339" s="326"/>
      <c r="H339" s="326"/>
      <c r="I339" s="327"/>
      <c r="J339" s="385"/>
      <c r="K339" s="328"/>
      <c r="L339" s="328"/>
      <c r="M339" s="377"/>
      <c r="N339" s="229"/>
      <c r="O339" s="229"/>
      <c r="P339" s="323"/>
      <c r="Q339" s="329"/>
      <c r="R339" s="330"/>
      <c r="S339" s="330"/>
      <c r="T339" s="330"/>
      <c r="U339" s="330"/>
      <c r="V339" s="330"/>
      <c r="W339" s="323"/>
      <c r="X339" s="323"/>
    </row>
    <row r="340" spans="1:24" ht="13.5" customHeight="1">
      <c r="A340" s="323"/>
      <c r="B340" s="323"/>
      <c r="C340" s="229"/>
      <c r="D340" s="324"/>
      <c r="E340" s="325"/>
      <c r="F340" s="326"/>
      <c r="G340" s="326"/>
      <c r="H340" s="326"/>
      <c r="I340" s="327"/>
      <c r="J340" s="385"/>
      <c r="K340" s="328"/>
      <c r="L340" s="328"/>
      <c r="M340" s="377"/>
      <c r="N340" s="229"/>
      <c r="O340" s="229"/>
      <c r="P340" s="323"/>
      <c r="Q340" s="329"/>
      <c r="R340" s="330"/>
      <c r="S340" s="330"/>
      <c r="T340" s="330"/>
      <c r="U340" s="330"/>
      <c r="V340" s="330"/>
      <c r="W340" s="323"/>
      <c r="X340" s="323"/>
    </row>
    <row r="341" spans="1:24" ht="13.5" customHeight="1">
      <c r="A341" s="323"/>
      <c r="B341" s="323"/>
      <c r="C341" s="229"/>
      <c r="D341" s="324"/>
      <c r="E341" s="325"/>
      <c r="F341" s="326"/>
      <c r="G341" s="326"/>
      <c r="H341" s="326"/>
      <c r="I341" s="327"/>
      <c r="J341" s="385"/>
      <c r="K341" s="328"/>
      <c r="L341" s="328"/>
      <c r="M341" s="377"/>
      <c r="N341" s="229"/>
      <c r="O341" s="229"/>
      <c r="P341" s="323"/>
      <c r="Q341" s="329"/>
      <c r="R341" s="330"/>
      <c r="S341" s="330"/>
      <c r="T341" s="330"/>
      <c r="U341" s="330"/>
      <c r="V341" s="330"/>
      <c r="W341" s="323"/>
      <c r="X341" s="323"/>
    </row>
    <row r="342" spans="1:24" ht="13.5" customHeight="1">
      <c r="A342" s="323"/>
      <c r="B342" s="323"/>
      <c r="C342" s="229"/>
      <c r="D342" s="324"/>
      <c r="E342" s="325"/>
      <c r="F342" s="326"/>
      <c r="G342" s="326"/>
      <c r="H342" s="326"/>
      <c r="I342" s="327"/>
      <c r="J342" s="385"/>
      <c r="K342" s="328"/>
      <c r="L342" s="328"/>
      <c r="M342" s="377"/>
      <c r="N342" s="229"/>
      <c r="O342" s="229"/>
      <c r="P342" s="323"/>
      <c r="Q342" s="329"/>
      <c r="R342" s="330"/>
      <c r="S342" s="330"/>
      <c r="T342" s="330"/>
      <c r="U342" s="330"/>
      <c r="V342" s="330"/>
      <c r="W342" s="323"/>
      <c r="X342" s="323"/>
    </row>
    <row r="343" spans="1:24" ht="13.5" customHeight="1">
      <c r="A343" s="323"/>
      <c r="B343" s="323"/>
      <c r="C343" s="229"/>
      <c r="D343" s="324"/>
      <c r="E343" s="325"/>
      <c r="F343" s="326"/>
      <c r="G343" s="326"/>
      <c r="H343" s="326"/>
      <c r="I343" s="327"/>
      <c r="J343" s="385"/>
      <c r="K343" s="328"/>
      <c r="L343" s="328"/>
      <c r="M343" s="377"/>
      <c r="N343" s="229"/>
      <c r="O343" s="229"/>
      <c r="P343" s="323"/>
      <c r="Q343" s="329"/>
      <c r="R343" s="330"/>
      <c r="S343" s="330"/>
      <c r="T343" s="330"/>
      <c r="U343" s="330"/>
      <c r="V343" s="330"/>
      <c r="W343" s="323"/>
      <c r="X343" s="323"/>
    </row>
    <row r="344" spans="1:24" ht="13.5" customHeight="1">
      <c r="A344" s="323"/>
      <c r="B344" s="323"/>
      <c r="C344" s="229"/>
      <c r="D344" s="324"/>
      <c r="E344" s="325"/>
      <c r="F344" s="326"/>
      <c r="G344" s="326"/>
      <c r="H344" s="326"/>
      <c r="I344" s="327"/>
      <c r="J344" s="385"/>
      <c r="K344" s="328"/>
      <c r="L344" s="328"/>
      <c r="M344" s="377"/>
      <c r="N344" s="229"/>
      <c r="O344" s="229"/>
      <c r="P344" s="323"/>
      <c r="Q344" s="329"/>
      <c r="R344" s="330"/>
      <c r="S344" s="330"/>
      <c r="T344" s="330"/>
      <c r="U344" s="330"/>
      <c r="V344" s="330"/>
      <c r="W344" s="323"/>
      <c r="X344" s="323"/>
    </row>
    <row r="345" spans="1:24" ht="13.5" customHeight="1">
      <c r="A345" s="323"/>
      <c r="B345" s="323"/>
      <c r="C345" s="229"/>
      <c r="D345" s="324"/>
      <c r="E345" s="325"/>
      <c r="F345" s="326"/>
      <c r="G345" s="326"/>
      <c r="H345" s="326"/>
      <c r="I345" s="327"/>
      <c r="J345" s="385"/>
      <c r="K345" s="328"/>
      <c r="L345" s="328"/>
      <c r="M345" s="377"/>
      <c r="N345" s="229"/>
      <c r="O345" s="229"/>
      <c r="P345" s="323"/>
      <c r="Q345" s="329"/>
      <c r="R345" s="330"/>
      <c r="S345" s="330"/>
      <c r="T345" s="330"/>
      <c r="U345" s="330"/>
      <c r="V345" s="330"/>
      <c r="W345" s="323"/>
      <c r="X345" s="323"/>
    </row>
    <row r="346" spans="1:24" ht="13.5" customHeight="1">
      <c r="A346" s="323"/>
      <c r="B346" s="323"/>
      <c r="C346" s="229"/>
      <c r="D346" s="324"/>
      <c r="E346" s="325"/>
      <c r="F346" s="326"/>
      <c r="G346" s="326"/>
      <c r="H346" s="326"/>
      <c r="I346" s="327"/>
      <c r="J346" s="385"/>
      <c r="K346" s="328"/>
      <c r="L346" s="328"/>
      <c r="M346" s="377"/>
      <c r="N346" s="229"/>
      <c r="O346" s="229"/>
      <c r="P346" s="323"/>
      <c r="Q346" s="329"/>
      <c r="R346" s="330"/>
      <c r="S346" s="330"/>
      <c r="T346" s="330"/>
      <c r="U346" s="330"/>
      <c r="V346" s="330"/>
      <c r="W346" s="323"/>
      <c r="X346" s="323"/>
    </row>
    <row r="347" spans="1:24" ht="13.5" customHeight="1">
      <c r="A347" s="323"/>
      <c r="B347" s="323"/>
      <c r="C347" s="229"/>
      <c r="D347" s="324"/>
      <c r="E347" s="325"/>
      <c r="F347" s="326"/>
      <c r="G347" s="326"/>
      <c r="H347" s="326"/>
      <c r="I347" s="327"/>
      <c r="J347" s="385"/>
      <c r="K347" s="328"/>
      <c r="L347" s="328"/>
      <c r="M347" s="377"/>
      <c r="N347" s="229"/>
      <c r="O347" s="229"/>
      <c r="P347" s="323"/>
      <c r="Q347" s="329"/>
      <c r="R347" s="330"/>
      <c r="S347" s="330"/>
      <c r="T347" s="330"/>
      <c r="U347" s="330"/>
      <c r="V347" s="330"/>
      <c r="W347" s="323"/>
      <c r="X347" s="323"/>
    </row>
    <row r="348" spans="1:24" ht="13.5" customHeight="1">
      <c r="A348" s="323"/>
      <c r="B348" s="323"/>
      <c r="C348" s="229"/>
      <c r="D348" s="324"/>
      <c r="E348" s="325"/>
      <c r="F348" s="326"/>
      <c r="G348" s="326"/>
      <c r="H348" s="326"/>
      <c r="I348" s="327"/>
      <c r="J348" s="385"/>
      <c r="K348" s="328"/>
      <c r="L348" s="328"/>
      <c r="M348" s="377"/>
      <c r="N348" s="229"/>
      <c r="O348" s="229"/>
      <c r="P348" s="323"/>
      <c r="Q348" s="329"/>
      <c r="R348" s="330"/>
      <c r="S348" s="330"/>
      <c r="T348" s="330"/>
      <c r="U348" s="330"/>
      <c r="V348" s="330"/>
      <c r="W348" s="323"/>
      <c r="X348" s="323"/>
    </row>
    <row r="349" spans="1:24" ht="13.5" customHeight="1">
      <c r="A349" s="323"/>
      <c r="B349" s="323"/>
      <c r="C349" s="229"/>
      <c r="D349" s="324"/>
      <c r="E349" s="325"/>
      <c r="F349" s="326"/>
      <c r="G349" s="326"/>
      <c r="H349" s="326"/>
      <c r="I349" s="327"/>
      <c r="J349" s="385"/>
      <c r="K349" s="328"/>
      <c r="L349" s="328"/>
      <c r="M349" s="377"/>
      <c r="N349" s="229"/>
      <c r="O349" s="229"/>
      <c r="P349" s="323"/>
      <c r="Q349" s="329"/>
      <c r="R349" s="330"/>
      <c r="S349" s="330"/>
      <c r="T349" s="330"/>
      <c r="U349" s="330"/>
      <c r="V349" s="330"/>
      <c r="W349" s="323"/>
      <c r="X349" s="323"/>
    </row>
    <row r="350" spans="1:24" ht="13.5" customHeight="1">
      <c r="A350" s="323"/>
      <c r="B350" s="323"/>
      <c r="C350" s="229"/>
      <c r="D350" s="324"/>
      <c r="E350" s="325"/>
      <c r="F350" s="326"/>
      <c r="G350" s="326"/>
      <c r="H350" s="326"/>
      <c r="I350" s="327"/>
      <c r="J350" s="385"/>
      <c r="K350" s="328"/>
      <c r="L350" s="328"/>
      <c r="M350" s="377"/>
      <c r="N350" s="229"/>
      <c r="O350" s="229"/>
      <c r="P350" s="323"/>
      <c r="Q350" s="329"/>
      <c r="R350" s="330"/>
      <c r="S350" s="330"/>
      <c r="T350" s="330"/>
      <c r="U350" s="330"/>
      <c r="V350" s="330"/>
      <c r="W350" s="323"/>
      <c r="X350" s="323"/>
    </row>
    <row r="351" spans="1:24" ht="13.5" customHeight="1">
      <c r="A351" s="323"/>
      <c r="B351" s="323"/>
      <c r="C351" s="229"/>
      <c r="D351" s="324"/>
      <c r="E351" s="325"/>
      <c r="F351" s="326"/>
      <c r="G351" s="326"/>
      <c r="H351" s="326"/>
      <c r="I351" s="327"/>
      <c r="J351" s="385"/>
      <c r="K351" s="328"/>
      <c r="L351" s="328"/>
      <c r="M351" s="377"/>
      <c r="N351" s="229"/>
      <c r="O351" s="229"/>
      <c r="P351" s="323"/>
      <c r="Q351" s="329"/>
      <c r="R351" s="330"/>
      <c r="S351" s="330"/>
      <c r="T351" s="330"/>
      <c r="U351" s="330"/>
      <c r="V351" s="330"/>
      <c r="W351" s="323"/>
      <c r="X351" s="323"/>
    </row>
    <row r="352" spans="1:24" ht="13.5" customHeight="1">
      <c r="A352" s="323"/>
      <c r="B352" s="323"/>
      <c r="C352" s="229"/>
      <c r="D352" s="324"/>
      <c r="E352" s="325"/>
      <c r="F352" s="326"/>
      <c r="G352" s="326"/>
      <c r="H352" s="326"/>
      <c r="I352" s="327"/>
      <c r="J352" s="385"/>
      <c r="K352" s="328"/>
      <c r="L352" s="328"/>
      <c r="M352" s="377"/>
      <c r="N352" s="229"/>
      <c r="O352" s="229"/>
      <c r="P352" s="323"/>
      <c r="Q352" s="329"/>
      <c r="R352" s="330"/>
      <c r="S352" s="330"/>
      <c r="T352" s="330"/>
      <c r="U352" s="330"/>
      <c r="V352" s="330"/>
      <c r="W352" s="323"/>
      <c r="X352" s="323"/>
    </row>
    <row r="353" spans="1:24" ht="13.5" customHeight="1">
      <c r="A353" s="323"/>
      <c r="B353" s="323"/>
      <c r="C353" s="229"/>
      <c r="D353" s="324"/>
      <c r="E353" s="325"/>
      <c r="F353" s="326"/>
      <c r="G353" s="326"/>
      <c r="H353" s="326"/>
      <c r="I353" s="327"/>
      <c r="J353" s="385"/>
      <c r="K353" s="328"/>
      <c r="L353" s="328"/>
      <c r="M353" s="377"/>
      <c r="N353" s="229"/>
      <c r="O353" s="229"/>
      <c r="P353" s="323"/>
      <c r="Q353" s="329"/>
      <c r="R353" s="330"/>
      <c r="S353" s="330"/>
      <c r="T353" s="330"/>
      <c r="U353" s="330"/>
      <c r="V353" s="330"/>
      <c r="W353" s="323"/>
      <c r="X353" s="323"/>
    </row>
    <row r="354" spans="1:24" ht="13.5" customHeight="1">
      <c r="A354" s="323"/>
      <c r="B354" s="323"/>
      <c r="C354" s="229"/>
      <c r="D354" s="324"/>
      <c r="E354" s="325"/>
      <c r="F354" s="326"/>
      <c r="G354" s="326"/>
      <c r="H354" s="326"/>
      <c r="I354" s="327"/>
      <c r="J354" s="385"/>
      <c r="K354" s="328"/>
      <c r="L354" s="328"/>
      <c r="M354" s="377"/>
      <c r="N354" s="229"/>
      <c r="O354" s="229"/>
      <c r="P354" s="323"/>
      <c r="Q354" s="329"/>
      <c r="R354" s="330"/>
      <c r="S354" s="330"/>
      <c r="T354" s="330"/>
      <c r="U354" s="330"/>
      <c r="V354" s="330"/>
      <c r="W354" s="323"/>
      <c r="X354" s="323"/>
    </row>
    <row r="355" spans="1:24" ht="13.5" customHeight="1">
      <c r="A355" s="323"/>
      <c r="B355" s="323"/>
      <c r="C355" s="229"/>
      <c r="D355" s="324"/>
      <c r="E355" s="325"/>
      <c r="F355" s="326"/>
      <c r="G355" s="326"/>
      <c r="H355" s="326"/>
      <c r="I355" s="327"/>
      <c r="J355" s="385"/>
      <c r="K355" s="328"/>
      <c r="L355" s="328"/>
      <c r="M355" s="377"/>
      <c r="N355" s="229"/>
      <c r="O355" s="229"/>
      <c r="P355" s="323"/>
      <c r="Q355" s="329"/>
      <c r="R355" s="330"/>
      <c r="S355" s="330"/>
      <c r="T355" s="330"/>
      <c r="U355" s="330"/>
      <c r="V355" s="330"/>
      <c r="W355" s="323"/>
      <c r="X355" s="323"/>
    </row>
    <row r="356" spans="1:24" ht="13.5" customHeight="1">
      <c r="A356" s="323"/>
      <c r="B356" s="323"/>
      <c r="C356" s="229"/>
      <c r="D356" s="324"/>
      <c r="E356" s="325"/>
      <c r="F356" s="326"/>
      <c r="G356" s="326"/>
      <c r="H356" s="326"/>
      <c r="I356" s="327"/>
      <c r="J356" s="385"/>
      <c r="K356" s="328"/>
      <c r="L356" s="328"/>
      <c r="M356" s="377"/>
      <c r="N356" s="229"/>
      <c r="O356" s="229"/>
      <c r="P356" s="323"/>
      <c r="Q356" s="329"/>
      <c r="R356" s="330"/>
      <c r="S356" s="330"/>
      <c r="T356" s="330"/>
      <c r="U356" s="330"/>
      <c r="V356" s="330"/>
      <c r="W356" s="323"/>
      <c r="X356" s="323"/>
    </row>
    <row r="357" spans="1:24" ht="13.5" customHeight="1">
      <c r="A357" s="323"/>
      <c r="B357" s="323"/>
      <c r="C357" s="229"/>
      <c r="D357" s="324"/>
      <c r="E357" s="325"/>
      <c r="F357" s="326"/>
      <c r="G357" s="326"/>
      <c r="H357" s="326"/>
      <c r="I357" s="327"/>
      <c r="J357" s="385"/>
      <c r="K357" s="328"/>
      <c r="L357" s="328"/>
      <c r="M357" s="377"/>
      <c r="N357" s="229"/>
      <c r="O357" s="229"/>
      <c r="P357" s="323"/>
      <c r="Q357" s="329"/>
      <c r="R357" s="330"/>
      <c r="S357" s="330"/>
      <c r="T357" s="330"/>
      <c r="U357" s="330"/>
      <c r="V357" s="330"/>
      <c r="W357" s="323"/>
      <c r="X357" s="323"/>
    </row>
    <row r="358" spans="1:24" ht="13.5" customHeight="1">
      <c r="A358" s="323"/>
      <c r="B358" s="323"/>
      <c r="C358" s="229"/>
      <c r="D358" s="324"/>
      <c r="E358" s="325"/>
      <c r="F358" s="326"/>
      <c r="G358" s="326"/>
      <c r="H358" s="326"/>
      <c r="I358" s="327"/>
      <c r="J358" s="385"/>
      <c r="K358" s="328"/>
      <c r="L358" s="328"/>
      <c r="M358" s="377"/>
      <c r="N358" s="229"/>
      <c r="O358" s="229"/>
      <c r="P358" s="323"/>
      <c r="Q358" s="329"/>
      <c r="R358" s="330"/>
      <c r="S358" s="330"/>
      <c r="T358" s="330"/>
      <c r="U358" s="330"/>
      <c r="V358" s="330"/>
      <c r="W358" s="323"/>
      <c r="X358" s="323"/>
    </row>
    <row r="359" spans="1:24" ht="13.5" customHeight="1">
      <c r="A359" s="323"/>
      <c r="B359" s="323"/>
      <c r="C359" s="229"/>
      <c r="D359" s="324"/>
      <c r="E359" s="325"/>
      <c r="F359" s="326"/>
      <c r="G359" s="326"/>
      <c r="H359" s="326"/>
      <c r="I359" s="327"/>
      <c r="J359" s="385"/>
      <c r="K359" s="328"/>
      <c r="L359" s="328"/>
      <c r="M359" s="377"/>
      <c r="N359" s="229"/>
      <c r="O359" s="229"/>
      <c r="P359" s="323"/>
      <c r="Q359" s="329"/>
      <c r="R359" s="330"/>
      <c r="S359" s="330"/>
      <c r="T359" s="330"/>
      <c r="U359" s="330"/>
      <c r="V359" s="330"/>
      <c r="W359" s="323"/>
      <c r="X359" s="323"/>
    </row>
    <row r="360" spans="1:24" ht="13.5" customHeight="1">
      <c r="A360" s="323"/>
      <c r="B360" s="323"/>
      <c r="C360" s="229"/>
      <c r="D360" s="324"/>
      <c r="E360" s="325"/>
      <c r="F360" s="326"/>
      <c r="G360" s="326"/>
      <c r="H360" s="326"/>
      <c r="I360" s="327"/>
      <c r="J360" s="385"/>
      <c r="K360" s="328"/>
      <c r="L360" s="328"/>
      <c r="M360" s="377"/>
      <c r="N360" s="229"/>
      <c r="O360" s="229"/>
      <c r="P360" s="323"/>
      <c r="Q360" s="329"/>
      <c r="R360" s="330"/>
      <c r="S360" s="330"/>
      <c r="T360" s="330"/>
      <c r="U360" s="330"/>
      <c r="V360" s="330"/>
      <c r="W360" s="323"/>
      <c r="X360" s="323"/>
    </row>
    <row r="361" spans="1:24" ht="13.5" customHeight="1">
      <c r="A361" s="323"/>
      <c r="B361" s="323"/>
      <c r="C361" s="229"/>
      <c r="D361" s="324"/>
      <c r="E361" s="325"/>
      <c r="F361" s="326"/>
      <c r="G361" s="326"/>
      <c r="H361" s="326"/>
      <c r="I361" s="327"/>
      <c r="J361" s="385"/>
      <c r="K361" s="328"/>
      <c r="L361" s="328"/>
      <c r="M361" s="377"/>
      <c r="N361" s="229"/>
      <c r="O361" s="229"/>
      <c r="P361" s="323"/>
      <c r="Q361" s="329"/>
      <c r="R361" s="330"/>
      <c r="S361" s="330"/>
      <c r="T361" s="330"/>
      <c r="U361" s="330"/>
      <c r="V361" s="330"/>
      <c r="W361" s="323"/>
      <c r="X361" s="323"/>
    </row>
    <row r="362" spans="1:24" ht="13.5" customHeight="1">
      <c r="A362" s="323"/>
      <c r="B362" s="323"/>
      <c r="C362" s="229"/>
      <c r="D362" s="324"/>
      <c r="E362" s="325"/>
      <c r="F362" s="326"/>
      <c r="G362" s="326"/>
      <c r="H362" s="326"/>
      <c r="I362" s="327"/>
      <c r="J362" s="385"/>
      <c r="K362" s="328"/>
      <c r="L362" s="328"/>
      <c r="M362" s="377"/>
      <c r="N362" s="229"/>
      <c r="O362" s="229"/>
      <c r="P362" s="323"/>
      <c r="Q362" s="329"/>
      <c r="R362" s="330"/>
      <c r="S362" s="330"/>
      <c r="T362" s="330"/>
      <c r="U362" s="330"/>
      <c r="V362" s="330"/>
      <c r="W362" s="323"/>
      <c r="X362" s="323"/>
    </row>
    <row r="363" spans="1:24" ht="13.5" customHeight="1">
      <c r="A363" s="323"/>
      <c r="B363" s="323"/>
      <c r="C363" s="229"/>
      <c r="D363" s="324"/>
      <c r="E363" s="325"/>
      <c r="F363" s="326"/>
      <c r="G363" s="326"/>
      <c r="H363" s="326"/>
      <c r="I363" s="327"/>
      <c r="J363" s="385"/>
      <c r="K363" s="328"/>
      <c r="L363" s="328"/>
      <c r="M363" s="377"/>
      <c r="N363" s="229"/>
      <c r="O363" s="229"/>
      <c r="P363" s="323"/>
      <c r="Q363" s="329"/>
      <c r="R363" s="330"/>
      <c r="S363" s="330"/>
      <c r="T363" s="330"/>
      <c r="U363" s="330"/>
      <c r="V363" s="330"/>
      <c r="W363" s="323"/>
      <c r="X363" s="323"/>
    </row>
    <row r="364" spans="1:24" ht="13.5" customHeight="1">
      <c r="A364" s="323"/>
      <c r="B364" s="323"/>
      <c r="C364" s="229"/>
      <c r="D364" s="324"/>
      <c r="E364" s="325"/>
      <c r="F364" s="326"/>
      <c r="G364" s="326"/>
      <c r="H364" s="326"/>
      <c r="I364" s="327"/>
      <c r="J364" s="385"/>
      <c r="K364" s="328"/>
      <c r="L364" s="328"/>
      <c r="M364" s="377"/>
      <c r="N364" s="229"/>
      <c r="O364" s="229"/>
      <c r="P364" s="323"/>
      <c r="Q364" s="329"/>
      <c r="R364" s="330"/>
      <c r="S364" s="330"/>
      <c r="T364" s="330"/>
      <c r="U364" s="330"/>
      <c r="V364" s="330"/>
      <c r="W364" s="323"/>
      <c r="X364" s="323"/>
    </row>
    <row r="365" spans="1:24" ht="13.5" customHeight="1">
      <c r="A365" s="323"/>
      <c r="B365" s="323"/>
      <c r="C365" s="229"/>
      <c r="D365" s="324"/>
      <c r="E365" s="325"/>
      <c r="F365" s="326"/>
      <c r="G365" s="326"/>
      <c r="H365" s="326"/>
      <c r="I365" s="327"/>
      <c r="J365" s="385"/>
      <c r="K365" s="328"/>
      <c r="L365" s="328"/>
      <c r="M365" s="377"/>
      <c r="N365" s="229"/>
      <c r="O365" s="229"/>
      <c r="P365" s="323"/>
      <c r="Q365" s="329"/>
      <c r="R365" s="330"/>
      <c r="S365" s="330"/>
      <c r="T365" s="330"/>
      <c r="U365" s="330"/>
      <c r="V365" s="330"/>
      <c r="W365" s="323"/>
      <c r="X365" s="323"/>
    </row>
    <row r="366" spans="1:24" ht="13.5" customHeight="1">
      <c r="A366" s="323"/>
      <c r="B366" s="323"/>
      <c r="C366" s="229"/>
      <c r="D366" s="324"/>
      <c r="E366" s="325"/>
      <c r="F366" s="326"/>
      <c r="G366" s="326"/>
      <c r="H366" s="326"/>
      <c r="I366" s="327"/>
      <c r="J366" s="385"/>
      <c r="K366" s="328"/>
      <c r="L366" s="328"/>
      <c r="M366" s="377"/>
      <c r="N366" s="229"/>
      <c r="O366" s="229"/>
      <c r="P366" s="323"/>
      <c r="Q366" s="329"/>
      <c r="R366" s="330"/>
      <c r="S366" s="330"/>
      <c r="T366" s="330"/>
      <c r="U366" s="330"/>
      <c r="V366" s="330"/>
      <c r="W366" s="323"/>
      <c r="X366" s="323"/>
    </row>
    <row r="367" spans="1:24" ht="13.5" customHeight="1">
      <c r="A367" s="323"/>
      <c r="B367" s="323"/>
      <c r="C367" s="229"/>
      <c r="D367" s="324"/>
      <c r="E367" s="325"/>
      <c r="F367" s="326"/>
      <c r="G367" s="326"/>
      <c r="H367" s="326"/>
      <c r="I367" s="327"/>
      <c r="J367" s="385"/>
      <c r="K367" s="328"/>
      <c r="L367" s="328"/>
      <c r="M367" s="377"/>
      <c r="N367" s="229"/>
      <c r="O367" s="229"/>
      <c r="P367" s="323"/>
      <c r="Q367" s="329"/>
      <c r="R367" s="330"/>
      <c r="S367" s="330"/>
      <c r="T367" s="330"/>
      <c r="U367" s="330"/>
      <c r="V367" s="330"/>
      <c r="W367" s="323"/>
      <c r="X367" s="323"/>
    </row>
    <row r="368" spans="1:24" ht="13.5" customHeight="1">
      <c r="A368" s="323"/>
      <c r="B368" s="323"/>
      <c r="C368" s="229"/>
      <c r="D368" s="324"/>
      <c r="E368" s="325"/>
      <c r="F368" s="326"/>
      <c r="G368" s="326"/>
      <c r="H368" s="326"/>
      <c r="I368" s="327"/>
      <c r="J368" s="385"/>
      <c r="K368" s="328"/>
      <c r="L368" s="328"/>
      <c r="M368" s="377"/>
      <c r="N368" s="229"/>
      <c r="O368" s="229"/>
      <c r="P368" s="323"/>
      <c r="Q368" s="329"/>
      <c r="R368" s="330"/>
      <c r="S368" s="330"/>
      <c r="T368" s="330"/>
      <c r="U368" s="330"/>
      <c r="V368" s="330"/>
      <c r="W368" s="323"/>
      <c r="X368" s="323"/>
    </row>
    <row r="369" spans="1:24" ht="13.5" customHeight="1">
      <c r="A369" s="323"/>
      <c r="B369" s="323"/>
      <c r="C369" s="229"/>
      <c r="D369" s="324"/>
      <c r="E369" s="325"/>
      <c r="F369" s="326"/>
      <c r="G369" s="326"/>
      <c r="H369" s="326"/>
      <c r="I369" s="327"/>
      <c r="J369" s="385"/>
      <c r="K369" s="328"/>
      <c r="L369" s="328"/>
      <c r="M369" s="377"/>
      <c r="N369" s="229"/>
      <c r="O369" s="229"/>
      <c r="P369" s="323"/>
      <c r="Q369" s="329"/>
      <c r="R369" s="330"/>
      <c r="S369" s="330"/>
      <c r="T369" s="330"/>
      <c r="U369" s="330"/>
      <c r="V369" s="330"/>
      <c r="W369" s="323"/>
      <c r="X369" s="323"/>
    </row>
    <row r="370" spans="1:24" ht="13.5" customHeight="1">
      <c r="A370" s="323"/>
      <c r="B370" s="323"/>
      <c r="C370" s="229"/>
      <c r="D370" s="324"/>
      <c r="E370" s="325"/>
      <c r="F370" s="326"/>
      <c r="G370" s="326"/>
      <c r="H370" s="326"/>
      <c r="I370" s="327"/>
      <c r="J370" s="385"/>
      <c r="K370" s="328"/>
      <c r="L370" s="328"/>
      <c r="M370" s="377"/>
      <c r="N370" s="229"/>
      <c r="O370" s="229"/>
      <c r="P370" s="323"/>
      <c r="Q370" s="329"/>
      <c r="R370" s="330"/>
      <c r="S370" s="330"/>
      <c r="T370" s="330"/>
      <c r="U370" s="330"/>
      <c r="V370" s="330"/>
      <c r="W370" s="323"/>
      <c r="X370" s="323"/>
    </row>
    <row r="371" spans="1:24" ht="13.5" customHeight="1">
      <c r="A371" s="323"/>
      <c r="B371" s="323"/>
      <c r="C371" s="229"/>
      <c r="D371" s="324"/>
      <c r="E371" s="325"/>
      <c r="F371" s="326"/>
      <c r="G371" s="326"/>
      <c r="H371" s="326"/>
      <c r="I371" s="327"/>
      <c r="J371" s="385"/>
      <c r="K371" s="328"/>
      <c r="L371" s="328"/>
      <c r="M371" s="377"/>
      <c r="N371" s="229"/>
      <c r="O371" s="229"/>
      <c r="P371" s="323"/>
      <c r="Q371" s="329"/>
      <c r="R371" s="330"/>
      <c r="S371" s="330"/>
      <c r="T371" s="330"/>
      <c r="U371" s="330"/>
      <c r="V371" s="330"/>
      <c r="W371" s="323"/>
      <c r="X371" s="323"/>
    </row>
    <row r="372" spans="1:24" ht="13.5" customHeight="1">
      <c r="A372" s="323"/>
      <c r="B372" s="323"/>
      <c r="C372" s="229"/>
      <c r="D372" s="324"/>
      <c r="E372" s="325"/>
      <c r="F372" s="326"/>
      <c r="G372" s="326"/>
      <c r="H372" s="326"/>
      <c r="I372" s="327"/>
      <c r="J372" s="385"/>
      <c r="K372" s="328"/>
      <c r="L372" s="328"/>
      <c r="M372" s="377"/>
      <c r="N372" s="229"/>
      <c r="O372" s="229"/>
      <c r="P372" s="323"/>
      <c r="Q372" s="329"/>
      <c r="R372" s="330"/>
      <c r="S372" s="330"/>
      <c r="T372" s="330"/>
      <c r="U372" s="330"/>
      <c r="V372" s="330"/>
      <c r="W372" s="323"/>
      <c r="X372" s="323"/>
    </row>
    <row r="373" spans="1:24" ht="13.5" customHeight="1">
      <c r="A373" s="323"/>
      <c r="B373" s="323"/>
      <c r="C373" s="229"/>
      <c r="D373" s="324"/>
      <c r="E373" s="325"/>
      <c r="F373" s="326"/>
      <c r="G373" s="326"/>
      <c r="H373" s="326"/>
      <c r="I373" s="327"/>
      <c r="J373" s="385"/>
      <c r="K373" s="328"/>
      <c r="L373" s="328"/>
      <c r="M373" s="377"/>
      <c r="N373" s="229"/>
      <c r="O373" s="229"/>
      <c r="P373" s="323"/>
      <c r="Q373" s="329"/>
      <c r="R373" s="330"/>
      <c r="S373" s="330"/>
      <c r="T373" s="330"/>
      <c r="U373" s="330"/>
      <c r="V373" s="330"/>
      <c r="W373" s="323"/>
      <c r="X373" s="323"/>
    </row>
    <row r="374" spans="1:24" ht="13.5" customHeight="1">
      <c r="A374" s="323"/>
      <c r="B374" s="323"/>
      <c r="C374" s="229"/>
      <c r="D374" s="324"/>
      <c r="E374" s="325"/>
      <c r="F374" s="326"/>
      <c r="G374" s="326"/>
      <c r="H374" s="326"/>
      <c r="I374" s="327"/>
      <c r="J374" s="385"/>
      <c r="K374" s="328"/>
      <c r="L374" s="328"/>
      <c r="M374" s="377"/>
      <c r="N374" s="229"/>
      <c r="O374" s="229"/>
      <c r="P374" s="323"/>
      <c r="Q374" s="329"/>
      <c r="R374" s="330"/>
      <c r="S374" s="330"/>
      <c r="T374" s="330"/>
      <c r="U374" s="330"/>
      <c r="V374" s="330"/>
      <c r="W374" s="323"/>
      <c r="X374" s="323"/>
    </row>
    <row r="375" spans="1:24" ht="13.5" customHeight="1">
      <c r="A375" s="323"/>
      <c r="B375" s="323"/>
      <c r="C375" s="229"/>
      <c r="D375" s="324"/>
      <c r="E375" s="325"/>
      <c r="F375" s="326"/>
      <c r="G375" s="326"/>
      <c r="H375" s="326"/>
      <c r="I375" s="327"/>
      <c r="J375" s="385"/>
      <c r="K375" s="328"/>
      <c r="L375" s="328"/>
      <c r="M375" s="377"/>
      <c r="N375" s="229"/>
      <c r="O375" s="229"/>
      <c r="P375" s="323"/>
      <c r="Q375" s="329"/>
      <c r="R375" s="330"/>
      <c r="S375" s="330"/>
      <c r="T375" s="330"/>
      <c r="U375" s="330"/>
      <c r="V375" s="330"/>
      <c r="W375" s="323"/>
      <c r="X375" s="323"/>
    </row>
    <row r="376" spans="1:24" ht="13.5" customHeight="1">
      <c r="A376" s="323"/>
      <c r="B376" s="323"/>
      <c r="C376" s="229"/>
      <c r="D376" s="324"/>
      <c r="E376" s="325"/>
      <c r="F376" s="326"/>
      <c r="G376" s="326"/>
      <c r="H376" s="326"/>
      <c r="I376" s="327"/>
      <c r="J376" s="385"/>
      <c r="K376" s="328"/>
      <c r="L376" s="328"/>
      <c r="M376" s="377"/>
      <c r="N376" s="229"/>
      <c r="O376" s="229"/>
      <c r="P376" s="323"/>
      <c r="Q376" s="329"/>
      <c r="R376" s="330"/>
      <c r="S376" s="330"/>
      <c r="T376" s="330"/>
      <c r="U376" s="330"/>
      <c r="V376" s="330"/>
      <c r="W376" s="323"/>
      <c r="X376" s="323"/>
    </row>
    <row r="377" spans="1:24" ht="13.5" customHeight="1">
      <c r="A377" s="323"/>
      <c r="B377" s="323"/>
      <c r="C377" s="229"/>
      <c r="D377" s="324"/>
      <c r="E377" s="325"/>
      <c r="F377" s="326"/>
      <c r="G377" s="326"/>
      <c r="H377" s="326"/>
      <c r="I377" s="327"/>
      <c r="J377" s="385"/>
      <c r="K377" s="328"/>
      <c r="L377" s="328"/>
      <c r="M377" s="377"/>
      <c r="N377" s="229"/>
      <c r="O377" s="229"/>
      <c r="P377" s="323"/>
      <c r="Q377" s="329"/>
      <c r="R377" s="330"/>
      <c r="S377" s="330"/>
      <c r="T377" s="330"/>
      <c r="U377" s="330"/>
      <c r="V377" s="330"/>
      <c r="W377" s="323"/>
      <c r="X377" s="323"/>
    </row>
    <row r="378" spans="1:24" ht="13.5" customHeight="1">
      <c r="A378" s="323"/>
      <c r="B378" s="323"/>
      <c r="C378" s="229"/>
      <c r="D378" s="324"/>
      <c r="E378" s="325"/>
      <c r="F378" s="326"/>
      <c r="G378" s="326"/>
      <c r="H378" s="326"/>
      <c r="I378" s="327"/>
      <c r="J378" s="385"/>
      <c r="K378" s="328"/>
      <c r="L378" s="328"/>
      <c r="M378" s="377"/>
      <c r="N378" s="229"/>
      <c r="O378" s="229"/>
      <c r="P378" s="323"/>
      <c r="Q378" s="329"/>
      <c r="R378" s="330"/>
      <c r="S378" s="330"/>
      <c r="T378" s="330"/>
      <c r="U378" s="330"/>
      <c r="V378" s="330"/>
      <c r="W378" s="323"/>
      <c r="X378" s="323"/>
    </row>
    <row r="379" spans="1:24" ht="13.5" customHeight="1">
      <c r="A379" s="323"/>
      <c r="B379" s="323"/>
      <c r="C379" s="229"/>
      <c r="D379" s="324"/>
      <c r="E379" s="325"/>
      <c r="F379" s="326"/>
      <c r="G379" s="326"/>
      <c r="H379" s="326"/>
      <c r="I379" s="327"/>
      <c r="J379" s="385"/>
      <c r="K379" s="328"/>
      <c r="L379" s="328"/>
      <c r="M379" s="377"/>
      <c r="N379" s="229"/>
      <c r="O379" s="229"/>
      <c r="P379" s="323"/>
      <c r="Q379" s="329"/>
      <c r="R379" s="330"/>
      <c r="S379" s="330"/>
      <c r="T379" s="330"/>
      <c r="U379" s="330"/>
      <c r="V379" s="330"/>
      <c r="W379" s="323"/>
      <c r="X379" s="323"/>
    </row>
    <row r="380" spans="1:24" ht="13.5" customHeight="1">
      <c r="A380" s="323"/>
      <c r="B380" s="323"/>
      <c r="C380" s="229"/>
      <c r="D380" s="324"/>
      <c r="E380" s="325"/>
      <c r="F380" s="326"/>
      <c r="G380" s="326"/>
      <c r="H380" s="326"/>
      <c r="I380" s="327"/>
      <c r="J380" s="385"/>
      <c r="K380" s="328"/>
      <c r="L380" s="328"/>
      <c r="M380" s="377"/>
      <c r="N380" s="229"/>
      <c r="O380" s="229"/>
      <c r="P380" s="323"/>
      <c r="Q380" s="329"/>
      <c r="R380" s="330"/>
      <c r="S380" s="330"/>
      <c r="T380" s="330"/>
      <c r="U380" s="330"/>
      <c r="V380" s="330"/>
      <c r="W380" s="323"/>
      <c r="X380" s="323"/>
    </row>
    <row r="381" spans="1:24" ht="13.5" customHeight="1">
      <c r="A381" s="323"/>
      <c r="B381" s="323"/>
      <c r="C381" s="229"/>
      <c r="D381" s="324"/>
      <c r="E381" s="325"/>
      <c r="F381" s="326"/>
      <c r="G381" s="326"/>
      <c r="H381" s="326"/>
      <c r="I381" s="327"/>
      <c r="J381" s="385"/>
      <c r="K381" s="328"/>
      <c r="L381" s="328"/>
      <c r="M381" s="377"/>
      <c r="N381" s="229"/>
      <c r="O381" s="229"/>
      <c r="P381" s="323"/>
      <c r="Q381" s="329"/>
      <c r="R381" s="330"/>
      <c r="S381" s="330"/>
      <c r="T381" s="330"/>
      <c r="U381" s="330"/>
      <c r="V381" s="330"/>
      <c r="W381" s="323"/>
      <c r="X381" s="323"/>
    </row>
    <row r="382" spans="1:24" ht="13.5" customHeight="1">
      <c r="A382" s="323"/>
      <c r="B382" s="323"/>
      <c r="C382" s="229"/>
      <c r="D382" s="324"/>
      <c r="E382" s="325"/>
      <c r="F382" s="326"/>
      <c r="G382" s="326"/>
      <c r="H382" s="326"/>
      <c r="I382" s="327"/>
      <c r="J382" s="385"/>
      <c r="K382" s="328"/>
      <c r="L382" s="328"/>
      <c r="M382" s="377"/>
      <c r="N382" s="229"/>
      <c r="O382" s="229"/>
      <c r="P382" s="323"/>
      <c r="Q382" s="329"/>
      <c r="R382" s="330"/>
      <c r="S382" s="330"/>
      <c r="T382" s="330"/>
      <c r="U382" s="330"/>
      <c r="V382" s="330"/>
      <c r="W382" s="323"/>
      <c r="X382" s="323"/>
    </row>
    <row r="383" spans="1:24" ht="13.5" customHeight="1">
      <c r="A383" s="323"/>
      <c r="B383" s="323"/>
      <c r="C383" s="229"/>
      <c r="D383" s="324"/>
      <c r="E383" s="325"/>
      <c r="F383" s="326"/>
      <c r="G383" s="326"/>
      <c r="H383" s="326"/>
      <c r="I383" s="327"/>
      <c r="J383" s="385"/>
      <c r="K383" s="328"/>
      <c r="L383" s="328"/>
      <c r="M383" s="377"/>
      <c r="N383" s="229"/>
      <c r="O383" s="229"/>
      <c r="P383" s="323"/>
      <c r="Q383" s="329"/>
      <c r="R383" s="330"/>
      <c r="S383" s="330"/>
      <c r="T383" s="330"/>
      <c r="U383" s="330"/>
      <c r="V383" s="330"/>
      <c r="W383" s="323"/>
      <c r="X383" s="323"/>
    </row>
    <row r="384" spans="1:24" ht="13.5" customHeight="1">
      <c r="A384" s="323"/>
      <c r="B384" s="323"/>
      <c r="C384" s="229"/>
      <c r="D384" s="324"/>
      <c r="E384" s="325"/>
      <c r="F384" s="326"/>
      <c r="G384" s="326"/>
      <c r="H384" s="326"/>
      <c r="I384" s="327"/>
      <c r="J384" s="385"/>
      <c r="K384" s="328"/>
      <c r="L384" s="328"/>
      <c r="M384" s="377"/>
      <c r="N384" s="229"/>
      <c r="O384" s="229"/>
      <c r="P384" s="323"/>
      <c r="Q384" s="329"/>
      <c r="R384" s="330"/>
      <c r="S384" s="330"/>
      <c r="T384" s="330"/>
      <c r="U384" s="330"/>
      <c r="V384" s="330"/>
      <c r="W384" s="323"/>
      <c r="X384" s="323"/>
    </row>
    <row r="385" spans="1:24" ht="13.5" customHeight="1">
      <c r="A385" s="323"/>
      <c r="B385" s="323"/>
      <c r="C385" s="229"/>
      <c r="D385" s="324"/>
      <c r="E385" s="325"/>
      <c r="F385" s="326"/>
      <c r="G385" s="326"/>
      <c r="H385" s="326"/>
      <c r="I385" s="327"/>
      <c r="J385" s="385"/>
      <c r="K385" s="328"/>
      <c r="L385" s="328"/>
      <c r="M385" s="377"/>
      <c r="N385" s="229"/>
      <c r="O385" s="229"/>
      <c r="P385" s="323"/>
      <c r="Q385" s="329"/>
      <c r="R385" s="330"/>
      <c r="S385" s="330"/>
      <c r="T385" s="330"/>
      <c r="U385" s="330"/>
      <c r="V385" s="330"/>
      <c r="W385" s="323"/>
      <c r="X385" s="323"/>
    </row>
    <row r="386" spans="1:24" ht="13.5" customHeight="1">
      <c r="A386" s="323"/>
      <c r="B386" s="323"/>
      <c r="C386" s="229"/>
      <c r="D386" s="324"/>
      <c r="E386" s="325"/>
      <c r="F386" s="326"/>
      <c r="G386" s="326"/>
      <c r="H386" s="326"/>
      <c r="I386" s="327"/>
      <c r="J386" s="385"/>
      <c r="K386" s="328"/>
      <c r="L386" s="328"/>
      <c r="M386" s="377"/>
      <c r="N386" s="229"/>
      <c r="O386" s="229"/>
      <c r="P386" s="323"/>
      <c r="Q386" s="329"/>
      <c r="R386" s="330"/>
      <c r="S386" s="330"/>
      <c r="T386" s="330"/>
      <c r="U386" s="330"/>
      <c r="V386" s="330"/>
      <c r="W386" s="323"/>
      <c r="X386" s="323"/>
    </row>
    <row r="387" spans="1:24" ht="13.5" customHeight="1">
      <c r="A387" s="323"/>
      <c r="B387" s="323"/>
      <c r="C387" s="229"/>
      <c r="D387" s="324"/>
      <c r="E387" s="325"/>
      <c r="F387" s="326"/>
      <c r="G387" s="326"/>
      <c r="H387" s="326"/>
      <c r="I387" s="327"/>
      <c r="J387" s="385"/>
      <c r="K387" s="328"/>
      <c r="L387" s="328"/>
      <c r="M387" s="377"/>
      <c r="N387" s="229"/>
      <c r="O387" s="229"/>
      <c r="P387" s="323"/>
      <c r="Q387" s="329"/>
      <c r="R387" s="330"/>
      <c r="S387" s="330"/>
      <c r="T387" s="330"/>
      <c r="U387" s="330"/>
      <c r="V387" s="330"/>
      <c r="W387" s="323"/>
      <c r="X387" s="323"/>
    </row>
    <row r="388" spans="1:24" ht="13.5" customHeight="1">
      <c r="A388" s="323"/>
      <c r="B388" s="323"/>
      <c r="C388" s="229"/>
      <c r="D388" s="324"/>
      <c r="E388" s="325"/>
      <c r="F388" s="326"/>
      <c r="G388" s="326"/>
      <c r="H388" s="326"/>
      <c r="I388" s="327"/>
      <c r="J388" s="385"/>
      <c r="K388" s="328"/>
      <c r="L388" s="328"/>
      <c r="M388" s="377"/>
      <c r="N388" s="229"/>
      <c r="O388" s="229"/>
      <c r="P388" s="323"/>
      <c r="Q388" s="329"/>
      <c r="R388" s="330"/>
      <c r="S388" s="330"/>
      <c r="T388" s="330"/>
      <c r="U388" s="330"/>
      <c r="V388" s="330"/>
      <c r="W388" s="323"/>
      <c r="X388" s="323"/>
    </row>
    <row r="389" spans="1:24" ht="13.5" customHeight="1">
      <c r="A389" s="323"/>
      <c r="B389" s="323"/>
      <c r="C389" s="229"/>
      <c r="D389" s="324"/>
      <c r="E389" s="325"/>
      <c r="F389" s="326"/>
      <c r="G389" s="326"/>
      <c r="H389" s="326"/>
      <c r="I389" s="327"/>
      <c r="J389" s="385"/>
      <c r="K389" s="328"/>
      <c r="L389" s="328"/>
      <c r="M389" s="377"/>
      <c r="N389" s="229"/>
      <c r="O389" s="229"/>
      <c r="P389" s="323"/>
      <c r="Q389" s="329"/>
      <c r="R389" s="330"/>
      <c r="S389" s="330"/>
      <c r="T389" s="330"/>
      <c r="U389" s="330"/>
      <c r="V389" s="330"/>
      <c r="W389" s="323"/>
      <c r="X389" s="323"/>
    </row>
    <row r="390" spans="1:24" ht="13.5" customHeight="1">
      <c r="A390" s="323"/>
      <c r="B390" s="323"/>
      <c r="C390" s="229"/>
      <c r="D390" s="324"/>
      <c r="E390" s="325"/>
      <c r="F390" s="326"/>
      <c r="G390" s="326"/>
      <c r="H390" s="326"/>
      <c r="I390" s="327"/>
      <c r="J390" s="385"/>
      <c r="K390" s="328"/>
      <c r="L390" s="328"/>
      <c r="M390" s="377"/>
      <c r="N390" s="229"/>
      <c r="O390" s="229"/>
      <c r="P390" s="323"/>
      <c r="Q390" s="329"/>
      <c r="R390" s="330"/>
      <c r="S390" s="330"/>
      <c r="T390" s="330"/>
      <c r="U390" s="330"/>
      <c r="V390" s="330"/>
      <c r="W390" s="323"/>
      <c r="X390" s="323"/>
    </row>
    <row r="391" spans="1:24" ht="13.5" customHeight="1">
      <c r="A391" s="323"/>
      <c r="B391" s="323"/>
      <c r="C391" s="229"/>
      <c r="D391" s="324"/>
      <c r="E391" s="325"/>
      <c r="F391" s="326"/>
      <c r="G391" s="326"/>
      <c r="H391" s="326"/>
      <c r="I391" s="327"/>
      <c r="J391" s="385"/>
      <c r="K391" s="328"/>
      <c r="L391" s="328"/>
      <c r="M391" s="377"/>
      <c r="N391" s="229"/>
      <c r="O391" s="229"/>
      <c r="P391" s="323"/>
      <c r="Q391" s="329"/>
      <c r="R391" s="330"/>
      <c r="S391" s="330"/>
      <c r="T391" s="330"/>
      <c r="U391" s="330"/>
      <c r="V391" s="330"/>
      <c r="W391" s="323"/>
      <c r="X391" s="323"/>
    </row>
    <row r="392" spans="1:24" ht="13.5" customHeight="1">
      <c r="A392" s="323"/>
      <c r="B392" s="323"/>
      <c r="C392" s="229"/>
      <c r="D392" s="324"/>
      <c r="E392" s="325"/>
      <c r="F392" s="326"/>
      <c r="G392" s="326"/>
      <c r="H392" s="326"/>
      <c r="I392" s="327"/>
      <c r="J392" s="385"/>
      <c r="K392" s="328"/>
      <c r="L392" s="328"/>
      <c r="M392" s="377"/>
      <c r="N392" s="229"/>
      <c r="O392" s="229"/>
      <c r="P392" s="323"/>
      <c r="Q392" s="329"/>
      <c r="R392" s="330"/>
      <c r="S392" s="330"/>
      <c r="T392" s="330"/>
      <c r="U392" s="330"/>
      <c r="V392" s="330"/>
      <c r="W392" s="323"/>
      <c r="X392" s="323"/>
    </row>
    <row r="393" spans="1:24" ht="13.5" customHeight="1">
      <c r="A393" s="323"/>
      <c r="B393" s="323"/>
      <c r="C393" s="229"/>
      <c r="D393" s="324"/>
      <c r="E393" s="325"/>
      <c r="F393" s="326"/>
      <c r="G393" s="326"/>
      <c r="H393" s="326"/>
      <c r="I393" s="327"/>
      <c r="J393" s="385"/>
      <c r="K393" s="328"/>
      <c r="L393" s="328"/>
      <c r="M393" s="377"/>
      <c r="N393" s="229"/>
      <c r="O393" s="229"/>
      <c r="P393" s="323"/>
      <c r="Q393" s="329"/>
      <c r="R393" s="330"/>
      <c r="S393" s="330"/>
      <c r="T393" s="330"/>
      <c r="U393" s="330"/>
      <c r="V393" s="330"/>
      <c r="W393" s="323"/>
      <c r="X393" s="323"/>
    </row>
    <row r="394" spans="1:24" ht="13.5" customHeight="1">
      <c r="A394" s="323"/>
      <c r="B394" s="323"/>
      <c r="C394" s="229"/>
      <c r="D394" s="324"/>
      <c r="E394" s="325"/>
      <c r="F394" s="326"/>
      <c r="G394" s="326"/>
      <c r="H394" s="326"/>
      <c r="I394" s="327"/>
      <c r="J394" s="385"/>
      <c r="K394" s="328"/>
      <c r="L394" s="328"/>
      <c r="M394" s="377"/>
      <c r="N394" s="229"/>
      <c r="O394" s="229"/>
      <c r="P394" s="323"/>
      <c r="Q394" s="329"/>
      <c r="R394" s="330"/>
      <c r="S394" s="330"/>
      <c r="T394" s="330"/>
      <c r="U394" s="330"/>
      <c r="V394" s="330"/>
      <c r="W394" s="323"/>
      <c r="X394" s="323"/>
    </row>
    <row r="395" spans="1:24" ht="13.5" customHeight="1">
      <c r="A395" s="323"/>
      <c r="B395" s="323"/>
      <c r="C395" s="229"/>
      <c r="D395" s="324"/>
      <c r="E395" s="325"/>
      <c r="F395" s="326"/>
      <c r="G395" s="326"/>
      <c r="H395" s="326"/>
      <c r="I395" s="327"/>
      <c r="J395" s="385"/>
      <c r="K395" s="328"/>
      <c r="L395" s="328"/>
      <c r="M395" s="377"/>
      <c r="N395" s="229"/>
      <c r="O395" s="229"/>
      <c r="P395" s="323"/>
      <c r="Q395" s="329"/>
      <c r="R395" s="330"/>
      <c r="S395" s="330"/>
      <c r="T395" s="330"/>
      <c r="U395" s="330"/>
      <c r="V395" s="330"/>
      <c r="W395" s="323"/>
      <c r="X395" s="323"/>
    </row>
    <row r="396" spans="1:24" ht="13.5" customHeight="1">
      <c r="A396" s="323"/>
      <c r="B396" s="323"/>
      <c r="C396" s="229"/>
      <c r="D396" s="324"/>
      <c r="E396" s="325"/>
      <c r="F396" s="326"/>
      <c r="G396" s="326"/>
      <c r="H396" s="326"/>
      <c r="I396" s="327"/>
      <c r="J396" s="385"/>
      <c r="K396" s="328"/>
      <c r="L396" s="328"/>
      <c r="M396" s="377"/>
      <c r="N396" s="229"/>
      <c r="O396" s="229"/>
      <c r="P396" s="323"/>
      <c r="Q396" s="329"/>
      <c r="R396" s="330"/>
      <c r="S396" s="330"/>
      <c r="T396" s="330"/>
      <c r="U396" s="330"/>
      <c r="V396" s="330"/>
      <c r="W396" s="323"/>
      <c r="X396" s="323"/>
    </row>
    <row r="397" spans="1:24" ht="13.5" customHeight="1">
      <c r="A397" s="323"/>
      <c r="B397" s="323"/>
      <c r="C397" s="229"/>
      <c r="D397" s="324"/>
      <c r="E397" s="325"/>
      <c r="F397" s="326"/>
      <c r="G397" s="326"/>
      <c r="H397" s="326"/>
      <c r="I397" s="327"/>
      <c r="J397" s="385"/>
      <c r="K397" s="328"/>
      <c r="L397" s="328"/>
      <c r="M397" s="377"/>
      <c r="N397" s="229"/>
      <c r="O397" s="229"/>
      <c r="P397" s="323"/>
      <c r="Q397" s="329"/>
      <c r="R397" s="330"/>
      <c r="S397" s="330"/>
      <c r="T397" s="330"/>
      <c r="U397" s="330"/>
      <c r="V397" s="330"/>
      <c r="W397" s="323"/>
      <c r="X397" s="323"/>
    </row>
    <row r="398" spans="1:24" ht="13.5" customHeight="1">
      <c r="A398" s="323"/>
      <c r="B398" s="323"/>
      <c r="C398" s="229"/>
      <c r="D398" s="324"/>
      <c r="E398" s="325"/>
      <c r="F398" s="326"/>
      <c r="G398" s="326"/>
      <c r="H398" s="326"/>
      <c r="I398" s="327"/>
      <c r="J398" s="385"/>
      <c r="K398" s="328"/>
      <c r="L398" s="328"/>
      <c r="M398" s="377"/>
      <c r="N398" s="229"/>
      <c r="O398" s="229"/>
      <c r="P398" s="323"/>
      <c r="Q398" s="329"/>
      <c r="R398" s="330"/>
      <c r="S398" s="330"/>
      <c r="T398" s="330"/>
      <c r="U398" s="330"/>
      <c r="V398" s="330"/>
      <c r="W398" s="323"/>
      <c r="X398" s="323"/>
    </row>
    <row r="399" spans="1:24" ht="13.5" customHeight="1">
      <c r="A399" s="323"/>
      <c r="B399" s="323"/>
      <c r="C399" s="229"/>
      <c r="D399" s="324"/>
      <c r="E399" s="325"/>
      <c r="F399" s="326"/>
      <c r="G399" s="326"/>
      <c r="H399" s="326"/>
      <c r="I399" s="327"/>
      <c r="J399" s="385"/>
      <c r="K399" s="328"/>
      <c r="L399" s="328"/>
      <c r="M399" s="377"/>
      <c r="N399" s="229"/>
      <c r="O399" s="229"/>
      <c r="P399" s="323"/>
      <c r="Q399" s="329"/>
      <c r="R399" s="330"/>
      <c r="S399" s="330"/>
      <c r="T399" s="330"/>
      <c r="U399" s="330"/>
      <c r="V399" s="330"/>
      <c r="W399" s="323"/>
      <c r="X399" s="323"/>
    </row>
    <row r="400" spans="1:24" ht="13.5" customHeight="1">
      <c r="A400" s="323"/>
      <c r="B400" s="323"/>
      <c r="C400" s="229"/>
      <c r="D400" s="324"/>
      <c r="E400" s="325"/>
      <c r="F400" s="326"/>
      <c r="G400" s="326"/>
      <c r="H400" s="326"/>
      <c r="I400" s="327"/>
      <c r="J400" s="385"/>
      <c r="K400" s="328"/>
      <c r="L400" s="328"/>
      <c r="M400" s="377"/>
      <c r="N400" s="229"/>
      <c r="O400" s="229"/>
      <c r="P400" s="323"/>
      <c r="Q400" s="329"/>
      <c r="R400" s="330"/>
      <c r="S400" s="330"/>
      <c r="T400" s="330"/>
      <c r="U400" s="330"/>
      <c r="V400" s="330"/>
      <c r="W400" s="323"/>
      <c r="X400" s="323"/>
    </row>
    <row r="401" spans="1:24" ht="13.5" customHeight="1">
      <c r="A401" s="323"/>
      <c r="B401" s="323"/>
      <c r="C401" s="229"/>
      <c r="D401" s="324"/>
      <c r="E401" s="325"/>
      <c r="F401" s="326"/>
      <c r="G401" s="326"/>
      <c r="H401" s="326"/>
      <c r="I401" s="327"/>
      <c r="J401" s="385"/>
      <c r="K401" s="328"/>
      <c r="L401" s="328"/>
      <c r="M401" s="377"/>
      <c r="N401" s="229"/>
      <c r="O401" s="229"/>
      <c r="P401" s="323"/>
      <c r="Q401" s="329"/>
      <c r="R401" s="330"/>
      <c r="S401" s="330"/>
      <c r="T401" s="330"/>
      <c r="U401" s="330"/>
      <c r="V401" s="330"/>
      <c r="W401" s="323"/>
      <c r="X401" s="323"/>
    </row>
    <row r="402" spans="1:24" ht="13.5" customHeight="1">
      <c r="A402" s="323"/>
      <c r="B402" s="323"/>
      <c r="C402" s="229"/>
      <c r="D402" s="324"/>
      <c r="E402" s="325"/>
      <c r="F402" s="326"/>
      <c r="G402" s="326"/>
      <c r="H402" s="326"/>
      <c r="I402" s="327"/>
      <c r="J402" s="385"/>
      <c r="K402" s="328"/>
      <c r="L402" s="328"/>
      <c r="M402" s="377"/>
      <c r="N402" s="229"/>
      <c r="O402" s="229"/>
      <c r="P402" s="323"/>
      <c r="Q402" s="329"/>
      <c r="R402" s="330"/>
      <c r="S402" s="330"/>
      <c r="T402" s="330"/>
      <c r="U402" s="330"/>
      <c r="V402" s="330"/>
      <c r="W402" s="323"/>
      <c r="X402" s="323"/>
    </row>
    <row r="403" spans="1:24" ht="13.5" customHeight="1">
      <c r="A403" s="323"/>
      <c r="B403" s="323"/>
      <c r="C403" s="229"/>
      <c r="D403" s="324"/>
      <c r="E403" s="325"/>
      <c r="F403" s="326"/>
      <c r="G403" s="326"/>
      <c r="H403" s="326"/>
      <c r="I403" s="327"/>
      <c r="J403" s="385"/>
      <c r="K403" s="328"/>
      <c r="L403" s="328"/>
      <c r="M403" s="377"/>
      <c r="N403" s="229"/>
      <c r="O403" s="229"/>
      <c r="P403" s="323"/>
      <c r="Q403" s="329"/>
      <c r="R403" s="330"/>
      <c r="S403" s="330"/>
      <c r="T403" s="330"/>
      <c r="U403" s="330"/>
      <c r="V403" s="330"/>
      <c r="W403" s="323"/>
      <c r="X403" s="323"/>
    </row>
    <row r="404" spans="1:24" ht="13.5" customHeight="1">
      <c r="A404" s="323"/>
      <c r="B404" s="323"/>
      <c r="C404" s="229"/>
      <c r="D404" s="324"/>
      <c r="E404" s="325"/>
      <c r="F404" s="326"/>
      <c r="G404" s="326"/>
      <c r="H404" s="326"/>
      <c r="I404" s="327"/>
      <c r="J404" s="385"/>
      <c r="K404" s="328"/>
      <c r="L404" s="328"/>
      <c r="M404" s="377"/>
      <c r="N404" s="229"/>
      <c r="O404" s="229"/>
      <c r="P404" s="323"/>
      <c r="Q404" s="329"/>
      <c r="R404" s="330"/>
      <c r="S404" s="330"/>
      <c r="T404" s="330"/>
      <c r="U404" s="330"/>
      <c r="V404" s="330"/>
      <c r="W404" s="323"/>
      <c r="X404" s="323"/>
    </row>
    <row r="405" spans="1:24" ht="13.5" customHeight="1">
      <c r="A405" s="323"/>
      <c r="B405" s="323"/>
      <c r="C405" s="229"/>
      <c r="D405" s="324"/>
      <c r="E405" s="325"/>
      <c r="F405" s="326"/>
      <c r="G405" s="326"/>
      <c r="H405" s="326"/>
      <c r="I405" s="327"/>
      <c r="J405" s="385"/>
      <c r="K405" s="328"/>
      <c r="L405" s="328"/>
      <c r="M405" s="377"/>
      <c r="N405" s="229"/>
      <c r="O405" s="229"/>
      <c r="P405" s="323"/>
      <c r="Q405" s="329"/>
      <c r="R405" s="330"/>
      <c r="S405" s="330"/>
      <c r="T405" s="330"/>
      <c r="U405" s="330"/>
      <c r="V405" s="330"/>
      <c r="W405" s="323"/>
      <c r="X405" s="323"/>
    </row>
    <row r="406" spans="1:24" ht="13.5" customHeight="1">
      <c r="A406" s="323"/>
      <c r="B406" s="323"/>
      <c r="C406" s="229"/>
      <c r="D406" s="324"/>
      <c r="E406" s="325"/>
      <c r="F406" s="326"/>
      <c r="G406" s="326"/>
      <c r="H406" s="326"/>
      <c r="I406" s="327"/>
      <c r="J406" s="385"/>
      <c r="K406" s="328"/>
      <c r="L406" s="328"/>
      <c r="M406" s="377"/>
      <c r="N406" s="229"/>
      <c r="O406" s="229"/>
      <c r="P406" s="323"/>
      <c r="Q406" s="329"/>
      <c r="R406" s="330"/>
      <c r="S406" s="330"/>
      <c r="T406" s="330"/>
      <c r="U406" s="330"/>
      <c r="V406" s="330"/>
      <c r="W406" s="323"/>
      <c r="X406" s="323"/>
    </row>
    <row r="407" spans="1:24" ht="13.5" customHeight="1">
      <c r="A407" s="323"/>
      <c r="B407" s="323"/>
      <c r="C407" s="229"/>
      <c r="D407" s="324"/>
      <c r="E407" s="325"/>
      <c r="F407" s="326"/>
      <c r="G407" s="326"/>
      <c r="H407" s="326"/>
      <c r="I407" s="327"/>
      <c r="J407" s="385"/>
      <c r="K407" s="328"/>
      <c r="L407" s="328"/>
      <c r="M407" s="377"/>
      <c r="N407" s="229"/>
      <c r="O407" s="229"/>
      <c r="P407" s="323"/>
      <c r="Q407" s="329"/>
      <c r="R407" s="330"/>
      <c r="S407" s="330"/>
      <c r="T407" s="330"/>
      <c r="U407" s="330"/>
      <c r="V407" s="330"/>
      <c r="W407" s="323"/>
      <c r="X407" s="323"/>
    </row>
    <row r="408" spans="1:24" ht="13.5" customHeight="1">
      <c r="A408" s="323"/>
      <c r="B408" s="323"/>
      <c r="C408" s="229"/>
      <c r="D408" s="324"/>
      <c r="E408" s="325"/>
      <c r="F408" s="326"/>
      <c r="G408" s="326"/>
      <c r="H408" s="326"/>
      <c r="I408" s="327"/>
      <c r="J408" s="385"/>
      <c r="K408" s="328"/>
      <c r="L408" s="328"/>
      <c r="M408" s="377"/>
      <c r="N408" s="229"/>
      <c r="O408" s="229"/>
      <c r="P408" s="323"/>
      <c r="Q408" s="329"/>
      <c r="R408" s="330"/>
      <c r="S408" s="330"/>
      <c r="T408" s="330"/>
      <c r="U408" s="330"/>
      <c r="V408" s="330"/>
      <c r="W408" s="323"/>
      <c r="X408" s="323"/>
    </row>
    <row r="409" spans="1:24" ht="13.5" customHeight="1">
      <c r="A409" s="323"/>
      <c r="B409" s="323"/>
      <c r="C409" s="229"/>
      <c r="D409" s="324"/>
      <c r="E409" s="325"/>
      <c r="F409" s="326"/>
      <c r="G409" s="326"/>
      <c r="H409" s="326"/>
      <c r="I409" s="327"/>
      <c r="J409" s="385"/>
      <c r="K409" s="328"/>
      <c r="L409" s="328"/>
      <c r="M409" s="377"/>
      <c r="N409" s="229"/>
      <c r="O409" s="229"/>
      <c r="P409" s="323"/>
      <c r="Q409" s="329"/>
      <c r="R409" s="330"/>
      <c r="S409" s="330"/>
      <c r="T409" s="330"/>
      <c r="U409" s="330"/>
      <c r="V409" s="330"/>
      <c r="W409" s="323"/>
      <c r="X409" s="323"/>
    </row>
    <row r="410" spans="1:24" ht="13.5" customHeight="1">
      <c r="A410" s="323"/>
      <c r="B410" s="323"/>
      <c r="C410" s="229"/>
      <c r="D410" s="324"/>
      <c r="E410" s="325"/>
      <c r="F410" s="326"/>
      <c r="G410" s="326"/>
      <c r="H410" s="326"/>
      <c r="I410" s="327"/>
      <c r="J410" s="385"/>
      <c r="K410" s="328"/>
      <c r="L410" s="328"/>
      <c r="M410" s="377"/>
      <c r="N410" s="229"/>
      <c r="O410" s="229"/>
      <c r="P410" s="323"/>
      <c r="Q410" s="329"/>
      <c r="R410" s="330"/>
      <c r="S410" s="330"/>
      <c r="T410" s="330"/>
      <c r="U410" s="330"/>
      <c r="V410" s="330"/>
      <c r="W410" s="323"/>
      <c r="X410" s="323"/>
    </row>
    <row r="411" spans="1:24" ht="13.5" customHeight="1">
      <c r="A411" s="323"/>
      <c r="B411" s="323"/>
      <c r="C411" s="229"/>
      <c r="D411" s="324"/>
      <c r="E411" s="325"/>
      <c r="F411" s="326"/>
      <c r="G411" s="326"/>
      <c r="H411" s="326"/>
      <c r="I411" s="327"/>
      <c r="J411" s="385"/>
      <c r="K411" s="328"/>
      <c r="L411" s="328"/>
      <c r="M411" s="377"/>
      <c r="N411" s="229"/>
      <c r="O411" s="229"/>
      <c r="P411" s="323"/>
      <c r="Q411" s="329"/>
      <c r="R411" s="330"/>
      <c r="S411" s="330"/>
      <c r="T411" s="330"/>
      <c r="U411" s="330"/>
      <c r="V411" s="330"/>
      <c r="W411" s="323"/>
      <c r="X411" s="323"/>
    </row>
    <row r="412" spans="1:24" ht="13.5" customHeight="1">
      <c r="A412" s="323"/>
      <c r="B412" s="323"/>
      <c r="C412" s="229"/>
      <c r="D412" s="324"/>
      <c r="E412" s="325"/>
      <c r="F412" s="326"/>
      <c r="G412" s="326"/>
      <c r="H412" s="326"/>
      <c r="I412" s="327"/>
      <c r="J412" s="385"/>
      <c r="K412" s="328"/>
      <c r="L412" s="328"/>
      <c r="M412" s="377"/>
      <c r="N412" s="229"/>
      <c r="O412" s="229"/>
      <c r="P412" s="323"/>
      <c r="Q412" s="329"/>
      <c r="R412" s="330"/>
      <c r="S412" s="330"/>
      <c r="T412" s="330"/>
      <c r="U412" s="330"/>
      <c r="V412" s="330"/>
      <c r="W412" s="323"/>
      <c r="X412" s="323"/>
    </row>
    <row r="413" spans="1:24" ht="13.5" customHeight="1">
      <c r="A413" s="323"/>
      <c r="B413" s="323"/>
      <c r="C413" s="229"/>
      <c r="D413" s="324"/>
      <c r="E413" s="325"/>
      <c r="F413" s="326"/>
      <c r="G413" s="326"/>
      <c r="H413" s="326"/>
      <c r="I413" s="327"/>
      <c r="J413" s="385"/>
      <c r="K413" s="328"/>
      <c r="L413" s="328"/>
      <c r="M413" s="377"/>
      <c r="N413" s="229"/>
      <c r="O413" s="229"/>
      <c r="P413" s="323"/>
      <c r="Q413" s="329"/>
      <c r="R413" s="330"/>
      <c r="S413" s="330"/>
      <c r="T413" s="330"/>
      <c r="U413" s="330"/>
      <c r="V413" s="330"/>
      <c r="W413" s="323"/>
      <c r="X413" s="323"/>
    </row>
    <row r="414" spans="1:24" ht="13.5" customHeight="1">
      <c r="A414" s="323"/>
      <c r="B414" s="323"/>
      <c r="C414" s="229"/>
      <c r="D414" s="324"/>
      <c r="E414" s="325"/>
      <c r="F414" s="326"/>
      <c r="G414" s="326"/>
      <c r="H414" s="326"/>
      <c r="I414" s="327"/>
      <c r="J414" s="385"/>
      <c r="K414" s="328"/>
      <c r="L414" s="328"/>
      <c r="M414" s="377"/>
      <c r="N414" s="229"/>
      <c r="O414" s="229"/>
      <c r="P414" s="323"/>
      <c r="Q414" s="329"/>
      <c r="R414" s="330"/>
      <c r="S414" s="330"/>
      <c r="T414" s="330"/>
      <c r="U414" s="330"/>
      <c r="V414" s="330"/>
      <c r="W414" s="323"/>
      <c r="X414" s="323"/>
    </row>
    <row r="415" spans="1:24" ht="13.5" customHeight="1">
      <c r="A415" s="323"/>
      <c r="B415" s="323"/>
      <c r="C415" s="229"/>
      <c r="D415" s="324"/>
      <c r="E415" s="325"/>
      <c r="F415" s="326"/>
      <c r="G415" s="326"/>
      <c r="H415" s="326"/>
      <c r="I415" s="327"/>
      <c r="J415" s="385"/>
      <c r="K415" s="328"/>
      <c r="L415" s="328"/>
      <c r="M415" s="377"/>
      <c r="N415" s="229"/>
      <c r="O415" s="229"/>
      <c r="P415" s="323"/>
      <c r="Q415" s="329"/>
      <c r="R415" s="330"/>
      <c r="S415" s="330"/>
      <c r="T415" s="330"/>
      <c r="U415" s="330"/>
      <c r="V415" s="330"/>
      <c r="W415" s="323"/>
      <c r="X415" s="323"/>
    </row>
    <row r="416" spans="1:24" ht="13.5" customHeight="1">
      <c r="A416" s="323"/>
      <c r="B416" s="323"/>
      <c r="C416" s="229"/>
      <c r="D416" s="324"/>
      <c r="E416" s="325"/>
      <c r="F416" s="326"/>
      <c r="G416" s="326"/>
      <c r="H416" s="326"/>
      <c r="I416" s="327"/>
      <c r="J416" s="385"/>
      <c r="K416" s="328"/>
      <c r="L416" s="328"/>
      <c r="M416" s="377"/>
      <c r="N416" s="229"/>
      <c r="O416" s="229"/>
      <c r="P416" s="323"/>
      <c r="Q416" s="329"/>
      <c r="R416" s="330"/>
      <c r="S416" s="330"/>
      <c r="T416" s="330"/>
      <c r="U416" s="330"/>
      <c r="V416" s="330"/>
      <c r="W416" s="323"/>
      <c r="X416" s="323"/>
    </row>
    <row r="417" spans="1:24" ht="13.5" customHeight="1">
      <c r="A417" s="323"/>
      <c r="B417" s="323"/>
      <c r="C417" s="229"/>
      <c r="D417" s="324"/>
      <c r="E417" s="325"/>
      <c r="F417" s="326"/>
      <c r="G417" s="326"/>
      <c r="H417" s="326"/>
      <c r="I417" s="327"/>
      <c r="J417" s="385"/>
      <c r="K417" s="328"/>
      <c r="L417" s="328"/>
      <c r="M417" s="377"/>
      <c r="N417" s="229"/>
      <c r="O417" s="229"/>
      <c r="P417" s="323"/>
      <c r="Q417" s="329"/>
      <c r="R417" s="330"/>
      <c r="S417" s="330"/>
      <c r="T417" s="330"/>
      <c r="U417" s="330"/>
      <c r="V417" s="330"/>
      <c r="W417" s="323"/>
      <c r="X417" s="323"/>
    </row>
    <row r="418" spans="1:24" ht="13.5" customHeight="1">
      <c r="A418" s="323"/>
      <c r="B418" s="323"/>
      <c r="C418" s="229"/>
      <c r="D418" s="324"/>
      <c r="E418" s="325"/>
      <c r="F418" s="326"/>
      <c r="G418" s="326"/>
      <c r="H418" s="326"/>
      <c r="I418" s="327"/>
      <c r="J418" s="385"/>
      <c r="K418" s="328"/>
      <c r="L418" s="328"/>
      <c r="M418" s="377"/>
      <c r="N418" s="229"/>
      <c r="O418" s="229"/>
      <c r="P418" s="323"/>
      <c r="Q418" s="329"/>
      <c r="R418" s="330"/>
      <c r="S418" s="330"/>
      <c r="T418" s="330"/>
      <c r="U418" s="330"/>
      <c r="V418" s="330"/>
      <c r="W418" s="323"/>
      <c r="X418" s="323"/>
    </row>
    <row r="419" spans="1:24" ht="13.5" customHeight="1">
      <c r="A419" s="323"/>
      <c r="B419" s="323"/>
      <c r="C419" s="229"/>
      <c r="D419" s="324"/>
      <c r="E419" s="325"/>
      <c r="F419" s="326"/>
      <c r="G419" s="326"/>
      <c r="H419" s="326"/>
      <c r="I419" s="327"/>
      <c r="J419" s="385"/>
      <c r="K419" s="328"/>
      <c r="L419" s="328"/>
      <c r="M419" s="377"/>
      <c r="N419" s="229"/>
      <c r="O419" s="229"/>
      <c r="P419" s="323"/>
      <c r="Q419" s="329"/>
      <c r="R419" s="330"/>
      <c r="S419" s="330"/>
      <c r="T419" s="330"/>
      <c r="U419" s="330"/>
      <c r="V419" s="330"/>
      <c r="W419" s="323"/>
      <c r="X419" s="323"/>
    </row>
    <row r="420" spans="1:24" ht="13.5" customHeight="1">
      <c r="A420" s="323"/>
      <c r="B420" s="323"/>
      <c r="C420" s="229"/>
      <c r="D420" s="324"/>
      <c r="E420" s="325"/>
      <c r="F420" s="326"/>
      <c r="G420" s="326"/>
      <c r="H420" s="326"/>
      <c r="I420" s="327"/>
      <c r="J420" s="385"/>
      <c r="K420" s="328"/>
      <c r="L420" s="328"/>
      <c r="M420" s="377"/>
      <c r="N420" s="229"/>
      <c r="O420" s="229"/>
      <c r="P420" s="323"/>
      <c r="Q420" s="329"/>
      <c r="R420" s="330"/>
      <c r="S420" s="330"/>
      <c r="T420" s="330"/>
      <c r="U420" s="330"/>
      <c r="V420" s="330"/>
      <c r="W420" s="323"/>
      <c r="X420" s="323"/>
    </row>
    <row r="421" spans="1:24" ht="13.5" customHeight="1">
      <c r="A421" s="323"/>
      <c r="B421" s="323"/>
      <c r="C421" s="229"/>
      <c r="D421" s="324"/>
      <c r="E421" s="325"/>
      <c r="F421" s="326"/>
      <c r="G421" s="326"/>
      <c r="H421" s="326"/>
      <c r="I421" s="327"/>
      <c r="J421" s="385"/>
      <c r="K421" s="328"/>
      <c r="L421" s="328"/>
      <c r="M421" s="377"/>
      <c r="N421" s="229"/>
      <c r="O421" s="229"/>
      <c r="P421" s="323"/>
      <c r="Q421" s="329"/>
      <c r="R421" s="330"/>
      <c r="S421" s="330"/>
      <c r="T421" s="330"/>
      <c r="U421" s="330"/>
      <c r="V421" s="330"/>
      <c r="W421" s="323"/>
      <c r="X421" s="323"/>
    </row>
    <row r="422" spans="1:24" ht="13.5" customHeight="1">
      <c r="A422" s="323"/>
      <c r="B422" s="323"/>
      <c r="C422" s="229"/>
      <c r="D422" s="324"/>
      <c r="E422" s="325"/>
      <c r="F422" s="326"/>
      <c r="G422" s="326"/>
      <c r="H422" s="326"/>
      <c r="I422" s="327"/>
      <c r="J422" s="385"/>
      <c r="K422" s="328"/>
      <c r="L422" s="328"/>
      <c r="M422" s="377"/>
      <c r="N422" s="229"/>
      <c r="O422" s="229"/>
      <c r="P422" s="323"/>
      <c r="Q422" s="329"/>
      <c r="R422" s="330"/>
      <c r="S422" s="330"/>
      <c r="T422" s="330"/>
      <c r="U422" s="330"/>
      <c r="V422" s="330"/>
      <c r="W422" s="323"/>
      <c r="X422" s="323"/>
    </row>
    <row r="423" spans="1:24" ht="13.5" customHeight="1">
      <c r="A423" s="323"/>
      <c r="B423" s="323"/>
      <c r="C423" s="229"/>
      <c r="D423" s="324"/>
      <c r="E423" s="325"/>
      <c r="F423" s="326"/>
      <c r="G423" s="326"/>
      <c r="H423" s="326"/>
      <c r="I423" s="327"/>
      <c r="J423" s="385"/>
      <c r="K423" s="328"/>
      <c r="L423" s="328"/>
      <c r="M423" s="377"/>
      <c r="N423" s="229"/>
      <c r="O423" s="229"/>
      <c r="P423" s="323"/>
      <c r="Q423" s="329"/>
      <c r="R423" s="330"/>
      <c r="S423" s="330"/>
      <c r="T423" s="330"/>
      <c r="U423" s="330"/>
      <c r="V423" s="330"/>
      <c r="W423" s="323"/>
      <c r="X423" s="323"/>
    </row>
    <row r="424" spans="1:24" ht="13.5" customHeight="1">
      <c r="A424" s="323"/>
      <c r="B424" s="323"/>
      <c r="C424" s="229"/>
      <c r="D424" s="324"/>
      <c r="E424" s="325"/>
      <c r="F424" s="326"/>
      <c r="G424" s="326"/>
      <c r="H424" s="326"/>
      <c r="I424" s="327"/>
      <c r="J424" s="385"/>
      <c r="K424" s="328"/>
      <c r="L424" s="328"/>
      <c r="M424" s="377"/>
      <c r="N424" s="229"/>
      <c r="O424" s="229"/>
      <c r="P424" s="323"/>
      <c r="Q424" s="329"/>
      <c r="R424" s="330"/>
      <c r="S424" s="330"/>
      <c r="T424" s="330"/>
      <c r="U424" s="330"/>
      <c r="V424" s="330"/>
      <c r="W424" s="323"/>
      <c r="X424" s="323"/>
    </row>
    <row r="425" spans="1:24" ht="13.5" customHeight="1">
      <c r="A425" s="323"/>
      <c r="B425" s="323"/>
      <c r="C425" s="229"/>
      <c r="D425" s="324"/>
      <c r="E425" s="325"/>
      <c r="F425" s="326"/>
      <c r="G425" s="326"/>
      <c r="H425" s="326"/>
      <c r="I425" s="327"/>
      <c r="J425" s="385"/>
      <c r="K425" s="328"/>
      <c r="L425" s="328"/>
      <c r="M425" s="377"/>
      <c r="N425" s="229"/>
      <c r="O425" s="229"/>
      <c r="P425" s="323"/>
      <c r="Q425" s="329"/>
      <c r="R425" s="330"/>
      <c r="S425" s="330"/>
      <c r="T425" s="330"/>
      <c r="U425" s="330"/>
      <c r="V425" s="330"/>
      <c r="W425" s="323"/>
      <c r="X425" s="323"/>
    </row>
    <row r="426" spans="1:24" ht="13.5" customHeight="1">
      <c r="A426" s="323"/>
      <c r="B426" s="323"/>
      <c r="C426" s="229"/>
      <c r="D426" s="324"/>
      <c r="E426" s="325"/>
      <c r="F426" s="326"/>
      <c r="G426" s="326"/>
      <c r="H426" s="326"/>
      <c r="I426" s="327"/>
      <c r="J426" s="385"/>
      <c r="K426" s="328"/>
      <c r="L426" s="328"/>
      <c r="M426" s="377"/>
      <c r="N426" s="229"/>
      <c r="O426" s="229"/>
      <c r="P426" s="323"/>
      <c r="Q426" s="329"/>
      <c r="R426" s="330"/>
      <c r="S426" s="330"/>
      <c r="T426" s="330"/>
      <c r="U426" s="330"/>
      <c r="V426" s="330"/>
      <c r="W426" s="323"/>
      <c r="X426" s="323"/>
    </row>
    <row r="427" spans="1:24" ht="13.5" customHeight="1">
      <c r="A427" s="323"/>
      <c r="B427" s="323"/>
      <c r="C427" s="229"/>
      <c r="D427" s="324"/>
      <c r="E427" s="325"/>
      <c r="F427" s="326"/>
      <c r="G427" s="326"/>
      <c r="H427" s="326"/>
      <c r="I427" s="327"/>
      <c r="J427" s="385"/>
      <c r="K427" s="328"/>
      <c r="L427" s="328"/>
      <c r="M427" s="377"/>
      <c r="N427" s="229"/>
      <c r="O427" s="229"/>
      <c r="P427" s="323"/>
      <c r="Q427" s="329"/>
      <c r="R427" s="330"/>
      <c r="S427" s="330"/>
      <c r="T427" s="330"/>
      <c r="U427" s="330"/>
      <c r="V427" s="330"/>
      <c r="W427" s="323"/>
      <c r="X427" s="323"/>
    </row>
    <row r="428" spans="1:24" ht="13.5" customHeight="1">
      <c r="A428" s="323"/>
      <c r="B428" s="323"/>
      <c r="C428" s="229"/>
      <c r="D428" s="324"/>
      <c r="E428" s="325"/>
      <c r="F428" s="326"/>
      <c r="G428" s="326"/>
      <c r="H428" s="326"/>
      <c r="I428" s="327"/>
      <c r="J428" s="385"/>
      <c r="K428" s="328"/>
      <c r="L428" s="328"/>
      <c r="M428" s="377"/>
      <c r="N428" s="229"/>
      <c r="O428" s="229"/>
      <c r="P428" s="323"/>
      <c r="Q428" s="329"/>
      <c r="R428" s="330"/>
      <c r="S428" s="330"/>
      <c r="T428" s="330"/>
      <c r="U428" s="330"/>
      <c r="V428" s="330"/>
      <c r="W428" s="323"/>
      <c r="X428" s="323"/>
    </row>
    <row r="429" spans="1:24" ht="13.5" customHeight="1">
      <c r="A429" s="323"/>
      <c r="B429" s="323"/>
      <c r="C429" s="229"/>
      <c r="D429" s="324"/>
      <c r="E429" s="325"/>
      <c r="F429" s="326"/>
      <c r="G429" s="326"/>
      <c r="H429" s="326"/>
      <c r="I429" s="327"/>
      <c r="J429" s="385"/>
      <c r="K429" s="328"/>
      <c r="L429" s="328"/>
      <c r="M429" s="377"/>
      <c r="N429" s="229"/>
      <c r="O429" s="229"/>
      <c r="P429" s="323"/>
      <c r="Q429" s="329"/>
      <c r="R429" s="330"/>
      <c r="S429" s="330"/>
      <c r="T429" s="330"/>
      <c r="U429" s="330"/>
      <c r="V429" s="330"/>
      <c r="W429" s="323"/>
      <c r="X429" s="323"/>
    </row>
    <row r="430" spans="1:24" ht="13.5" customHeight="1">
      <c r="A430" s="323"/>
      <c r="B430" s="323"/>
      <c r="C430" s="229"/>
      <c r="D430" s="324"/>
      <c r="E430" s="325"/>
      <c r="F430" s="326"/>
      <c r="G430" s="326"/>
      <c r="H430" s="326"/>
      <c r="I430" s="327"/>
      <c r="J430" s="385"/>
      <c r="K430" s="328"/>
      <c r="L430" s="328"/>
      <c r="M430" s="377"/>
      <c r="N430" s="229"/>
      <c r="O430" s="229"/>
      <c r="P430" s="323"/>
      <c r="Q430" s="329"/>
      <c r="R430" s="330"/>
      <c r="S430" s="330"/>
      <c r="T430" s="330"/>
      <c r="U430" s="330"/>
      <c r="V430" s="330"/>
      <c r="W430" s="323"/>
      <c r="X430" s="323"/>
    </row>
    <row r="431" spans="1:24" ht="13.5" customHeight="1">
      <c r="A431" s="323"/>
      <c r="B431" s="323"/>
      <c r="C431" s="229"/>
      <c r="D431" s="324"/>
      <c r="E431" s="325"/>
      <c r="F431" s="326"/>
      <c r="G431" s="326"/>
      <c r="H431" s="326"/>
      <c r="I431" s="327"/>
      <c r="J431" s="385"/>
      <c r="K431" s="328"/>
      <c r="L431" s="328"/>
      <c r="M431" s="377"/>
      <c r="N431" s="229"/>
      <c r="O431" s="229"/>
      <c r="P431" s="323"/>
      <c r="Q431" s="329"/>
      <c r="R431" s="330"/>
      <c r="S431" s="330"/>
      <c r="T431" s="330"/>
      <c r="U431" s="330"/>
      <c r="V431" s="330"/>
      <c r="W431" s="323"/>
      <c r="X431" s="323"/>
    </row>
    <row r="432" spans="1:24" ht="13.5" customHeight="1">
      <c r="A432" s="323"/>
      <c r="B432" s="323"/>
      <c r="C432" s="229"/>
      <c r="D432" s="324"/>
      <c r="E432" s="325"/>
      <c r="F432" s="326"/>
      <c r="G432" s="326"/>
      <c r="H432" s="326"/>
      <c r="I432" s="327"/>
      <c r="J432" s="385"/>
      <c r="K432" s="328"/>
      <c r="L432" s="328"/>
      <c r="M432" s="377"/>
      <c r="N432" s="229"/>
      <c r="O432" s="229"/>
      <c r="P432" s="323"/>
      <c r="Q432" s="329"/>
      <c r="R432" s="330"/>
      <c r="S432" s="330"/>
      <c r="T432" s="330"/>
      <c r="U432" s="330"/>
      <c r="V432" s="330"/>
      <c r="W432" s="323"/>
      <c r="X432" s="323"/>
    </row>
    <row r="433" spans="1:24" ht="13.5" customHeight="1">
      <c r="A433" s="323"/>
      <c r="B433" s="323"/>
      <c r="C433" s="229"/>
      <c r="D433" s="324"/>
      <c r="E433" s="325"/>
      <c r="F433" s="326"/>
      <c r="G433" s="326"/>
      <c r="H433" s="326"/>
      <c r="I433" s="327"/>
      <c r="J433" s="385"/>
      <c r="K433" s="328"/>
      <c r="L433" s="328"/>
      <c r="M433" s="377"/>
      <c r="N433" s="229"/>
      <c r="O433" s="229"/>
      <c r="P433" s="323"/>
      <c r="Q433" s="329"/>
      <c r="R433" s="330"/>
      <c r="S433" s="330"/>
      <c r="T433" s="330"/>
      <c r="U433" s="330"/>
      <c r="V433" s="330"/>
      <c r="W433" s="323"/>
      <c r="X433" s="323"/>
    </row>
    <row r="434" spans="1:24" ht="13.5" customHeight="1">
      <c r="A434" s="323"/>
      <c r="B434" s="323"/>
      <c r="C434" s="229"/>
      <c r="D434" s="324"/>
      <c r="E434" s="325"/>
      <c r="F434" s="326"/>
      <c r="G434" s="326"/>
      <c r="H434" s="326"/>
      <c r="I434" s="327"/>
      <c r="J434" s="385"/>
      <c r="K434" s="328"/>
      <c r="L434" s="328"/>
      <c r="M434" s="377"/>
      <c r="N434" s="229"/>
      <c r="O434" s="229"/>
      <c r="P434" s="323"/>
      <c r="Q434" s="329"/>
      <c r="R434" s="330"/>
      <c r="S434" s="330"/>
      <c r="T434" s="330"/>
      <c r="U434" s="330"/>
      <c r="V434" s="330"/>
      <c r="W434" s="323"/>
      <c r="X434" s="323"/>
    </row>
    <row r="435" spans="1:24" ht="13.5" customHeight="1">
      <c r="A435" s="323"/>
      <c r="B435" s="323"/>
      <c r="C435" s="229"/>
      <c r="D435" s="324"/>
      <c r="E435" s="325"/>
      <c r="F435" s="326"/>
      <c r="G435" s="326"/>
      <c r="H435" s="326"/>
      <c r="I435" s="327"/>
      <c r="J435" s="385"/>
      <c r="K435" s="328"/>
      <c r="L435" s="328"/>
      <c r="M435" s="377"/>
      <c r="N435" s="229"/>
      <c r="O435" s="229"/>
      <c r="P435" s="323"/>
      <c r="Q435" s="329"/>
      <c r="R435" s="330"/>
      <c r="S435" s="330"/>
      <c r="T435" s="330"/>
      <c r="U435" s="330"/>
      <c r="V435" s="330"/>
      <c r="W435" s="323"/>
      <c r="X435" s="323"/>
    </row>
    <row r="436" spans="1:24" ht="13.5" customHeight="1">
      <c r="A436" s="323"/>
      <c r="B436" s="323"/>
      <c r="C436" s="229"/>
      <c r="D436" s="324"/>
      <c r="E436" s="325"/>
      <c r="F436" s="326"/>
      <c r="G436" s="326"/>
      <c r="H436" s="326"/>
      <c r="I436" s="327"/>
      <c r="J436" s="385"/>
      <c r="K436" s="328"/>
      <c r="L436" s="328"/>
      <c r="M436" s="377"/>
      <c r="N436" s="229"/>
      <c r="O436" s="229"/>
      <c r="P436" s="323"/>
      <c r="Q436" s="329"/>
      <c r="R436" s="330"/>
      <c r="S436" s="330"/>
      <c r="T436" s="330"/>
      <c r="U436" s="330"/>
      <c r="V436" s="330"/>
      <c r="W436" s="323"/>
      <c r="X436" s="323"/>
    </row>
    <row r="437" spans="1:24" ht="13.5" customHeight="1">
      <c r="A437" s="323"/>
      <c r="B437" s="323"/>
      <c r="C437" s="229"/>
      <c r="D437" s="324"/>
      <c r="E437" s="325"/>
      <c r="F437" s="326"/>
      <c r="G437" s="326"/>
      <c r="H437" s="326"/>
      <c r="I437" s="327"/>
      <c r="J437" s="385"/>
      <c r="K437" s="328"/>
      <c r="L437" s="328"/>
      <c r="M437" s="377"/>
      <c r="N437" s="229"/>
      <c r="O437" s="229"/>
      <c r="P437" s="323"/>
      <c r="Q437" s="329"/>
      <c r="R437" s="330"/>
      <c r="S437" s="330"/>
      <c r="T437" s="330"/>
      <c r="U437" s="330"/>
      <c r="V437" s="330"/>
      <c r="W437" s="323"/>
      <c r="X437" s="323"/>
    </row>
    <row r="438" spans="1:24" ht="13.5" customHeight="1">
      <c r="A438" s="323"/>
      <c r="B438" s="323"/>
      <c r="C438" s="229"/>
      <c r="D438" s="324"/>
      <c r="E438" s="325"/>
      <c r="F438" s="326"/>
      <c r="G438" s="326"/>
      <c r="H438" s="326"/>
      <c r="I438" s="327"/>
      <c r="J438" s="385"/>
      <c r="K438" s="328"/>
      <c r="L438" s="328"/>
      <c r="M438" s="377"/>
      <c r="N438" s="229"/>
      <c r="O438" s="229"/>
      <c r="P438" s="323"/>
      <c r="Q438" s="329"/>
      <c r="R438" s="330"/>
      <c r="S438" s="330"/>
      <c r="T438" s="330"/>
      <c r="U438" s="330"/>
      <c r="V438" s="330"/>
      <c r="W438" s="323"/>
      <c r="X438" s="323"/>
    </row>
    <row r="439" spans="1:24" ht="13.5" customHeight="1">
      <c r="A439" s="323"/>
      <c r="B439" s="323"/>
      <c r="C439" s="229"/>
      <c r="D439" s="324"/>
      <c r="E439" s="325"/>
      <c r="F439" s="326"/>
      <c r="G439" s="326"/>
      <c r="H439" s="326"/>
      <c r="I439" s="327"/>
      <c r="J439" s="385"/>
      <c r="K439" s="328"/>
      <c r="L439" s="328"/>
      <c r="M439" s="377"/>
      <c r="N439" s="229"/>
      <c r="O439" s="229"/>
      <c r="P439" s="323"/>
      <c r="Q439" s="329"/>
      <c r="R439" s="330"/>
      <c r="S439" s="330"/>
      <c r="T439" s="330"/>
      <c r="U439" s="330"/>
      <c r="V439" s="330"/>
      <c r="W439" s="323"/>
      <c r="X439" s="323"/>
    </row>
    <row r="440" spans="1:24" ht="13.5" customHeight="1">
      <c r="A440" s="323"/>
      <c r="B440" s="323"/>
      <c r="C440" s="229"/>
      <c r="D440" s="324"/>
      <c r="E440" s="325"/>
      <c r="F440" s="326"/>
      <c r="G440" s="326"/>
      <c r="H440" s="326"/>
      <c r="I440" s="327"/>
      <c r="J440" s="385"/>
      <c r="K440" s="328"/>
      <c r="L440" s="328"/>
      <c r="M440" s="377"/>
      <c r="N440" s="229"/>
      <c r="O440" s="229"/>
      <c r="P440" s="323"/>
      <c r="Q440" s="329"/>
      <c r="R440" s="330"/>
      <c r="S440" s="330"/>
      <c r="T440" s="330"/>
      <c r="U440" s="330"/>
      <c r="V440" s="330"/>
      <c r="W440" s="323"/>
      <c r="X440" s="323"/>
    </row>
    <row r="441" spans="1:24" ht="13.5" customHeight="1">
      <c r="A441" s="323"/>
      <c r="B441" s="323"/>
      <c r="C441" s="229"/>
      <c r="D441" s="324"/>
      <c r="E441" s="325"/>
      <c r="F441" s="326"/>
      <c r="G441" s="326"/>
      <c r="H441" s="326"/>
      <c r="I441" s="327"/>
      <c r="J441" s="385"/>
      <c r="K441" s="328"/>
      <c r="L441" s="328"/>
      <c r="M441" s="377"/>
      <c r="N441" s="229"/>
      <c r="O441" s="229"/>
      <c r="P441" s="323"/>
      <c r="Q441" s="329"/>
      <c r="R441" s="330"/>
      <c r="S441" s="330"/>
      <c r="T441" s="330"/>
      <c r="U441" s="330"/>
      <c r="V441" s="330"/>
      <c r="W441" s="323"/>
      <c r="X441" s="323"/>
    </row>
    <row r="442" spans="1:24" ht="13.5" customHeight="1">
      <c r="A442" s="323"/>
      <c r="B442" s="323"/>
      <c r="C442" s="229"/>
      <c r="D442" s="324"/>
      <c r="E442" s="325"/>
      <c r="F442" s="326"/>
      <c r="G442" s="326"/>
      <c r="H442" s="326"/>
      <c r="I442" s="327"/>
      <c r="J442" s="385"/>
      <c r="K442" s="328"/>
      <c r="L442" s="328"/>
      <c r="M442" s="377"/>
      <c r="N442" s="229"/>
      <c r="O442" s="229"/>
      <c r="P442" s="323"/>
      <c r="Q442" s="329"/>
      <c r="R442" s="330"/>
      <c r="S442" s="330"/>
      <c r="T442" s="330"/>
      <c r="U442" s="330"/>
      <c r="V442" s="330"/>
      <c r="W442" s="323"/>
      <c r="X442" s="323"/>
    </row>
    <row r="443" spans="1:24" ht="13.5" customHeight="1">
      <c r="A443" s="323"/>
      <c r="B443" s="323"/>
      <c r="C443" s="229"/>
      <c r="D443" s="324"/>
      <c r="E443" s="325"/>
      <c r="F443" s="326"/>
      <c r="G443" s="326"/>
      <c r="H443" s="326"/>
      <c r="I443" s="327"/>
      <c r="J443" s="385"/>
      <c r="K443" s="328"/>
      <c r="L443" s="328"/>
      <c r="M443" s="377"/>
      <c r="N443" s="229"/>
      <c r="O443" s="229"/>
      <c r="P443" s="323"/>
      <c r="Q443" s="329"/>
      <c r="R443" s="330"/>
      <c r="S443" s="330"/>
      <c r="T443" s="330"/>
      <c r="U443" s="330"/>
      <c r="V443" s="330"/>
      <c r="W443" s="323"/>
      <c r="X443" s="323"/>
    </row>
    <row r="444" spans="1:24" ht="13.5" customHeight="1">
      <c r="A444" s="323"/>
      <c r="B444" s="323"/>
      <c r="C444" s="229"/>
      <c r="D444" s="324"/>
      <c r="E444" s="325"/>
      <c r="F444" s="326"/>
      <c r="G444" s="326"/>
      <c r="H444" s="326"/>
      <c r="I444" s="327"/>
      <c r="J444" s="385"/>
      <c r="K444" s="328"/>
      <c r="L444" s="328"/>
      <c r="M444" s="377"/>
      <c r="N444" s="229"/>
      <c r="O444" s="229"/>
      <c r="P444" s="323"/>
      <c r="Q444" s="329"/>
      <c r="R444" s="330"/>
      <c r="S444" s="330"/>
      <c r="T444" s="330"/>
      <c r="U444" s="330"/>
      <c r="V444" s="330"/>
      <c r="W444" s="323"/>
      <c r="X444" s="323"/>
    </row>
    <row r="445" spans="1:24" ht="13.5" customHeight="1">
      <c r="A445" s="323"/>
      <c r="B445" s="323"/>
      <c r="C445" s="229"/>
      <c r="D445" s="324"/>
      <c r="E445" s="325"/>
      <c r="F445" s="326"/>
      <c r="G445" s="326"/>
      <c r="H445" s="326"/>
      <c r="I445" s="327"/>
      <c r="J445" s="385"/>
      <c r="K445" s="328"/>
      <c r="L445" s="328"/>
      <c r="M445" s="377"/>
      <c r="N445" s="229"/>
      <c r="O445" s="229"/>
      <c r="P445" s="323"/>
      <c r="Q445" s="329"/>
      <c r="R445" s="330"/>
      <c r="S445" s="330"/>
      <c r="T445" s="330"/>
      <c r="U445" s="330"/>
      <c r="V445" s="330"/>
      <c r="W445" s="323"/>
      <c r="X445" s="323"/>
    </row>
    <row r="446" spans="1:24" ht="13.5" customHeight="1">
      <c r="A446" s="323"/>
      <c r="B446" s="323"/>
      <c r="C446" s="229"/>
      <c r="D446" s="324"/>
      <c r="E446" s="325"/>
      <c r="F446" s="326"/>
      <c r="G446" s="326"/>
      <c r="H446" s="326"/>
      <c r="I446" s="327"/>
      <c r="J446" s="385"/>
      <c r="K446" s="328"/>
      <c r="L446" s="328"/>
      <c r="M446" s="377"/>
      <c r="N446" s="229"/>
      <c r="O446" s="229"/>
      <c r="P446" s="323"/>
      <c r="Q446" s="329"/>
      <c r="R446" s="330"/>
      <c r="S446" s="330"/>
      <c r="T446" s="330"/>
      <c r="U446" s="330"/>
      <c r="V446" s="330"/>
      <c r="W446" s="323"/>
      <c r="X446" s="323"/>
    </row>
    <row r="447" spans="1:24" ht="13.5" customHeight="1">
      <c r="A447" s="323"/>
      <c r="B447" s="323"/>
      <c r="C447" s="229"/>
      <c r="D447" s="324"/>
      <c r="E447" s="325"/>
      <c r="F447" s="326"/>
      <c r="G447" s="326"/>
      <c r="H447" s="326"/>
      <c r="I447" s="327"/>
      <c r="J447" s="385"/>
      <c r="K447" s="328"/>
      <c r="L447" s="328"/>
      <c r="M447" s="377"/>
      <c r="N447" s="229"/>
      <c r="O447" s="229"/>
      <c r="P447" s="323"/>
      <c r="Q447" s="329"/>
      <c r="R447" s="330"/>
      <c r="S447" s="330"/>
      <c r="T447" s="330"/>
      <c r="U447" s="330"/>
      <c r="V447" s="330"/>
      <c r="W447" s="323"/>
      <c r="X447" s="323"/>
    </row>
    <row r="448" spans="1:24" ht="13.5" customHeight="1">
      <c r="A448" s="323"/>
      <c r="B448" s="323"/>
      <c r="C448" s="229"/>
      <c r="D448" s="324"/>
      <c r="E448" s="325"/>
      <c r="F448" s="326"/>
      <c r="G448" s="326"/>
      <c r="H448" s="326"/>
      <c r="I448" s="327"/>
      <c r="J448" s="385"/>
      <c r="K448" s="328"/>
      <c r="L448" s="328"/>
      <c r="M448" s="377"/>
      <c r="N448" s="229"/>
      <c r="O448" s="229"/>
      <c r="P448" s="323"/>
      <c r="Q448" s="329"/>
      <c r="R448" s="330"/>
      <c r="S448" s="330"/>
      <c r="T448" s="330"/>
      <c r="U448" s="330"/>
      <c r="V448" s="330"/>
      <c r="W448" s="323"/>
      <c r="X448" s="323"/>
    </row>
    <row r="449" spans="1:24" ht="13.5" customHeight="1">
      <c r="A449" s="323"/>
      <c r="B449" s="323"/>
      <c r="C449" s="229"/>
      <c r="D449" s="324"/>
      <c r="E449" s="325"/>
      <c r="F449" s="326"/>
      <c r="G449" s="326"/>
      <c r="H449" s="326"/>
      <c r="I449" s="327"/>
      <c r="J449" s="385"/>
      <c r="K449" s="328"/>
      <c r="L449" s="328"/>
      <c r="M449" s="377"/>
      <c r="N449" s="229"/>
      <c r="O449" s="229"/>
      <c r="P449" s="323"/>
      <c r="Q449" s="329"/>
      <c r="R449" s="330"/>
      <c r="S449" s="330"/>
      <c r="T449" s="330"/>
      <c r="U449" s="330"/>
      <c r="V449" s="330"/>
      <c r="W449" s="323"/>
      <c r="X449" s="323"/>
    </row>
    <row r="450" spans="1:24" ht="13.5" customHeight="1">
      <c r="A450" s="323"/>
      <c r="B450" s="323"/>
      <c r="C450" s="229"/>
      <c r="D450" s="324"/>
      <c r="E450" s="325"/>
      <c r="F450" s="326"/>
      <c r="G450" s="326"/>
      <c r="H450" s="326"/>
      <c r="I450" s="327"/>
      <c r="J450" s="385"/>
      <c r="K450" s="328"/>
      <c r="L450" s="328"/>
      <c r="M450" s="377"/>
      <c r="N450" s="229"/>
      <c r="O450" s="229"/>
      <c r="P450" s="323"/>
      <c r="Q450" s="329"/>
      <c r="R450" s="330"/>
      <c r="S450" s="330"/>
      <c r="T450" s="330"/>
      <c r="U450" s="330"/>
      <c r="V450" s="330"/>
      <c r="W450" s="323"/>
      <c r="X450" s="323"/>
    </row>
    <row r="451" spans="1:24" ht="13.5" customHeight="1">
      <c r="A451" s="323"/>
      <c r="B451" s="323"/>
      <c r="C451" s="229"/>
      <c r="D451" s="324"/>
      <c r="E451" s="325"/>
      <c r="F451" s="326"/>
      <c r="G451" s="326"/>
      <c r="H451" s="326"/>
      <c r="I451" s="327"/>
      <c r="J451" s="385"/>
      <c r="K451" s="328"/>
      <c r="L451" s="328"/>
      <c r="M451" s="377"/>
      <c r="N451" s="229"/>
      <c r="O451" s="229"/>
      <c r="P451" s="323"/>
      <c r="Q451" s="329"/>
      <c r="R451" s="330"/>
      <c r="S451" s="330"/>
      <c r="T451" s="330"/>
      <c r="U451" s="330"/>
      <c r="V451" s="330"/>
      <c r="W451" s="323"/>
      <c r="X451" s="323"/>
    </row>
    <row r="452" spans="1:24" ht="13.5" customHeight="1">
      <c r="A452" s="323"/>
      <c r="B452" s="323"/>
      <c r="C452" s="229"/>
      <c r="D452" s="324"/>
      <c r="E452" s="325"/>
      <c r="F452" s="326"/>
      <c r="G452" s="326"/>
      <c r="H452" s="326"/>
      <c r="I452" s="327"/>
      <c r="J452" s="385"/>
      <c r="K452" s="328"/>
      <c r="L452" s="328"/>
      <c r="M452" s="377"/>
      <c r="N452" s="229"/>
      <c r="O452" s="229"/>
      <c r="P452" s="323"/>
      <c r="Q452" s="329"/>
      <c r="R452" s="330"/>
      <c r="S452" s="330"/>
      <c r="T452" s="330"/>
      <c r="U452" s="330"/>
      <c r="V452" s="330"/>
      <c r="W452" s="323"/>
      <c r="X452" s="323"/>
    </row>
    <row r="453" spans="1:24" ht="13.5" customHeight="1">
      <c r="A453" s="323"/>
      <c r="B453" s="323"/>
      <c r="C453" s="229"/>
      <c r="D453" s="324"/>
      <c r="E453" s="325"/>
      <c r="F453" s="326"/>
      <c r="G453" s="326"/>
      <c r="H453" s="326"/>
      <c r="I453" s="327"/>
      <c r="J453" s="385"/>
      <c r="K453" s="328"/>
      <c r="L453" s="328"/>
      <c r="M453" s="377"/>
      <c r="N453" s="229"/>
      <c r="O453" s="229"/>
      <c r="P453" s="323"/>
      <c r="Q453" s="329"/>
      <c r="R453" s="330"/>
      <c r="S453" s="330"/>
      <c r="T453" s="330"/>
      <c r="U453" s="330"/>
      <c r="V453" s="330"/>
      <c r="W453" s="323"/>
      <c r="X453" s="323"/>
    </row>
    <row r="454" spans="1:24" ht="13.5" customHeight="1">
      <c r="A454" s="323"/>
      <c r="B454" s="323"/>
      <c r="C454" s="229"/>
      <c r="D454" s="324"/>
      <c r="E454" s="325"/>
      <c r="F454" s="326"/>
      <c r="G454" s="326"/>
      <c r="H454" s="326"/>
      <c r="I454" s="327"/>
      <c r="J454" s="385"/>
      <c r="K454" s="328"/>
      <c r="L454" s="328"/>
      <c r="M454" s="377"/>
      <c r="N454" s="229"/>
      <c r="O454" s="229"/>
      <c r="P454" s="323"/>
      <c r="Q454" s="329"/>
      <c r="R454" s="330"/>
      <c r="S454" s="330"/>
      <c r="T454" s="330"/>
      <c r="U454" s="330"/>
      <c r="V454" s="330"/>
      <c r="W454" s="323"/>
      <c r="X454" s="323"/>
    </row>
    <row r="455" spans="1:24" ht="13.5" customHeight="1">
      <c r="A455" s="323"/>
      <c r="B455" s="323"/>
      <c r="C455" s="229"/>
      <c r="D455" s="324"/>
      <c r="E455" s="325"/>
      <c r="F455" s="326"/>
      <c r="G455" s="326"/>
      <c r="H455" s="326"/>
      <c r="I455" s="327"/>
      <c r="J455" s="385"/>
      <c r="K455" s="328"/>
      <c r="L455" s="328"/>
      <c r="M455" s="377"/>
      <c r="N455" s="229"/>
      <c r="O455" s="229"/>
      <c r="P455" s="323"/>
      <c r="Q455" s="329"/>
      <c r="R455" s="330"/>
      <c r="S455" s="330"/>
      <c r="T455" s="330"/>
      <c r="U455" s="330"/>
      <c r="V455" s="330"/>
      <c r="W455" s="323"/>
      <c r="X455" s="323"/>
    </row>
    <row r="456" spans="1:24" ht="13.5" customHeight="1">
      <c r="A456" s="323"/>
      <c r="B456" s="323"/>
      <c r="C456" s="229"/>
      <c r="D456" s="324"/>
      <c r="E456" s="325"/>
      <c r="F456" s="326"/>
      <c r="G456" s="326"/>
      <c r="H456" s="326"/>
      <c r="I456" s="327"/>
      <c r="J456" s="385"/>
      <c r="K456" s="328"/>
      <c r="L456" s="328"/>
      <c r="M456" s="377"/>
      <c r="N456" s="229"/>
      <c r="O456" s="229"/>
      <c r="P456" s="323"/>
      <c r="Q456" s="329"/>
      <c r="R456" s="330"/>
      <c r="S456" s="330"/>
      <c r="T456" s="330"/>
      <c r="U456" s="330"/>
      <c r="V456" s="330"/>
      <c r="W456" s="323"/>
      <c r="X456" s="323"/>
    </row>
    <row r="457" spans="1:24" ht="13.5" customHeight="1">
      <c r="A457" s="323"/>
      <c r="B457" s="323"/>
      <c r="C457" s="229"/>
      <c r="D457" s="324"/>
      <c r="E457" s="325"/>
      <c r="F457" s="326"/>
      <c r="G457" s="326"/>
      <c r="H457" s="326"/>
      <c r="I457" s="327"/>
      <c r="J457" s="385"/>
      <c r="K457" s="328"/>
      <c r="L457" s="328"/>
      <c r="M457" s="377"/>
      <c r="N457" s="229"/>
      <c r="O457" s="229"/>
      <c r="P457" s="323"/>
      <c r="Q457" s="329"/>
      <c r="R457" s="330"/>
      <c r="S457" s="330"/>
      <c r="T457" s="330"/>
      <c r="U457" s="330"/>
      <c r="V457" s="330"/>
      <c r="W457" s="323"/>
      <c r="X457" s="323"/>
    </row>
    <row r="458" spans="1:24" ht="13.5" customHeight="1">
      <c r="A458" s="323"/>
      <c r="B458" s="323"/>
      <c r="C458" s="229"/>
      <c r="D458" s="324"/>
      <c r="E458" s="325"/>
      <c r="F458" s="326"/>
      <c r="G458" s="326"/>
      <c r="H458" s="326"/>
      <c r="I458" s="327"/>
      <c r="J458" s="385"/>
      <c r="K458" s="328"/>
      <c r="L458" s="328"/>
      <c r="M458" s="377"/>
      <c r="N458" s="229"/>
      <c r="O458" s="229"/>
      <c r="P458" s="323"/>
      <c r="Q458" s="329"/>
      <c r="R458" s="330"/>
      <c r="S458" s="330"/>
      <c r="T458" s="330"/>
      <c r="U458" s="330"/>
      <c r="V458" s="330"/>
      <c r="W458" s="323"/>
      <c r="X458" s="323"/>
    </row>
    <row r="459" spans="1:24" ht="13.5" customHeight="1">
      <c r="A459" s="323"/>
      <c r="B459" s="323"/>
      <c r="C459" s="229"/>
      <c r="D459" s="324"/>
      <c r="E459" s="325"/>
      <c r="F459" s="326"/>
      <c r="G459" s="326"/>
      <c r="H459" s="326"/>
      <c r="I459" s="327"/>
      <c r="J459" s="385"/>
      <c r="K459" s="328"/>
      <c r="L459" s="328"/>
      <c r="M459" s="377"/>
      <c r="N459" s="229"/>
      <c r="O459" s="229"/>
      <c r="P459" s="323"/>
      <c r="Q459" s="329"/>
      <c r="R459" s="330"/>
      <c r="S459" s="330"/>
      <c r="T459" s="330"/>
      <c r="U459" s="330"/>
      <c r="V459" s="330"/>
      <c r="W459" s="323"/>
      <c r="X459" s="323"/>
    </row>
    <row r="460" spans="1:24" ht="13.5" customHeight="1">
      <c r="A460" s="323"/>
      <c r="B460" s="323"/>
      <c r="C460" s="229"/>
      <c r="D460" s="324"/>
      <c r="E460" s="325"/>
      <c r="F460" s="326"/>
      <c r="G460" s="326"/>
      <c r="H460" s="326"/>
      <c r="I460" s="327"/>
      <c r="J460" s="385"/>
      <c r="K460" s="328"/>
      <c r="L460" s="328"/>
      <c r="M460" s="377"/>
      <c r="N460" s="229"/>
      <c r="O460" s="229"/>
      <c r="P460" s="323"/>
      <c r="Q460" s="329"/>
      <c r="R460" s="330"/>
      <c r="S460" s="330"/>
      <c r="T460" s="330"/>
      <c r="U460" s="330"/>
      <c r="V460" s="330"/>
      <c r="W460" s="323"/>
      <c r="X460" s="323"/>
    </row>
    <row r="461" spans="1:24" ht="13.5" customHeight="1">
      <c r="A461" s="323"/>
      <c r="B461" s="323"/>
      <c r="C461" s="229"/>
      <c r="D461" s="324"/>
      <c r="E461" s="325"/>
      <c r="F461" s="326"/>
      <c r="G461" s="326"/>
      <c r="H461" s="326"/>
      <c r="I461" s="327"/>
      <c r="J461" s="385"/>
      <c r="K461" s="328"/>
      <c r="L461" s="328"/>
      <c r="M461" s="377"/>
      <c r="N461" s="229"/>
      <c r="O461" s="229"/>
      <c r="P461" s="323"/>
      <c r="Q461" s="329"/>
      <c r="R461" s="330"/>
      <c r="S461" s="330"/>
      <c r="T461" s="330"/>
      <c r="U461" s="330"/>
      <c r="V461" s="330"/>
      <c r="W461" s="323"/>
      <c r="X461" s="323"/>
    </row>
    <row r="462" spans="1:24" ht="13.5" customHeight="1">
      <c r="A462" s="323"/>
      <c r="B462" s="323"/>
      <c r="C462" s="229"/>
      <c r="D462" s="324"/>
      <c r="E462" s="325"/>
      <c r="F462" s="326"/>
      <c r="G462" s="326"/>
      <c r="H462" s="326"/>
      <c r="I462" s="327"/>
      <c r="J462" s="385"/>
      <c r="K462" s="328"/>
      <c r="L462" s="328"/>
      <c r="M462" s="377"/>
      <c r="N462" s="229"/>
      <c r="O462" s="229"/>
      <c r="P462" s="323"/>
      <c r="Q462" s="329"/>
      <c r="R462" s="330"/>
      <c r="S462" s="330"/>
      <c r="T462" s="330"/>
      <c r="U462" s="330"/>
      <c r="V462" s="330"/>
      <c r="W462" s="323"/>
      <c r="X462" s="323"/>
    </row>
    <row r="463" spans="1:24" ht="13.5" customHeight="1">
      <c r="A463" s="323"/>
      <c r="B463" s="323"/>
      <c r="C463" s="229"/>
      <c r="D463" s="324"/>
      <c r="E463" s="325"/>
      <c r="F463" s="326"/>
      <c r="G463" s="326"/>
      <c r="H463" s="326"/>
      <c r="I463" s="327"/>
      <c r="J463" s="385"/>
      <c r="K463" s="328"/>
      <c r="L463" s="328"/>
      <c r="M463" s="377"/>
      <c r="N463" s="229"/>
      <c r="O463" s="229"/>
      <c r="P463" s="323"/>
      <c r="Q463" s="329"/>
      <c r="R463" s="330"/>
      <c r="S463" s="330"/>
      <c r="T463" s="330"/>
      <c r="U463" s="330"/>
      <c r="V463" s="330"/>
      <c r="W463" s="323"/>
      <c r="X463" s="323"/>
    </row>
    <row r="464" spans="1:24" ht="13.5" customHeight="1">
      <c r="A464" s="323"/>
      <c r="B464" s="323"/>
      <c r="C464" s="229"/>
      <c r="D464" s="324"/>
      <c r="E464" s="325"/>
      <c r="F464" s="326"/>
      <c r="G464" s="326"/>
      <c r="H464" s="326"/>
      <c r="I464" s="327"/>
      <c r="J464" s="385"/>
      <c r="K464" s="328"/>
      <c r="L464" s="328"/>
      <c r="M464" s="377"/>
      <c r="N464" s="229"/>
      <c r="O464" s="229"/>
      <c r="P464" s="323"/>
      <c r="Q464" s="329"/>
      <c r="R464" s="330"/>
      <c r="S464" s="330"/>
      <c r="T464" s="330"/>
      <c r="U464" s="330"/>
      <c r="V464" s="330"/>
      <c r="W464" s="323"/>
      <c r="X464" s="323"/>
    </row>
    <row r="465" spans="1:24" ht="13.5" customHeight="1">
      <c r="A465" s="323"/>
      <c r="B465" s="323"/>
      <c r="C465" s="229"/>
      <c r="D465" s="324"/>
      <c r="E465" s="325"/>
      <c r="F465" s="326"/>
      <c r="G465" s="326"/>
      <c r="H465" s="326"/>
      <c r="I465" s="327"/>
      <c r="J465" s="385"/>
      <c r="K465" s="328"/>
      <c r="L465" s="328"/>
      <c r="M465" s="377"/>
      <c r="N465" s="229"/>
      <c r="O465" s="229"/>
      <c r="P465" s="323"/>
      <c r="Q465" s="329"/>
      <c r="R465" s="330"/>
      <c r="S465" s="330"/>
      <c r="T465" s="330"/>
      <c r="U465" s="330"/>
      <c r="V465" s="330"/>
      <c r="W465" s="323"/>
      <c r="X465" s="323"/>
    </row>
    <row r="466" spans="1:24" ht="13.5" customHeight="1">
      <c r="A466" s="323"/>
      <c r="B466" s="323"/>
      <c r="C466" s="229"/>
      <c r="D466" s="324"/>
      <c r="E466" s="325"/>
      <c r="F466" s="326"/>
      <c r="G466" s="326"/>
      <c r="H466" s="326"/>
      <c r="I466" s="327"/>
      <c r="J466" s="385"/>
      <c r="K466" s="328"/>
      <c r="L466" s="328"/>
      <c r="M466" s="377"/>
      <c r="N466" s="229"/>
      <c r="O466" s="229"/>
      <c r="P466" s="323"/>
      <c r="Q466" s="329"/>
      <c r="R466" s="330"/>
      <c r="S466" s="330"/>
      <c r="T466" s="330"/>
      <c r="U466" s="330"/>
      <c r="V466" s="330"/>
      <c r="W466" s="323"/>
      <c r="X466" s="323"/>
    </row>
    <row r="467" spans="1:24" ht="13.5" customHeight="1">
      <c r="A467" s="323"/>
      <c r="B467" s="323"/>
      <c r="C467" s="229"/>
      <c r="D467" s="324"/>
      <c r="E467" s="325"/>
      <c r="F467" s="326"/>
      <c r="G467" s="326"/>
      <c r="H467" s="326"/>
      <c r="I467" s="327"/>
      <c r="J467" s="385"/>
      <c r="K467" s="328"/>
      <c r="L467" s="328"/>
      <c r="M467" s="377"/>
      <c r="N467" s="229"/>
      <c r="O467" s="229"/>
      <c r="P467" s="323"/>
      <c r="Q467" s="329"/>
      <c r="R467" s="330"/>
      <c r="S467" s="330"/>
      <c r="T467" s="330"/>
      <c r="U467" s="330"/>
      <c r="V467" s="330"/>
      <c r="W467" s="323"/>
      <c r="X467" s="323"/>
    </row>
    <row r="468" spans="1:24" ht="13.5" customHeight="1">
      <c r="A468" s="323"/>
      <c r="B468" s="323"/>
      <c r="C468" s="229"/>
      <c r="D468" s="324"/>
      <c r="E468" s="325"/>
      <c r="F468" s="326"/>
      <c r="G468" s="326"/>
      <c r="H468" s="326"/>
      <c r="I468" s="327"/>
      <c r="J468" s="385"/>
      <c r="K468" s="328"/>
      <c r="L468" s="328"/>
      <c r="M468" s="377"/>
      <c r="N468" s="229"/>
      <c r="O468" s="229"/>
      <c r="P468" s="323"/>
      <c r="Q468" s="329"/>
      <c r="R468" s="330"/>
      <c r="S468" s="330"/>
      <c r="T468" s="330"/>
      <c r="U468" s="330"/>
      <c r="V468" s="330"/>
      <c r="W468" s="323"/>
      <c r="X468" s="323"/>
    </row>
    <row r="469" spans="1:24" ht="13.5" customHeight="1">
      <c r="A469" s="323"/>
      <c r="B469" s="323"/>
      <c r="C469" s="229"/>
      <c r="D469" s="324"/>
      <c r="E469" s="325"/>
      <c r="F469" s="326"/>
      <c r="G469" s="326"/>
      <c r="H469" s="326"/>
      <c r="I469" s="327"/>
      <c r="J469" s="385"/>
      <c r="K469" s="328"/>
      <c r="L469" s="328"/>
      <c r="M469" s="377"/>
      <c r="N469" s="229"/>
      <c r="O469" s="229"/>
      <c r="P469" s="323"/>
      <c r="Q469" s="329"/>
      <c r="R469" s="330"/>
      <c r="S469" s="330"/>
      <c r="T469" s="330"/>
      <c r="U469" s="330"/>
      <c r="V469" s="330"/>
      <c r="W469" s="323"/>
      <c r="X469" s="323"/>
    </row>
    <row r="470" spans="1:24" ht="13.5" customHeight="1">
      <c r="A470" s="323"/>
      <c r="B470" s="323"/>
      <c r="C470" s="229"/>
      <c r="D470" s="324"/>
      <c r="E470" s="325"/>
      <c r="F470" s="326"/>
      <c r="G470" s="326"/>
      <c r="H470" s="326"/>
      <c r="I470" s="327"/>
      <c r="J470" s="385"/>
      <c r="K470" s="328"/>
      <c r="L470" s="328"/>
      <c r="M470" s="377"/>
      <c r="N470" s="229"/>
      <c r="O470" s="229"/>
      <c r="P470" s="323"/>
      <c r="Q470" s="329"/>
      <c r="R470" s="330"/>
      <c r="S470" s="330"/>
      <c r="T470" s="330"/>
      <c r="U470" s="330"/>
      <c r="V470" s="330"/>
      <c r="W470" s="323"/>
      <c r="X470" s="323"/>
    </row>
    <row r="471" spans="1:24" ht="13.5" customHeight="1">
      <c r="A471" s="323"/>
      <c r="B471" s="323"/>
      <c r="C471" s="229"/>
      <c r="D471" s="324"/>
      <c r="E471" s="325"/>
      <c r="F471" s="326"/>
      <c r="G471" s="326"/>
      <c r="H471" s="326"/>
      <c r="I471" s="327"/>
      <c r="J471" s="385"/>
      <c r="K471" s="328"/>
      <c r="L471" s="328"/>
      <c r="M471" s="377"/>
      <c r="N471" s="229"/>
      <c r="O471" s="229"/>
      <c r="P471" s="323"/>
      <c r="Q471" s="329"/>
      <c r="R471" s="330"/>
      <c r="S471" s="330"/>
      <c r="T471" s="330"/>
      <c r="U471" s="330"/>
      <c r="V471" s="330"/>
      <c r="W471" s="323"/>
      <c r="X471" s="323"/>
    </row>
    <row r="472" spans="1:24" ht="13.5" customHeight="1">
      <c r="A472" s="323"/>
      <c r="B472" s="323"/>
      <c r="C472" s="229"/>
      <c r="D472" s="324"/>
      <c r="E472" s="325"/>
      <c r="F472" s="326"/>
      <c r="G472" s="326"/>
      <c r="H472" s="326"/>
      <c r="I472" s="327"/>
      <c r="J472" s="385"/>
      <c r="K472" s="328"/>
      <c r="L472" s="328"/>
      <c r="M472" s="377"/>
      <c r="N472" s="229"/>
      <c r="O472" s="229"/>
      <c r="P472" s="323"/>
      <c r="Q472" s="329"/>
      <c r="R472" s="330"/>
      <c r="S472" s="330"/>
      <c r="T472" s="330"/>
      <c r="U472" s="330"/>
      <c r="V472" s="330"/>
      <c r="W472" s="323"/>
      <c r="X472" s="323"/>
    </row>
    <row r="473" spans="1:24" ht="13.5" customHeight="1">
      <c r="A473" s="323"/>
      <c r="B473" s="323"/>
      <c r="C473" s="229"/>
      <c r="D473" s="324"/>
      <c r="E473" s="325"/>
      <c r="F473" s="326"/>
      <c r="G473" s="326"/>
      <c r="H473" s="326"/>
      <c r="I473" s="327"/>
      <c r="J473" s="385"/>
      <c r="K473" s="328"/>
      <c r="L473" s="328"/>
      <c r="M473" s="377"/>
      <c r="N473" s="229"/>
      <c r="O473" s="229"/>
      <c r="P473" s="323"/>
      <c r="Q473" s="329"/>
      <c r="R473" s="330"/>
      <c r="S473" s="330"/>
      <c r="T473" s="330"/>
      <c r="U473" s="330"/>
      <c r="V473" s="330"/>
      <c r="W473" s="323"/>
      <c r="X473" s="323"/>
    </row>
    <row r="474" spans="1:24" ht="13.5" customHeight="1">
      <c r="A474" s="323"/>
      <c r="B474" s="323"/>
      <c r="C474" s="229"/>
      <c r="D474" s="324"/>
      <c r="E474" s="325"/>
      <c r="F474" s="326"/>
      <c r="G474" s="326"/>
      <c r="H474" s="326"/>
      <c r="I474" s="327"/>
      <c r="J474" s="385"/>
      <c r="K474" s="328"/>
      <c r="L474" s="328"/>
      <c r="M474" s="377"/>
      <c r="N474" s="229"/>
      <c r="O474" s="229"/>
      <c r="P474" s="323"/>
      <c r="Q474" s="329"/>
      <c r="R474" s="330"/>
      <c r="S474" s="330"/>
      <c r="T474" s="330"/>
      <c r="U474" s="330"/>
      <c r="V474" s="330"/>
      <c r="W474" s="323"/>
      <c r="X474" s="323"/>
    </row>
    <row r="475" spans="1:24" ht="13.5" customHeight="1">
      <c r="A475" s="323"/>
      <c r="B475" s="323"/>
      <c r="C475" s="229"/>
      <c r="D475" s="324"/>
      <c r="E475" s="325"/>
      <c r="F475" s="326"/>
      <c r="G475" s="326"/>
      <c r="H475" s="326"/>
      <c r="I475" s="327"/>
      <c r="J475" s="385"/>
      <c r="K475" s="328"/>
      <c r="L475" s="328"/>
      <c r="M475" s="377"/>
      <c r="N475" s="229"/>
      <c r="O475" s="229"/>
      <c r="P475" s="323"/>
      <c r="Q475" s="329"/>
      <c r="R475" s="330"/>
      <c r="S475" s="330"/>
      <c r="T475" s="330"/>
      <c r="U475" s="330"/>
      <c r="V475" s="330"/>
      <c r="W475" s="323"/>
      <c r="X475" s="323"/>
    </row>
    <row r="476" spans="1:24" ht="13.5" customHeight="1">
      <c r="A476" s="323"/>
      <c r="B476" s="323"/>
      <c r="C476" s="229"/>
      <c r="D476" s="324"/>
      <c r="E476" s="325"/>
      <c r="F476" s="326"/>
      <c r="G476" s="326"/>
      <c r="H476" s="326"/>
      <c r="I476" s="327"/>
      <c r="J476" s="385"/>
      <c r="K476" s="328"/>
      <c r="L476" s="328"/>
      <c r="M476" s="377"/>
      <c r="N476" s="229"/>
      <c r="O476" s="229"/>
      <c r="P476" s="323"/>
      <c r="Q476" s="329"/>
      <c r="R476" s="330"/>
      <c r="S476" s="330"/>
      <c r="T476" s="330"/>
      <c r="U476" s="330"/>
      <c r="V476" s="330"/>
      <c r="W476" s="323"/>
      <c r="X476" s="323"/>
    </row>
    <row r="477" spans="1:24" ht="13.5" customHeight="1">
      <c r="A477" s="323"/>
      <c r="B477" s="323"/>
      <c r="C477" s="229"/>
      <c r="D477" s="324"/>
      <c r="E477" s="325"/>
      <c r="F477" s="326"/>
      <c r="G477" s="326"/>
      <c r="H477" s="326"/>
      <c r="I477" s="327"/>
      <c r="J477" s="385"/>
      <c r="K477" s="328"/>
      <c r="L477" s="328"/>
      <c r="M477" s="377"/>
      <c r="N477" s="229"/>
      <c r="O477" s="229"/>
      <c r="P477" s="323"/>
      <c r="Q477" s="329"/>
      <c r="R477" s="330"/>
      <c r="S477" s="330"/>
      <c r="T477" s="330"/>
      <c r="U477" s="330"/>
      <c r="V477" s="330"/>
      <c r="W477" s="323"/>
      <c r="X477" s="323"/>
    </row>
    <row r="478" spans="1:24" ht="13.5" customHeight="1">
      <c r="A478" s="323"/>
      <c r="B478" s="323"/>
      <c r="C478" s="229"/>
      <c r="D478" s="324"/>
      <c r="E478" s="325"/>
      <c r="F478" s="326"/>
      <c r="G478" s="326"/>
      <c r="H478" s="326"/>
      <c r="I478" s="327"/>
      <c r="J478" s="385"/>
      <c r="K478" s="328"/>
      <c r="L478" s="328"/>
      <c r="M478" s="377"/>
      <c r="N478" s="229"/>
      <c r="O478" s="229"/>
      <c r="P478" s="323"/>
      <c r="Q478" s="329"/>
      <c r="R478" s="330"/>
      <c r="S478" s="330"/>
      <c r="T478" s="330"/>
      <c r="U478" s="330"/>
      <c r="V478" s="330"/>
      <c r="W478" s="323"/>
      <c r="X478" s="323"/>
    </row>
    <row r="479" spans="1:24" ht="13.5" customHeight="1">
      <c r="A479" s="323"/>
      <c r="B479" s="323"/>
      <c r="C479" s="229"/>
      <c r="D479" s="324"/>
      <c r="E479" s="325"/>
      <c r="F479" s="326"/>
      <c r="G479" s="326"/>
      <c r="H479" s="326"/>
      <c r="I479" s="327"/>
      <c r="J479" s="385"/>
      <c r="K479" s="328"/>
      <c r="L479" s="328"/>
      <c r="M479" s="377"/>
      <c r="N479" s="229"/>
      <c r="O479" s="229"/>
      <c r="P479" s="323"/>
      <c r="Q479" s="329"/>
      <c r="R479" s="330"/>
      <c r="S479" s="330"/>
      <c r="T479" s="330"/>
      <c r="U479" s="330"/>
      <c r="V479" s="330"/>
      <c r="W479" s="323"/>
      <c r="X479" s="323"/>
    </row>
    <row r="480" spans="1:24" ht="13.5" customHeight="1">
      <c r="A480" s="323"/>
      <c r="B480" s="323"/>
      <c r="C480" s="229"/>
      <c r="D480" s="324"/>
      <c r="E480" s="325"/>
      <c r="F480" s="326"/>
      <c r="G480" s="326"/>
      <c r="H480" s="326"/>
      <c r="I480" s="327"/>
      <c r="J480" s="385"/>
      <c r="K480" s="328"/>
      <c r="L480" s="328"/>
      <c r="M480" s="377"/>
      <c r="N480" s="229"/>
      <c r="O480" s="229"/>
      <c r="P480" s="323"/>
      <c r="Q480" s="329"/>
      <c r="R480" s="330"/>
      <c r="S480" s="330"/>
      <c r="T480" s="330"/>
      <c r="U480" s="330"/>
      <c r="V480" s="330"/>
      <c r="W480" s="323"/>
      <c r="X480" s="323"/>
    </row>
    <row r="481" spans="1:24" ht="13.5" customHeight="1">
      <c r="A481" s="323"/>
      <c r="B481" s="323"/>
      <c r="C481" s="229"/>
      <c r="D481" s="324"/>
      <c r="E481" s="325"/>
      <c r="F481" s="326"/>
      <c r="G481" s="326"/>
      <c r="H481" s="326"/>
      <c r="I481" s="327"/>
      <c r="J481" s="385"/>
      <c r="K481" s="328"/>
      <c r="L481" s="328"/>
      <c r="M481" s="377"/>
      <c r="N481" s="229"/>
      <c r="O481" s="229"/>
      <c r="P481" s="323"/>
      <c r="Q481" s="329"/>
      <c r="R481" s="330"/>
      <c r="S481" s="330"/>
      <c r="T481" s="330"/>
      <c r="U481" s="330"/>
      <c r="V481" s="330"/>
      <c r="W481" s="323"/>
      <c r="X481" s="323"/>
    </row>
    <row r="482" spans="1:24" ht="13.5" customHeight="1">
      <c r="A482" s="323"/>
      <c r="B482" s="323"/>
      <c r="C482" s="229"/>
      <c r="D482" s="324"/>
      <c r="E482" s="325"/>
      <c r="F482" s="326"/>
      <c r="G482" s="326"/>
      <c r="H482" s="326"/>
      <c r="I482" s="327"/>
      <c r="J482" s="385"/>
      <c r="K482" s="328"/>
      <c r="L482" s="328"/>
      <c r="M482" s="377"/>
      <c r="N482" s="229"/>
      <c r="O482" s="229"/>
      <c r="P482" s="323"/>
      <c r="Q482" s="329"/>
      <c r="R482" s="330"/>
      <c r="S482" s="330"/>
      <c r="T482" s="330"/>
      <c r="U482" s="330"/>
      <c r="V482" s="330"/>
      <c r="W482" s="323"/>
      <c r="X482" s="323"/>
    </row>
    <row r="483" spans="1:24" ht="13.5" customHeight="1">
      <c r="A483" s="323"/>
      <c r="B483" s="323"/>
      <c r="C483" s="229"/>
      <c r="D483" s="324"/>
      <c r="E483" s="325"/>
      <c r="F483" s="326"/>
      <c r="G483" s="326"/>
      <c r="H483" s="326"/>
      <c r="I483" s="327"/>
      <c r="J483" s="385"/>
      <c r="K483" s="328"/>
      <c r="L483" s="328"/>
      <c r="M483" s="377"/>
      <c r="N483" s="229"/>
      <c r="O483" s="229"/>
      <c r="P483" s="323"/>
      <c r="Q483" s="329"/>
      <c r="R483" s="330"/>
      <c r="S483" s="330"/>
      <c r="T483" s="330"/>
      <c r="U483" s="330"/>
      <c r="V483" s="330"/>
      <c r="W483" s="323"/>
      <c r="X483" s="323"/>
    </row>
    <row r="484" spans="1:24" ht="13.5" customHeight="1">
      <c r="A484" s="323"/>
      <c r="B484" s="323"/>
      <c r="C484" s="229"/>
      <c r="D484" s="324"/>
      <c r="E484" s="325"/>
      <c r="F484" s="326"/>
      <c r="G484" s="326"/>
      <c r="H484" s="326"/>
      <c r="I484" s="327"/>
      <c r="J484" s="385"/>
      <c r="K484" s="328"/>
      <c r="L484" s="328"/>
      <c r="M484" s="377"/>
      <c r="N484" s="229"/>
      <c r="O484" s="229"/>
      <c r="P484" s="323"/>
      <c r="Q484" s="329"/>
      <c r="R484" s="330"/>
      <c r="S484" s="330"/>
      <c r="T484" s="330"/>
      <c r="U484" s="330"/>
      <c r="V484" s="330"/>
      <c r="W484" s="323"/>
      <c r="X484" s="323"/>
    </row>
    <row r="485" spans="1:24" ht="13.5" customHeight="1">
      <c r="A485" s="323"/>
      <c r="B485" s="323"/>
      <c r="C485" s="229"/>
      <c r="D485" s="324"/>
      <c r="E485" s="325"/>
      <c r="F485" s="326"/>
      <c r="G485" s="326"/>
      <c r="H485" s="326"/>
      <c r="I485" s="327"/>
      <c r="J485" s="385"/>
      <c r="K485" s="328"/>
      <c r="L485" s="328"/>
      <c r="M485" s="377"/>
      <c r="N485" s="229"/>
      <c r="O485" s="229"/>
      <c r="P485" s="323"/>
      <c r="Q485" s="329"/>
      <c r="R485" s="330"/>
      <c r="S485" s="330"/>
      <c r="T485" s="330"/>
      <c r="U485" s="330"/>
      <c r="V485" s="330"/>
      <c r="W485" s="323"/>
      <c r="X485" s="323"/>
    </row>
    <row r="486" spans="1:24" ht="13.5" customHeight="1">
      <c r="A486" s="323"/>
      <c r="B486" s="323"/>
      <c r="C486" s="229"/>
      <c r="D486" s="324"/>
      <c r="E486" s="325"/>
      <c r="F486" s="326"/>
      <c r="G486" s="326"/>
      <c r="H486" s="326"/>
      <c r="I486" s="327"/>
      <c r="J486" s="385"/>
      <c r="K486" s="328"/>
      <c r="L486" s="328"/>
      <c r="M486" s="377"/>
      <c r="N486" s="229"/>
      <c r="O486" s="229"/>
      <c r="P486" s="323"/>
      <c r="Q486" s="329"/>
      <c r="R486" s="330"/>
      <c r="S486" s="330"/>
      <c r="T486" s="330"/>
      <c r="U486" s="330"/>
      <c r="V486" s="330"/>
      <c r="W486" s="323"/>
      <c r="X486" s="323"/>
    </row>
    <row r="487" spans="1:24" ht="13.5" customHeight="1">
      <c r="A487" s="323"/>
      <c r="B487" s="323"/>
      <c r="C487" s="229"/>
      <c r="D487" s="324"/>
      <c r="E487" s="325"/>
      <c r="F487" s="326"/>
      <c r="G487" s="326"/>
      <c r="H487" s="326"/>
      <c r="I487" s="327"/>
      <c r="J487" s="385"/>
      <c r="K487" s="328"/>
      <c r="L487" s="328"/>
      <c r="M487" s="377"/>
      <c r="N487" s="229"/>
      <c r="O487" s="229"/>
      <c r="P487" s="323"/>
      <c r="Q487" s="329"/>
      <c r="R487" s="330"/>
      <c r="S487" s="330"/>
      <c r="T487" s="330"/>
      <c r="U487" s="330"/>
      <c r="V487" s="330"/>
      <c r="W487" s="323"/>
      <c r="X487" s="323"/>
    </row>
    <row r="488" spans="1:24" ht="13.5" customHeight="1">
      <c r="A488" s="323"/>
      <c r="B488" s="323"/>
      <c r="C488" s="229"/>
      <c r="D488" s="324"/>
      <c r="E488" s="325"/>
      <c r="F488" s="326"/>
      <c r="G488" s="326"/>
      <c r="H488" s="326"/>
      <c r="I488" s="327"/>
      <c r="J488" s="385"/>
      <c r="K488" s="328"/>
      <c r="L488" s="328"/>
      <c r="M488" s="377"/>
      <c r="N488" s="229"/>
      <c r="O488" s="229"/>
      <c r="P488" s="323"/>
      <c r="Q488" s="329"/>
      <c r="R488" s="330"/>
      <c r="S488" s="330"/>
      <c r="T488" s="330"/>
      <c r="U488" s="330"/>
      <c r="V488" s="330"/>
      <c r="W488" s="323"/>
      <c r="X488" s="323"/>
    </row>
    <row r="489" spans="1:24" ht="13.5" customHeight="1">
      <c r="A489" s="323"/>
      <c r="B489" s="323"/>
      <c r="C489" s="229"/>
      <c r="D489" s="324"/>
      <c r="E489" s="325"/>
      <c r="F489" s="326"/>
      <c r="G489" s="326"/>
      <c r="H489" s="326"/>
      <c r="I489" s="327"/>
      <c r="J489" s="385"/>
      <c r="K489" s="328"/>
      <c r="L489" s="328"/>
      <c r="M489" s="377"/>
      <c r="N489" s="229"/>
      <c r="O489" s="229"/>
      <c r="P489" s="323"/>
      <c r="Q489" s="329"/>
      <c r="R489" s="330"/>
      <c r="S489" s="330"/>
      <c r="T489" s="330"/>
      <c r="U489" s="330"/>
      <c r="V489" s="330"/>
      <c r="W489" s="323"/>
      <c r="X489" s="323"/>
    </row>
    <row r="490" spans="1:24" ht="13.5" customHeight="1">
      <c r="A490" s="323"/>
      <c r="B490" s="323"/>
      <c r="C490" s="229"/>
      <c r="D490" s="324"/>
      <c r="E490" s="325"/>
      <c r="F490" s="326"/>
      <c r="G490" s="326"/>
      <c r="H490" s="326"/>
      <c r="I490" s="327"/>
      <c r="J490" s="385"/>
      <c r="K490" s="328"/>
      <c r="L490" s="328"/>
      <c r="M490" s="377"/>
      <c r="N490" s="229"/>
      <c r="O490" s="229"/>
      <c r="P490" s="323"/>
      <c r="Q490" s="329"/>
      <c r="R490" s="330"/>
      <c r="S490" s="330"/>
      <c r="T490" s="330"/>
      <c r="U490" s="330"/>
      <c r="V490" s="330"/>
      <c r="W490" s="323"/>
      <c r="X490" s="323"/>
    </row>
    <row r="491" spans="1:24" ht="13.5" customHeight="1">
      <c r="A491" s="323"/>
      <c r="B491" s="323"/>
      <c r="C491" s="229"/>
      <c r="D491" s="324"/>
      <c r="E491" s="325"/>
      <c r="F491" s="326"/>
      <c r="G491" s="326"/>
      <c r="H491" s="326"/>
      <c r="I491" s="327"/>
      <c r="J491" s="385"/>
      <c r="K491" s="328"/>
      <c r="L491" s="328"/>
      <c r="M491" s="377"/>
      <c r="N491" s="229"/>
      <c r="O491" s="229"/>
      <c r="P491" s="323"/>
      <c r="Q491" s="329"/>
      <c r="R491" s="330"/>
      <c r="S491" s="330"/>
      <c r="T491" s="330"/>
      <c r="U491" s="330"/>
      <c r="V491" s="330"/>
      <c r="W491" s="323"/>
      <c r="X491" s="323"/>
    </row>
    <row r="492" spans="1:24" ht="13.5" customHeight="1">
      <c r="A492" s="323"/>
      <c r="B492" s="323"/>
      <c r="C492" s="229"/>
      <c r="D492" s="324"/>
      <c r="E492" s="325"/>
      <c r="F492" s="326"/>
      <c r="G492" s="326"/>
      <c r="H492" s="326"/>
      <c r="I492" s="327"/>
      <c r="J492" s="385"/>
      <c r="K492" s="328"/>
      <c r="L492" s="328"/>
      <c r="M492" s="377"/>
      <c r="N492" s="229"/>
      <c r="O492" s="229"/>
      <c r="P492" s="323"/>
      <c r="Q492" s="329"/>
      <c r="R492" s="330"/>
      <c r="S492" s="330"/>
      <c r="T492" s="330"/>
      <c r="U492" s="330"/>
      <c r="V492" s="330"/>
      <c r="W492" s="323"/>
      <c r="X492" s="323"/>
    </row>
    <row r="493" spans="1:24" ht="13.5" customHeight="1">
      <c r="A493" s="323"/>
      <c r="B493" s="323"/>
      <c r="C493" s="229"/>
      <c r="D493" s="324"/>
      <c r="E493" s="325"/>
      <c r="F493" s="326"/>
      <c r="G493" s="326"/>
      <c r="H493" s="326"/>
      <c r="I493" s="327"/>
      <c r="J493" s="385"/>
      <c r="K493" s="328"/>
      <c r="L493" s="328"/>
      <c r="M493" s="377"/>
      <c r="N493" s="229"/>
      <c r="O493" s="229"/>
      <c r="P493" s="323"/>
      <c r="Q493" s="329"/>
      <c r="R493" s="330"/>
      <c r="S493" s="330"/>
      <c r="T493" s="330"/>
      <c r="U493" s="330"/>
      <c r="V493" s="330"/>
      <c r="W493" s="323"/>
      <c r="X493" s="323"/>
    </row>
    <row r="494" spans="1:24" ht="13.5" customHeight="1">
      <c r="A494" s="323"/>
      <c r="B494" s="323"/>
      <c r="C494" s="229"/>
      <c r="D494" s="324"/>
      <c r="E494" s="325"/>
      <c r="F494" s="326"/>
      <c r="G494" s="326"/>
      <c r="H494" s="326"/>
      <c r="I494" s="327"/>
      <c r="J494" s="385"/>
      <c r="K494" s="328"/>
      <c r="L494" s="328"/>
      <c r="M494" s="377"/>
      <c r="N494" s="229"/>
      <c r="O494" s="229"/>
      <c r="P494" s="323"/>
      <c r="Q494" s="329"/>
      <c r="R494" s="330"/>
      <c r="S494" s="330"/>
      <c r="T494" s="330"/>
      <c r="U494" s="330"/>
      <c r="V494" s="330"/>
      <c r="W494" s="323"/>
      <c r="X494" s="323"/>
    </row>
    <row r="495" spans="1:24" ht="13.5" customHeight="1">
      <c r="A495" s="323"/>
      <c r="B495" s="323"/>
      <c r="C495" s="229"/>
      <c r="D495" s="324"/>
      <c r="E495" s="325"/>
      <c r="F495" s="326"/>
      <c r="G495" s="326"/>
      <c r="H495" s="326"/>
      <c r="I495" s="327"/>
      <c r="J495" s="385"/>
      <c r="K495" s="328"/>
      <c r="L495" s="328"/>
      <c r="M495" s="377"/>
      <c r="N495" s="229"/>
      <c r="O495" s="229"/>
      <c r="P495" s="323"/>
      <c r="Q495" s="329"/>
      <c r="R495" s="330"/>
      <c r="S495" s="330"/>
      <c r="T495" s="330"/>
      <c r="U495" s="330"/>
      <c r="V495" s="330"/>
      <c r="W495" s="323"/>
      <c r="X495" s="323"/>
    </row>
    <row r="496" spans="1:24" ht="13.5" customHeight="1">
      <c r="A496" s="323"/>
      <c r="B496" s="323"/>
      <c r="C496" s="229"/>
      <c r="D496" s="324"/>
      <c r="E496" s="325"/>
      <c r="F496" s="326"/>
      <c r="G496" s="326"/>
      <c r="H496" s="326"/>
      <c r="I496" s="327"/>
      <c r="J496" s="385"/>
      <c r="K496" s="328"/>
      <c r="L496" s="328"/>
      <c r="M496" s="377"/>
      <c r="N496" s="229"/>
      <c r="O496" s="229"/>
      <c r="P496" s="323"/>
      <c r="Q496" s="329"/>
      <c r="R496" s="330"/>
      <c r="S496" s="330"/>
      <c r="T496" s="330"/>
      <c r="U496" s="330"/>
      <c r="V496" s="330"/>
      <c r="W496" s="323"/>
      <c r="X496" s="323"/>
    </row>
    <row r="497" spans="1:24" ht="13.5" customHeight="1">
      <c r="A497" s="323"/>
      <c r="B497" s="323"/>
      <c r="C497" s="229"/>
      <c r="D497" s="324"/>
      <c r="E497" s="325"/>
      <c r="F497" s="326"/>
      <c r="G497" s="326"/>
      <c r="H497" s="326"/>
      <c r="I497" s="327"/>
      <c r="J497" s="385"/>
      <c r="K497" s="328"/>
      <c r="L497" s="328"/>
      <c r="M497" s="377"/>
      <c r="N497" s="229"/>
      <c r="O497" s="229"/>
      <c r="P497" s="323"/>
      <c r="Q497" s="329"/>
      <c r="R497" s="330"/>
      <c r="S497" s="330"/>
      <c r="T497" s="330"/>
      <c r="U497" s="330"/>
      <c r="V497" s="330"/>
      <c r="W497" s="323"/>
      <c r="X497" s="323"/>
    </row>
    <row r="498" spans="1:24" ht="13.5" customHeight="1">
      <c r="A498" s="323"/>
      <c r="B498" s="323"/>
      <c r="C498" s="229"/>
      <c r="D498" s="324"/>
      <c r="E498" s="325"/>
      <c r="F498" s="326"/>
      <c r="G498" s="326"/>
      <c r="H498" s="326"/>
      <c r="I498" s="327"/>
      <c r="J498" s="385"/>
      <c r="K498" s="328"/>
      <c r="L498" s="328"/>
      <c r="M498" s="377"/>
      <c r="N498" s="229"/>
      <c r="O498" s="229"/>
      <c r="P498" s="323"/>
      <c r="Q498" s="329"/>
      <c r="R498" s="330"/>
      <c r="S498" s="330"/>
      <c r="T498" s="330"/>
      <c r="U498" s="330"/>
      <c r="V498" s="330"/>
      <c r="W498" s="323"/>
      <c r="X498" s="323"/>
    </row>
    <row r="499" spans="1:24" ht="13.5" customHeight="1">
      <c r="A499" s="323"/>
      <c r="B499" s="323"/>
      <c r="C499" s="229"/>
      <c r="D499" s="324"/>
      <c r="E499" s="325"/>
      <c r="F499" s="326"/>
      <c r="G499" s="326"/>
      <c r="H499" s="326"/>
      <c r="I499" s="327"/>
      <c r="J499" s="385"/>
      <c r="K499" s="328"/>
      <c r="L499" s="328"/>
      <c r="M499" s="377"/>
      <c r="N499" s="229"/>
      <c r="O499" s="229"/>
      <c r="P499" s="323"/>
      <c r="Q499" s="329"/>
      <c r="R499" s="330"/>
      <c r="S499" s="330"/>
      <c r="T499" s="330"/>
      <c r="U499" s="330"/>
      <c r="V499" s="330"/>
      <c r="W499" s="323"/>
      <c r="X499" s="323"/>
    </row>
    <row r="500" spans="1:24" ht="13.5" customHeight="1">
      <c r="A500" s="323"/>
      <c r="B500" s="323"/>
      <c r="C500" s="229"/>
      <c r="D500" s="324"/>
      <c r="E500" s="325"/>
      <c r="F500" s="326"/>
      <c r="G500" s="326"/>
      <c r="H500" s="326"/>
      <c r="I500" s="327"/>
      <c r="J500" s="385"/>
      <c r="K500" s="328"/>
      <c r="L500" s="328"/>
      <c r="M500" s="377"/>
      <c r="N500" s="229"/>
      <c r="O500" s="229"/>
      <c r="P500" s="323"/>
      <c r="Q500" s="329"/>
      <c r="R500" s="330"/>
      <c r="S500" s="330"/>
      <c r="T500" s="330"/>
      <c r="U500" s="330"/>
      <c r="V500" s="330"/>
      <c r="W500" s="323"/>
      <c r="X500" s="323"/>
    </row>
    <row r="501" spans="1:24" ht="13.5" customHeight="1">
      <c r="A501" s="323"/>
      <c r="B501" s="323"/>
      <c r="C501" s="229"/>
      <c r="D501" s="324"/>
      <c r="E501" s="325"/>
      <c r="F501" s="326"/>
      <c r="G501" s="326"/>
      <c r="H501" s="326"/>
      <c r="I501" s="327"/>
      <c r="J501" s="385"/>
      <c r="K501" s="328"/>
      <c r="L501" s="328"/>
      <c r="M501" s="377"/>
      <c r="N501" s="229"/>
      <c r="O501" s="229"/>
      <c r="P501" s="323"/>
      <c r="Q501" s="329"/>
      <c r="R501" s="330"/>
      <c r="S501" s="330"/>
      <c r="T501" s="330"/>
      <c r="U501" s="330"/>
      <c r="V501" s="330"/>
      <c r="W501" s="323"/>
      <c r="X501" s="323"/>
    </row>
    <row r="502" spans="1:24" ht="13.5" customHeight="1">
      <c r="A502" s="323"/>
      <c r="B502" s="323"/>
      <c r="C502" s="229"/>
      <c r="D502" s="324"/>
      <c r="E502" s="325"/>
      <c r="F502" s="326"/>
      <c r="G502" s="326"/>
      <c r="H502" s="326"/>
      <c r="I502" s="327"/>
      <c r="J502" s="385"/>
      <c r="K502" s="328"/>
      <c r="L502" s="328"/>
      <c r="M502" s="377"/>
      <c r="N502" s="229"/>
      <c r="O502" s="229"/>
      <c r="P502" s="323"/>
      <c r="Q502" s="329"/>
      <c r="R502" s="330"/>
      <c r="S502" s="330"/>
      <c r="T502" s="330"/>
      <c r="U502" s="330"/>
      <c r="V502" s="330"/>
      <c r="W502" s="323"/>
      <c r="X502" s="323"/>
    </row>
    <row r="503" spans="1:24" ht="13.5" customHeight="1">
      <c r="A503" s="323"/>
      <c r="B503" s="323"/>
      <c r="C503" s="229"/>
      <c r="D503" s="324"/>
      <c r="E503" s="325"/>
      <c r="F503" s="326"/>
      <c r="G503" s="326"/>
      <c r="H503" s="326"/>
      <c r="I503" s="327"/>
      <c r="J503" s="385"/>
      <c r="K503" s="328"/>
      <c r="L503" s="328"/>
      <c r="M503" s="377"/>
      <c r="N503" s="229"/>
      <c r="O503" s="229"/>
      <c r="P503" s="323"/>
      <c r="Q503" s="329"/>
      <c r="R503" s="330"/>
      <c r="S503" s="330"/>
      <c r="T503" s="330"/>
      <c r="U503" s="330"/>
      <c r="V503" s="330"/>
      <c r="W503" s="323"/>
      <c r="X503" s="323"/>
    </row>
    <row r="504" spans="1:24" ht="13.5" customHeight="1">
      <c r="A504" s="323"/>
      <c r="B504" s="323"/>
      <c r="C504" s="229"/>
      <c r="D504" s="324"/>
      <c r="E504" s="325"/>
      <c r="F504" s="326"/>
      <c r="G504" s="326"/>
      <c r="H504" s="326"/>
      <c r="I504" s="327"/>
      <c r="J504" s="385"/>
      <c r="K504" s="328"/>
      <c r="L504" s="328"/>
      <c r="M504" s="377"/>
      <c r="N504" s="229"/>
      <c r="O504" s="229"/>
      <c r="P504" s="323"/>
      <c r="Q504" s="329"/>
      <c r="R504" s="330"/>
      <c r="S504" s="330"/>
      <c r="T504" s="330"/>
      <c r="U504" s="330"/>
      <c r="V504" s="330"/>
      <c r="W504" s="323"/>
      <c r="X504" s="323"/>
    </row>
    <row r="505" spans="1:24" ht="13.5" customHeight="1">
      <c r="A505" s="323"/>
      <c r="B505" s="323"/>
      <c r="C505" s="229"/>
      <c r="D505" s="324"/>
      <c r="E505" s="325"/>
      <c r="F505" s="326"/>
      <c r="G505" s="326"/>
      <c r="H505" s="326"/>
      <c r="I505" s="327"/>
      <c r="J505" s="385"/>
      <c r="K505" s="328"/>
      <c r="L505" s="328"/>
      <c r="M505" s="377"/>
      <c r="N505" s="229"/>
      <c r="O505" s="229"/>
      <c r="P505" s="323"/>
      <c r="Q505" s="329"/>
      <c r="R505" s="330"/>
      <c r="S505" s="330"/>
      <c r="T505" s="330"/>
      <c r="U505" s="330"/>
      <c r="V505" s="330"/>
      <c r="W505" s="323"/>
      <c r="X505" s="323"/>
    </row>
    <row r="506" spans="1:24" ht="13.5" customHeight="1">
      <c r="A506" s="323"/>
      <c r="B506" s="323"/>
      <c r="C506" s="229"/>
      <c r="D506" s="324"/>
      <c r="E506" s="325"/>
      <c r="F506" s="326"/>
      <c r="G506" s="326"/>
      <c r="H506" s="326"/>
      <c r="I506" s="327"/>
      <c r="J506" s="385"/>
      <c r="K506" s="328"/>
      <c r="L506" s="328"/>
      <c r="M506" s="377"/>
      <c r="N506" s="229"/>
      <c r="O506" s="229"/>
      <c r="P506" s="323"/>
      <c r="Q506" s="329"/>
      <c r="R506" s="330"/>
      <c r="S506" s="330"/>
      <c r="T506" s="330"/>
      <c r="U506" s="330"/>
      <c r="V506" s="330"/>
      <c r="W506" s="323"/>
      <c r="X506" s="323"/>
    </row>
    <row r="507" spans="1:24" ht="13.5" customHeight="1">
      <c r="A507" s="323"/>
      <c r="B507" s="323"/>
      <c r="C507" s="229"/>
      <c r="D507" s="324"/>
      <c r="E507" s="325"/>
      <c r="F507" s="326"/>
      <c r="G507" s="326"/>
      <c r="H507" s="326"/>
      <c r="I507" s="327"/>
      <c r="J507" s="385"/>
      <c r="K507" s="328"/>
      <c r="L507" s="328"/>
      <c r="M507" s="377"/>
      <c r="N507" s="229"/>
      <c r="O507" s="229"/>
      <c r="P507" s="323"/>
      <c r="Q507" s="329"/>
      <c r="R507" s="330"/>
      <c r="S507" s="330"/>
      <c r="T507" s="330"/>
      <c r="U507" s="330"/>
      <c r="V507" s="330"/>
      <c r="W507" s="323"/>
      <c r="X507" s="323"/>
    </row>
    <row r="508" spans="1:24" ht="13.5" customHeight="1">
      <c r="A508" s="323"/>
      <c r="B508" s="323"/>
      <c r="C508" s="229"/>
      <c r="D508" s="324"/>
      <c r="E508" s="325"/>
      <c r="F508" s="326"/>
      <c r="G508" s="326"/>
      <c r="H508" s="326"/>
      <c r="I508" s="327"/>
      <c r="J508" s="385"/>
      <c r="K508" s="328"/>
      <c r="L508" s="328"/>
      <c r="M508" s="377"/>
      <c r="N508" s="229"/>
      <c r="O508" s="229"/>
      <c r="P508" s="323"/>
      <c r="Q508" s="329"/>
      <c r="R508" s="330"/>
      <c r="S508" s="330"/>
      <c r="T508" s="330"/>
      <c r="U508" s="330"/>
      <c r="V508" s="330"/>
      <c r="W508" s="323"/>
      <c r="X508" s="323"/>
    </row>
    <row r="509" spans="1:24" ht="13.5" customHeight="1">
      <c r="A509" s="323"/>
      <c r="B509" s="323"/>
      <c r="C509" s="229"/>
      <c r="D509" s="324"/>
      <c r="E509" s="325"/>
      <c r="F509" s="326"/>
      <c r="G509" s="326"/>
      <c r="H509" s="326"/>
      <c r="I509" s="327"/>
      <c r="J509" s="385"/>
      <c r="K509" s="328"/>
      <c r="L509" s="328"/>
      <c r="M509" s="377"/>
      <c r="N509" s="229"/>
      <c r="O509" s="229"/>
      <c r="P509" s="323"/>
      <c r="Q509" s="329"/>
      <c r="R509" s="330"/>
      <c r="S509" s="330"/>
      <c r="T509" s="330"/>
      <c r="U509" s="330"/>
      <c r="V509" s="330"/>
      <c r="W509" s="323"/>
      <c r="X509" s="323"/>
    </row>
    <row r="510" spans="1:24" ht="13.5" customHeight="1">
      <c r="A510" s="323"/>
      <c r="B510" s="323"/>
      <c r="C510" s="229"/>
      <c r="D510" s="324"/>
      <c r="E510" s="325"/>
      <c r="F510" s="326"/>
      <c r="G510" s="326"/>
      <c r="H510" s="326"/>
      <c r="I510" s="327"/>
      <c r="J510" s="385"/>
      <c r="K510" s="328"/>
      <c r="L510" s="328"/>
      <c r="M510" s="377"/>
      <c r="N510" s="229"/>
      <c r="O510" s="229"/>
      <c r="P510" s="323"/>
      <c r="Q510" s="329"/>
      <c r="R510" s="330"/>
      <c r="S510" s="330"/>
      <c r="T510" s="330"/>
      <c r="U510" s="330"/>
      <c r="V510" s="330"/>
      <c r="W510" s="323"/>
      <c r="X510" s="323"/>
    </row>
    <row r="511" spans="1:24" ht="13.5" customHeight="1">
      <c r="A511" s="323"/>
      <c r="B511" s="323"/>
      <c r="C511" s="229"/>
      <c r="D511" s="324"/>
      <c r="E511" s="325"/>
      <c r="F511" s="326"/>
      <c r="G511" s="326"/>
      <c r="H511" s="326"/>
      <c r="I511" s="327"/>
      <c r="J511" s="385"/>
      <c r="K511" s="328"/>
      <c r="L511" s="328"/>
      <c r="M511" s="377"/>
      <c r="N511" s="229"/>
      <c r="O511" s="229"/>
      <c r="P511" s="323"/>
      <c r="Q511" s="329"/>
      <c r="R511" s="330"/>
      <c r="S511" s="330"/>
      <c r="T511" s="330"/>
      <c r="U511" s="330"/>
      <c r="V511" s="330"/>
      <c r="W511" s="323"/>
      <c r="X511" s="323"/>
    </row>
    <row r="512" spans="1:24" ht="13.5" customHeight="1">
      <c r="A512" s="323"/>
      <c r="B512" s="323"/>
      <c r="C512" s="229"/>
      <c r="D512" s="324"/>
      <c r="E512" s="325"/>
      <c r="F512" s="326"/>
      <c r="G512" s="326"/>
      <c r="H512" s="326"/>
      <c r="I512" s="327"/>
      <c r="J512" s="385"/>
      <c r="K512" s="328"/>
      <c r="L512" s="328"/>
      <c r="M512" s="377"/>
      <c r="N512" s="229"/>
      <c r="O512" s="229"/>
      <c r="P512" s="323"/>
      <c r="Q512" s="329"/>
      <c r="R512" s="330"/>
      <c r="S512" s="330"/>
      <c r="T512" s="330"/>
      <c r="U512" s="330"/>
      <c r="V512" s="330"/>
      <c r="W512" s="323"/>
      <c r="X512" s="323"/>
    </row>
    <row r="513" spans="1:24" ht="13.5" customHeight="1">
      <c r="A513" s="323"/>
      <c r="B513" s="323"/>
      <c r="C513" s="229"/>
      <c r="D513" s="324"/>
      <c r="E513" s="325"/>
      <c r="F513" s="326"/>
      <c r="G513" s="326"/>
      <c r="H513" s="326"/>
      <c r="I513" s="327"/>
      <c r="J513" s="385"/>
      <c r="K513" s="328"/>
      <c r="L513" s="328"/>
      <c r="M513" s="377"/>
      <c r="N513" s="229"/>
      <c r="O513" s="229"/>
      <c r="P513" s="323"/>
      <c r="Q513" s="329"/>
      <c r="R513" s="330"/>
      <c r="S513" s="330"/>
      <c r="T513" s="330"/>
      <c r="U513" s="330"/>
      <c r="V513" s="330"/>
      <c r="W513" s="323"/>
      <c r="X513" s="323"/>
    </row>
    <row r="514" spans="1:24" ht="13.5" customHeight="1">
      <c r="A514" s="323"/>
      <c r="B514" s="323"/>
      <c r="C514" s="229"/>
      <c r="D514" s="324"/>
      <c r="E514" s="325"/>
      <c r="F514" s="326"/>
      <c r="G514" s="326"/>
      <c r="H514" s="326"/>
      <c r="I514" s="327"/>
      <c r="J514" s="385"/>
      <c r="K514" s="328"/>
      <c r="L514" s="328"/>
      <c r="M514" s="377"/>
      <c r="N514" s="229"/>
      <c r="O514" s="229"/>
      <c r="P514" s="323"/>
      <c r="Q514" s="329"/>
      <c r="R514" s="330"/>
      <c r="S514" s="330"/>
      <c r="T514" s="330"/>
      <c r="U514" s="330"/>
      <c r="V514" s="330"/>
      <c r="W514" s="323"/>
      <c r="X514" s="323"/>
    </row>
    <row r="515" spans="1:24" ht="13.5" customHeight="1">
      <c r="A515" s="323"/>
      <c r="B515" s="323"/>
      <c r="C515" s="229"/>
      <c r="D515" s="324"/>
      <c r="E515" s="325"/>
      <c r="F515" s="326"/>
      <c r="G515" s="326"/>
      <c r="H515" s="326"/>
      <c r="I515" s="327"/>
      <c r="J515" s="385"/>
      <c r="K515" s="328"/>
      <c r="L515" s="328"/>
      <c r="M515" s="377"/>
      <c r="N515" s="229"/>
      <c r="O515" s="229"/>
      <c r="P515" s="323"/>
      <c r="Q515" s="329"/>
      <c r="R515" s="330"/>
      <c r="S515" s="330"/>
      <c r="T515" s="330"/>
      <c r="U515" s="330"/>
      <c r="V515" s="330"/>
      <c r="W515" s="323"/>
      <c r="X515" s="323"/>
    </row>
    <row r="516" spans="1:24" ht="13.5" customHeight="1">
      <c r="A516" s="323"/>
      <c r="B516" s="323"/>
      <c r="C516" s="229"/>
      <c r="D516" s="324"/>
      <c r="E516" s="325"/>
      <c r="F516" s="326"/>
      <c r="G516" s="326"/>
      <c r="H516" s="326"/>
      <c r="I516" s="327"/>
      <c r="J516" s="385"/>
      <c r="K516" s="328"/>
      <c r="L516" s="328"/>
      <c r="M516" s="377"/>
      <c r="N516" s="229"/>
      <c r="O516" s="229"/>
      <c r="P516" s="323"/>
      <c r="Q516" s="329"/>
      <c r="R516" s="330"/>
      <c r="S516" s="330"/>
      <c r="T516" s="330"/>
      <c r="U516" s="330"/>
      <c r="V516" s="330"/>
      <c r="W516" s="323"/>
      <c r="X516" s="323"/>
    </row>
    <row r="517" spans="1:24" ht="13.5" customHeight="1">
      <c r="A517" s="323"/>
      <c r="B517" s="323"/>
      <c r="C517" s="229"/>
      <c r="D517" s="324"/>
      <c r="E517" s="325"/>
      <c r="F517" s="326"/>
      <c r="G517" s="326"/>
      <c r="H517" s="326"/>
      <c r="I517" s="327"/>
      <c r="J517" s="385"/>
      <c r="K517" s="328"/>
      <c r="L517" s="328"/>
      <c r="M517" s="377"/>
      <c r="N517" s="229"/>
      <c r="O517" s="229"/>
      <c r="P517" s="323"/>
      <c r="Q517" s="329"/>
      <c r="R517" s="330"/>
      <c r="S517" s="330"/>
      <c r="T517" s="330"/>
      <c r="U517" s="330"/>
      <c r="V517" s="330"/>
      <c r="W517" s="323"/>
      <c r="X517" s="323"/>
    </row>
    <row r="518" spans="1:24" ht="13.5" customHeight="1">
      <c r="A518" s="323"/>
      <c r="B518" s="323"/>
      <c r="C518" s="229"/>
      <c r="D518" s="324"/>
      <c r="E518" s="325"/>
      <c r="F518" s="326"/>
      <c r="G518" s="326"/>
      <c r="H518" s="326"/>
      <c r="I518" s="327"/>
      <c r="J518" s="385"/>
      <c r="K518" s="328"/>
      <c r="L518" s="328"/>
      <c r="M518" s="377"/>
      <c r="N518" s="229"/>
      <c r="O518" s="229"/>
      <c r="P518" s="323"/>
      <c r="Q518" s="329"/>
      <c r="R518" s="330"/>
      <c r="S518" s="330"/>
      <c r="T518" s="330"/>
      <c r="U518" s="330"/>
      <c r="V518" s="330"/>
      <c r="W518" s="323"/>
      <c r="X518" s="323"/>
    </row>
    <row r="519" spans="1:24" ht="13.5" customHeight="1">
      <c r="A519" s="323"/>
      <c r="B519" s="323"/>
      <c r="C519" s="229"/>
      <c r="D519" s="324"/>
      <c r="E519" s="325"/>
      <c r="F519" s="326"/>
      <c r="G519" s="326"/>
      <c r="H519" s="326"/>
      <c r="I519" s="327"/>
      <c r="J519" s="385"/>
      <c r="K519" s="328"/>
      <c r="L519" s="328"/>
      <c r="M519" s="377"/>
      <c r="N519" s="229"/>
      <c r="O519" s="229"/>
      <c r="P519" s="323"/>
      <c r="Q519" s="329"/>
      <c r="R519" s="330"/>
      <c r="S519" s="330"/>
      <c r="T519" s="330"/>
      <c r="U519" s="330"/>
      <c r="V519" s="330"/>
      <c r="W519" s="323"/>
      <c r="X519" s="323"/>
    </row>
    <row r="520" spans="1:24" ht="13.5" customHeight="1">
      <c r="A520" s="323"/>
      <c r="B520" s="323"/>
      <c r="C520" s="229"/>
      <c r="D520" s="324"/>
      <c r="E520" s="325"/>
      <c r="F520" s="326"/>
      <c r="G520" s="326"/>
      <c r="H520" s="326"/>
      <c r="I520" s="327"/>
      <c r="J520" s="385"/>
      <c r="K520" s="328"/>
      <c r="L520" s="328"/>
      <c r="M520" s="377"/>
      <c r="N520" s="229"/>
      <c r="O520" s="229"/>
      <c r="P520" s="323"/>
      <c r="Q520" s="329"/>
      <c r="R520" s="330"/>
      <c r="S520" s="330"/>
      <c r="T520" s="330"/>
      <c r="U520" s="330"/>
      <c r="V520" s="330"/>
      <c r="W520" s="323"/>
      <c r="X520" s="323"/>
    </row>
    <row r="521" spans="1:24" ht="13.5" customHeight="1">
      <c r="A521" s="323"/>
      <c r="B521" s="323"/>
      <c r="C521" s="229"/>
      <c r="D521" s="324"/>
      <c r="E521" s="325"/>
      <c r="F521" s="326"/>
      <c r="G521" s="326"/>
      <c r="H521" s="326"/>
      <c r="I521" s="327"/>
      <c r="J521" s="385"/>
      <c r="K521" s="328"/>
      <c r="L521" s="328"/>
      <c r="M521" s="377"/>
      <c r="N521" s="229"/>
      <c r="O521" s="229"/>
      <c r="P521" s="323"/>
      <c r="Q521" s="329"/>
      <c r="R521" s="330"/>
      <c r="S521" s="330"/>
      <c r="T521" s="330"/>
      <c r="U521" s="330"/>
      <c r="V521" s="330"/>
      <c r="W521" s="323"/>
      <c r="X521" s="323"/>
    </row>
    <row r="522" spans="1:24" ht="13.5" customHeight="1">
      <c r="A522" s="323"/>
      <c r="B522" s="323"/>
      <c r="C522" s="229"/>
      <c r="D522" s="324"/>
      <c r="E522" s="325"/>
      <c r="F522" s="326"/>
      <c r="G522" s="326"/>
      <c r="H522" s="326"/>
      <c r="I522" s="327"/>
      <c r="J522" s="385"/>
      <c r="K522" s="328"/>
      <c r="L522" s="328"/>
      <c r="M522" s="377"/>
      <c r="N522" s="229"/>
      <c r="O522" s="229"/>
      <c r="P522" s="323"/>
      <c r="Q522" s="329"/>
      <c r="R522" s="330"/>
      <c r="S522" s="330"/>
      <c r="T522" s="330"/>
      <c r="U522" s="330"/>
      <c r="V522" s="330"/>
      <c r="W522" s="323"/>
      <c r="X522" s="323"/>
    </row>
    <row r="523" spans="1:24" ht="13.5" customHeight="1">
      <c r="A523" s="323"/>
      <c r="B523" s="323"/>
      <c r="C523" s="229"/>
      <c r="D523" s="324"/>
      <c r="E523" s="325"/>
      <c r="F523" s="326"/>
      <c r="G523" s="326"/>
      <c r="H523" s="326"/>
      <c r="I523" s="327"/>
      <c r="J523" s="385"/>
      <c r="K523" s="328"/>
      <c r="L523" s="328"/>
      <c r="M523" s="377"/>
      <c r="N523" s="229"/>
      <c r="O523" s="229"/>
      <c r="P523" s="323"/>
      <c r="Q523" s="329"/>
      <c r="R523" s="330"/>
      <c r="S523" s="330"/>
      <c r="T523" s="330"/>
      <c r="U523" s="330"/>
      <c r="V523" s="330"/>
      <c r="W523" s="323"/>
      <c r="X523" s="323"/>
    </row>
    <row r="524" spans="1:24" ht="13.5" customHeight="1">
      <c r="A524" s="323"/>
      <c r="B524" s="323"/>
      <c r="C524" s="229"/>
      <c r="D524" s="324"/>
      <c r="E524" s="325"/>
      <c r="F524" s="326"/>
      <c r="G524" s="326"/>
      <c r="H524" s="326"/>
      <c r="I524" s="327"/>
      <c r="J524" s="385"/>
      <c r="K524" s="328"/>
      <c r="L524" s="328"/>
      <c r="M524" s="377"/>
      <c r="N524" s="229"/>
      <c r="O524" s="229"/>
      <c r="P524" s="323"/>
      <c r="Q524" s="329"/>
      <c r="R524" s="330"/>
      <c r="S524" s="330"/>
      <c r="T524" s="330"/>
      <c r="U524" s="330"/>
      <c r="V524" s="330"/>
      <c r="W524" s="323"/>
      <c r="X524" s="323"/>
    </row>
    <row r="525" spans="1:24" ht="13.5" customHeight="1">
      <c r="A525" s="323"/>
      <c r="B525" s="323"/>
      <c r="C525" s="229"/>
      <c r="D525" s="324"/>
      <c r="E525" s="325"/>
      <c r="F525" s="326"/>
      <c r="G525" s="326"/>
      <c r="H525" s="326"/>
      <c r="I525" s="327"/>
      <c r="J525" s="385"/>
      <c r="K525" s="328"/>
      <c r="L525" s="328"/>
      <c r="M525" s="377"/>
      <c r="N525" s="229"/>
      <c r="O525" s="229"/>
      <c r="P525" s="323"/>
      <c r="Q525" s="329"/>
      <c r="R525" s="330"/>
      <c r="S525" s="330"/>
      <c r="T525" s="330"/>
      <c r="U525" s="330"/>
      <c r="V525" s="330"/>
      <c r="W525" s="323"/>
      <c r="X525" s="323"/>
    </row>
    <row r="526" spans="1:24" ht="13.5" customHeight="1">
      <c r="A526" s="323"/>
      <c r="B526" s="323"/>
      <c r="C526" s="229"/>
      <c r="D526" s="324"/>
      <c r="E526" s="325"/>
      <c r="F526" s="326"/>
      <c r="G526" s="326"/>
      <c r="H526" s="326"/>
      <c r="I526" s="327"/>
      <c r="J526" s="385"/>
      <c r="K526" s="328"/>
      <c r="L526" s="328"/>
      <c r="M526" s="377"/>
      <c r="N526" s="229"/>
      <c r="O526" s="229"/>
      <c r="P526" s="323"/>
      <c r="Q526" s="329"/>
      <c r="R526" s="330"/>
      <c r="S526" s="330"/>
      <c r="T526" s="330"/>
      <c r="U526" s="330"/>
      <c r="V526" s="330"/>
      <c r="W526" s="323"/>
      <c r="X526" s="323"/>
    </row>
    <row r="527" spans="1:24" ht="13.5" customHeight="1">
      <c r="A527" s="323"/>
      <c r="B527" s="323"/>
      <c r="C527" s="229"/>
      <c r="D527" s="324"/>
      <c r="E527" s="325"/>
      <c r="F527" s="326"/>
      <c r="G527" s="326"/>
      <c r="H527" s="326"/>
      <c r="I527" s="327"/>
      <c r="J527" s="385"/>
      <c r="K527" s="328"/>
      <c r="L527" s="328"/>
      <c r="M527" s="377"/>
      <c r="N527" s="229"/>
      <c r="O527" s="229"/>
      <c r="P527" s="323"/>
      <c r="Q527" s="329"/>
      <c r="R527" s="330"/>
      <c r="S527" s="330"/>
      <c r="T527" s="330"/>
      <c r="U527" s="330"/>
      <c r="V527" s="330"/>
      <c r="W527" s="323"/>
      <c r="X527" s="323"/>
    </row>
    <row r="528" spans="1:24" ht="13.5" customHeight="1">
      <c r="A528" s="323"/>
      <c r="B528" s="323"/>
      <c r="C528" s="229"/>
      <c r="D528" s="324"/>
      <c r="E528" s="325"/>
      <c r="F528" s="326"/>
      <c r="G528" s="326"/>
      <c r="H528" s="326"/>
      <c r="I528" s="327"/>
      <c r="J528" s="385"/>
      <c r="K528" s="328"/>
      <c r="L528" s="328"/>
      <c r="M528" s="377"/>
      <c r="N528" s="229"/>
      <c r="O528" s="229"/>
      <c r="P528" s="323"/>
      <c r="Q528" s="329"/>
      <c r="R528" s="330"/>
      <c r="S528" s="330"/>
      <c r="T528" s="330"/>
      <c r="U528" s="330"/>
      <c r="V528" s="330"/>
      <c r="W528" s="323"/>
      <c r="X528" s="323"/>
    </row>
    <row r="529" spans="1:24" ht="13.5" customHeight="1">
      <c r="A529" s="323"/>
      <c r="B529" s="323"/>
      <c r="C529" s="229"/>
      <c r="D529" s="324"/>
      <c r="E529" s="325"/>
      <c r="F529" s="326"/>
      <c r="G529" s="326"/>
      <c r="H529" s="326"/>
      <c r="I529" s="327"/>
      <c r="J529" s="385"/>
      <c r="K529" s="328"/>
      <c r="L529" s="328"/>
      <c r="M529" s="377"/>
      <c r="N529" s="229"/>
      <c r="O529" s="229"/>
      <c r="P529" s="323"/>
      <c r="Q529" s="329"/>
      <c r="R529" s="330"/>
      <c r="S529" s="330"/>
      <c r="T529" s="330"/>
      <c r="U529" s="330"/>
      <c r="V529" s="330"/>
      <c r="W529" s="323"/>
      <c r="X529" s="323"/>
    </row>
    <row r="530" spans="1:24" ht="13.5" customHeight="1">
      <c r="A530" s="323"/>
      <c r="B530" s="323"/>
      <c r="C530" s="229"/>
      <c r="D530" s="324"/>
      <c r="E530" s="325"/>
      <c r="F530" s="326"/>
      <c r="G530" s="326"/>
      <c r="H530" s="326"/>
      <c r="I530" s="327"/>
      <c r="J530" s="385"/>
      <c r="K530" s="328"/>
      <c r="L530" s="328"/>
      <c r="M530" s="377"/>
      <c r="N530" s="229"/>
      <c r="O530" s="229"/>
      <c r="P530" s="323"/>
      <c r="Q530" s="329"/>
      <c r="R530" s="330"/>
      <c r="S530" s="330"/>
      <c r="T530" s="330"/>
      <c r="U530" s="330"/>
      <c r="V530" s="330"/>
      <c r="W530" s="323"/>
      <c r="X530" s="323"/>
    </row>
    <row r="531" spans="1:24" ht="13.5" customHeight="1">
      <c r="A531" s="323"/>
      <c r="B531" s="323"/>
      <c r="C531" s="229"/>
      <c r="D531" s="324"/>
      <c r="E531" s="325"/>
      <c r="F531" s="326"/>
      <c r="G531" s="326"/>
      <c r="H531" s="326"/>
      <c r="I531" s="327"/>
      <c r="J531" s="385"/>
      <c r="K531" s="328"/>
      <c r="L531" s="328"/>
      <c r="M531" s="377"/>
      <c r="N531" s="229"/>
      <c r="O531" s="229"/>
      <c r="P531" s="323"/>
      <c r="Q531" s="329"/>
      <c r="R531" s="330"/>
      <c r="S531" s="330"/>
      <c r="T531" s="330"/>
      <c r="U531" s="330"/>
      <c r="V531" s="330"/>
      <c r="W531" s="323"/>
      <c r="X531" s="323"/>
    </row>
    <row r="532" spans="1:24" ht="13.5" customHeight="1">
      <c r="A532" s="323"/>
      <c r="B532" s="323"/>
      <c r="C532" s="229"/>
      <c r="D532" s="324"/>
      <c r="E532" s="325"/>
      <c r="F532" s="326"/>
      <c r="G532" s="326"/>
      <c r="H532" s="326"/>
      <c r="I532" s="327"/>
      <c r="J532" s="385"/>
      <c r="K532" s="328"/>
      <c r="L532" s="328"/>
      <c r="M532" s="377"/>
      <c r="N532" s="229"/>
      <c r="O532" s="229"/>
      <c r="P532" s="323"/>
      <c r="Q532" s="329"/>
      <c r="R532" s="330"/>
      <c r="S532" s="330"/>
      <c r="T532" s="330"/>
      <c r="U532" s="330"/>
      <c r="V532" s="330"/>
      <c r="W532" s="323"/>
      <c r="X532" s="323"/>
    </row>
    <row r="533" spans="1:24" ht="13.5" customHeight="1">
      <c r="A533" s="323"/>
      <c r="B533" s="323"/>
      <c r="C533" s="229"/>
      <c r="D533" s="324"/>
      <c r="E533" s="325"/>
      <c r="F533" s="326"/>
      <c r="G533" s="326"/>
      <c r="H533" s="326"/>
      <c r="I533" s="327"/>
      <c r="J533" s="385"/>
      <c r="K533" s="328"/>
      <c r="L533" s="328"/>
      <c r="M533" s="377"/>
      <c r="N533" s="229"/>
      <c r="O533" s="229"/>
      <c r="P533" s="323"/>
      <c r="Q533" s="329"/>
      <c r="R533" s="330"/>
      <c r="S533" s="330"/>
      <c r="T533" s="330"/>
      <c r="U533" s="330"/>
      <c r="V533" s="330"/>
      <c r="W533" s="323"/>
      <c r="X533" s="323"/>
    </row>
    <row r="534" spans="1:24" ht="13.5" customHeight="1">
      <c r="A534" s="323"/>
      <c r="B534" s="323"/>
      <c r="C534" s="229"/>
      <c r="D534" s="324"/>
      <c r="E534" s="325"/>
      <c r="F534" s="326"/>
      <c r="G534" s="326"/>
      <c r="H534" s="326"/>
      <c r="I534" s="327"/>
      <c r="J534" s="385"/>
      <c r="K534" s="328"/>
      <c r="L534" s="328"/>
      <c r="M534" s="377"/>
      <c r="N534" s="229"/>
      <c r="O534" s="229"/>
      <c r="P534" s="323"/>
      <c r="Q534" s="329"/>
      <c r="R534" s="330"/>
      <c r="S534" s="330"/>
      <c r="T534" s="330"/>
      <c r="U534" s="330"/>
      <c r="V534" s="330"/>
      <c r="W534" s="323"/>
      <c r="X534" s="323"/>
    </row>
    <row r="535" spans="1:24" ht="13.5" customHeight="1">
      <c r="A535" s="323"/>
      <c r="B535" s="323"/>
      <c r="C535" s="229"/>
      <c r="D535" s="324"/>
      <c r="E535" s="325"/>
      <c r="F535" s="326"/>
      <c r="G535" s="326"/>
      <c r="H535" s="326"/>
      <c r="I535" s="327"/>
      <c r="J535" s="385"/>
      <c r="K535" s="328"/>
      <c r="L535" s="328"/>
      <c r="M535" s="377"/>
      <c r="N535" s="229"/>
      <c r="O535" s="229"/>
      <c r="P535" s="323"/>
      <c r="Q535" s="329"/>
      <c r="R535" s="330"/>
      <c r="S535" s="330"/>
      <c r="T535" s="330"/>
      <c r="U535" s="330"/>
      <c r="V535" s="330"/>
      <c r="W535" s="323"/>
      <c r="X535" s="323"/>
    </row>
    <row r="536" spans="1:24" ht="13.5" customHeight="1">
      <c r="A536" s="323"/>
      <c r="B536" s="323"/>
      <c r="C536" s="229"/>
      <c r="D536" s="324"/>
      <c r="E536" s="325"/>
      <c r="F536" s="326"/>
      <c r="G536" s="326"/>
      <c r="H536" s="326"/>
      <c r="I536" s="327"/>
      <c r="J536" s="385"/>
      <c r="K536" s="328"/>
      <c r="L536" s="328"/>
      <c r="M536" s="377"/>
      <c r="N536" s="229"/>
      <c r="O536" s="229"/>
      <c r="P536" s="323"/>
      <c r="Q536" s="329"/>
      <c r="R536" s="330"/>
      <c r="S536" s="330"/>
      <c r="T536" s="330"/>
      <c r="U536" s="330"/>
      <c r="V536" s="330"/>
      <c r="W536" s="323"/>
      <c r="X536" s="323"/>
    </row>
    <row r="537" spans="1:24" ht="13.5" customHeight="1">
      <c r="A537" s="323"/>
      <c r="B537" s="323"/>
      <c r="C537" s="229"/>
      <c r="D537" s="324"/>
      <c r="E537" s="325"/>
      <c r="F537" s="326"/>
      <c r="G537" s="326"/>
      <c r="H537" s="326"/>
      <c r="I537" s="327"/>
      <c r="J537" s="385"/>
      <c r="K537" s="328"/>
      <c r="L537" s="328"/>
      <c r="M537" s="377"/>
      <c r="N537" s="229"/>
      <c r="O537" s="229"/>
      <c r="P537" s="323"/>
      <c r="Q537" s="329"/>
      <c r="R537" s="330"/>
      <c r="S537" s="330"/>
      <c r="T537" s="330"/>
      <c r="U537" s="330"/>
      <c r="V537" s="330"/>
      <c r="W537" s="323"/>
      <c r="X537" s="323"/>
    </row>
    <row r="538" spans="1:24" ht="13.5" customHeight="1">
      <c r="A538" s="323"/>
      <c r="B538" s="323"/>
      <c r="C538" s="229"/>
      <c r="D538" s="324"/>
      <c r="E538" s="325"/>
      <c r="F538" s="326"/>
      <c r="G538" s="326"/>
      <c r="H538" s="326"/>
      <c r="I538" s="327"/>
      <c r="J538" s="385"/>
      <c r="K538" s="328"/>
      <c r="L538" s="328"/>
      <c r="M538" s="377"/>
      <c r="N538" s="229"/>
      <c r="O538" s="229"/>
      <c r="P538" s="323"/>
      <c r="Q538" s="329"/>
      <c r="R538" s="330"/>
      <c r="S538" s="330"/>
      <c r="T538" s="330"/>
      <c r="U538" s="330"/>
      <c r="V538" s="330"/>
      <c r="W538" s="323"/>
      <c r="X538" s="323"/>
    </row>
    <row r="539" spans="1:24" ht="13.5" customHeight="1">
      <c r="A539" s="323"/>
      <c r="B539" s="323"/>
      <c r="C539" s="229"/>
      <c r="D539" s="324"/>
      <c r="E539" s="325"/>
      <c r="F539" s="326"/>
      <c r="G539" s="326"/>
      <c r="H539" s="326"/>
      <c r="I539" s="327"/>
      <c r="J539" s="385"/>
      <c r="K539" s="328"/>
      <c r="L539" s="328"/>
      <c r="M539" s="377"/>
      <c r="N539" s="229"/>
      <c r="O539" s="229"/>
      <c r="P539" s="323"/>
      <c r="Q539" s="329"/>
      <c r="R539" s="330"/>
      <c r="S539" s="330"/>
      <c r="T539" s="330"/>
      <c r="U539" s="330"/>
      <c r="V539" s="330"/>
      <c r="W539" s="323"/>
      <c r="X539" s="323"/>
    </row>
    <row r="540" spans="1:24" ht="13.5" customHeight="1">
      <c r="A540" s="323"/>
      <c r="B540" s="323"/>
      <c r="C540" s="229"/>
      <c r="D540" s="324"/>
      <c r="E540" s="325"/>
      <c r="F540" s="326"/>
      <c r="G540" s="326"/>
      <c r="H540" s="326"/>
      <c r="I540" s="327"/>
      <c r="J540" s="385"/>
      <c r="K540" s="328"/>
      <c r="L540" s="328"/>
      <c r="M540" s="377"/>
      <c r="N540" s="229"/>
      <c r="O540" s="229"/>
      <c r="P540" s="323"/>
      <c r="Q540" s="329"/>
      <c r="R540" s="330"/>
      <c r="S540" s="330"/>
      <c r="T540" s="330"/>
      <c r="U540" s="330"/>
      <c r="V540" s="330"/>
      <c r="W540" s="323"/>
      <c r="X540" s="323"/>
    </row>
    <row r="541" spans="1:24" ht="13.5" customHeight="1">
      <c r="A541" s="323"/>
      <c r="B541" s="323"/>
      <c r="C541" s="229"/>
      <c r="D541" s="324"/>
      <c r="E541" s="325"/>
      <c r="F541" s="326"/>
      <c r="G541" s="326"/>
      <c r="H541" s="326"/>
      <c r="I541" s="327"/>
      <c r="J541" s="385"/>
      <c r="K541" s="328"/>
      <c r="L541" s="328"/>
      <c r="M541" s="377"/>
      <c r="N541" s="229"/>
      <c r="O541" s="229"/>
      <c r="P541" s="323"/>
      <c r="Q541" s="329"/>
      <c r="R541" s="330"/>
      <c r="S541" s="330"/>
      <c r="T541" s="330"/>
      <c r="U541" s="330"/>
      <c r="V541" s="330"/>
      <c r="W541" s="323"/>
      <c r="X541" s="323"/>
    </row>
    <row r="542" spans="1:24" ht="13.5" customHeight="1">
      <c r="A542" s="323"/>
      <c r="B542" s="323"/>
      <c r="C542" s="229"/>
      <c r="D542" s="324"/>
      <c r="E542" s="325"/>
      <c r="F542" s="326"/>
      <c r="G542" s="326"/>
      <c r="H542" s="326"/>
      <c r="I542" s="327"/>
      <c r="J542" s="385"/>
      <c r="K542" s="328"/>
      <c r="L542" s="328"/>
      <c r="M542" s="377"/>
      <c r="N542" s="229"/>
      <c r="O542" s="229"/>
      <c r="P542" s="323"/>
      <c r="Q542" s="329"/>
      <c r="R542" s="330"/>
      <c r="S542" s="330"/>
      <c r="T542" s="330"/>
      <c r="U542" s="330"/>
      <c r="V542" s="330"/>
      <c r="W542" s="323"/>
      <c r="X542" s="323"/>
    </row>
    <row r="543" spans="1:24" ht="13.5" customHeight="1">
      <c r="A543" s="323"/>
      <c r="B543" s="323"/>
      <c r="C543" s="229"/>
      <c r="D543" s="324"/>
      <c r="E543" s="325"/>
      <c r="F543" s="326"/>
      <c r="G543" s="326"/>
      <c r="H543" s="326"/>
      <c r="I543" s="327"/>
      <c r="J543" s="385"/>
      <c r="K543" s="328"/>
      <c r="L543" s="328"/>
      <c r="M543" s="377"/>
      <c r="N543" s="229"/>
      <c r="O543" s="229"/>
      <c r="P543" s="323"/>
      <c r="Q543" s="329"/>
      <c r="R543" s="330"/>
      <c r="S543" s="330"/>
      <c r="T543" s="330"/>
      <c r="U543" s="330"/>
      <c r="V543" s="330"/>
      <c r="W543" s="323"/>
      <c r="X543" s="323"/>
    </row>
    <row r="544" spans="1:24" ht="13.5" customHeight="1">
      <c r="A544" s="323"/>
      <c r="B544" s="323"/>
      <c r="C544" s="229"/>
      <c r="D544" s="324"/>
      <c r="E544" s="325"/>
      <c r="F544" s="326"/>
      <c r="G544" s="326"/>
      <c r="H544" s="326"/>
      <c r="I544" s="327"/>
      <c r="J544" s="385"/>
      <c r="K544" s="328"/>
      <c r="L544" s="328"/>
      <c r="M544" s="377"/>
      <c r="N544" s="229"/>
      <c r="O544" s="229"/>
      <c r="P544" s="323"/>
      <c r="Q544" s="329"/>
      <c r="R544" s="330"/>
      <c r="S544" s="330"/>
      <c r="T544" s="330"/>
      <c r="U544" s="330"/>
      <c r="V544" s="330"/>
      <c r="W544" s="323"/>
      <c r="X544" s="323"/>
    </row>
    <row r="545" spans="1:24" ht="13.5" customHeight="1">
      <c r="A545" s="323"/>
      <c r="B545" s="323"/>
      <c r="C545" s="229"/>
      <c r="D545" s="324"/>
      <c r="E545" s="325"/>
      <c r="F545" s="326"/>
      <c r="G545" s="326"/>
      <c r="H545" s="326"/>
      <c r="I545" s="327"/>
      <c r="J545" s="385"/>
      <c r="K545" s="328"/>
      <c r="L545" s="328"/>
      <c r="M545" s="377"/>
      <c r="N545" s="229"/>
      <c r="O545" s="229"/>
      <c r="P545" s="323"/>
      <c r="Q545" s="329"/>
      <c r="R545" s="330"/>
      <c r="S545" s="330"/>
      <c r="T545" s="330"/>
      <c r="U545" s="330"/>
      <c r="V545" s="330"/>
      <c r="W545" s="323"/>
      <c r="X545" s="323"/>
    </row>
    <row r="546" spans="1:24" ht="13.5" customHeight="1">
      <c r="A546" s="323"/>
      <c r="B546" s="323"/>
      <c r="C546" s="229"/>
      <c r="D546" s="324"/>
      <c r="E546" s="325"/>
      <c r="F546" s="326"/>
      <c r="G546" s="326"/>
      <c r="H546" s="326"/>
      <c r="I546" s="327"/>
      <c r="J546" s="385"/>
      <c r="K546" s="328"/>
      <c r="L546" s="328"/>
      <c r="M546" s="377"/>
      <c r="N546" s="229"/>
      <c r="O546" s="229"/>
      <c r="P546" s="323"/>
      <c r="Q546" s="329"/>
      <c r="R546" s="330"/>
      <c r="S546" s="330"/>
      <c r="T546" s="330"/>
      <c r="U546" s="330"/>
      <c r="V546" s="330"/>
      <c r="W546" s="323"/>
      <c r="X546" s="323"/>
    </row>
    <row r="547" spans="1:24" ht="13.5" customHeight="1">
      <c r="A547" s="323"/>
      <c r="B547" s="323"/>
      <c r="C547" s="229"/>
      <c r="D547" s="324"/>
      <c r="E547" s="325"/>
      <c r="F547" s="326"/>
      <c r="G547" s="326"/>
      <c r="H547" s="326"/>
      <c r="I547" s="327"/>
      <c r="J547" s="385"/>
      <c r="K547" s="328"/>
      <c r="L547" s="328"/>
      <c r="M547" s="377"/>
      <c r="N547" s="229"/>
      <c r="O547" s="229"/>
      <c r="P547" s="323"/>
      <c r="Q547" s="329"/>
      <c r="R547" s="330"/>
      <c r="S547" s="330"/>
      <c r="T547" s="330"/>
      <c r="U547" s="330"/>
      <c r="V547" s="330"/>
      <c r="W547" s="323"/>
      <c r="X547" s="323"/>
    </row>
    <row r="548" spans="1:24" ht="13.5" customHeight="1">
      <c r="A548" s="323"/>
      <c r="B548" s="323"/>
      <c r="C548" s="229"/>
      <c r="D548" s="324"/>
      <c r="E548" s="325"/>
      <c r="F548" s="326"/>
      <c r="G548" s="326"/>
      <c r="H548" s="326"/>
      <c r="I548" s="327"/>
      <c r="J548" s="385"/>
      <c r="K548" s="328"/>
      <c r="L548" s="328"/>
      <c r="M548" s="377"/>
      <c r="N548" s="229"/>
      <c r="O548" s="229"/>
      <c r="P548" s="323"/>
      <c r="Q548" s="329"/>
      <c r="R548" s="330"/>
      <c r="S548" s="330"/>
      <c r="T548" s="330"/>
      <c r="U548" s="330"/>
      <c r="V548" s="330"/>
      <c r="W548" s="323"/>
      <c r="X548" s="323"/>
    </row>
    <row r="549" spans="1:24" ht="13.5" customHeight="1">
      <c r="A549" s="323"/>
      <c r="B549" s="323"/>
      <c r="C549" s="229"/>
      <c r="D549" s="324"/>
      <c r="E549" s="325"/>
      <c r="F549" s="326"/>
      <c r="G549" s="326"/>
      <c r="H549" s="326"/>
      <c r="I549" s="327"/>
      <c r="J549" s="385"/>
      <c r="K549" s="328"/>
      <c r="L549" s="328"/>
      <c r="M549" s="377"/>
      <c r="N549" s="229"/>
      <c r="O549" s="229"/>
      <c r="P549" s="323"/>
      <c r="Q549" s="329"/>
      <c r="R549" s="330"/>
      <c r="S549" s="330"/>
      <c r="T549" s="330"/>
      <c r="U549" s="330"/>
      <c r="V549" s="330"/>
      <c r="W549" s="323"/>
      <c r="X549" s="323"/>
    </row>
    <row r="550" spans="1:24" ht="13.5" customHeight="1">
      <c r="A550" s="323"/>
      <c r="B550" s="323"/>
      <c r="C550" s="229"/>
      <c r="D550" s="324"/>
      <c r="E550" s="325"/>
      <c r="F550" s="326"/>
      <c r="G550" s="326"/>
      <c r="H550" s="326"/>
      <c r="I550" s="327"/>
      <c r="J550" s="385"/>
      <c r="K550" s="328"/>
      <c r="L550" s="328"/>
      <c r="M550" s="377"/>
      <c r="N550" s="229"/>
      <c r="O550" s="229"/>
      <c r="P550" s="323"/>
      <c r="Q550" s="329"/>
      <c r="R550" s="330"/>
      <c r="S550" s="330"/>
      <c r="T550" s="330"/>
      <c r="U550" s="330"/>
      <c r="V550" s="330"/>
      <c r="W550" s="323"/>
      <c r="X550" s="323"/>
    </row>
    <row r="551" spans="1:24" ht="13.5" customHeight="1">
      <c r="A551" s="323"/>
      <c r="B551" s="323"/>
      <c r="C551" s="229"/>
      <c r="D551" s="324"/>
      <c r="E551" s="325"/>
      <c r="F551" s="326"/>
      <c r="G551" s="326"/>
      <c r="H551" s="326"/>
      <c r="I551" s="327"/>
      <c r="J551" s="385"/>
      <c r="K551" s="328"/>
      <c r="L551" s="328"/>
      <c r="M551" s="377"/>
      <c r="N551" s="229"/>
      <c r="O551" s="229"/>
      <c r="P551" s="323"/>
      <c r="Q551" s="329"/>
      <c r="R551" s="330"/>
      <c r="S551" s="330"/>
      <c r="T551" s="330"/>
      <c r="U551" s="330"/>
      <c r="V551" s="330"/>
      <c r="W551" s="323"/>
      <c r="X551" s="323"/>
    </row>
    <row r="552" spans="1:24" ht="13.5" customHeight="1">
      <c r="A552" s="323"/>
      <c r="B552" s="323"/>
      <c r="C552" s="229"/>
      <c r="D552" s="324"/>
      <c r="E552" s="325"/>
      <c r="F552" s="326"/>
      <c r="G552" s="326"/>
      <c r="H552" s="326"/>
      <c r="I552" s="327"/>
      <c r="J552" s="385"/>
      <c r="K552" s="328"/>
      <c r="L552" s="328"/>
      <c r="M552" s="377"/>
      <c r="N552" s="229"/>
      <c r="O552" s="229"/>
      <c r="P552" s="323"/>
      <c r="Q552" s="329"/>
      <c r="R552" s="330"/>
      <c r="S552" s="330"/>
      <c r="T552" s="330"/>
      <c r="U552" s="330"/>
      <c r="V552" s="330"/>
      <c r="W552" s="323"/>
      <c r="X552" s="323"/>
    </row>
    <row r="553" spans="1:24" ht="13.5" customHeight="1">
      <c r="A553" s="323"/>
      <c r="B553" s="323"/>
      <c r="C553" s="229"/>
      <c r="D553" s="324"/>
      <c r="E553" s="325"/>
      <c r="F553" s="326"/>
      <c r="G553" s="326"/>
      <c r="H553" s="326"/>
      <c r="I553" s="327"/>
      <c r="J553" s="385"/>
      <c r="K553" s="328"/>
      <c r="L553" s="328"/>
      <c r="M553" s="377"/>
      <c r="N553" s="229"/>
      <c r="O553" s="229"/>
      <c r="P553" s="323"/>
      <c r="Q553" s="329"/>
      <c r="R553" s="330"/>
      <c r="S553" s="330"/>
      <c r="T553" s="330"/>
      <c r="U553" s="330"/>
      <c r="V553" s="330"/>
      <c r="W553" s="323"/>
      <c r="X553" s="323"/>
    </row>
    <row r="554" spans="1:24" ht="13.5" customHeight="1">
      <c r="A554" s="323"/>
      <c r="B554" s="323"/>
      <c r="C554" s="229"/>
      <c r="D554" s="324"/>
      <c r="E554" s="325"/>
      <c r="F554" s="326"/>
      <c r="G554" s="326"/>
      <c r="H554" s="326"/>
      <c r="I554" s="327"/>
      <c r="J554" s="385"/>
      <c r="K554" s="328"/>
      <c r="L554" s="328"/>
      <c r="M554" s="377"/>
      <c r="N554" s="229"/>
      <c r="O554" s="229"/>
      <c r="P554" s="323"/>
      <c r="Q554" s="329"/>
      <c r="R554" s="330"/>
      <c r="S554" s="330"/>
      <c r="T554" s="330"/>
      <c r="U554" s="330"/>
      <c r="V554" s="330"/>
      <c r="W554" s="323"/>
      <c r="X554" s="323"/>
    </row>
    <row r="555" spans="1:24" ht="13.5" customHeight="1">
      <c r="A555" s="323"/>
      <c r="B555" s="323"/>
      <c r="C555" s="229"/>
      <c r="D555" s="324"/>
      <c r="E555" s="325"/>
      <c r="F555" s="326"/>
      <c r="G555" s="326"/>
      <c r="H555" s="326"/>
      <c r="I555" s="327"/>
      <c r="J555" s="385"/>
      <c r="K555" s="328"/>
      <c r="L555" s="328"/>
      <c r="M555" s="377"/>
      <c r="N555" s="229"/>
      <c r="O555" s="229"/>
      <c r="P555" s="323"/>
      <c r="Q555" s="329"/>
      <c r="R555" s="330"/>
      <c r="S555" s="330"/>
      <c r="T555" s="330"/>
      <c r="U555" s="330"/>
      <c r="V555" s="330"/>
      <c r="W555" s="323"/>
      <c r="X555" s="323"/>
    </row>
    <row r="556" spans="1:24" ht="13.5" customHeight="1">
      <c r="A556" s="323"/>
      <c r="B556" s="323"/>
      <c r="C556" s="229"/>
      <c r="D556" s="324"/>
      <c r="E556" s="325"/>
      <c r="F556" s="326"/>
      <c r="G556" s="326"/>
      <c r="H556" s="326"/>
      <c r="I556" s="327"/>
      <c r="J556" s="385"/>
      <c r="K556" s="328"/>
      <c r="L556" s="328"/>
      <c r="M556" s="377"/>
      <c r="N556" s="229"/>
      <c r="O556" s="229"/>
      <c r="P556" s="323"/>
      <c r="Q556" s="329"/>
      <c r="R556" s="330"/>
      <c r="S556" s="330"/>
      <c r="T556" s="330"/>
      <c r="U556" s="330"/>
      <c r="V556" s="330"/>
      <c r="W556" s="323"/>
      <c r="X556" s="323"/>
    </row>
    <row r="557" spans="1:24" ht="13.5" customHeight="1">
      <c r="A557" s="323"/>
      <c r="B557" s="323"/>
      <c r="C557" s="229"/>
      <c r="D557" s="324"/>
      <c r="E557" s="325"/>
      <c r="F557" s="326"/>
      <c r="G557" s="326"/>
      <c r="H557" s="326"/>
      <c r="I557" s="327"/>
      <c r="J557" s="385"/>
      <c r="K557" s="328"/>
      <c r="L557" s="328"/>
      <c r="M557" s="377"/>
      <c r="N557" s="229"/>
      <c r="O557" s="229"/>
      <c r="P557" s="323"/>
      <c r="Q557" s="329"/>
      <c r="R557" s="330"/>
      <c r="S557" s="330"/>
      <c r="T557" s="330"/>
      <c r="U557" s="330"/>
      <c r="V557" s="330"/>
      <c r="W557" s="323"/>
      <c r="X557" s="323"/>
    </row>
    <row r="558" spans="1:24" ht="13.5" customHeight="1">
      <c r="A558" s="323"/>
      <c r="B558" s="323"/>
      <c r="C558" s="229"/>
      <c r="D558" s="324"/>
      <c r="E558" s="325"/>
      <c r="F558" s="326"/>
      <c r="G558" s="326"/>
      <c r="H558" s="326"/>
      <c r="I558" s="327"/>
      <c r="J558" s="385"/>
      <c r="K558" s="328"/>
      <c r="L558" s="328"/>
      <c r="M558" s="377"/>
      <c r="N558" s="229"/>
      <c r="O558" s="229"/>
      <c r="P558" s="323"/>
      <c r="Q558" s="329"/>
      <c r="R558" s="330"/>
      <c r="S558" s="330"/>
      <c r="T558" s="330"/>
      <c r="U558" s="330"/>
      <c r="V558" s="330"/>
      <c r="W558" s="323"/>
      <c r="X558" s="323"/>
    </row>
    <row r="559" spans="1:24" ht="13.5" customHeight="1">
      <c r="A559" s="323"/>
      <c r="B559" s="323"/>
      <c r="C559" s="229"/>
      <c r="D559" s="324"/>
      <c r="E559" s="325"/>
      <c r="F559" s="326"/>
      <c r="G559" s="326"/>
      <c r="H559" s="326"/>
      <c r="I559" s="327"/>
      <c r="J559" s="385"/>
      <c r="K559" s="328"/>
      <c r="L559" s="328"/>
      <c r="M559" s="377"/>
      <c r="N559" s="229"/>
      <c r="O559" s="229"/>
      <c r="P559" s="323"/>
      <c r="Q559" s="329"/>
      <c r="R559" s="330"/>
      <c r="S559" s="330"/>
      <c r="T559" s="330"/>
      <c r="U559" s="330"/>
      <c r="V559" s="330"/>
      <c r="W559" s="323"/>
      <c r="X559" s="323"/>
    </row>
    <row r="560" spans="1:24" ht="13.5" customHeight="1">
      <c r="A560" s="323"/>
      <c r="B560" s="323"/>
      <c r="C560" s="229"/>
      <c r="D560" s="324"/>
      <c r="E560" s="325"/>
      <c r="F560" s="326"/>
      <c r="G560" s="326"/>
      <c r="H560" s="326"/>
      <c r="I560" s="327"/>
      <c r="J560" s="385"/>
      <c r="K560" s="328"/>
      <c r="L560" s="328"/>
      <c r="M560" s="377"/>
      <c r="N560" s="229"/>
      <c r="O560" s="229"/>
      <c r="P560" s="323"/>
      <c r="Q560" s="329"/>
      <c r="R560" s="330"/>
      <c r="S560" s="330"/>
      <c r="T560" s="330"/>
      <c r="U560" s="330"/>
      <c r="V560" s="330"/>
      <c r="W560" s="323"/>
      <c r="X560" s="323"/>
    </row>
    <row r="561" spans="1:24" ht="13.5" customHeight="1">
      <c r="A561" s="323"/>
      <c r="B561" s="323"/>
      <c r="C561" s="229"/>
      <c r="D561" s="324"/>
      <c r="E561" s="325"/>
      <c r="F561" s="326"/>
      <c r="G561" s="326"/>
      <c r="H561" s="326"/>
      <c r="I561" s="327"/>
      <c r="J561" s="385"/>
      <c r="K561" s="328"/>
      <c r="L561" s="328"/>
      <c r="M561" s="377"/>
      <c r="N561" s="229"/>
      <c r="O561" s="229"/>
      <c r="P561" s="323"/>
      <c r="Q561" s="329"/>
      <c r="R561" s="330"/>
      <c r="S561" s="330"/>
      <c r="T561" s="330"/>
      <c r="U561" s="330"/>
      <c r="V561" s="330"/>
      <c r="W561" s="323"/>
      <c r="X561" s="323"/>
    </row>
    <row r="562" spans="1:24" ht="13.5" customHeight="1">
      <c r="A562" s="323"/>
      <c r="B562" s="323"/>
      <c r="C562" s="229"/>
      <c r="D562" s="324"/>
      <c r="E562" s="325"/>
      <c r="F562" s="326"/>
      <c r="G562" s="326"/>
      <c r="H562" s="326"/>
      <c r="I562" s="327"/>
      <c r="J562" s="385"/>
      <c r="K562" s="328"/>
      <c r="L562" s="328"/>
      <c r="M562" s="377"/>
      <c r="N562" s="229"/>
      <c r="O562" s="229"/>
      <c r="P562" s="323"/>
      <c r="Q562" s="329"/>
      <c r="R562" s="330"/>
      <c r="S562" s="330"/>
      <c r="T562" s="330"/>
      <c r="U562" s="330"/>
      <c r="V562" s="330"/>
      <c r="W562" s="323"/>
      <c r="X562" s="323"/>
    </row>
    <row r="563" spans="1:24" ht="13.5" customHeight="1">
      <c r="A563" s="323"/>
      <c r="B563" s="323"/>
      <c r="C563" s="229"/>
      <c r="D563" s="324"/>
      <c r="E563" s="325"/>
      <c r="F563" s="326"/>
      <c r="G563" s="326"/>
      <c r="H563" s="326"/>
      <c r="I563" s="327"/>
      <c r="J563" s="385"/>
      <c r="K563" s="328"/>
      <c r="L563" s="328"/>
      <c r="M563" s="377"/>
      <c r="N563" s="229"/>
      <c r="O563" s="229"/>
      <c r="P563" s="323"/>
      <c r="Q563" s="329"/>
      <c r="R563" s="330"/>
      <c r="S563" s="330"/>
      <c r="T563" s="330"/>
      <c r="U563" s="330"/>
      <c r="V563" s="330"/>
      <c r="W563" s="323"/>
      <c r="X563" s="323"/>
    </row>
    <row r="564" spans="1:24" ht="13.5" customHeight="1">
      <c r="A564" s="323"/>
      <c r="B564" s="323"/>
      <c r="C564" s="229"/>
      <c r="D564" s="324"/>
      <c r="E564" s="325"/>
      <c r="F564" s="326"/>
      <c r="G564" s="326"/>
      <c r="H564" s="326"/>
      <c r="I564" s="327"/>
      <c r="J564" s="385"/>
      <c r="K564" s="328"/>
      <c r="L564" s="328"/>
      <c r="M564" s="377"/>
      <c r="N564" s="229"/>
      <c r="O564" s="229"/>
      <c r="P564" s="323"/>
      <c r="Q564" s="329"/>
      <c r="R564" s="330"/>
      <c r="S564" s="330"/>
      <c r="T564" s="330"/>
      <c r="U564" s="330"/>
      <c r="V564" s="330"/>
      <c r="W564" s="323"/>
      <c r="X564" s="323"/>
    </row>
    <row r="565" spans="1:24" ht="13.5" customHeight="1">
      <c r="A565" s="323"/>
      <c r="B565" s="323"/>
      <c r="C565" s="229"/>
      <c r="D565" s="324"/>
      <c r="E565" s="325"/>
      <c r="F565" s="326"/>
      <c r="G565" s="326"/>
      <c r="H565" s="326"/>
      <c r="I565" s="327"/>
      <c r="J565" s="385"/>
      <c r="K565" s="328"/>
      <c r="L565" s="328"/>
      <c r="M565" s="377"/>
      <c r="N565" s="229"/>
      <c r="O565" s="229"/>
      <c r="P565" s="323"/>
      <c r="Q565" s="329"/>
      <c r="R565" s="330"/>
      <c r="S565" s="330"/>
      <c r="T565" s="330"/>
      <c r="U565" s="330"/>
      <c r="V565" s="330"/>
      <c r="W565" s="323"/>
      <c r="X565" s="323"/>
    </row>
    <row r="566" spans="1:24" ht="13.5" customHeight="1">
      <c r="A566" s="323"/>
      <c r="B566" s="323"/>
      <c r="C566" s="229"/>
      <c r="D566" s="324"/>
      <c r="E566" s="325"/>
      <c r="F566" s="326"/>
      <c r="G566" s="326"/>
      <c r="H566" s="326"/>
      <c r="I566" s="327"/>
      <c r="J566" s="385"/>
      <c r="K566" s="328"/>
      <c r="L566" s="328"/>
      <c r="M566" s="377"/>
      <c r="N566" s="229"/>
      <c r="O566" s="229"/>
      <c r="P566" s="323"/>
      <c r="Q566" s="329"/>
      <c r="R566" s="330"/>
      <c r="S566" s="330"/>
      <c r="T566" s="330"/>
      <c r="U566" s="330"/>
      <c r="V566" s="330"/>
      <c r="W566" s="323"/>
      <c r="X566" s="323"/>
    </row>
    <row r="567" spans="1:24" ht="13.5" customHeight="1">
      <c r="A567" s="323"/>
      <c r="B567" s="323"/>
      <c r="C567" s="229"/>
      <c r="D567" s="324"/>
      <c r="E567" s="325"/>
      <c r="F567" s="326"/>
      <c r="G567" s="326"/>
      <c r="H567" s="326"/>
      <c r="I567" s="327"/>
      <c r="J567" s="385"/>
      <c r="K567" s="328"/>
      <c r="L567" s="328"/>
      <c r="M567" s="377"/>
      <c r="N567" s="229"/>
      <c r="O567" s="229"/>
      <c r="P567" s="323"/>
      <c r="Q567" s="329"/>
      <c r="R567" s="330"/>
      <c r="S567" s="330"/>
      <c r="T567" s="330"/>
      <c r="U567" s="330"/>
      <c r="V567" s="330"/>
      <c r="W567" s="323"/>
      <c r="X567" s="323"/>
    </row>
    <row r="568" spans="1:24" ht="13.5" customHeight="1">
      <c r="A568" s="323"/>
      <c r="B568" s="323"/>
      <c r="C568" s="229"/>
      <c r="D568" s="324"/>
      <c r="E568" s="325"/>
      <c r="F568" s="326"/>
      <c r="G568" s="326"/>
      <c r="H568" s="326"/>
      <c r="I568" s="327"/>
      <c r="J568" s="385"/>
      <c r="K568" s="328"/>
      <c r="L568" s="328"/>
      <c r="M568" s="377"/>
      <c r="N568" s="229"/>
      <c r="O568" s="229"/>
      <c r="P568" s="323"/>
      <c r="Q568" s="329"/>
      <c r="R568" s="330"/>
      <c r="S568" s="330"/>
      <c r="T568" s="330"/>
      <c r="U568" s="330"/>
      <c r="V568" s="330"/>
      <c r="W568" s="323"/>
      <c r="X568" s="323"/>
    </row>
    <row r="569" spans="1:24" ht="13.5" customHeight="1">
      <c r="A569" s="323"/>
      <c r="B569" s="323"/>
      <c r="C569" s="229"/>
      <c r="D569" s="324"/>
      <c r="E569" s="325"/>
      <c r="F569" s="326"/>
      <c r="G569" s="326"/>
      <c r="H569" s="326"/>
      <c r="I569" s="327"/>
      <c r="J569" s="385"/>
      <c r="K569" s="328"/>
      <c r="L569" s="328"/>
      <c r="M569" s="377"/>
      <c r="N569" s="229"/>
      <c r="O569" s="229"/>
      <c r="P569" s="323"/>
      <c r="Q569" s="329"/>
      <c r="R569" s="330"/>
      <c r="S569" s="330"/>
      <c r="T569" s="330"/>
      <c r="U569" s="330"/>
      <c r="V569" s="330"/>
      <c r="W569" s="323"/>
      <c r="X569" s="323"/>
    </row>
    <row r="570" spans="1:24" ht="13.5" customHeight="1">
      <c r="A570" s="323"/>
      <c r="B570" s="323"/>
      <c r="C570" s="229"/>
      <c r="D570" s="324"/>
      <c r="E570" s="325"/>
      <c r="F570" s="326"/>
      <c r="G570" s="326"/>
      <c r="H570" s="326"/>
      <c r="I570" s="327"/>
      <c r="J570" s="385"/>
      <c r="K570" s="328"/>
      <c r="L570" s="328"/>
      <c r="M570" s="377"/>
      <c r="N570" s="229"/>
      <c r="O570" s="229"/>
      <c r="P570" s="323"/>
      <c r="Q570" s="329"/>
      <c r="R570" s="330"/>
      <c r="S570" s="330"/>
      <c r="T570" s="330"/>
      <c r="U570" s="330"/>
      <c r="V570" s="330"/>
      <c r="W570" s="323"/>
      <c r="X570" s="323"/>
    </row>
    <row r="571" spans="1:24" ht="13.5" customHeight="1">
      <c r="A571" s="323"/>
      <c r="B571" s="323"/>
      <c r="C571" s="229"/>
      <c r="D571" s="324"/>
      <c r="E571" s="325"/>
      <c r="F571" s="326"/>
      <c r="G571" s="326"/>
      <c r="H571" s="326"/>
      <c r="I571" s="327"/>
      <c r="J571" s="385"/>
      <c r="K571" s="328"/>
      <c r="L571" s="328"/>
      <c r="M571" s="377"/>
      <c r="N571" s="229"/>
      <c r="O571" s="229"/>
      <c r="P571" s="323"/>
      <c r="Q571" s="329"/>
      <c r="R571" s="330"/>
      <c r="S571" s="330"/>
      <c r="T571" s="330"/>
      <c r="U571" s="330"/>
      <c r="V571" s="330"/>
      <c r="W571" s="323"/>
      <c r="X571" s="323"/>
    </row>
    <row r="572" spans="1:24" ht="13.5" customHeight="1">
      <c r="A572" s="323"/>
      <c r="B572" s="323"/>
      <c r="C572" s="229"/>
      <c r="D572" s="324"/>
      <c r="E572" s="325"/>
      <c r="F572" s="326"/>
      <c r="G572" s="326"/>
      <c r="H572" s="326"/>
      <c r="I572" s="327"/>
      <c r="J572" s="385"/>
      <c r="K572" s="328"/>
      <c r="L572" s="328"/>
      <c r="M572" s="377"/>
      <c r="N572" s="229"/>
      <c r="O572" s="229"/>
      <c r="P572" s="323"/>
      <c r="Q572" s="329"/>
      <c r="R572" s="330"/>
      <c r="S572" s="330"/>
      <c r="T572" s="330"/>
      <c r="U572" s="330"/>
      <c r="V572" s="330"/>
      <c r="W572" s="323"/>
      <c r="X572" s="323"/>
    </row>
    <row r="573" spans="1:24" ht="13.5" customHeight="1">
      <c r="A573" s="323"/>
      <c r="B573" s="323"/>
      <c r="C573" s="229"/>
      <c r="D573" s="324"/>
      <c r="E573" s="325"/>
      <c r="F573" s="326"/>
      <c r="G573" s="326"/>
      <c r="H573" s="326"/>
      <c r="I573" s="327"/>
      <c r="J573" s="385"/>
      <c r="K573" s="328"/>
      <c r="L573" s="328"/>
      <c r="M573" s="377"/>
      <c r="N573" s="229"/>
      <c r="O573" s="229"/>
      <c r="P573" s="323"/>
      <c r="Q573" s="329"/>
      <c r="R573" s="330"/>
      <c r="S573" s="330"/>
      <c r="T573" s="330"/>
      <c r="U573" s="330"/>
      <c r="V573" s="330"/>
      <c r="W573" s="323"/>
      <c r="X573" s="323"/>
    </row>
    <row r="574" spans="1:24" ht="13.5" customHeight="1">
      <c r="A574" s="323"/>
      <c r="B574" s="323"/>
      <c r="C574" s="229"/>
      <c r="D574" s="324"/>
      <c r="E574" s="325"/>
      <c r="F574" s="326"/>
      <c r="G574" s="326"/>
      <c r="H574" s="326"/>
      <c r="I574" s="327"/>
      <c r="J574" s="385"/>
      <c r="K574" s="328"/>
      <c r="L574" s="328"/>
      <c r="M574" s="377"/>
      <c r="N574" s="229"/>
      <c r="O574" s="229"/>
      <c r="P574" s="323"/>
      <c r="Q574" s="329"/>
      <c r="R574" s="330"/>
      <c r="S574" s="330"/>
      <c r="T574" s="330"/>
      <c r="U574" s="330"/>
      <c r="V574" s="330"/>
      <c r="W574" s="323"/>
      <c r="X574" s="323"/>
    </row>
    <row r="575" spans="1:24" ht="13.5" customHeight="1">
      <c r="A575" s="323"/>
      <c r="B575" s="323"/>
      <c r="C575" s="229"/>
      <c r="D575" s="324"/>
      <c r="E575" s="325"/>
      <c r="F575" s="326"/>
      <c r="G575" s="326"/>
      <c r="H575" s="326"/>
      <c r="I575" s="327"/>
      <c r="J575" s="385"/>
      <c r="K575" s="328"/>
      <c r="L575" s="328"/>
      <c r="M575" s="377"/>
      <c r="N575" s="229"/>
      <c r="O575" s="229"/>
      <c r="P575" s="323"/>
      <c r="Q575" s="329"/>
      <c r="R575" s="330"/>
      <c r="S575" s="330"/>
      <c r="T575" s="330"/>
      <c r="U575" s="330"/>
      <c r="V575" s="330"/>
      <c r="W575" s="323"/>
      <c r="X575" s="323"/>
    </row>
    <row r="576" spans="1:24" ht="13.5" customHeight="1">
      <c r="A576" s="323"/>
      <c r="B576" s="323"/>
      <c r="C576" s="229"/>
      <c r="D576" s="324"/>
      <c r="E576" s="325"/>
      <c r="F576" s="326"/>
      <c r="G576" s="326"/>
      <c r="H576" s="326"/>
      <c r="I576" s="327"/>
      <c r="J576" s="385"/>
      <c r="K576" s="328"/>
      <c r="L576" s="328"/>
      <c r="M576" s="377"/>
      <c r="N576" s="229"/>
      <c r="O576" s="229"/>
      <c r="P576" s="323"/>
      <c r="Q576" s="329"/>
      <c r="R576" s="330"/>
      <c r="S576" s="330"/>
      <c r="T576" s="330"/>
      <c r="U576" s="330"/>
      <c r="V576" s="330"/>
      <c r="W576" s="323"/>
      <c r="X576" s="323"/>
    </row>
    <row r="577" spans="1:24" ht="13.5" customHeight="1">
      <c r="A577" s="323"/>
      <c r="B577" s="323"/>
      <c r="C577" s="229"/>
      <c r="D577" s="324"/>
      <c r="E577" s="325"/>
      <c r="F577" s="326"/>
      <c r="G577" s="326"/>
      <c r="H577" s="326"/>
      <c r="I577" s="327"/>
      <c r="J577" s="385"/>
      <c r="K577" s="328"/>
      <c r="L577" s="328"/>
      <c r="M577" s="377"/>
      <c r="N577" s="229"/>
      <c r="O577" s="229"/>
      <c r="P577" s="323"/>
      <c r="Q577" s="329"/>
      <c r="R577" s="330"/>
      <c r="S577" s="330"/>
      <c r="T577" s="330"/>
      <c r="U577" s="330"/>
      <c r="V577" s="330"/>
      <c r="W577" s="323"/>
      <c r="X577" s="323"/>
    </row>
    <row r="578" spans="1:24" ht="13.5" customHeight="1">
      <c r="A578" s="323"/>
      <c r="B578" s="323"/>
      <c r="C578" s="229"/>
      <c r="D578" s="324"/>
      <c r="E578" s="325"/>
      <c r="F578" s="326"/>
      <c r="G578" s="326"/>
      <c r="H578" s="326"/>
      <c r="I578" s="327"/>
      <c r="J578" s="385"/>
      <c r="K578" s="328"/>
      <c r="L578" s="328"/>
      <c r="M578" s="377"/>
      <c r="N578" s="229"/>
      <c r="O578" s="229"/>
      <c r="P578" s="323"/>
      <c r="Q578" s="329"/>
      <c r="R578" s="330"/>
      <c r="S578" s="330"/>
      <c r="T578" s="330"/>
      <c r="U578" s="330"/>
      <c r="V578" s="330"/>
      <c r="W578" s="323"/>
      <c r="X578" s="323"/>
    </row>
    <row r="579" spans="1:24" ht="13.5" customHeight="1">
      <c r="A579" s="323"/>
      <c r="B579" s="323"/>
      <c r="C579" s="229"/>
      <c r="D579" s="324"/>
      <c r="E579" s="325"/>
      <c r="F579" s="326"/>
      <c r="G579" s="326"/>
      <c r="H579" s="326"/>
      <c r="I579" s="327"/>
      <c r="J579" s="385"/>
      <c r="K579" s="328"/>
      <c r="L579" s="328"/>
      <c r="M579" s="377"/>
      <c r="N579" s="229"/>
      <c r="O579" s="229"/>
      <c r="P579" s="323"/>
      <c r="Q579" s="329"/>
      <c r="R579" s="330"/>
      <c r="S579" s="330"/>
      <c r="T579" s="330"/>
      <c r="U579" s="330"/>
      <c r="V579" s="330"/>
      <c r="W579" s="323"/>
      <c r="X579" s="323"/>
    </row>
    <row r="580" spans="1:24" ht="13.5" customHeight="1">
      <c r="A580" s="323"/>
      <c r="B580" s="323"/>
      <c r="C580" s="229"/>
      <c r="D580" s="324"/>
      <c r="E580" s="325"/>
      <c r="F580" s="326"/>
      <c r="G580" s="326"/>
      <c r="H580" s="326"/>
      <c r="I580" s="327"/>
      <c r="J580" s="385"/>
      <c r="K580" s="328"/>
      <c r="L580" s="328"/>
      <c r="M580" s="377"/>
      <c r="N580" s="229"/>
      <c r="O580" s="229"/>
      <c r="P580" s="323"/>
      <c r="Q580" s="329"/>
      <c r="R580" s="330"/>
      <c r="S580" s="330"/>
      <c r="T580" s="330"/>
      <c r="U580" s="330"/>
      <c r="V580" s="330"/>
      <c r="W580" s="323"/>
      <c r="X580" s="323"/>
    </row>
    <row r="581" spans="1:24" ht="13.5" customHeight="1">
      <c r="A581" s="323"/>
      <c r="B581" s="323"/>
      <c r="C581" s="229"/>
      <c r="D581" s="324"/>
      <c r="E581" s="325"/>
      <c r="F581" s="326"/>
      <c r="G581" s="326"/>
      <c r="H581" s="326"/>
      <c r="I581" s="327"/>
      <c r="J581" s="385"/>
      <c r="K581" s="328"/>
      <c r="L581" s="328"/>
      <c r="M581" s="377"/>
      <c r="N581" s="229"/>
      <c r="O581" s="229"/>
      <c r="P581" s="323"/>
      <c r="Q581" s="329"/>
      <c r="R581" s="330"/>
      <c r="S581" s="330"/>
      <c r="T581" s="330"/>
      <c r="U581" s="330"/>
      <c r="V581" s="330"/>
      <c r="W581" s="323"/>
      <c r="X581" s="323"/>
    </row>
    <row r="582" spans="1:24" ht="13.5" customHeight="1">
      <c r="A582" s="323"/>
      <c r="B582" s="323"/>
      <c r="C582" s="229"/>
      <c r="D582" s="324"/>
      <c r="E582" s="325"/>
      <c r="F582" s="326"/>
      <c r="G582" s="326"/>
      <c r="H582" s="326"/>
      <c r="I582" s="327"/>
      <c r="J582" s="385"/>
      <c r="K582" s="328"/>
      <c r="L582" s="328"/>
      <c r="M582" s="377"/>
      <c r="N582" s="229"/>
      <c r="O582" s="229"/>
      <c r="P582" s="323"/>
      <c r="Q582" s="329"/>
      <c r="R582" s="330"/>
      <c r="S582" s="330"/>
      <c r="T582" s="330"/>
      <c r="U582" s="330"/>
      <c r="V582" s="330"/>
      <c r="W582" s="323"/>
      <c r="X582" s="323"/>
    </row>
    <row r="583" spans="1:24" ht="13.5" customHeight="1">
      <c r="A583" s="323"/>
      <c r="B583" s="323"/>
      <c r="C583" s="229"/>
      <c r="D583" s="324"/>
      <c r="E583" s="325"/>
      <c r="F583" s="326"/>
      <c r="G583" s="326"/>
      <c r="H583" s="326"/>
      <c r="I583" s="327"/>
      <c r="J583" s="385"/>
      <c r="K583" s="328"/>
      <c r="L583" s="328"/>
      <c r="M583" s="377"/>
      <c r="N583" s="229"/>
      <c r="O583" s="229"/>
      <c r="P583" s="323"/>
      <c r="Q583" s="329"/>
      <c r="R583" s="330"/>
      <c r="S583" s="330"/>
      <c r="T583" s="330"/>
      <c r="U583" s="330"/>
      <c r="V583" s="330"/>
      <c r="W583" s="323"/>
      <c r="X583" s="323"/>
    </row>
    <row r="584" spans="1:24" ht="13.5" customHeight="1">
      <c r="A584" s="323"/>
      <c r="B584" s="323"/>
      <c r="C584" s="229"/>
      <c r="D584" s="324"/>
      <c r="E584" s="325"/>
      <c r="F584" s="326"/>
      <c r="G584" s="326"/>
      <c r="H584" s="326"/>
      <c r="I584" s="327"/>
      <c r="J584" s="385"/>
      <c r="K584" s="328"/>
      <c r="L584" s="328"/>
      <c r="M584" s="377"/>
      <c r="N584" s="229"/>
      <c r="O584" s="229"/>
      <c r="P584" s="323"/>
      <c r="Q584" s="329"/>
      <c r="R584" s="330"/>
      <c r="S584" s="330"/>
      <c r="T584" s="330"/>
      <c r="U584" s="330"/>
      <c r="V584" s="330"/>
      <c r="W584" s="323"/>
      <c r="X584" s="323"/>
    </row>
    <row r="585" spans="1:24" ht="13.5" customHeight="1">
      <c r="A585" s="323"/>
      <c r="B585" s="323"/>
      <c r="C585" s="229"/>
      <c r="D585" s="324"/>
      <c r="E585" s="325"/>
      <c r="F585" s="326"/>
      <c r="G585" s="326"/>
      <c r="H585" s="326"/>
      <c r="I585" s="327"/>
      <c r="J585" s="385"/>
      <c r="K585" s="328"/>
      <c r="L585" s="328"/>
      <c r="M585" s="377"/>
      <c r="N585" s="229"/>
      <c r="O585" s="229"/>
      <c r="P585" s="323"/>
      <c r="Q585" s="329"/>
      <c r="R585" s="330"/>
      <c r="S585" s="330"/>
      <c r="T585" s="330"/>
      <c r="U585" s="330"/>
      <c r="V585" s="330"/>
      <c r="W585" s="323"/>
      <c r="X585" s="323"/>
    </row>
    <row r="586" spans="1:24" ht="13.5" customHeight="1">
      <c r="A586" s="323"/>
      <c r="B586" s="323"/>
      <c r="C586" s="229"/>
      <c r="D586" s="324"/>
      <c r="E586" s="325"/>
      <c r="F586" s="326"/>
      <c r="G586" s="326"/>
      <c r="H586" s="326"/>
      <c r="I586" s="327"/>
      <c r="J586" s="385"/>
      <c r="K586" s="328"/>
      <c r="L586" s="328"/>
      <c r="M586" s="377"/>
      <c r="N586" s="229"/>
      <c r="O586" s="229"/>
      <c r="P586" s="323"/>
      <c r="Q586" s="329"/>
      <c r="R586" s="330"/>
      <c r="S586" s="330"/>
      <c r="T586" s="330"/>
      <c r="U586" s="330"/>
      <c r="V586" s="330"/>
      <c r="W586" s="323"/>
      <c r="X586" s="323"/>
    </row>
    <row r="587" spans="1:24" ht="13.5" customHeight="1">
      <c r="A587" s="323"/>
      <c r="B587" s="323"/>
      <c r="C587" s="229"/>
      <c r="D587" s="324"/>
      <c r="E587" s="325"/>
      <c r="F587" s="326"/>
      <c r="G587" s="326"/>
      <c r="H587" s="326"/>
      <c r="I587" s="327"/>
      <c r="J587" s="385"/>
      <c r="K587" s="328"/>
      <c r="L587" s="328"/>
      <c r="M587" s="377"/>
      <c r="N587" s="229"/>
      <c r="O587" s="229"/>
      <c r="P587" s="323"/>
      <c r="Q587" s="329"/>
      <c r="R587" s="330"/>
      <c r="S587" s="330"/>
      <c r="T587" s="330"/>
      <c r="U587" s="330"/>
      <c r="V587" s="330"/>
      <c r="W587" s="323"/>
      <c r="X587" s="323"/>
    </row>
    <row r="588" spans="1:24" ht="13.5" customHeight="1">
      <c r="A588" s="323"/>
      <c r="B588" s="323"/>
      <c r="C588" s="229"/>
      <c r="D588" s="324"/>
      <c r="E588" s="325"/>
      <c r="F588" s="326"/>
      <c r="G588" s="326"/>
      <c r="H588" s="326"/>
      <c r="I588" s="327"/>
      <c r="J588" s="385"/>
      <c r="K588" s="328"/>
      <c r="L588" s="328"/>
      <c r="M588" s="377"/>
      <c r="N588" s="229"/>
      <c r="O588" s="229"/>
      <c r="P588" s="323"/>
      <c r="Q588" s="329"/>
      <c r="R588" s="330"/>
      <c r="S588" s="330"/>
      <c r="T588" s="330"/>
      <c r="U588" s="330"/>
      <c r="V588" s="330"/>
      <c r="W588" s="323"/>
      <c r="X588" s="323"/>
    </row>
    <row r="589" spans="1:24" ht="13.5" customHeight="1">
      <c r="A589" s="323"/>
      <c r="B589" s="323"/>
      <c r="C589" s="229"/>
      <c r="D589" s="324"/>
      <c r="E589" s="325"/>
      <c r="F589" s="326"/>
      <c r="G589" s="326"/>
      <c r="H589" s="326"/>
      <c r="I589" s="327"/>
      <c r="J589" s="385"/>
      <c r="K589" s="328"/>
      <c r="L589" s="328"/>
      <c r="M589" s="377"/>
      <c r="N589" s="229"/>
      <c r="O589" s="229"/>
      <c r="P589" s="323"/>
      <c r="Q589" s="329"/>
      <c r="R589" s="330"/>
      <c r="S589" s="330"/>
      <c r="T589" s="330"/>
      <c r="U589" s="330"/>
      <c r="V589" s="330"/>
      <c r="W589" s="323"/>
      <c r="X589" s="323"/>
    </row>
    <row r="590" spans="1:24" ht="13.5" customHeight="1">
      <c r="A590" s="323"/>
      <c r="B590" s="323"/>
      <c r="C590" s="229"/>
      <c r="D590" s="324"/>
      <c r="E590" s="325"/>
      <c r="F590" s="326"/>
      <c r="G590" s="326"/>
      <c r="H590" s="326"/>
      <c r="I590" s="327"/>
      <c r="J590" s="385"/>
      <c r="K590" s="328"/>
      <c r="L590" s="328"/>
      <c r="M590" s="377"/>
      <c r="N590" s="229"/>
      <c r="O590" s="229"/>
      <c r="P590" s="323"/>
      <c r="Q590" s="329"/>
      <c r="R590" s="330"/>
      <c r="S590" s="330"/>
      <c r="T590" s="330"/>
      <c r="U590" s="330"/>
      <c r="V590" s="330"/>
      <c r="W590" s="323"/>
      <c r="X590" s="323"/>
    </row>
    <row r="591" spans="1:24" ht="13.5" customHeight="1">
      <c r="A591" s="323"/>
      <c r="B591" s="323"/>
      <c r="C591" s="229"/>
      <c r="D591" s="324"/>
      <c r="E591" s="325"/>
      <c r="F591" s="326"/>
      <c r="G591" s="326"/>
      <c r="H591" s="326"/>
      <c r="I591" s="327"/>
      <c r="J591" s="385"/>
      <c r="K591" s="328"/>
      <c r="L591" s="328"/>
      <c r="M591" s="377"/>
      <c r="N591" s="229"/>
      <c r="O591" s="229"/>
      <c r="P591" s="323"/>
      <c r="Q591" s="329"/>
      <c r="R591" s="330"/>
      <c r="S591" s="330"/>
      <c r="T591" s="330"/>
      <c r="U591" s="330"/>
      <c r="V591" s="330"/>
      <c r="W591" s="323"/>
      <c r="X591" s="323"/>
    </row>
    <row r="592" spans="1:24" ht="13.5" customHeight="1">
      <c r="A592" s="323"/>
      <c r="B592" s="323"/>
      <c r="C592" s="229"/>
      <c r="D592" s="324"/>
      <c r="E592" s="325"/>
      <c r="F592" s="326"/>
      <c r="G592" s="326"/>
      <c r="H592" s="326"/>
      <c r="I592" s="327"/>
      <c r="J592" s="385"/>
      <c r="K592" s="328"/>
      <c r="L592" s="328"/>
      <c r="M592" s="377"/>
      <c r="N592" s="229"/>
      <c r="O592" s="229"/>
      <c r="P592" s="323"/>
      <c r="Q592" s="329"/>
      <c r="R592" s="330"/>
      <c r="S592" s="330"/>
      <c r="T592" s="330"/>
      <c r="U592" s="330"/>
      <c r="V592" s="330"/>
      <c r="W592" s="323"/>
      <c r="X592" s="323"/>
    </row>
    <row r="593" spans="1:24" ht="13.5" customHeight="1">
      <c r="A593" s="323"/>
      <c r="B593" s="323"/>
      <c r="C593" s="229"/>
      <c r="D593" s="324"/>
      <c r="E593" s="325"/>
      <c r="F593" s="326"/>
      <c r="G593" s="326"/>
      <c r="H593" s="326"/>
      <c r="I593" s="327"/>
      <c r="J593" s="385"/>
      <c r="K593" s="328"/>
      <c r="L593" s="328"/>
      <c r="M593" s="377"/>
      <c r="N593" s="229"/>
      <c r="O593" s="229"/>
      <c r="P593" s="323"/>
      <c r="Q593" s="329"/>
      <c r="R593" s="330"/>
      <c r="S593" s="330"/>
      <c r="T593" s="330"/>
      <c r="U593" s="330"/>
      <c r="V593" s="330"/>
      <c r="W593" s="323"/>
      <c r="X593" s="323"/>
    </row>
    <row r="594" spans="1:24" ht="13.5" customHeight="1">
      <c r="A594" s="323"/>
      <c r="B594" s="323"/>
      <c r="C594" s="229"/>
      <c r="D594" s="324"/>
      <c r="E594" s="325"/>
      <c r="F594" s="326"/>
      <c r="G594" s="326"/>
      <c r="H594" s="326"/>
      <c r="I594" s="327"/>
      <c r="J594" s="385"/>
      <c r="K594" s="328"/>
      <c r="L594" s="328"/>
      <c r="M594" s="377"/>
      <c r="N594" s="229"/>
      <c r="O594" s="229"/>
      <c r="P594" s="323"/>
      <c r="Q594" s="329"/>
      <c r="R594" s="330"/>
      <c r="S594" s="330"/>
      <c r="T594" s="330"/>
      <c r="U594" s="330"/>
      <c r="V594" s="330"/>
      <c r="W594" s="323"/>
      <c r="X594" s="323"/>
    </row>
    <row r="595" spans="1:24" ht="13.5" customHeight="1">
      <c r="A595" s="323"/>
      <c r="B595" s="323"/>
      <c r="C595" s="229"/>
      <c r="D595" s="324"/>
      <c r="E595" s="325"/>
      <c r="F595" s="326"/>
      <c r="G595" s="326"/>
      <c r="H595" s="326"/>
      <c r="I595" s="327"/>
      <c r="J595" s="385"/>
      <c r="K595" s="328"/>
      <c r="L595" s="328"/>
      <c r="M595" s="377"/>
      <c r="N595" s="229"/>
      <c r="O595" s="229"/>
      <c r="P595" s="323"/>
      <c r="Q595" s="329"/>
      <c r="R595" s="330"/>
      <c r="S595" s="330"/>
      <c r="T595" s="330"/>
      <c r="U595" s="330"/>
      <c r="V595" s="330"/>
      <c r="W595" s="323"/>
      <c r="X595" s="323"/>
    </row>
    <row r="596" spans="1:24" ht="13.5" customHeight="1">
      <c r="A596" s="323"/>
      <c r="B596" s="323"/>
      <c r="C596" s="229"/>
      <c r="D596" s="324"/>
      <c r="E596" s="325"/>
      <c r="F596" s="326"/>
      <c r="G596" s="326"/>
      <c r="H596" s="326"/>
      <c r="I596" s="327"/>
      <c r="J596" s="385"/>
      <c r="K596" s="328"/>
      <c r="L596" s="328"/>
      <c r="M596" s="377"/>
      <c r="N596" s="229"/>
      <c r="O596" s="229"/>
      <c r="P596" s="323"/>
      <c r="Q596" s="329"/>
      <c r="R596" s="330"/>
      <c r="S596" s="330"/>
      <c r="T596" s="330"/>
      <c r="U596" s="330"/>
      <c r="V596" s="330"/>
      <c r="W596" s="323"/>
      <c r="X596" s="323"/>
    </row>
    <row r="597" spans="1:24" ht="13.5" customHeight="1">
      <c r="A597" s="323"/>
      <c r="B597" s="323"/>
      <c r="C597" s="229"/>
      <c r="D597" s="324"/>
      <c r="E597" s="325"/>
      <c r="F597" s="326"/>
      <c r="G597" s="326"/>
      <c r="H597" s="326"/>
      <c r="I597" s="327"/>
      <c r="J597" s="385"/>
      <c r="K597" s="328"/>
      <c r="L597" s="328"/>
      <c r="M597" s="377"/>
      <c r="N597" s="229"/>
      <c r="O597" s="229"/>
      <c r="P597" s="323"/>
      <c r="Q597" s="329"/>
      <c r="R597" s="330"/>
      <c r="S597" s="330"/>
      <c r="T597" s="330"/>
      <c r="U597" s="330"/>
      <c r="V597" s="330"/>
      <c r="W597" s="323"/>
      <c r="X597" s="323"/>
    </row>
    <row r="598" spans="1:24" ht="13.5" customHeight="1">
      <c r="A598" s="323"/>
      <c r="B598" s="323"/>
      <c r="C598" s="229"/>
      <c r="D598" s="324"/>
      <c r="E598" s="325"/>
      <c r="F598" s="326"/>
      <c r="G598" s="326"/>
      <c r="H598" s="326"/>
      <c r="I598" s="327"/>
      <c r="J598" s="385"/>
      <c r="K598" s="328"/>
      <c r="L598" s="328"/>
      <c r="M598" s="377"/>
      <c r="N598" s="229"/>
      <c r="O598" s="229"/>
      <c r="P598" s="323"/>
      <c r="Q598" s="329"/>
      <c r="R598" s="330"/>
      <c r="S598" s="330"/>
      <c r="T598" s="330"/>
      <c r="U598" s="330"/>
      <c r="V598" s="330"/>
      <c r="W598" s="323"/>
      <c r="X598" s="323"/>
    </row>
    <row r="599" spans="1:24" ht="13.5" customHeight="1">
      <c r="A599" s="323"/>
      <c r="B599" s="323"/>
      <c r="C599" s="229"/>
      <c r="D599" s="324"/>
      <c r="E599" s="325"/>
      <c r="F599" s="326"/>
      <c r="G599" s="326"/>
      <c r="H599" s="326"/>
      <c r="I599" s="327"/>
      <c r="J599" s="385"/>
      <c r="K599" s="328"/>
      <c r="L599" s="328"/>
      <c r="M599" s="377"/>
      <c r="N599" s="229"/>
      <c r="O599" s="229"/>
      <c r="P599" s="323"/>
      <c r="Q599" s="329"/>
      <c r="R599" s="330"/>
      <c r="S599" s="330"/>
      <c r="T599" s="330"/>
      <c r="U599" s="330"/>
      <c r="V599" s="330"/>
      <c r="W599" s="323"/>
      <c r="X599" s="323"/>
    </row>
    <row r="600" spans="1:24" ht="13.5" customHeight="1">
      <c r="A600" s="323"/>
      <c r="B600" s="323"/>
      <c r="C600" s="229"/>
      <c r="D600" s="324"/>
      <c r="E600" s="325"/>
      <c r="F600" s="326"/>
      <c r="G600" s="326"/>
      <c r="H600" s="326"/>
      <c r="I600" s="327"/>
      <c r="J600" s="385"/>
      <c r="K600" s="328"/>
      <c r="L600" s="328"/>
      <c r="M600" s="377"/>
      <c r="N600" s="229"/>
      <c r="O600" s="229"/>
      <c r="P600" s="323"/>
      <c r="Q600" s="329"/>
      <c r="R600" s="330"/>
      <c r="S600" s="330"/>
      <c r="T600" s="330"/>
      <c r="U600" s="330"/>
      <c r="V600" s="330"/>
      <c r="W600" s="323"/>
      <c r="X600" s="323"/>
    </row>
    <row r="601" spans="1:24" ht="13.5" customHeight="1">
      <c r="A601" s="323"/>
      <c r="B601" s="323"/>
      <c r="C601" s="229"/>
      <c r="D601" s="324"/>
      <c r="E601" s="325"/>
      <c r="F601" s="326"/>
      <c r="G601" s="326"/>
      <c r="H601" s="326"/>
      <c r="I601" s="327"/>
      <c r="J601" s="385"/>
      <c r="K601" s="328"/>
      <c r="L601" s="328"/>
      <c r="M601" s="377"/>
      <c r="N601" s="229"/>
      <c r="O601" s="229"/>
      <c r="P601" s="323"/>
      <c r="Q601" s="329"/>
      <c r="R601" s="330"/>
      <c r="S601" s="330"/>
      <c r="T601" s="330"/>
      <c r="U601" s="330"/>
      <c r="V601" s="330"/>
      <c r="W601" s="323"/>
      <c r="X601" s="323"/>
    </row>
    <row r="602" spans="1:24" ht="13.5" customHeight="1">
      <c r="A602" s="323"/>
      <c r="B602" s="323"/>
      <c r="C602" s="229"/>
      <c r="D602" s="324"/>
      <c r="E602" s="325"/>
      <c r="F602" s="326"/>
      <c r="G602" s="326"/>
      <c r="H602" s="326"/>
      <c r="I602" s="327"/>
      <c r="J602" s="385"/>
      <c r="K602" s="328"/>
      <c r="L602" s="328"/>
      <c r="M602" s="377"/>
      <c r="N602" s="229"/>
      <c r="O602" s="229"/>
      <c r="P602" s="323"/>
      <c r="Q602" s="329"/>
      <c r="R602" s="330"/>
      <c r="S602" s="330"/>
      <c r="T602" s="330"/>
      <c r="U602" s="330"/>
      <c r="V602" s="330"/>
      <c r="W602" s="323"/>
      <c r="X602" s="323"/>
    </row>
    <row r="603" spans="1:24" ht="13.5" customHeight="1">
      <c r="A603" s="323"/>
      <c r="B603" s="323"/>
      <c r="C603" s="229"/>
      <c r="D603" s="324"/>
      <c r="E603" s="325"/>
      <c r="F603" s="326"/>
      <c r="G603" s="326"/>
      <c r="H603" s="326"/>
      <c r="I603" s="327"/>
      <c r="J603" s="385"/>
      <c r="K603" s="328"/>
      <c r="L603" s="328"/>
      <c r="M603" s="377"/>
      <c r="N603" s="229"/>
      <c r="O603" s="229"/>
      <c r="P603" s="323"/>
      <c r="Q603" s="329"/>
      <c r="R603" s="330"/>
      <c r="S603" s="330"/>
      <c r="T603" s="330"/>
      <c r="U603" s="330"/>
      <c r="V603" s="330"/>
      <c r="W603" s="323"/>
      <c r="X603" s="323"/>
    </row>
    <row r="604" spans="1:24" ht="13.5" customHeight="1">
      <c r="A604" s="323"/>
      <c r="B604" s="323"/>
      <c r="C604" s="229"/>
      <c r="D604" s="324"/>
      <c r="E604" s="325"/>
      <c r="F604" s="326"/>
      <c r="G604" s="326"/>
      <c r="H604" s="326"/>
      <c r="I604" s="327"/>
      <c r="J604" s="385"/>
      <c r="K604" s="328"/>
      <c r="L604" s="328"/>
      <c r="M604" s="377"/>
      <c r="N604" s="229"/>
      <c r="O604" s="229"/>
      <c r="P604" s="323"/>
      <c r="Q604" s="329"/>
      <c r="R604" s="330"/>
      <c r="S604" s="330"/>
      <c r="T604" s="330"/>
      <c r="U604" s="330"/>
      <c r="V604" s="330"/>
      <c r="W604" s="323"/>
      <c r="X604" s="323"/>
    </row>
    <row r="605" spans="1:24" ht="13.5" customHeight="1">
      <c r="A605" s="323"/>
      <c r="B605" s="323"/>
      <c r="C605" s="229"/>
      <c r="D605" s="324"/>
      <c r="E605" s="325"/>
      <c r="F605" s="326"/>
      <c r="G605" s="326"/>
      <c r="H605" s="326"/>
      <c r="I605" s="327"/>
      <c r="J605" s="385"/>
      <c r="K605" s="328"/>
      <c r="L605" s="328"/>
      <c r="M605" s="377"/>
      <c r="N605" s="229"/>
      <c r="O605" s="229"/>
      <c r="P605" s="323"/>
      <c r="Q605" s="329"/>
      <c r="R605" s="330"/>
      <c r="S605" s="330"/>
      <c r="T605" s="330"/>
      <c r="U605" s="330"/>
      <c r="V605" s="330"/>
      <c r="W605" s="323"/>
      <c r="X605" s="323"/>
    </row>
    <row r="606" spans="1:24" ht="13.5" customHeight="1">
      <c r="A606" s="323"/>
      <c r="B606" s="323"/>
      <c r="C606" s="229"/>
      <c r="D606" s="324"/>
      <c r="E606" s="325"/>
      <c r="F606" s="326"/>
      <c r="G606" s="326"/>
      <c r="H606" s="326"/>
      <c r="I606" s="327"/>
      <c r="J606" s="385"/>
      <c r="K606" s="328"/>
      <c r="L606" s="328"/>
      <c r="M606" s="377"/>
      <c r="N606" s="229"/>
      <c r="O606" s="229"/>
      <c r="P606" s="323"/>
      <c r="Q606" s="329"/>
      <c r="R606" s="330"/>
      <c r="S606" s="330"/>
      <c r="T606" s="330"/>
      <c r="U606" s="330"/>
      <c r="V606" s="330"/>
      <c r="W606" s="323"/>
      <c r="X606" s="323"/>
    </row>
    <row r="607" spans="1:24" ht="13.5" customHeight="1">
      <c r="A607" s="323"/>
      <c r="B607" s="323"/>
      <c r="C607" s="229"/>
      <c r="D607" s="324"/>
      <c r="E607" s="325"/>
      <c r="F607" s="326"/>
      <c r="G607" s="326"/>
      <c r="H607" s="326"/>
      <c r="I607" s="327"/>
      <c r="J607" s="385"/>
      <c r="K607" s="328"/>
      <c r="L607" s="328"/>
      <c r="M607" s="377"/>
      <c r="N607" s="229"/>
      <c r="O607" s="229"/>
      <c r="P607" s="323"/>
      <c r="Q607" s="329"/>
      <c r="R607" s="330"/>
      <c r="S607" s="330"/>
      <c r="T607" s="330"/>
      <c r="U607" s="330"/>
      <c r="V607" s="330"/>
      <c r="W607" s="323"/>
      <c r="X607" s="323"/>
    </row>
    <row r="608" spans="1:24" ht="13.5" customHeight="1">
      <c r="A608" s="323"/>
      <c r="B608" s="323"/>
      <c r="C608" s="229"/>
      <c r="D608" s="324"/>
      <c r="E608" s="325"/>
      <c r="F608" s="326"/>
      <c r="G608" s="326"/>
      <c r="H608" s="326"/>
      <c r="I608" s="327"/>
      <c r="J608" s="385"/>
      <c r="K608" s="328"/>
      <c r="L608" s="328"/>
      <c r="M608" s="377"/>
      <c r="N608" s="229"/>
      <c r="O608" s="229"/>
      <c r="P608" s="323"/>
      <c r="Q608" s="329"/>
      <c r="R608" s="330"/>
      <c r="S608" s="330"/>
      <c r="T608" s="330"/>
      <c r="U608" s="330"/>
      <c r="V608" s="330"/>
      <c r="W608" s="323"/>
      <c r="X608" s="323"/>
    </row>
    <row r="609" spans="1:24" ht="13.5" customHeight="1">
      <c r="A609" s="323"/>
      <c r="B609" s="323"/>
      <c r="C609" s="229"/>
      <c r="D609" s="324"/>
      <c r="E609" s="325"/>
      <c r="F609" s="326"/>
      <c r="G609" s="326"/>
      <c r="H609" s="326"/>
      <c r="I609" s="327"/>
      <c r="J609" s="385"/>
      <c r="K609" s="328"/>
      <c r="L609" s="328"/>
      <c r="M609" s="377"/>
      <c r="N609" s="229"/>
      <c r="O609" s="229"/>
      <c r="P609" s="323"/>
      <c r="Q609" s="329"/>
      <c r="R609" s="330"/>
      <c r="S609" s="330"/>
      <c r="T609" s="330"/>
      <c r="U609" s="330"/>
      <c r="V609" s="330"/>
      <c r="W609" s="323"/>
      <c r="X609" s="323"/>
    </row>
    <row r="610" spans="1:24" ht="13.5" customHeight="1">
      <c r="A610" s="323"/>
      <c r="B610" s="323"/>
      <c r="C610" s="229"/>
      <c r="D610" s="324"/>
      <c r="E610" s="325"/>
      <c r="F610" s="326"/>
      <c r="G610" s="326"/>
      <c r="H610" s="326"/>
      <c r="I610" s="327"/>
      <c r="J610" s="385"/>
      <c r="K610" s="328"/>
      <c r="L610" s="328"/>
      <c r="M610" s="377"/>
      <c r="N610" s="229"/>
      <c r="O610" s="229"/>
      <c r="P610" s="323"/>
      <c r="Q610" s="329"/>
      <c r="R610" s="330"/>
      <c r="S610" s="330"/>
      <c r="T610" s="330"/>
      <c r="U610" s="330"/>
      <c r="V610" s="330"/>
      <c r="W610" s="323"/>
      <c r="X610" s="323"/>
    </row>
    <row r="611" spans="1:24" ht="13.5" customHeight="1">
      <c r="A611" s="323"/>
      <c r="B611" s="323"/>
      <c r="C611" s="229"/>
      <c r="D611" s="324"/>
      <c r="E611" s="325"/>
      <c r="F611" s="326"/>
      <c r="G611" s="326"/>
      <c r="H611" s="326"/>
      <c r="I611" s="327"/>
      <c r="J611" s="385"/>
      <c r="K611" s="328"/>
      <c r="L611" s="328"/>
      <c r="M611" s="377"/>
      <c r="N611" s="229"/>
      <c r="O611" s="229"/>
      <c r="P611" s="323"/>
      <c r="Q611" s="329"/>
      <c r="R611" s="330"/>
      <c r="S611" s="330"/>
      <c r="T611" s="330"/>
      <c r="U611" s="330"/>
      <c r="V611" s="330"/>
      <c r="W611" s="323"/>
      <c r="X611" s="323"/>
    </row>
    <row r="612" spans="1:24" ht="13.5" customHeight="1">
      <c r="A612" s="323"/>
      <c r="B612" s="323"/>
      <c r="C612" s="229"/>
      <c r="D612" s="324"/>
      <c r="E612" s="325"/>
      <c r="F612" s="326"/>
      <c r="G612" s="326"/>
      <c r="H612" s="326"/>
      <c r="I612" s="327"/>
      <c r="J612" s="385"/>
      <c r="K612" s="328"/>
      <c r="L612" s="328"/>
      <c r="M612" s="377"/>
      <c r="N612" s="229"/>
      <c r="O612" s="229"/>
      <c r="P612" s="323"/>
      <c r="Q612" s="329"/>
      <c r="R612" s="330"/>
      <c r="S612" s="330"/>
      <c r="T612" s="330"/>
      <c r="U612" s="330"/>
      <c r="V612" s="330"/>
      <c r="W612" s="323"/>
      <c r="X612" s="323"/>
    </row>
    <row r="613" spans="1:24" ht="13.5" customHeight="1">
      <c r="A613" s="323"/>
      <c r="B613" s="323"/>
      <c r="C613" s="229"/>
      <c r="D613" s="324"/>
      <c r="E613" s="325"/>
      <c r="F613" s="326"/>
      <c r="G613" s="326"/>
      <c r="H613" s="326"/>
      <c r="I613" s="327"/>
      <c r="J613" s="385"/>
      <c r="K613" s="328"/>
      <c r="L613" s="328"/>
      <c r="M613" s="377"/>
      <c r="N613" s="229"/>
      <c r="O613" s="229"/>
      <c r="P613" s="323"/>
      <c r="Q613" s="329"/>
      <c r="R613" s="330"/>
      <c r="S613" s="330"/>
      <c r="T613" s="330"/>
      <c r="U613" s="330"/>
      <c r="V613" s="330"/>
      <c r="W613" s="323"/>
      <c r="X613" s="323"/>
    </row>
    <row r="614" spans="1:24" ht="13.5" customHeight="1">
      <c r="A614" s="323"/>
      <c r="B614" s="323"/>
      <c r="C614" s="229"/>
      <c r="D614" s="324"/>
      <c r="E614" s="325"/>
      <c r="F614" s="326"/>
      <c r="G614" s="326"/>
      <c r="H614" s="326"/>
      <c r="I614" s="327"/>
      <c r="J614" s="385"/>
      <c r="K614" s="328"/>
      <c r="L614" s="328"/>
      <c r="M614" s="377"/>
      <c r="N614" s="229"/>
      <c r="O614" s="229"/>
      <c r="P614" s="323"/>
      <c r="Q614" s="329"/>
      <c r="R614" s="330"/>
      <c r="S614" s="330"/>
      <c r="T614" s="330"/>
      <c r="U614" s="330"/>
      <c r="V614" s="330"/>
      <c r="W614" s="323"/>
      <c r="X614" s="323"/>
    </row>
    <row r="615" spans="1:24" ht="13.5" customHeight="1">
      <c r="A615" s="323"/>
      <c r="B615" s="323"/>
      <c r="C615" s="229"/>
      <c r="D615" s="324"/>
      <c r="E615" s="325"/>
      <c r="F615" s="326"/>
      <c r="G615" s="326"/>
      <c r="H615" s="326"/>
      <c r="I615" s="327"/>
      <c r="J615" s="385"/>
      <c r="K615" s="328"/>
      <c r="L615" s="328"/>
      <c r="M615" s="377"/>
      <c r="N615" s="229"/>
      <c r="O615" s="229"/>
      <c r="P615" s="323"/>
      <c r="Q615" s="329"/>
      <c r="R615" s="330"/>
      <c r="S615" s="330"/>
      <c r="T615" s="330"/>
      <c r="U615" s="330"/>
      <c r="V615" s="330"/>
      <c r="W615" s="323"/>
      <c r="X615" s="323"/>
    </row>
    <row r="616" spans="1:24" ht="13.5" customHeight="1">
      <c r="A616" s="323"/>
      <c r="B616" s="323"/>
      <c r="C616" s="229"/>
      <c r="D616" s="324"/>
      <c r="E616" s="325"/>
      <c r="F616" s="326"/>
      <c r="G616" s="326"/>
      <c r="H616" s="326"/>
      <c r="I616" s="327"/>
      <c r="J616" s="385"/>
      <c r="K616" s="328"/>
      <c r="L616" s="328"/>
      <c r="M616" s="377"/>
      <c r="N616" s="229"/>
      <c r="O616" s="229"/>
      <c r="P616" s="323"/>
      <c r="Q616" s="329"/>
      <c r="R616" s="330"/>
      <c r="S616" s="330"/>
      <c r="T616" s="330"/>
      <c r="U616" s="330"/>
      <c r="V616" s="330"/>
      <c r="W616" s="323"/>
      <c r="X616" s="323"/>
    </row>
    <row r="617" spans="1:24" ht="13.5" customHeight="1">
      <c r="A617" s="323"/>
      <c r="B617" s="323"/>
      <c r="C617" s="229"/>
      <c r="D617" s="324"/>
      <c r="E617" s="325"/>
      <c r="F617" s="326"/>
      <c r="G617" s="326"/>
      <c r="H617" s="326"/>
      <c r="I617" s="327"/>
      <c r="J617" s="385"/>
      <c r="K617" s="328"/>
      <c r="L617" s="328"/>
      <c r="M617" s="377"/>
      <c r="N617" s="229"/>
      <c r="O617" s="229"/>
      <c r="P617" s="323"/>
      <c r="Q617" s="329"/>
      <c r="R617" s="330"/>
      <c r="S617" s="330"/>
      <c r="T617" s="330"/>
      <c r="U617" s="330"/>
      <c r="V617" s="330"/>
      <c r="W617" s="323"/>
      <c r="X617" s="323"/>
    </row>
    <row r="618" spans="1:24" ht="13.5" customHeight="1">
      <c r="A618" s="323"/>
      <c r="B618" s="323"/>
      <c r="C618" s="229"/>
      <c r="D618" s="324"/>
      <c r="E618" s="325"/>
      <c r="F618" s="326"/>
      <c r="G618" s="326"/>
      <c r="H618" s="326"/>
      <c r="I618" s="327"/>
      <c r="J618" s="385"/>
      <c r="K618" s="328"/>
      <c r="L618" s="328"/>
      <c r="M618" s="377"/>
      <c r="N618" s="229"/>
      <c r="O618" s="229"/>
      <c r="P618" s="323"/>
      <c r="Q618" s="329"/>
      <c r="R618" s="330"/>
      <c r="S618" s="330"/>
      <c r="T618" s="330"/>
      <c r="U618" s="330"/>
      <c r="V618" s="330"/>
      <c r="W618" s="323"/>
      <c r="X618" s="323"/>
    </row>
    <row r="619" spans="1:24" ht="13.5" customHeight="1">
      <c r="A619" s="323"/>
      <c r="B619" s="323"/>
      <c r="C619" s="229"/>
      <c r="D619" s="324"/>
      <c r="E619" s="325"/>
      <c r="F619" s="326"/>
      <c r="G619" s="326"/>
      <c r="H619" s="326"/>
      <c r="I619" s="327"/>
      <c r="J619" s="385"/>
      <c r="K619" s="328"/>
      <c r="L619" s="328"/>
      <c r="M619" s="377"/>
      <c r="N619" s="229"/>
      <c r="O619" s="229"/>
      <c r="P619" s="323"/>
      <c r="Q619" s="329"/>
      <c r="R619" s="330"/>
      <c r="S619" s="330"/>
      <c r="T619" s="330"/>
      <c r="U619" s="330"/>
      <c r="V619" s="330"/>
      <c r="W619" s="323"/>
      <c r="X619" s="323"/>
    </row>
    <row r="620" spans="1:24" ht="13.5" customHeight="1">
      <c r="A620" s="323"/>
      <c r="B620" s="323"/>
      <c r="C620" s="229"/>
      <c r="D620" s="324"/>
      <c r="E620" s="325"/>
      <c r="F620" s="326"/>
      <c r="G620" s="326"/>
      <c r="H620" s="326"/>
      <c r="I620" s="327"/>
      <c r="J620" s="385"/>
      <c r="K620" s="328"/>
      <c r="L620" s="328"/>
      <c r="M620" s="377"/>
      <c r="N620" s="229"/>
      <c r="O620" s="229"/>
      <c r="P620" s="323"/>
      <c r="Q620" s="329"/>
      <c r="R620" s="330"/>
      <c r="S620" s="330"/>
      <c r="T620" s="330"/>
      <c r="U620" s="330"/>
      <c r="V620" s="330"/>
      <c r="W620" s="323"/>
      <c r="X620" s="323"/>
    </row>
    <row r="621" spans="1:24" ht="13.5" customHeight="1">
      <c r="A621" s="323"/>
      <c r="B621" s="323"/>
      <c r="C621" s="229"/>
      <c r="D621" s="324"/>
      <c r="E621" s="325"/>
      <c r="F621" s="326"/>
      <c r="G621" s="326"/>
      <c r="H621" s="326"/>
      <c r="I621" s="327"/>
      <c r="J621" s="385"/>
      <c r="K621" s="328"/>
      <c r="L621" s="328"/>
      <c r="M621" s="377"/>
      <c r="N621" s="229"/>
      <c r="O621" s="229"/>
      <c r="P621" s="323"/>
      <c r="Q621" s="329"/>
      <c r="R621" s="330"/>
      <c r="S621" s="330"/>
      <c r="T621" s="330"/>
      <c r="U621" s="330"/>
      <c r="V621" s="330"/>
      <c r="W621" s="323"/>
      <c r="X621" s="323"/>
    </row>
    <row r="622" spans="1:24" ht="13.5" customHeight="1">
      <c r="A622" s="323"/>
      <c r="B622" s="323"/>
      <c r="C622" s="229"/>
      <c r="D622" s="324"/>
      <c r="E622" s="325"/>
      <c r="F622" s="326"/>
      <c r="G622" s="326"/>
      <c r="H622" s="326"/>
      <c r="I622" s="327"/>
      <c r="J622" s="385"/>
      <c r="K622" s="328"/>
      <c r="L622" s="328"/>
      <c r="M622" s="377"/>
      <c r="N622" s="229"/>
      <c r="O622" s="229"/>
      <c r="P622" s="323"/>
      <c r="Q622" s="329"/>
      <c r="R622" s="330"/>
      <c r="S622" s="330"/>
      <c r="T622" s="330"/>
      <c r="U622" s="330"/>
      <c r="V622" s="330"/>
      <c r="W622" s="323"/>
      <c r="X622" s="323"/>
    </row>
    <row r="623" spans="1:24" ht="13.5" customHeight="1">
      <c r="A623" s="323"/>
      <c r="B623" s="323"/>
      <c r="C623" s="229"/>
      <c r="D623" s="324"/>
      <c r="E623" s="325"/>
      <c r="F623" s="326"/>
      <c r="G623" s="326"/>
      <c r="H623" s="326"/>
      <c r="I623" s="327"/>
      <c r="J623" s="385"/>
      <c r="K623" s="328"/>
      <c r="L623" s="328"/>
      <c r="M623" s="377"/>
      <c r="N623" s="229"/>
      <c r="O623" s="229"/>
      <c r="P623" s="323"/>
      <c r="Q623" s="329"/>
      <c r="R623" s="330"/>
      <c r="S623" s="330"/>
      <c r="T623" s="330"/>
      <c r="U623" s="330"/>
      <c r="V623" s="330"/>
      <c r="W623" s="323"/>
      <c r="X623" s="323"/>
    </row>
    <row r="624" spans="1:24" ht="13.5" customHeight="1">
      <c r="A624" s="323"/>
      <c r="B624" s="323"/>
      <c r="C624" s="229"/>
      <c r="D624" s="324"/>
      <c r="E624" s="325"/>
      <c r="F624" s="326"/>
      <c r="G624" s="326"/>
      <c r="H624" s="326"/>
      <c r="I624" s="327"/>
      <c r="J624" s="385"/>
      <c r="K624" s="328"/>
      <c r="L624" s="328"/>
      <c r="M624" s="377"/>
      <c r="N624" s="229"/>
      <c r="O624" s="229"/>
      <c r="P624" s="323"/>
      <c r="Q624" s="329"/>
      <c r="R624" s="330"/>
      <c r="S624" s="330"/>
      <c r="T624" s="330"/>
      <c r="U624" s="330"/>
      <c r="V624" s="330"/>
      <c r="W624" s="323"/>
      <c r="X624" s="323"/>
    </row>
    <row r="625" spans="1:24" ht="13.5" customHeight="1">
      <c r="A625" s="323"/>
      <c r="B625" s="323"/>
      <c r="C625" s="229"/>
      <c r="D625" s="324"/>
      <c r="E625" s="325"/>
      <c r="F625" s="326"/>
      <c r="G625" s="326"/>
      <c r="H625" s="326"/>
      <c r="I625" s="327"/>
      <c r="J625" s="385"/>
      <c r="K625" s="328"/>
      <c r="L625" s="328"/>
      <c r="M625" s="377"/>
      <c r="N625" s="229"/>
      <c r="O625" s="229"/>
      <c r="P625" s="323"/>
      <c r="Q625" s="329"/>
      <c r="R625" s="330"/>
      <c r="S625" s="330"/>
      <c r="T625" s="330"/>
      <c r="U625" s="330"/>
      <c r="V625" s="330"/>
      <c r="W625" s="323"/>
      <c r="X625" s="323"/>
    </row>
    <row r="626" spans="1:24" ht="13.5" customHeight="1">
      <c r="A626" s="323"/>
      <c r="B626" s="323"/>
      <c r="C626" s="229"/>
      <c r="D626" s="324"/>
      <c r="E626" s="325"/>
      <c r="F626" s="326"/>
      <c r="G626" s="326"/>
      <c r="H626" s="326"/>
      <c r="I626" s="327"/>
      <c r="J626" s="385"/>
      <c r="K626" s="328"/>
      <c r="L626" s="328"/>
      <c r="M626" s="377"/>
      <c r="N626" s="229"/>
      <c r="O626" s="229"/>
      <c r="P626" s="323"/>
      <c r="Q626" s="329"/>
      <c r="R626" s="330"/>
      <c r="S626" s="330"/>
      <c r="T626" s="330"/>
      <c r="U626" s="330"/>
      <c r="V626" s="330"/>
      <c r="W626" s="323"/>
      <c r="X626" s="323"/>
    </row>
    <row r="627" spans="1:24" ht="13.5" customHeight="1">
      <c r="A627" s="323"/>
      <c r="B627" s="323"/>
      <c r="C627" s="229"/>
      <c r="D627" s="324"/>
      <c r="E627" s="325"/>
      <c r="F627" s="326"/>
      <c r="G627" s="326"/>
      <c r="H627" s="326"/>
      <c r="I627" s="327"/>
      <c r="J627" s="385"/>
      <c r="K627" s="328"/>
      <c r="L627" s="328"/>
      <c r="M627" s="377"/>
      <c r="N627" s="229"/>
      <c r="O627" s="229"/>
      <c r="P627" s="323"/>
      <c r="Q627" s="329"/>
      <c r="R627" s="330"/>
      <c r="S627" s="330"/>
      <c r="T627" s="330"/>
      <c r="U627" s="330"/>
      <c r="V627" s="330"/>
      <c r="W627" s="323"/>
      <c r="X627" s="323"/>
    </row>
    <row r="628" spans="1:24" ht="13.5" customHeight="1">
      <c r="A628" s="323"/>
      <c r="B628" s="323"/>
      <c r="C628" s="229"/>
      <c r="D628" s="324"/>
      <c r="E628" s="325"/>
      <c r="F628" s="326"/>
      <c r="G628" s="326"/>
      <c r="H628" s="326"/>
      <c r="I628" s="327"/>
      <c r="J628" s="385"/>
      <c r="K628" s="328"/>
      <c r="L628" s="328"/>
      <c r="M628" s="377"/>
      <c r="N628" s="229"/>
      <c r="O628" s="229"/>
      <c r="P628" s="323"/>
      <c r="Q628" s="329"/>
      <c r="R628" s="330"/>
      <c r="S628" s="330"/>
      <c r="T628" s="330"/>
      <c r="U628" s="330"/>
      <c r="V628" s="330"/>
      <c r="W628" s="323"/>
      <c r="X628" s="323"/>
    </row>
    <row r="629" spans="1:24" ht="13.5" customHeight="1">
      <c r="A629" s="323"/>
      <c r="B629" s="323"/>
      <c r="C629" s="229"/>
      <c r="D629" s="324"/>
      <c r="E629" s="325"/>
      <c r="F629" s="326"/>
      <c r="G629" s="326"/>
      <c r="H629" s="326"/>
      <c r="I629" s="327"/>
      <c r="J629" s="385"/>
      <c r="K629" s="328"/>
      <c r="L629" s="328"/>
      <c r="M629" s="377"/>
      <c r="N629" s="229"/>
      <c r="O629" s="229"/>
      <c r="P629" s="323"/>
      <c r="Q629" s="329"/>
      <c r="R629" s="330"/>
      <c r="S629" s="330"/>
      <c r="T629" s="330"/>
      <c r="U629" s="330"/>
      <c r="V629" s="330"/>
      <c r="W629" s="323"/>
      <c r="X629" s="323"/>
    </row>
    <row r="630" spans="1:24" ht="13.5" customHeight="1">
      <c r="A630" s="323"/>
      <c r="B630" s="323"/>
      <c r="C630" s="229"/>
      <c r="D630" s="324"/>
      <c r="E630" s="325"/>
      <c r="F630" s="326"/>
      <c r="G630" s="326"/>
      <c r="H630" s="326"/>
      <c r="I630" s="327"/>
      <c r="J630" s="385"/>
      <c r="K630" s="328"/>
      <c r="L630" s="328"/>
      <c r="M630" s="377"/>
      <c r="N630" s="229"/>
      <c r="O630" s="229"/>
      <c r="P630" s="323"/>
      <c r="Q630" s="329"/>
      <c r="R630" s="330"/>
      <c r="S630" s="330"/>
      <c r="T630" s="330"/>
      <c r="U630" s="330"/>
      <c r="V630" s="330"/>
      <c r="W630" s="323"/>
      <c r="X630" s="323"/>
    </row>
    <row r="631" spans="1:24" ht="13.5" customHeight="1">
      <c r="A631" s="323"/>
      <c r="B631" s="323"/>
      <c r="C631" s="229"/>
      <c r="D631" s="324"/>
      <c r="E631" s="325"/>
      <c r="F631" s="326"/>
      <c r="G631" s="326"/>
      <c r="H631" s="326"/>
      <c r="I631" s="327"/>
      <c r="J631" s="385"/>
      <c r="K631" s="328"/>
      <c r="L631" s="328"/>
      <c r="M631" s="377"/>
      <c r="N631" s="229"/>
      <c r="O631" s="229"/>
      <c r="P631" s="323"/>
      <c r="Q631" s="329"/>
      <c r="R631" s="330"/>
      <c r="S631" s="330"/>
      <c r="T631" s="330"/>
      <c r="U631" s="330"/>
      <c r="V631" s="330"/>
      <c r="W631" s="323"/>
      <c r="X631" s="323"/>
    </row>
    <row r="632" spans="1:24" ht="13.5" customHeight="1">
      <c r="A632" s="323"/>
      <c r="B632" s="323"/>
      <c r="C632" s="229"/>
      <c r="D632" s="324"/>
      <c r="E632" s="325"/>
      <c r="F632" s="326"/>
      <c r="G632" s="326"/>
      <c r="H632" s="326"/>
      <c r="I632" s="327"/>
      <c r="J632" s="385"/>
      <c r="K632" s="328"/>
      <c r="L632" s="328"/>
      <c r="M632" s="377"/>
      <c r="N632" s="229"/>
      <c r="O632" s="229"/>
      <c r="P632" s="323"/>
      <c r="Q632" s="329"/>
      <c r="R632" s="330"/>
      <c r="S632" s="330"/>
      <c r="T632" s="330"/>
      <c r="U632" s="330"/>
      <c r="V632" s="330"/>
      <c r="W632" s="323"/>
      <c r="X632" s="323"/>
    </row>
    <row r="633" spans="1:24" ht="13.5" customHeight="1">
      <c r="A633" s="323"/>
      <c r="B633" s="323"/>
      <c r="C633" s="229"/>
      <c r="D633" s="324"/>
      <c r="E633" s="325"/>
      <c r="F633" s="326"/>
      <c r="G633" s="326"/>
      <c r="H633" s="326"/>
      <c r="I633" s="327"/>
      <c r="J633" s="385"/>
      <c r="K633" s="328"/>
      <c r="L633" s="328"/>
      <c r="M633" s="377"/>
      <c r="N633" s="229"/>
      <c r="O633" s="229"/>
      <c r="P633" s="323"/>
      <c r="Q633" s="329"/>
      <c r="R633" s="330"/>
      <c r="S633" s="330"/>
      <c r="T633" s="330"/>
      <c r="U633" s="330"/>
      <c r="V633" s="330"/>
      <c r="W633" s="323"/>
      <c r="X633" s="323"/>
    </row>
    <row r="634" spans="1:24" ht="13.5" customHeight="1">
      <c r="A634" s="323"/>
      <c r="B634" s="323"/>
      <c r="C634" s="229"/>
      <c r="D634" s="324"/>
      <c r="E634" s="325"/>
      <c r="F634" s="326"/>
      <c r="G634" s="326"/>
      <c r="H634" s="326"/>
      <c r="I634" s="327"/>
      <c r="J634" s="385"/>
      <c r="K634" s="328"/>
      <c r="L634" s="328"/>
      <c r="M634" s="377"/>
      <c r="N634" s="229"/>
      <c r="O634" s="229"/>
      <c r="P634" s="323"/>
      <c r="Q634" s="329"/>
      <c r="R634" s="330"/>
      <c r="S634" s="330"/>
      <c r="T634" s="330"/>
      <c r="U634" s="330"/>
      <c r="V634" s="330"/>
      <c r="W634" s="323"/>
      <c r="X634" s="323"/>
    </row>
    <row r="635" spans="1:24" ht="13.5" customHeight="1">
      <c r="A635" s="323"/>
      <c r="B635" s="323"/>
      <c r="C635" s="229"/>
      <c r="D635" s="324"/>
      <c r="E635" s="325"/>
      <c r="F635" s="326"/>
      <c r="G635" s="326"/>
      <c r="H635" s="326"/>
      <c r="I635" s="327"/>
      <c r="J635" s="385"/>
      <c r="K635" s="328"/>
      <c r="L635" s="328"/>
      <c r="M635" s="377"/>
      <c r="N635" s="229"/>
      <c r="O635" s="229"/>
      <c r="P635" s="323"/>
      <c r="Q635" s="329"/>
      <c r="R635" s="330"/>
      <c r="S635" s="330"/>
      <c r="T635" s="330"/>
      <c r="U635" s="330"/>
      <c r="V635" s="330"/>
      <c r="W635" s="323"/>
      <c r="X635" s="323"/>
    </row>
    <row r="636" spans="1:24" ht="13.5" customHeight="1">
      <c r="A636" s="323"/>
      <c r="B636" s="323"/>
      <c r="C636" s="229"/>
      <c r="D636" s="324"/>
      <c r="E636" s="325"/>
      <c r="F636" s="326"/>
      <c r="G636" s="326"/>
      <c r="H636" s="326"/>
      <c r="I636" s="327"/>
      <c r="J636" s="385"/>
      <c r="K636" s="328"/>
      <c r="L636" s="328"/>
      <c r="M636" s="377"/>
      <c r="N636" s="229"/>
      <c r="O636" s="229"/>
      <c r="P636" s="323"/>
      <c r="Q636" s="329"/>
      <c r="R636" s="330"/>
      <c r="S636" s="330"/>
      <c r="T636" s="330"/>
      <c r="U636" s="330"/>
      <c r="V636" s="330"/>
      <c r="W636" s="323"/>
      <c r="X636" s="323"/>
    </row>
    <row r="637" spans="1:24" ht="13.5" customHeight="1">
      <c r="A637" s="323"/>
      <c r="B637" s="323"/>
      <c r="C637" s="229"/>
      <c r="D637" s="324"/>
      <c r="E637" s="325"/>
      <c r="F637" s="326"/>
      <c r="G637" s="326"/>
      <c r="H637" s="326"/>
      <c r="I637" s="327"/>
      <c r="J637" s="385"/>
      <c r="K637" s="328"/>
      <c r="L637" s="328"/>
      <c r="M637" s="377"/>
      <c r="N637" s="229"/>
      <c r="O637" s="229"/>
      <c r="P637" s="323"/>
      <c r="Q637" s="329"/>
      <c r="R637" s="330"/>
      <c r="S637" s="330"/>
      <c r="T637" s="330"/>
      <c r="U637" s="330"/>
      <c r="V637" s="330"/>
      <c r="W637" s="323"/>
      <c r="X637" s="323"/>
    </row>
    <row r="638" spans="1:24" ht="13.5" customHeight="1">
      <c r="A638" s="323"/>
      <c r="B638" s="323"/>
      <c r="C638" s="229"/>
      <c r="D638" s="324"/>
      <c r="E638" s="325"/>
      <c r="F638" s="326"/>
      <c r="G638" s="326"/>
      <c r="H638" s="326"/>
      <c r="I638" s="327"/>
      <c r="J638" s="385"/>
      <c r="K638" s="328"/>
      <c r="L638" s="328"/>
      <c r="M638" s="377"/>
      <c r="N638" s="229"/>
      <c r="O638" s="229"/>
      <c r="P638" s="323"/>
      <c r="Q638" s="329"/>
      <c r="R638" s="330"/>
      <c r="S638" s="330"/>
      <c r="T638" s="330"/>
      <c r="U638" s="330"/>
      <c r="V638" s="330"/>
      <c r="W638" s="323"/>
      <c r="X638" s="323"/>
    </row>
    <row r="639" spans="1:24" ht="13.5" customHeight="1">
      <c r="A639" s="323"/>
      <c r="B639" s="323"/>
      <c r="C639" s="229"/>
      <c r="D639" s="324"/>
      <c r="E639" s="325"/>
      <c r="F639" s="326"/>
      <c r="G639" s="326"/>
      <c r="H639" s="326"/>
      <c r="I639" s="327"/>
      <c r="J639" s="385"/>
      <c r="K639" s="328"/>
      <c r="L639" s="328"/>
      <c r="M639" s="377"/>
      <c r="N639" s="229"/>
      <c r="O639" s="229"/>
      <c r="P639" s="323"/>
      <c r="Q639" s="329"/>
      <c r="R639" s="330"/>
      <c r="S639" s="330"/>
      <c r="T639" s="330"/>
      <c r="U639" s="330"/>
      <c r="V639" s="330"/>
      <c r="W639" s="323"/>
      <c r="X639" s="323"/>
    </row>
    <row r="640" spans="1:24" ht="13.5" customHeight="1">
      <c r="A640" s="323"/>
      <c r="B640" s="323"/>
      <c r="C640" s="229"/>
      <c r="D640" s="324"/>
      <c r="E640" s="325"/>
      <c r="F640" s="326"/>
      <c r="G640" s="326"/>
      <c r="H640" s="326"/>
      <c r="I640" s="327"/>
      <c r="J640" s="385"/>
      <c r="K640" s="328"/>
      <c r="L640" s="328"/>
      <c r="M640" s="377"/>
      <c r="N640" s="229"/>
      <c r="O640" s="229"/>
      <c r="P640" s="323"/>
      <c r="Q640" s="329"/>
      <c r="R640" s="330"/>
      <c r="S640" s="330"/>
      <c r="T640" s="330"/>
      <c r="U640" s="330"/>
      <c r="V640" s="330"/>
      <c r="W640" s="323"/>
      <c r="X640" s="323"/>
    </row>
    <row r="641" spans="1:24" ht="13.5" customHeight="1">
      <c r="A641" s="323"/>
      <c r="B641" s="323"/>
      <c r="C641" s="229"/>
      <c r="D641" s="324"/>
      <c r="E641" s="325"/>
      <c r="F641" s="326"/>
      <c r="G641" s="326"/>
      <c r="H641" s="326"/>
      <c r="I641" s="327"/>
      <c r="J641" s="385"/>
      <c r="K641" s="328"/>
      <c r="L641" s="328"/>
      <c r="M641" s="377"/>
      <c r="N641" s="229"/>
      <c r="O641" s="229"/>
      <c r="P641" s="323"/>
      <c r="Q641" s="329"/>
      <c r="R641" s="330"/>
      <c r="S641" s="330"/>
      <c r="T641" s="330"/>
      <c r="U641" s="330"/>
      <c r="V641" s="330"/>
      <c r="W641" s="323"/>
      <c r="X641" s="323"/>
    </row>
    <row r="642" spans="1:24" ht="13.5" customHeight="1">
      <c r="A642" s="323"/>
      <c r="B642" s="323"/>
      <c r="C642" s="229"/>
      <c r="D642" s="324"/>
      <c r="E642" s="325"/>
      <c r="F642" s="326"/>
      <c r="G642" s="326"/>
      <c r="H642" s="326"/>
      <c r="I642" s="327"/>
      <c r="J642" s="385"/>
      <c r="K642" s="328"/>
      <c r="L642" s="328"/>
      <c r="M642" s="377"/>
      <c r="N642" s="229"/>
      <c r="O642" s="229"/>
      <c r="P642" s="323"/>
      <c r="Q642" s="329"/>
      <c r="R642" s="330"/>
      <c r="S642" s="330"/>
      <c r="T642" s="330"/>
      <c r="U642" s="330"/>
      <c r="V642" s="330"/>
      <c r="W642" s="323"/>
      <c r="X642" s="323"/>
    </row>
    <row r="643" spans="1:24" ht="13.5" customHeight="1">
      <c r="A643" s="323"/>
      <c r="B643" s="323"/>
      <c r="C643" s="229"/>
      <c r="D643" s="324"/>
      <c r="E643" s="325"/>
      <c r="F643" s="326"/>
      <c r="G643" s="326"/>
      <c r="H643" s="326"/>
      <c r="I643" s="327"/>
      <c r="J643" s="385"/>
      <c r="K643" s="328"/>
      <c r="L643" s="328"/>
      <c r="M643" s="377"/>
      <c r="N643" s="229"/>
      <c r="O643" s="229"/>
      <c r="P643" s="323"/>
      <c r="Q643" s="329"/>
      <c r="R643" s="330"/>
      <c r="S643" s="330"/>
      <c r="T643" s="330"/>
      <c r="U643" s="330"/>
      <c r="V643" s="330"/>
      <c r="W643" s="323"/>
      <c r="X643" s="323"/>
    </row>
    <row r="644" spans="1:24" ht="13.5" customHeight="1">
      <c r="A644" s="323"/>
      <c r="B644" s="323"/>
      <c r="C644" s="229"/>
      <c r="D644" s="324"/>
      <c r="E644" s="325"/>
      <c r="F644" s="326"/>
      <c r="G644" s="326"/>
      <c r="H644" s="326"/>
      <c r="I644" s="327"/>
      <c r="J644" s="385"/>
      <c r="K644" s="328"/>
      <c r="L644" s="328"/>
      <c r="M644" s="377"/>
      <c r="N644" s="229"/>
      <c r="O644" s="229"/>
      <c r="P644" s="323"/>
      <c r="Q644" s="329"/>
      <c r="R644" s="330"/>
      <c r="S644" s="330"/>
      <c r="T644" s="330"/>
      <c r="U644" s="330"/>
      <c r="V644" s="330"/>
      <c r="W644" s="323"/>
      <c r="X644" s="323"/>
    </row>
    <row r="645" spans="1:24" ht="13.5" customHeight="1">
      <c r="A645" s="323"/>
      <c r="B645" s="323"/>
      <c r="C645" s="229"/>
      <c r="D645" s="324"/>
      <c r="E645" s="325"/>
      <c r="F645" s="326"/>
      <c r="G645" s="326"/>
      <c r="H645" s="326"/>
      <c r="I645" s="327"/>
      <c r="J645" s="385"/>
      <c r="K645" s="328"/>
      <c r="L645" s="328"/>
      <c r="M645" s="377"/>
      <c r="N645" s="229"/>
      <c r="O645" s="229"/>
      <c r="P645" s="323"/>
      <c r="Q645" s="329"/>
      <c r="R645" s="330"/>
      <c r="S645" s="330"/>
      <c r="T645" s="330"/>
      <c r="U645" s="330"/>
      <c r="V645" s="330"/>
      <c r="W645" s="323"/>
      <c r="X645" s="323"/>
    </row>
    <row r="646" spans="1:24" ht="13.5" customHeight="1">
      <c r="A646" s="323"/>
      <c r="B646" s="323"/>
      <c r="C646" s="229"/>
      <c r="D646" s="324"/>
      <c r="E646" s="325"/>
      <c r="F646" s="326"/>
      <c r="G646" s="326"/>
      <c r="H646" s="326"/>
      <c r="I646" s="327"/>
      <c r="J646" s="385"/>
      <c r="K646" s="328"/>
      <c r="L646" s="328"/>
      <c r="M646" s="377"/>
      <c r="N646" s="229"/>
      <c r="O646" s="229"/>
      <c r="P646" s="323"/>
      <c r="Q646" s="329"/>
      <c r="R646" s="330"/>
      <c r="S646" s="330"/>
      <c r="T646" s="330"/>
      <c r="U646" s="330"/>
      <c r="V646" s="330"/>
      <c r="W646" s="323"/>
      <c r="X646" s="323"/>
    </row>
    <row r="647" spans="1:24" ht="13.5" customHeight="1">
      <c r="A647" s="323"/>
      <c r="B647" s="323"/>
      <c r="C647" s="229"/>
      <c r="D647" s="324"/>
      <c r="E647" s="325"/>
      <c r="F647" s="326"/>
      <c r="G647" s="326"/>
      <c r="H647" s="326"/>
      <c r="I647" s="327"/>
      <c r="J647" s="385"/>
      <c r="K647" s="328"/>
      <c r="L647" s="328"/>
      <c r="M647" s="377"/>
      <c r="N647" s="229"/>
      <c r="O647" s="229"/>
      <c r="P647" s="323"/>
      <c r="Q647" s="329"/>
      <c r="R647" s="330"/>
      <c r="S647" s="330"/>
      <c r="T647" s="330"/>
      <c r="U647" s="330"/>
      <c r="V647" s="330"/>
      <c r="W647" s="323"/>
      <c r="X647" s="323"/>
    </row>
    <row r="648" spans="1:24" ht="13.5" customHeight="1">
      <c r="A648" s="323"/>
      <c r="B648" s="323"/>
      <c r="C648" s="229"/>
      <c r="D648" s="324"/>
      <c r="E648" s="325"/>
      <c r="F648" s="326"/>
      <c r="G648" s="326"/>
      <c r="H648" s="326"/>
      <c r="I648" s="327"/>
      <c r="J648" s="385"/>
      <c r="K648" s="328"/>
      <c r="L648" s="328"/>
      <c r="M648" s="377"/>
      <c r="N648" s="229"/>
      <c r="O648" s="229"/>
      <c r="P648" s="323"/>
      <c r="Q648" s="329"/>
      <c r="R648" s="330"/>
      <c r="S648" s="330"/>
      <c r="T648" s="330"/>
      <c r="U648" s="330"/>
      <c r="V648" s="330"/>
      <c r="W648" s="323"/>
      <c r="X648" s="323"/>
    </row>
    <row r="649" spans="1:24" ht="13.5" customHeight="1">
      <c r="A649" s="323"/>
      <c r="B649" s="323"/>
      <c r="C649" s="229"/>
      <c r="D649" s="324"/>
      <c r="E649" s="325"/>
      <c r="F649" s="326"/>
      <c r="G649" s="326"/>
      <c r="H649" s="326"/>
      <c r="I649" s="327"/>
      <c r="J649" s="385"/>
      <c r="K649" s="328"/>
      <c r="L649" s="328"/>
      <c r="M649" s="377"/>
      <c r="N649" s="229"/>
      <c r="O649" s="229"/>
      <c r="P649" s="323"/>
      <c r="Q649" s="329"/>
      <c r="R649" s="330"/>
      <c r="S649" s="330"/>
      <c r="T649" s="330"/>
      <c r="U649" s="330"/>
      <c r="V649" s="330"/>
      <c r="W649" s="323"/>
      <c r="X649" s="323"/>
    </row>
    <row r="650" spans="1:24" ht="13.5" customHeight="1">
      <c r="A650" s="323"/>
      <c r="B650" s="323"/>
      <c r="C650" s="229"/>
      <c r="D650" s="324"/>
      <c r="E650" s="325"/>
      <c r="F650" s="326"/>
      <c r="G650" s="326"/>
      <c r="H650" s="326"/>
      <c r="I650" s="327"/>
      <c r="J650" s="385"/>
      <c r="K650" s="328"/>
      <c r="L650" s="328"/>
      <c r="M650" s="377"/>
      <c r="N650" s="229"/>
      <c r="O650" s="229"/>
      <c r="P650" s="323"/>
      <c r="Q650" s="329"/>
      <c r="R650" s="330"/>
      <c r="S650" s="330"/>
      <c r="T650" s="330"/>
      <c r="U650" s="330"/>
      <c r="V650" s="330"/>
      <c r="W650" s="323"/>
      <c r="X650" s="323"/>
    </row>
    <row r="651" spans="1:24" ht="13.5" customHeight="1">
      <c r="A651" s="323"/>
      <c r="B651" s="323"/>
      <c r="C651" s="229"/>
      <c r="D651" s="324"/>
      <c r="E651" s="325"/>
      <c r="F651" s="326"/>
      <c r="G651" s="326"/>
      <c r="H651" s="326"/>
      <c r="I651" s="327"/>
      <c r="J651" s="385"/>
      <c r="K651" s="328"/>
      <c r="L651" s="328"/>
      <c r="M651" s="377"/>
      <c r="N651" s="229"/>
      <c r="O651" s="229"/>
      <c r="P651" s="323"/>
      <c r="Q651" s="329"/>
      <c r="R651" s="330"/>
      <c r="S651" s="330"/>
      <c r="T651" s="330"/>
      <c r="U651" s="330"/>
      <c r="V651" s="330"/>
      <c r="W651" s="323"/>
      <c r="X651" s="323"/>
    </row>
    <row r="652" spans="1:24" ht="13.5" customHeight="1">
      <c r="A652" s="323"/>
      <c r="B652" s="323"/>
      <c r="C652" s="229"/>
      <c r="D652" s="324"/>
      <c r="E652" s="325"/>
      <c r="F652" s="326"/>
      <c r="G652" s="326"/>
      <c r="H652" s="326"/>
      <c r="I652" s="327"/>
      <c r="J652" s="385"/>
      <c r="K652" s="328"/>
      <c r="L652" s="328"/>
      <c r="M652" s="377"/>
      <c r="N652" s="229"/>
      <c r="O652" s="229"/>
      <c r="P652" s="323"/>
      <c r="Q652" s="329"/>
      <c r="R652" s="330"/>
      <c r="S652" s="330"/>
      <c r="T652" s="330"/>
      <c r="U652" s="330"/>
      <c r="V652" s="330"/>
      <c r="W652" s="323"/>
      <c r="X652" s="323"/>
    </row>
    <row r="653" spans="1:24" ht="13.5" customHeight="1">
      <c r="A653" s="323"/>
      <c r="B653" s="323"/>
      <c r="C653" s="229"/>
      <c r="D653" s="324"/>
      <c r="E653" s="325"/>
      <c r="F653" s="326"/>
      <c r="G653" s="326"/>
      <c r="H653" s="326"/>
      <c r="I653" s="327"/>
      <c r="J653" s="385"/>
      <c r="K653" s="328"/>
      <c r="L653" s="328"/>
      <c r="M653" s="377"/>
      <c r="N653" s="229"/>
      <c r="O653" s="229"/>
      <c r="P653" s="323"/>
      <c r="Q653" s="329"/>
      <c r="R653" s="330"/>
      <c r="S653" s="330"/>
      <c r="T653" s="330"/>
      <c r="U653" s="330"/>
      <c r="V653" s="330"/>
      <c r="W653" s="323"/>
      <c r="X653" s="323"/>
    </row>
    <row r="654" spans="1:24" ht="13.5" customHeight="1">
      <c r="A654" s="323"/>
      <c r="B654" s="323"/>
      <c r="C654" s="229"/>
      <c r="D654" s="324"/>
      <c r="E654" s="325"/>
      <c r="F654" s="326"/>
      <c r="G654" s="326"/>
      <c r="H654" s="326"/>
      <c r="I654" s="327"/>
      <c r="J654" s="385"/>
      <c r="K654" s="328"/>
      <c r="L654" s="328"/>
      <c r="M654" s="377"/>
      <c r="N654" s="229"/>
      <c r="O654" s="229"/>
      <c r="P654" s="323"/>
      <c r="Q654" s="329"/>
      <c r="R654" s="330"/>
      <c r="S654" s="330"/>
      <c r="T654" s="330"/>
      <c r="U654" s="330"/>
      <c r="V654" s="330"/>
      <c r="W654" s="323"/>
      <c r="X654" s="323"/>
    </row>
    <row r="655" spans="1:24" ht="13.5" customHeight="1">
      <c r="A655" s="323"/>
      <c r="B655" s="323"/>
      <c r="C655" s="229"/>
      <c r="D655" s="324"/>
      <c r="E655" s="325"/>
      <c r="F655" s="326"/>
      <c r="G655" s="326"/>
      <c r="H655" s="326"/>
      <c r="I655" s="327"/>
      <c r="J655" s="385"/>
      <c r="K655" s="328"/>
      <c r="L655" s="328"/>
      <c r="M655" s="377"/>
      <c r="N655" s="229"/>
      <c r="O655" s="229"/>
      <c r="P655" s="323"/>
      <c r="Q655" s="329"/>
      <c r="R655" s="330"/>
      <c r="S655" s="330"/>
      <c r="T655" s="330"/>
      <c r="U655" s="330"/>
      <c r="V655" s="330"/>
      <c r="W655" s="323"/>
      <c r="X655" s="323"/>
    </row>
    <row r="656" spans="1:24" ht="13.5" customHeight="1">
      <c r="A656" s="323"/>
      <c r="B656" s="323"/>
      <c r="C656" s="229"/>
      <c r="D656" s="324"/>
      <c r="E656" s="325"/>
      <c r="F656" s="326"/>
      <c r="G656" s="326"/>
      <c r="H656" s="326"/>
      <c r="I656" s="327"/>
      <c r="J656" s="385"/>
      <c r="K656" s="328"/>
      <c r="L656" s="328"/>
      <c r="M656" s="377"/>
      <c r="N656" s="229"/>
      <c r="O656" s="229"/>
      <c r="P656" s="323"/>
      <c r="Q656" s="329"/>
      <c r="R656" s="330"/>
      <c r="S656" s="330"/>
      <c r="T656" s="330"/>
      <c r="U656" s="330"/>
      <c r="V656" s="330"/>
      <c r="W656" s="323"/>
      <c r="X656" s="323"/>
    </row>
    <row r="657" spans="1:24" ht="13.5" customHeight="1">
      <c r="A657" s="323"/>
      <c r="B657" s="323"/>
      <c r="C657" s="229"/>
      <c r="D657" s="324"/>
      <c r="E657" s="325"/>
      <c r="F657" s="326"/>
      <c r="G657" s="326"/>
      <c r="H657" s="326"/>
      <c r="I657" s="327"/>
      <c r="J657" s="385"/>
      <c r="K657" s="328"/>
      <c r="L657" s="328"/>
      <c r="M657" s="377"/>
      <c r="N657" s="229"/>
      <c r="O657" s="229"/>
      <c r="P657" s="323"/>
      <c r="Q657" s="329"/>
      <c r="R657" s="330"/>
      <c r="S657" s="330"/>
      <c r="T657" s="330"/>
      <c r="U657" s="330"/>
      <c r="V657" s="330"/>
      <c r="W657" s="323"/>
      <c r="X657" s="323"/>
    </row>
    <row r="658" spans="1:24" ht="13.5" customHeight="1">
      <c r="A658" s="323"/>
      <c r="B658" s="323"/>
      <c r="C658" s="229"/>
      <c r="D658" s="324"/>
      <c r="E658" s="325"/>
      <c r="F658" s="326"/>
      <c r="G658" s="326"/>
      <c r="H658" s="326"/>
      <c r="I658" s="327"/>
      <c r="J658" s="385"/>
      <c r="K658" s="328"/>
      <c r="L658" s="328"/>
      <c r="M658" s="377"/>
      <c r="N658" s="229"/>
      <c r="O658" s="229"/>
      <c r="P658" s="323"/>
      <c r="Q658" s="329"/>
      <c r="R658" s="330"/>
      <c r="S658" s="330"/>
      <c r="T658" s="330"/>
      <c r="U658" s="330"/>
      <c r="V658" s="330"/>
      <c r="W658" s="323"/>
      <c r="X658" s="323"/>
    </row>
    <row r="659" spans="1:24" ht="13.5" customHeight="1">
      <c r="A659" s="323"/>
      <c r="B659" s="323"/>
      <c r="C659" s="229"/>
      <c r="D659" s="324"/>
      <c r="E659" s="325"/>
      <c r="F659" s="326"/>
      <c r="G659" s="326"/>
      <c r="H659" s="326"/>
      <c r="I659" s="327"/>
      <c r="J659" s="385"/>
      <c r="K659" s="328"/>
      <c r="L659" s="328"/>
      <c r="M659" s="377"/>
      <c r="N659" s="229"/>
      <c r="O659" s="229"/>
      <c r="P659" s="323"/>
      <c r="Q659" s="329"/>
      <c r="R659" s="330"/>
      <c r="S659" s="330"/>
      <c r="T659" s="330"/>
      <c r="U659" s="330"/>
      <c r="V659" s="330"/>
      <c r="W659" s="323"/>
      <c r="X659" s="323"/>
    </row>
    <row r="660" spans="1:24" ht="13.5" customHeight="1">
      <c r="A660" s="323"/>
      <c r="B660" s="323"/>
      <c r="C660" s="229"/>
      <c r="D660" s="324"/>
      <c r="E660" s="325"/>
      <c r="F660" s="326"/>
      <c r="G660" s="326"/>
      <c r="H660" s="326"/>
      <c r="I660" s="327"/>
      <c r="J660" s="385"/>
      <c r="K660" s="328"/>
      <c r="L660" s="328"/>
      <c r="M660" s="377"/>
      <c r="N660" s="229"/>
      <c r="O660" s="229"/>
      <c r="P660" s="323"/>
      <c r="Q660" s="329"/>
      <c r="R660" s="330"/>
      <c r="S660" s="330"/>
      <c r="T660" s="330"/>
      <c r="U660" s="330"/>
      <c r="V660" s="330"/>
      <c r="W660" s="323"/>
      <c r="X660" s="323"/>
    </row>
    <row r="661" spans="1:24" ht="13.5" customHeight="1">
      <c r="A661" s="323"/>
      <c r="B661" s="323"/>
      <c r="C661" s="229"/>
      <c r="D661" s="324"/>
      <c r="E661" s="325"/>
      <c r="F661" s="326"/>
      <c r="G661" s="326"/>
      <c r="H661" s="326"/>
      <c r="I661" s="327"/>
      <c r="J661" s="385"/>
      <c r="K661" s="328"/>
      <c r="L661" s="328"/>
      <c r="M661" s="377"/>
      <c r="N661" s="229"/>
      <c r="O661" s="229"/>
      <c r="P661" s="323"/>
      <c r="Q661" s="329"/>
      <c r="R661" s="330"/>
      <c r="S661" s="330"/>
      <c r="T661" s="330"/>
      <c r="U661" s="330"/>
      <c r="V661" s="330"/>
      <c r="W661" s="323"/>
      <c r="X661" s="323"/>
    </row>
    <row r="662" spans="1:24" ht="13.5" customHeight="1">
      <c r="A662" s="323"/>
      <c r="B662" s="323"/>
      <c r="C662" s="229"/>
      <c r="D662" s="324"/>
      <c r="E662" s="325"/>
      <c r="F662" s="326"/>
      <c r="G662" s="326"/>
      <c r="H662" s="326"/>
      <c r="I662" s="327"/>
      <c r="J662" s="385"/>
      <c r="K662" s="328"/>
      <c r="L662" s="328"/>
      <c r="M662" s="377"/>
      <c r="N662" s="229"/>
      <c r="O662" s="229"/>
      <c r="P662" s="323"/>
      <c r="Q662" s="329"/>
      <c r="R662" s="330"/>
      <c r="S662" s="330"/>
      <c r="T662" s="330"/>
      <c r="U662" s="330"/>
      <c r="V662" s="330"/>
      <c r="W662" s="323"/>
      <c r="X662" s="323"/>
    </row>
    <row r="663" spans="1:24" ht="13.5" customHeight="1">
      <c r="A663" s="323"/>
      <c r="B663" s="323"/>
      <c r="C663" s="229"/>
      <c r="D663" s="324"/>
      <c r="E663" s="325"/>
      <c r="F663" s="326"/>
      <c r="G663" s="326"/>
      <c r="H663" s="326"/>
      <c r="I663" s="327"/>
      <c r="J663" s="385"/>
      <c r="K663" s="328"/>
      <c r="L663" s="328"/>
      <c r="M663" s="377"/>
      <c r="N663" s="229"/>
      <c r="O663" s="229"/>
      <c r="P663" s="323"/>
      <c r="Q663" s="329"/>
      <c r="R663" s="330"/>
      <c r="S663" s="330"/>
      <c r="T663" s="330"/>
      <c r="U663" s="330"/>
      <c r="V663" s="330"/>
      <c r="W663" s="323"/>
      <c r="X663" s="323"/>
    </row>
    <row r="664" spans="1:24" ht="13.5" customHeight="1">
      <c r="A664" s="323"/>
      <c r="B664" s="323"/>
      <c r="C664" s="229"/>
      <c r="D664" s="324"/>
      <c r="E664" s="325"/>
      <c r="F664" s="326"/>
      <c r="G664" s="326"/>
      <c r="H664" s="326"/>
      <c r="I664" s="327"/>
      <c r="J664" s="385"/>
      <c r="K664" s="328"/>
      <c r="L664" s="328"/>
      <c r="M664" s="377"/>
      <c r="N664" s="229"/>
      <c r="O664" s="229"/>
      <c r="P664" s="323"/>
      <c r="Q664" s="329"/>
      <c r="R664" s="330"/>
      <c r="S664" s="330"/>
      <c r="T664" s="330"/>
      <c r="U664" s="330"/>
      <c r="V664" s="330"/>
      <c r="W664" s="323"/>
      <c r="X664" s="323"/>
    </row>
    <row r="665" spans="1:24" ht="13.5" customHeight="1">
      <c r="A665" s="323"/>
      <c r="B665" s="323"/>
      <c r="C665" s="229"/>
      <c r="D665" s="324"/>
      <c r="E665" s="325"/>
      <c r="F665" s="326"/>
      <c r="G665" s="326"/>
      <c r="H665" s="326"/>
      <c r="I665" s="327"/>
      <c r="J665" s="385"/>
      <c r="K665" s="328"/>
      <c r="L665" s="328"/>
      <c r="M665" s="377"/>
      <c r="N665" s="229"/>
      <c r="O665" s="229"/>
      <c r="P665" s="323"/>
      <c r="Q665" s="329"/>
      <c r="R665" s="330"/>
      <c r="S665" s="330"/>
      <c r="T665" s="330"/>
      <c r="U665" s="330"/>
      <c r="V665" s="330"/>
      <c r="W665" s="323"/>
      <c r="X665" s="323"/>
    </row>
    <row r="666" spans="1:24" ht="13.5" customHeight="1">
      <c r="A666" s="323"/>
      <c r="B666" s="323"/>
      <c r="C666" s="229"/>
      <c r="D666" s="324"/>
      <c r="E666" s="325"/>
      <c r="F666" s="326"/>
      <c r="G666" s="326"/>
      <c r="H666" s="326"/>
      <c r="I666" s="327"/>
      <c r="J666" s="385"/>
      <c r="K666" s="328"/>
      <c r="L666" s="328"/>
      <c r="M666" s="377"/>
      <c r="N666" s="229"/>
      <c r="O666" s="229"/>
      <c r="P666" s="323"/>
      <c r="Q666" s="329"/>
      <c r="R666" s="330"/>
      <c r="S666" s="330"/>
      <c r="T666" s="330"/>
      <c r="U666" s="330"/>
      <c r="V666" s="330"/>
      <c r="W666" s="323"/>
      <c r="X666" s="323"/>
    </row>
    <row r="667" spans="1:24" ht="13.5" customHeight="1">
      <c r="A667" s="323"/>
      <c r="B667" s="323"/>
      <c r="C667" s="229"/>
      <c r="D667" s="324"/>
      <c r="E667" s="325"/>
      <c r="F667" s="326"/>
      <c r="G667" s="326"/>
      <c r="H667" s="326"/>
      <c r="I667" s="327"/>
      <c r="J667" s="385"/>
      <c r="K667" s="328"/>
      <c r="L667" s="328"/>
      <c r="M667" s="377"/>
      <c r="N667" s="229"/>
      <c r="O667" s="229"/>
      <c r="P667" s="323"/>
      <c r="Q667" s="329"/>
      <c r="R667" s="330"/>
      <c r="S667" s="330"/>
      <c r="T667" s="330"/>
      <c r="U667" s="330"/>
      <c r="V667" s="330"/>
      <c r="W667" s="323"/>
      <c r="X667" s="323"/>
    </row>
    <row r="668" spans="1:24" ht="13.5" customHeight="1">
      <c r="A668" s="323"/>
      <c r="B668" s="323"/>
      <c r="C668" s="229"/>
      <c r="D668" s="324"/>
      <c r="E668" s="325"/>
      <c r="F668" s="326"/>
      <c r="G668" s="326"/>
      <c r="H668" s="326"/>
      <c r="I668" s="327"/>
      <c r="J668" s="385"/>
      <c r="K668" s="328"/>
      <c r="L668" s="328"/>
      <c r="M668" s="377"/>
      <c r="N668" s="229"/>
      <c r="O668" s="229"/>
      <c r="P668" s="323"/>
      <c r="Q668" s="329"/>
      <c r="R668" s="330"/>
      <c r="S668" s="330"/>
      <c r="T668" s="330"/>
      <c r="U668" s="330"/>
      <c r="V668" s="330"/>
      <c r="W668" s="323"/>
      <c r="X668" s="323"/>
    </row>
    <row r="669" spans="1:24" ht="13.5" customHeight="1">
      <c r="A669" s="323"/>
      <c r="B669" s="323"/>
      <c r="C669" s="229"/>
      <c r="D669" s="324"/>
      <c r="E669" s="325"/>
      <c r="F669" s="326"/>
      <c r="G669" s="326"/>
      <c r="H669" s="326"/>
      <c r="I669" s="327"/>
      <c r="J669" s="385"/>
      <c r="K669" s="328"/>
      <c r="L669" s="328"/>
      <c r="M669" s="377"/>
      <c r="N669" s="229"/>
      <c r="O669" s="229"/>
      <c r="P669" s="323"/>
      <c r="Q669" s="329"/>
      <c r="R669" s="330"/>
      <c r="S669" s="330"/>
      <c r="T669" s="330"/>
      <c r="U669" s="330"/>
      <c r="V669" s="330"/>
      <c r="W669" s="323"/>
      <c r="X669" s="323"/>
    </row>
    <row r="670" spans="1:24" ht="13.5" customHeight="1">
      <c r="A670" s="323"/>
      <c r="B670" s="323"/>
      <c r="C670" s="229"/>
      <c r="D670" s="324"/>
      <c r="E670" s="325"/>
      <c r="F670" s="326"/>
      <c r="G670" s="326"/>
      <c r="H670" s="326"/>
      <c r="I670" s="327"/>
      <c r="J670" s="385"/>
      <c r="K670" s="328"/>
      <c r="L670" s="328"/>
      <c r="M670" s="377"/>
      <c r="N670" s="229"/>
      <c r="O670" s="229"/>
      <c r="P670" s="323"/>
      <c r="Q670" s="329"/>
      <c r="R670" s="330"/>
      <c r="S670" s="330"/>
      <c r="T670" s="330"/>
      <c r="U670" s="330"/>
      <c r="V670" s="330"/>
      <c r="W670" s="323"/>
      <c r="X670" s="323"/>
    </row>
    <row r="671" spans="1:24" ht="13.5" customHeight="1">
      <c r="A671" s="323"/>
      <c r="B671" s="323"/>
      <c r="C671" s="229"/>
      <c r="D671" s="324"/>
      <c r="E671" s="325"/>
      <c r="F671" s="326"/>
      <c r="G671" s="326"/>
      <c r="H671" s="326"/>
      <c r="I671" s="327"/>
      <c r="J671" s="385"/>
      <c r="K671" s="328"/>
      <c r="L671" s="328"/>
      <c r="M671" s="377"/>
      <c r="N671" s="229"/>
      <c r="O671" s="229"/>
      <c r="P671" s="323"/>
      <c r="Q671" s="329"/>
      <c r="R671" s="330"/>
      <c r="S671" s="330"/>
      <c r="T671" s="330"/>
      <c r="U671" s="330"/>
      <c r="V671" s="330"/>
      <c r="W671" s="323"/>
      <c r="X671" s="323"/>
    </row>
    <row r="672" spans="1:24" ht="13.5" customHeight="1">
      <c r="A672" s="323"/>
      <c r="B672" s="323"/>
      <c r="C672" s="229"/>
      <c r="D672" s="324"/>
      <c r="E672" s="325"/>
      <c r="F672" s="326"/>
      <c r="G672" s="326"/>
      <c r="H672" s="326"/>
      <c r="I672" s="327"/>
      <c r="J672" s="385"/>
      <c r="K672" s="328"/>
      <c r="L672" s="328"/>
      <c r="M672" s="377"/>
      <c r="N672" s="229"/>
      <c r="O672" s="229"/>
      <c r="P672" s="323"/>
      <c r="Q672" s="329"/>
      <c r="R672" s="330"/>
      <c r="S672" s="330"/>
      <c r="T672" s="330"/>
      <c r="U672" s="330"/>
      <c r="V672" s="330"/>
      <c r="W672" s="323"/>
      <c r="X672" s="323"/>
    </row>
    <row r="673" spans="1:24" ht="13.5" customHeight="1">
      <c r="A673" s="323"/>
      <c r="B673" s="323"/>
      <c r="C673" s="229"/>
      <c r="D673" s="324"/>
      <c r="E673" s="325"/>
      <c r="F673" s="326"/>
      <c r="G673" s="326"/>
      <c r="H673" s="326"/>
      <c r="I673" s="327"/>
      <c r="J673" s="385"/>
      <c r="K673" s="328"/>
      <c r="L673" s="328"/>
      <c r="M673" s="377"/>
      <c r="N673" s="229"/>
      <c r="O673" s="229"/>
      <c r="P673" s="323"/>
      <c r="Q673" s="329"/>
      <c r="R673" s="330"/>
      <c r="S673" s="330"/>
      <c r="T673" s="330"/>
      <c r="U673" s="330"/>
      <c r="V673" s="330"/>
      <c r="W673" s="323"/>
      <c r="X673" s="323"/>
    </row>
    <row r="674" spans="1:24" ht="13.5" customHeight="1">
      <c r="A674" s="323"/>
      <c r="B674" s="323"/>
      <c r="C674" s="229"/>
      <c r="D674" s="324"/>
      <c r="E674" s="325"/>
      <c r="F674" s="326"/>
      <c r="G674" s="326"/>
      <c r="H674" s="326"/>
      <c r="I674" s="327"/>
      <c r="J674" s="385"/>
      <c r="K674" s="328"/>
      <c r="L674" s="328"/>
      <c r="M674" s="377"/>
      <c r="N674" s="229"/>
      <c r="O674" s="229"/>
      <c r="P674" s="323"/>
      <c r="Q674" s="329"/>
      <c r="R674" s="330"/>
      <c r="S674" s="330"/>
      <c r="T674" s="330"/>
      <c r="U674" s="330"/>
      <c r="V674" s="330"/>
      <c r="W674" s="323"/>
      <c r="X674" s="323"/>
    </row>
    <row r="675" spans="1:24" ht="13.5" customHeight="1">
      <c r="A675" s="323"/>
      <c r="B675" s="323"/>
      <c r="C675" s="229"/>
      <c r="D675" s="324"/>
      <c r="E675" s="325"/>
      <c r="F675" s="326"/>
      <c r="G675" s="326"/>
      <c r="H675" s="326"/>
      <c r="I675" s="327"/>
      <c r="J675" s="385"/>
      <c r="K675" s="328"/>
      <c r="L675" s="328"/>
      <c r="M675" s="377"/>
      <c r="N675" s="229"/>
      <c r="O675" s="229"/>
      <c r="P675" s="323"/>
      <c r="Q675" s="329"/>
      <c r="R675" s="330"/>
      <c r="S675" s="330"/>
      <c r="T675" s="330"/>
      <c r="U675" s="330"/>
      <c r="V675" s="330"/>
      <c r="W675" s="323"/>
      <c r="X675" s="323"/>
    </row>
    <row r="676" spans="1:24" ht="13.5" customHeight="1">
      <c r="A676" s="323"/>
      <c r="B676" s="323"/>
      <c r="C676" s="229"/>
      <c r="D676" s="324"/>
      <c r="E676" s="325"/>
      <c r="F676" s="326"/>
      <c r="G676" s="326"/>
      <c r="H676" s="326"/>
      <c r="I676" s="327"/>
      <c r="J676" s="385"/>
      <c r="K676" s="328"/>
      <c r="L676" s="328"/>
      <c r="M676" s="377"/>
      <c r="N676" s="229"/>
      <c r="O676" s="229"/>
      <c r="P676" s="323"/>
      <c r="Q676" s="329"/>
      <c r="R676" s="330"/>
      <c r="S676" s="330"/>
      <c r="T676" s="330"/>
      <c r="U676" s="330"/>
      <c r="V676" s="330"/>
      <c r="W676" s="323"/>
      <c r="X676" s="323"/>
    </row>
    <row r="677" spans="1:24" ht="13.5" customHeight="1">
      <c r="A677" s="323"/>
      <c r="B677" s="323"/>
      <c r="C677" s="229"/>
      <c r="D677" s="324"/>
      <c r="E677" s="325"/>
      <c r="F677" s="326"/>
      <c r="G677" s="326"/>
      <c r="H677" s="326"/>
      <c r="I677" s="327"/>
      <c r="J677" s="385"/>
      <c r="K677" s="328"/>
      <c r="L677" s="328"/>
      <c r="M677" s="377"/>
      <c r="N677" s="229"/>
      <c r="O677" s="229"/>
      <c r="P677" s="323"/>
      <c r="Q677" s="329"/>
      <c r="R677" s="330"/>
      <c r="S677" s="330"/>
      <c r="T677" s="330"/>
      <c r="U677" s="330"/>
      <c r="V677" s="330"/>
      <c r="W677" s="323"/>
      <c r="X677" s="323"/>
    </row>
    <row r="678" spans="1:24" ht="13.5" customHeight="1">
      <c r="A678" s="323"/>
      <c r="B678" s="323"/>
      <c r="C678" s="229"/>
      <c r="D678" s="324"/>
      <c r="E678" s="325"/>
      <c r="F678" s="326"/>
      <c r="G678" s="326"/>
      <c r="H678" s="326"/>
      <c r="I678" s="327"/>
      <c r="J678" s="385"/>
      <c r="K678" s="328"/>
      <c r="L678" s="328"/>
      <c r="M678" s="377"/>
      <c r="N678" s="229"/>
      <c r="O678" s="229"/>
      <c r="P678" s="323"/>
      <c r="Q678" s="329"/>
      <c r="R678" s="330"/>
      <c r="S678" s="330"/>
      <c r="T678" s="330"/>
      <c r="U678" s="330"/>
      <c r="V678" s="330"/>
      <c r="W678" s="323"/>
      <c r="X678" s="323"/>
    </row>
    <row r="679" spans="1:24" ht="13.5" customHeight="1">
      <c r="A679" s="323"/>
      <c r="B679" s="323"/>
      <c r="C679" s="229"/>
      <c r="D679" s="324"/>
      <c r="E679" s="325"/>
      <c r="F679" s="326"/>
      <c r="G679" s="326"/>
      <c r="H679" s="326"/>
      <c r="I679" s="327"/>
      <c r="J679" s="385"/>
      <c r="K679" s="328"/>
      <c r="L679" s="328"/>
      <c r="M679" s="377"/>
      <c r="N679" s="229"/>
      <c r="O679" s="229"/>
      <c r="P679" s="323"/>
      <c r="Q679" s="329"/>
      <c r="R679" s="330"/>
      <c r="S679" s="330"/>
      <c r="T679" s="330"/>
      <c r="U679" s="330"/>
      <c r="V679" s="330"/>
      <c r="W679" s="323"/>
      <c r="X679" s="323"/>
    </row>
    <row r="680" spans="1:24" ht="13.5" customHeight="1">
      <c r="A680" s="323"/>
      <c r="B680" s="323"/>
      <c r="C680" s="229"/>
      <c r="D680" s="324"/>
      <c r="E680" s="325"/>
      <c r="F680" s="326"/>
      <c r="G680" s="326"/>
      <c r="H680" s="326"/>
      <c r="I680" s="327"/>
      <c r="J680" s="385"/>
      <c r="K680" s="328"/>
      <c r="L680" s="328"/>
      <c r="M680" s="377"/>
      <c r="N680" s="229"/>
      <c r="O680" s="229"/>
      <c r="P680" s="323"/>
      <c r="Q680" s="329"/>
      <c r="R680" s="330"/>
      <c r="S680" s="330"/>
      <c r="T680" s="330"/>
      <c r="U680" s="330"/>
      <c r="V680" s="330"/>
      <c r="W680" s="323"/>
      <c r="X680" s="323"/>
    </row>
    <row r="681" spans="1:24" ht="13.5" customHeight="1">
      <c r="A681" s="323"/>
      <c r="B681" s="323"/>
      <c r="C681" s="229"/>
      <c r="D681" s="324"/>
      <c r="E681" s="325"/>
      <c r="F681" s="326"/>
      <c r="G681" s="326"/>
      <c r="H681" s="326"/>
      <c r="I681" s="327"/>
      <c r="J681" s="385"/>
      <c r="K681" s="328"/>
      <c r="L681" s="328"/>
      <c r="M681" s="377"/>
      <c r="N681" s="229"/>
      <c r="O681" s="229"/>
      <c r="P681" s="323"/>
      <c r="Q681" s="329"/>
      <c r="R681" s="330"/>
      <c r="S681" s="330"/>
      <c r="T681" s="330"/>
      <c r="U681" s="330"/>
      <c r="V681" s="330"/>
      <c r="W681" s="323"/>
      <c r="X681" s="323"/>
    </row>
    <row r="682" spans="1:24" ht="13.5" customHeight="1">
      <c r="A682" s="323"/>
      <c r="B682" s="323"/>
      <c r="C682" s="229"/>
      <c r="D682" s="324"/>
      <c r="E682" s="325"/>
      <c r="F682" s="326"/>
      <c r="G682" s="326"/>
      <c r="H682" s="326"/>
      <c r="I682" s="327"/>
      <c r="J682" s="385"/>
      <c r="K682" s="328"/>
      <c r="L682" s="328"/>
      <c r="M682" s="377"/>
      <c r="N682" s="229"/>
      <c r="O682" s="229"/>
      <c r="P682" s="323"/>
      <c r="Q682" s="329"/>
      <c r="R682" s="330"/>
      <c r="S682" s="330"/>
      <c r="T682" s="330"/>
      <c r="U682" s="330"/>
      <c r="V682" s="330"/>
      <c r="W682" s="323"/>
      <c r="X682" s="323"/>
    </row>
    <row r="683" spans="1:24" ht="13.5" customHeight="1">
      <c r="A683" s="323"/>
      <c r="B683" s="323"/>
      <c r="C683" s="229"/>
      <c r="D683" s="324"/>
      <c r="E683" s="325"/>
      <c r="F683" s="326"/>
      <c r="G683" s="326"/>
      <c r="H683" s="326"/>
      <c r="I683" s="327"/>
      <c r="J683" s="385"/>
      <c r="K683" s="328"/>
      <c r="L683" s="328"/>
      <c r="M683" s="377"/>
      <c r="N683" s="229"/>
      <c r="O683" s="229"/>
      <c r="P683" s="323"/>
      <c r="Q683" s="329"/>
      <c r="R683" s="330"/>
      <c r="S683" s="330"/>
      <c r="T683" s="330"/>
      <c r="U683" s="330"/>
      <c r="V683" s="330"/>
      <c r="W683" s="323"/>
      <c r="X683" s="323"/>
    </row>
    <row r="684" spans="1:24" ht="13.5" customHeight="1">
      <c r="A684" s="323"/>
      <c r="B684" s="323"/>
      <c r="C684" s="229"/>
      <c r="D684" s="324"/>
      <c r="E684" s="325"/>
      <c r="F684" s="326"/>
      <c r="G684" s="326"/>
      <c r="H684" s="326"/>
      <c r="I684" s="327"/>
      <c r="J684" s="385"/>
      <c r="K684" s="328"/>
      <c r="L684" s="328"/>
      <c r="M684" s="377"/>
      <c r="N684" s="229"/>
      <c r="O684" s="229"/>
      <c r="P684" s="323"/>
      <c r="Q684" s="329"/>
      <c r="R684" s="330"/>
      <c r="S684" s="330"/>
      <c r="T684" s="330"/>
      <c r="U684" s="330"/>
      <c r="V684" s="330"/>
      <c r="W684" s="323"/>
      <c r="X684" s="323"/>
    </row>
    <row r="685" spans="1:24" ht="13.5" customHeight="1">
      <c r="A685" s="323"/>
      <c r="B685" s="323"/>
      <c r="C685" s="229"/>
      <c r="D685" s="324"/>
      <c r="E685" s="325"/>
      <c r="F685" s="326"/>
      <c r="G685" s="326"/>
      <c r="H685" s="326"/>
      <c r="I685" s="327"/>
      <c r="J685" s="385"/>
      <c r="K685" s="328"/>
      <c r="L685" s="328"/>
      <c r="M685" s="377"/>
      <c r="N685" s="229"/>
      <c r="O685" s="229"/>
      <c r="P685" s="323"/>
      <c r="Q685" s="329"/>
      <c r="R685" s="330"/>
      <c r="S685" s="330"/>
      <c r="T685" s="330"/>
      <c r="U685" s="330"/>
      <c r="V685" s="330"/>
      <c r="W685" s="323"/>
      <c r="X685" s="323"/>
    </row>
    <row r="686" spans="1:24" ht="13.5" customHeight="1">
      <c r="A686" s="323"/>
      <c r="B686" s="323"/>
      <c r="C686" s="229"/>
      <c r="D686" s="324"/>
      <c r="E686" s="325"/>
      <c r="F686" s="326"/>
      <c r="G686" s="326"/>
      <c r="H686" s="326"/>
      <c r="I686" s="327"/>
      <c r="J686" s="385"/>
      <c r="K686" s="328"/>
      <c r="L686" s="328"/>
      <c r="M686" s="377"/>
      <c r="N686" s="229"/>
      <c r="O686" s="229"/>
      <c r="P686" s="323"/>
      <c r="Q686" s="329"/>
      <c r="R686" s="330"/>
      <c r="S686" s="330"/>
      <c r="T686" s="330"/>
      <c r="U686" s="330"/>
      <c r="V686" s="330"/>
      <c r="W686" s="323"/>
      <c r="X686" s="323"/>
    </row>
    <row r="687" spans="1:24" ht="13.5" customHeight="1">
      <c r="A687" s="323"/>
      <c r="B687" s="323"/>
      <c r="C687" s="229"/>
      <c r="D687" s="324"/>
      <c r="E687" s="325"/>
      <c r="F687" s="326"/>
      <c r="G687" s="326"/>
      <c r="H687" s="326"/>
      <c r="I687" s="327"/>
      <c r="J687" s="385"/>
      <c r="K687" s="328"/>
      <c r="L687" s="328"/>
      <c r="M687" s="377"/>
      <c r="N687" s="229"/>
      <c r="O687" s="229"/>
      <c r="P687" s="323"/>
      <c r="Q687" s="329"/>
      <c r="R687" s="330"/>
      <c r="S687" s="330"/>
      <c r="T687" s="330"/>
      <c r="U687" s="330"/>
      <c r="V687" s="330"/>
      <c r="W687" s="323"/>
      <c r="X687" s="323"/>
    </row>
    <row r="688" spans="1:24" ht="13.5" customHeight="1">
      <c r="A688" s="323"/>
      <c r="B688" s="323"/>
      <c r="C688" s="229"/>
      <c r="D688" s="324"/>
      <c r="E688" s="325"/>
      <c r="F688" s="326"/>
      <c r="G688" s="326"/>
      <c r="H688" s="326"/>
      <c r="I688" s="327"/>
      <c r="J688" s="385"/>
      <c r="K688" s="328"/>
      <c r="L688" s="328"/>
      <c r="M688" s="377"/>
      <c r="N688" s="229"/>
      <c r="O688" s="229"/>
      <c r="P688" s="323"/>
      <c r="Q688" s="329"/>
      <c r="R688" s="330"/>
      <c r="S688" s="330"/>
      <c r="T688" s="330"/>
      <c r="U688" s="330"/>
      <c r="V688" s="330"/>
      <c r="W688" s="323"/>
      <c r="X688" s="323"/>
    </row>
    <row r="689" spans="1:24" ht="13.5" customHeight="1">
      <c r="A689" s="323"/>
      <c r="B689" s="323"/>
      <c r="C689" s="229"/>
      <c r="D689" s="324"/>
      <c r="E689" s="325"/>
      <c r="F689" s="326"/>
      <c r="G689" s="326"/>
      <c r="H689" s="326"/>
      <c r="I689" s="327"/>
      <c r="J689" s="385"/>
      <c r="K689" s="328"/>
      <c r="L689" s="328"/>
      <c r="M689" s="377"/>
      <c r="N689" s="229"/>
      <c r="O689" s="229"/>
      <c r="P689" s="323"/>
      <c r="Q689" s="329"/>
      <c r="R689" s="330"/>
      <c r="S689" s="330"/>
      <c r="T689" s="330"/>
      <c r="U689" s="330"/>
      <c r="V689" s="330"/>
      <c r="W689" s="323"/>
      <c r="X689" s="323"/>
    </row>
    <row r="690" spans="1:24" ht="13.5" customHeight="1">
      <c r="A690" s="323"/>
      <c r="B690" s="323"/>
      <c r="C690" s="229"/>
      <c r="D690" s="324"/>
      <c r="E690" s="325"/>
      <c r="F690" s="326"/>
      <c r="G690" s="326"/>
      <c r="H690" s="326"/>
      <c r="I690" s="327"/>
      <c r="J690" s="385"/>
      <c r="K690" s="328"/>
      <c r="L690" s="328"/>
      <c r="M690" s="377"/>
      <c r="N690" s="229"/>
      <c r="O690" s="229"/>
      <c r="P690" s="323"/>
      <c r="Q690" s="329"/>
      <c r="R690" s="330"/>
      <c r="S690" s="330"/>
      <c r="T690" s="330"/>
      <c r="U690" s="330"/>
      <c r="V690" s="330"/>
      <c r="W690" s="323"/>
      <c r="X690" s="323"/>
    </row>
    <row r="691" spans="1:24" ht="13.5" customHeight="1">
      <c r="A691" s="323"/>
      <c r="B691" s="323"/>
      <c r="C691" s="229"/>
      <c r="D691" s="324"/>
      <c r="E691" s="325"/>
      <c r="F691" s="326"/>
      <c r="G691" s="326"/>
      <c r="H691" s="326"/>
      <c r="I691" s="327"/>
      <c r="J691" s="385"/>
      <c r="K691" s="328"/>
      <c r="L691" s="328"/>
      <c r="M691" s="377"/>
      <c r="N691" s="229"/>
      <c r="O691" s="229"/>
      <c r="P691" s="323"/>
      <c r="Q691" s="329"/>
      <c r="R691" s="330"/>
      <c r="S691" s="330"/>
      <c r="T691" s="330"/>
      <c r="U691" s="330"/>
      <c r="V691" s="330"/>
      <c r="W691" s="323"/>
      <c r="X691" s="323"/>
    </row>
    <row r="692" spans="1:24" ht="13.5" customHeight="1">
      <c r="A692" s="323"/>
      <c r="B692" s="323"/>
      <c r="C692" s="229"/>
      <c r="D692" s="324"/>
      <c r="E692" s="325"/>
      <c r="F692" s="326"/>
      <c r="G692" s="326"/>
      <c r="H692" s="326"/>
      <c r="I692" s="327"/>
      <c r="J692" s="385"/>
      <c r="K692" s="328"/>
      <c r="L692" s="328"/>
      <c r="M692" s="377"/>
      <c r="N692" s="229"/>
      <c r="O692" s="229"/>
      <c r="P692" s="323"/>
      <c r="Q692" s="329"/>
      <c r="R692" s="330"/>
      <c r="S692" s="330"/>
      <c r="T692" s="330"/>
      <c r="U692" s="330"/>
      <c r="V692" s="330"/>
      <c r="W692" s="323"/>
      <c r="X692" s="323"/>
    </row>
    <row r="693" spans="1:24" ht="13.5" customHeight="1">
      <c r="A693" s="323"/>
      <c r="B693" s="323"/>
      <c r="C693" s="229"/>
      <c r="D693" s="324"/>
      <c r="E693" s="325"/>
      <c r="F693" s="326"/>
      <c r="G693" s="326"/>
      <c r="H693" s="326"/>
      <c r="I693" s="327"/>
      <c r="J693" s="385"/>
      <c r="K693" s="328"/>
      <c r="L693" s="328"/>
      <c r="M693" s="377"/>
      <c r="N693" s="229"/>
      <c r="O693" s="229"/>
      <c r="P693" s="323"/>
      <c r="Q693" s="329"/>
      <c r="R693" s="330"/>
      <c r="S693" s="330"/>
      <c r="T693" s="330"/>
      <c r="U693" s="330"/>
      <c r="V693" s="330"/>
      <c r="W693" s="323"/>
      <c r="X693" s="323"/>
    </row>
    <row r="694" spans="1:24" ht="13.5" customHeight="1">
      <c r="A694" s="323"/>
      <c r="B694" s="323"/>
      <c r="C694" s="229"/>
      <c r="D694" s="324"/>
      <c r="E694" s="325"/>
      <c r="F694" s="326"/>
      <c r="G694" s="326"/>
      <c r="H694" s="326"/>
      <c r="I694" s="327"/>
      <c r="J694" s="385"/>
      <c r="K694" s="328"/>
      <c r="L694" s="328"/>
      <c r="M694" s="377"/>
      <c r="N694" s="229"/>
      <c r="O694" s="229"/>
      <c r="P694" s="323"/>
      <c r="Q694" s="329"/>
      <c r="R694" s="330"/>
      <c r="S694" s="330"/>
      <c r="T694" s="330"/>
      <c r="U694" s="330"/>
      <c r="V694" s="330"/>
      <c r="W694" s="323"/>
      <c r="X694" s="323"/>
    </row>
    <row r="695" spans="1:24" ht="13.5" customHeight="1">
      <c r="A695" s="323"/>
      <c r="B695" s="323"/>
      <c r="C695" s="229"/>
      <c r="D695" s="324"/>
      <c r="E695" s="325"/>
      <c r="F695" s="326"/>
      <c r="G695" s="326"/>
      <c r="H695" s="326"/>
      <c r="I695" s="327"/>
      <c r="J695" s="385"/>
      <c r="K695" s="328"/>
      <c r="L695" s="328"/>
      <c r="M695" s="377"/>
      <c r="N695" s="229"/>
      <c r="O695" s="229"/>
      <c r="P695" s="323"/>
      <c r="Q695" s="329"/>
      <c r="R695" s="330"/>
      <c r="S695" s="330"/>
      <c r="T695" s="330"/>
      <c r="U695" s="330"/>
      <c r="V695" s="330"/>
      <c r="W695" s="323"/>
      <c r="X695" s="323"/>
    </row>
    <row r="696" spans="1:24" ht="13.5" customHeight="1">
      <c r="A696" s="323"/>
      <c r="B696" s="323"/>
      <c r="C696" s="229"/>
      <c r="D696" s="324"/>
      <c r="E696" s="325"/>
      <c r="F696" s="326"/>
      <c r="G696" s="326"/>
      <c r="H696" s="326"/>
      <c r="I696" s="327"/>
      <c r="J696" s="385"/>
      <c r="K696" s="328"/>
      <c r="L696" s="328"/>
      <c r="M696" s="377"/>
      <c r="N696" s="229"/>
      <c r="O696" s="229"/>
      <c r="P696" s="323"/>
      <c r="Q696" s="329"/>
      <c r="R696" s="330"/>
      <c r="S696" s="330"/>
      <c r="T696" s="330"/>
      <c r="U696" s="330"/>
      <c r="V696" s="330"/>
      <c r="W696" s="323"/>
      <c r="X696" s="323"/>
    </row>
    <row r="697" spans="1:24" ht="13.5" customHeight="1">
      <c r="A697" s="323"/>
      <c r="B697" s="323"/>
      <c r="C697" s="229"/>
      <c r="D697" s="324"/>
      <c r="E697" s="325"/>
      <c r="F697" s="326"/>
      <c r="G697" s="326"/>
      <c r="H697" s="326"/>
      <c r="I697" s="327"/>
      <c r="J697" s="385"/>
      <c r="K697" s="328"/>
      <c r="L697" s="328"/>
      <c r="M697" s="377"/>
      <c r="N697" s="229"/>
      <c r="O697" s="229"/>
      <c r="P697" s="323"/>
      <c r="Q697" s="329"/>
      <c r="R697" s="330"/>
      <c r="S697" s="330"/>
      <c r="T697" s="330"/>
      <c r="U697" s="330"/>
      <c r="V697" s="330"/>
      <c r="W697" s="323"/>
      <c r="X697" s="323"/>
    </row>
    <row r="698" spans="1:24" ht="13.5" customHeight="1">
      <c r="A698" s="323"/>
      <c r="B698" s="323"/>
      <c r="C698" s="229"/>
      <c r="D698" s="324"/>
      <c r="E698" s="325"/>
      <c r="F698" s="326"/>
      <c r="G698" s="326"/>
      <c r="H698" s="326"/>
      <c r="I698" s="327"/>
      <c r="J698" s="385"/>
      <c r="K698" s="328"/>
      <c r="L698" s="328"/>
      <c r="M698" s="377"/>
      <c r="N698" s="229"/>
      <c r="O698" s="229"/>
      <c r="P698" s="323"/>
      <c r="Q698" s="329"/>
      <c r="R698" s="330"/>
      <c r="S698" s="330"/>
      <c r="T698" s="330"/>
      <c r="U698" s="330"/>
      <c r="V698" s="330"/>
      <c r="W698" s="323"/>
      <c r="X698" s="323"/>
    </row>
    <row r="699" spans="1:24" ht="13.5" customHeight="1">
      <c r="A699" s="323"/>
      <c r="B699" s="323"/>
      <c r="C699" s="229"/>
      <c r="D699" s="324"/>
      <c r="E699" s="325"/>
      <c r="F699" s="326"/>
      <c r="G699" s="326"/>
      <c r="H699" s="326"/>
      <c r="I699" s="327"/>
      <c r="J699" s="385"/>
      <c r="K699" s="328"/>
      <c r="L699" s="328"/>
      <c r="M699" s="377"/>
      <c r="N699" s="229"/>
      <c r="O699" s="229"/>
      <c r="P699" s="323"/>
      <c r="Q699" s="329"/>
      <c r="R699" s="330"/>
      <c r="S699" s="330"/>
      <c r="T699" s="330"/>
      <c r="U699" s="330"/>
      <c r="V699" s="330"/>
      <c r="W699" s="323"/>
      <c r="X699" s="323"/>
    </row>
    <row r="700" spans="1:24" ht="13.5" customHeight="1">
      <c r="A700" s="323"/>
      <c r="B700" s="323"/>
      <c r="C700" s="229"/>
      <c r="D700" s="324"/>
      <c r="E700" s="325"/>
      <c r="F700" s="326"/>
      <c r="G700" s="326"/>
      <c r="H700" s="326"/>
      <c r="I700" s="327"/>
      <c r="J700" s="385"/>
      <c r="K700" s="328"/>
      <c r="L700" s="328"/>
      <c r="M700" s="377"/>
      <c r="N700" s="229"/>
      <c r="O700" s="229"/>
      <c r="P700" s="323"/>
      <c r="Q700" s="329"/>
      <c r="R700" s="330"/>
      <c r="S700" s="330"/>
      <c r="T700" s="330"/>
      <c r="U700" s="330"/>
      <c r="V700" s="330"/>
      <c r="W700" s="323"/>
      <c r="X700" s="323"/>
    </row>
    <row r="701" spans="1:24" ht="13.5" customHeight="1">
      <c r="A701" s="323"/>
      <c r="B701" s="323"/>
      <c r="C701" s="229"/>
      <c r="D701" s="324"/>
      <c r="E701" s="325"/>
      <c r="F701" s="326"/>
      <c r="G701" s="326"/>
      <c r="H701" s="326"/>
      <c r="I701" s="327"/>
      <c r="J701" s="385"/>
      <c r="K701" s="328"/>
      <c r="L701" s="328"/>
      <c r="M701" s="377"/>
      <c r="N701" s="229"/>
      <c r="O701" s="229"/>
      <c r="P701" s="323"/>
      <c r="Q701" s="329"/>
      <c r="R701" s="330"/>
      <c r="S701" s="330"/>
      <c r="T701" s="330"/>
      <c r="U701" s="330"/>
      <c r="V701" s="330"/>
      <c r="W701" s="323"/>
      <c r="X701" s="323"/>
    </row>
    <row r="702" spans="1:24" ht="13.5" customHeight="1">
      <c r="A702" s="323"/>
      <c r="B702" s="323"/>
      <c r="C702" s="229"/>
      <c r="D702" s="324"/>
      <c r="E702" s="325"/>
      <c r="F702" s="326"/>
      <c r="G702" s="326"/>
      <c r="H702" s="326"/>
      <c r="I702" s="327"/>
      <c r="J702" s="385"/>
      <c r="K702" s="328"/>
      <c r="L702" s="328"/>
      <c r="M702" s="377"/>
      <c r="N702" s="229"/>
      <c r="O702" s="229"/>
      <c r="P702" s="323"/>
      <c r="Q702" s="329"/>
      <c r="R702" s="330"/>
      <c r="S702" s="330"/>
      <c r="T702" s="330"/>
      <c r="U702" s="330"/>
      <c r="V702" s="330"/>
      <c r="W702" s="323"/>
      <c r="X702" s="323"/>
    </row>
    <row r="703" spans="1:24" ht="13.5" customHeight="1">
      <c r="A703" s="323"/>
      <c r="B703" s="323"/>
      <c r="C703" s="229"/>
      <c r="D703" s="324"/>
      <c r="E703" s="325"/>
      <c r="F703" s="326"/>
      <c r="G703" s="326"/>
      <c r="H703" s="326"/>
      <c r="I703" s="327"/>
      <c r="J703" s="385"/>
      <c r="K703" s="328"/>
      <c r="L703" s="328"/>
      <c r="M703" s="377"/>
      <c r="N703" s="229"/>
      <c r="O703" s="229"/>
      <c r="P703" s="323"/>
      <c r="Q703" s="329"/>
      <c r="R703" s="330"/>
      <c r="S703" s="330"/>
      <c r="T703" s="330"/>
      <c r="U703" s="330"/>
      <c r="V703" s="330"/>
      <c r="W703" s="323"/>
      <c r="X703" s="323"/>
    </row>
    <row r="704" spans="1:24" ht="13.5" customHeight="1">
      <c r="A704" s="323"/>
      <c r="B704" s="323"/>
      <c r="C704" s="229"/>
      <c r="D704" s="324"/>
      <c r="E704" s="325"/>
      <c r="F704" s="326"/>
      <c r="G704" s="326"/>
      <c r="H704" s="326"/>
      <c r="I704" s="327"/>
      <c r="J704" s="385"/>
      <c r="K704" s="328"/>
      <c r="L704" s="328"/>
      <c r="M704" s="377"/>
      <c r="N704" s="229"/>
      <c r="O704" s="229"/>
      <c r="P704" s="323"/>
      <c r="Q704" s="329"/>
      <c r="R704" s="330"/>
      <c r="S704" s="330"/>
      <c r="T704" s="330"/>
      <c r="U704" s="330"/>
      <c r="V704" s="330"/>
      <c r="W704" s="323"/>
      <c r="X704" s="323"/>
    </row>
    <row r="705" spans="1:24" ht="13.5" customHeight="1">
      <c r="A705" s="323"/>
      <c r="B705" s="323"/>
      <c r="C705" s="229"/>
      <c r="D705" s="324"/>
      <c r="E705" s="325"/>
      <c r="F705" s="326"/>
      <c r="G705" s="326"/>
      <c r="H705" s="326"/>
      <c r="I705" s="327"/>
      <c r="J705" s="385"/>
      <c r="K705" s="328"/>
      <c r="L705" s="328"/>
      <c r="M705" s="377"/>
      <c r="N705" s="229"/>
      <c r="O705" s="229"/>
      <c r="P705" s="323"/>
      <c r="Q705" s="329"/>
      <c r="R705" s="330"/>
      <c r="S705" s="330"/>
      <c r="T705" s="330"/>
      <c r="U705" s="330"/>
      <c r="V705" s="330"/>
      <c r="W705" s="323"/>
      <c r="X705" s="323"/>
    </row>
    <row r="706" spans="1:24" ht="13.5" customHeight="1">
      <c r="A706" s="323"/>
      <c r="B706" s="323"/>
      <c r="C706" s="229"/>
      <c r="D706" s="324"/>
      <c r="E706" s="325"/>
      <c r="F706" s="326"/>
      <c r="G706" s="326"/>
      <c r="H706" s="326"/>
      <c r="I706" s="327"/>
      <c r="J706" s="385"/>
      <c r="K706" s="328"/>
      <c r="L706" s="328"/>
      <c r="M706" s="377"/>
      <c r="N706" s="229"/>
      <c r="O706" s="229"/>
      <c r="P706" s="323"/>
      <c r="Q706" s="329"/>
      <c r="R706" s="330"/>
      <c r="S706" s="330"/>
      <c r="T706" s="330"/>
      <c r="U706" s="330"/>
      <c r="V706" s="330"/>
      <c r="W706" s="323"/>
      <c r="X706" s="323"/>
    </row>
    <row r="707" spans="1:24" ht="13.5" customHeight="1">
      <c r="A707" s="323"/>
      <c r="B707" s="323"/>
      <c r="C707" s="229"/>
      <c r="D707" s="324"/>
      <c r="E707" s="325"/>
      <c r="F707" s="326"/>
      <c r="G707" s="326"/>
      <c r="H707" s="326"/>
      <c r="I707" s="327"/>
      <c r="J707" s="385"/>
      <c r="K707" s="328"/>
      <c r="L707" s="328"/>
      <c r="M707" s="377"/>
      <c r="N707" s="229"/>
      <c r="O707" s="229"/>
      <c r="P707" s="323"/>
      <c r="Q707" s="329"/>
      <c r="R707" s="330"/>
      <c r="S707" s="330"/>
      <c r="T707" s="330"/>
      <c r="U707" s="330"/>
      <c r="V707" s="330"/>
      <c r="W707" s="323"/>
      <c r="X707" s="323"/>
    </row>
    <row r="708" spans="1:24" ht="13.5" customHeight="1">
      <c r="A708" s="323"/>
      <c r="B708" s="323"/>
      <c r="C708" s="229"/>
      <c r="D708" s="324"/>
      <c r="E708" s="325"/>
      <c r="F708" s="326"/>
      <c r="G708" s="326"/>
      <c r="H708" s="326"/>
      <c r="I708" s="327"/>
      <c r="J708" s="385"/>
      <c r="K708" s="328"/>
      <c r="L708" s="328"/>
      <c r="M708" s="377"/>
      <c r="N708" s="229"/>
      <c r="O708" s="229"/>
      <c r="P708" s="323"/>
      <c r="Q708" s="329"/>
      <c r="R708" s="330"/>
      <c r="S708" s="330"/>
      <c r="T708" s="330"/>
      <c r="U708" s="330"/>
      <c r="V708" s="330"/>
      <c r="W708" s="323"/>
      <c r="X708" s="323"/>
    </row>
    <row r="709" spans="1:24" ht="13.5" customHeight="1">
      <c r="A709" s="323"/>
      <c r="B709" s="323"/>
      <c r="C709" s="229"/>
      <c r="D709" s="324"/>
      <c r="E709" s="325"/>
      <c r="F709" s="326"/>
      <c r="G709" s="326"/>
      <c r="H709" s="326"/>
      <c r="I709" s="327"/>
      <c r="J709" s="385"/>
      <c r="K709" s="328"/>
      <c r="L709" s="328"/>
      <c r="M709" s="377"/>
      <c r="N709" s="229"/>
      <c r="O709" s="229"/>
      <c r="P709" s="323"/>
      <c r="Q709" s="329"/>
      <c r="R709" s="330"/>
      <c r="S709" s="330"/>
      <c r="T709" s="330"/>
      <c r="U709" s="330"/>
      <c r="V709" s="330"/>
      <c r="W709" s="323"/>
      <c r="X709" s="323"/>
    </row>
    <row r="710" spans="1:24" ht="13.5" customHeight="1">
      <c r="A710" s="323"/>
      <c r="B710" s="323"/>
      <c r="C710" s="229"/>
      <c r="D710" s="324"/>
      <c r="E710" s="325"/>
      <c r="F710" s="326"/>
      <c r="G710" s="326"/>
      <c r="H710" s="326"/>
      <c r="I710" s="327"/>
      <c r="J710" s="385"/>
      <c r="K710" s="328"/>
      <c r="L710" s="328"/>
      <c r="M710" s="377"/>
      <c r="N710" s="229"/>
      <c r="O710" s="229"/>
      <c r="P710" s="323"/>
      <c r="Q710" s="329"/>
      <c r="R710" s="330"/>
      <c r="S710" s="330"/>
      <c r="T710" s="330"/>
      <c r="U710" s="330"/>
      <c r="V710" s="330"/>
      <c r="W710" s="323"/>
      <c r="X710" s="323"/>
    </row>
    <row r="711" spans="1:24" ht="13.5" customHeight="1">
      <c r="A711" s="323"/>
      <c r="B711" s="323"/>
      <c r="C711" s="229"/>
      <c r="D711" s="324"/>
      <c r="E711" s="325"/>
      <c r="F711" s="326"/>
      <c r="G711" s="326"/>
      <c r="H711" s="326"/>
      <c r="I711" s="327"/>
      <c r="J711" s="385"/>
      <c r="K711" s="328"/>
      <c r="L711" s="328"/>
      <c r="M711" s="377"/>
      <c r="N711" s="229"/>
      <c r="O711" s="229"/>
      <c r="P711" s="323"/>
      <c r="Q711" s="329"/>
      <c r="R711" s="330"/>
      <c r="S711" s="330"/>
      <c r="T711" s="330"/>
      <c r="U711" s="330"/>
      <c r="V711" s="330"/>
      <c r="W711" s="323"/>
      <c r="X711" s="323"/>
    </row>
    <row r="712" spans="1:24" ht="13.5" customHeight="1">
      <c r="A712" s="323"/>
      <c r="B712" s="323"/>
      <c r="C712" s="229"/>
      <c r="D712" s="324"/>
      <c r="E712" s="325"/>
      <c r="F712" s="326"/>
      <c r="G712" s="326"/>
      <c r="H712" s="326"/>
      <c r="I712" s="327"/>
      <c r="J712" s="385"/>
      <c r="K712" s="328"/>
      <c r="L712" s="328"/>
      <c r="M712" s="377"/>
      <c r="N712" s="229"/>
      <c r="O712" s="229"/>
      <c r="P712" s="323"/>
      <c r="Q712" s="329"/>
      <c r="R712" s="330"/>
      <c r="S712" s="330"/>
      <c r="T712" s="330"/>
      <c r="U712" s="330"/>
      <c r="V712" s="330"/>
      <c r="W712" s="323"/>
      <c r="X712" s="323"/>
    </row>
    <row r="713" spans="1:24" ht="13.5" customHeight="1">
      <c r="A713" s="323"/>
      <c r="B713" s="323"/>
      <c r="C713" s="229"/>
      <c r="D713" s="324"/>
      <c r="E713" s="325"/>
      <c r="F713" s="326"/>
      <c r="G713" s="326"/>
      <c r="H713" s="326"/>
      <c r="I713" s="327"/>
      <c r="J713" s="385"/>
      <c r="K713" s="328"/>
      <c r="L713" s="328"/>
      <c r="M713" s="377"/>
      <c r="N713" s="229"/>
      <c r="O713" s="229"/>
      <c r="P713" s="323"/>
      <c r="Q713" s="329"/>
      <c r="R713" s="330"/>
      <c r="S713" s="330"/>
      <c r="T713" s="330"/>
      <c r="U713" s="330"/>
      <c r="V713" s="330"/>
      <c r="W713" s="323"/>
      <c r="X713" s="323"/>
    </row>
    <row r="714" spans="1:24" ht="13.5" customHeight="1">
      <c r="A714" s="323"/>
      <c r="B714" s="323"/>
      <c r="C714" s="229"/>
      <c r="D714" s="324"/>
      <c r="E714" s="325"/>
      <c r="F714" s="326"/>
      <c r="G714" s="326"/>
      <c r="H714" s="326"/>
      <c r="I714" s="327"/>
      <c r="J714" s="385"/>
      <c r="K714" s="328"/>
      <c r="L714" s="328"/>
      <c r="M714" s="377"/>
      <c r="N714" s="229"/>
      <c r="O714" s="229"/>
      <c r="P714" s="323"/>
      <c r="Q714" s="329"/>
      <c r="R714" s="330"/>
      <c r="S714" s="330"/>
      <c r="T714" s="330"/>
      <c r="U714" s="330"/>
      <c r="V714" s="330"/>
      <c r="W714" s="323"/>
      <c r="X714" s="323"/>
    </row>
    <row r="715" spans="1:24" ht="13.5" customHeight="1">
      <c r="A715" s="323"/>
      <c r="B715" s="323"/>
      <c r="C715" s="229"/>
      <c r="D715" s="324"/>
      <c r="E715" s="325"/>
      <c r="F715" s="326"/>
      <c r="G715" s="326"/>
      <c r="H715" s="326"/>
      <c r="I715" s="327"/>
      <c r="J715" s="385"/>
      <c r="K715" s="328"/>
      <c r="L715" s="328"/>
      <c r="M715" s="377"/>
      <c r="N715" s="229"/>
      <c r="O715" s="229"/>
      <c r="P715" s="323"/>
      <c r="Q715" s="329"/>
      <c r="R715" s="330"/>
      <c r="S715" s="330"/>
      <c r="T715" s="330"/>
      <c r="U715" s="330"/>
      <c r="V715" s="330"/>
      <c r="W715" s="323"/>
      <c r="X715" s="323"/>
    </row>
    <row r="716" spans="1:24" ht="13.5" customHeight="1">
      <c r="A716" s="323"/>
      <c r="B716" s="323"/>
      <c r="C716" s="229"/>
      <c r="D716" s="324"/>
      <c r="E716" s="325"/>
      <c r="F716" s="326"/>
      <c r="G716" s="326"/>
      <c r="H716" s="326"/>
      <c r="I716" s="327"/>
      <c r="J716" s="385"/>
      <c r="K716" s="328"/>
      <c r="L716" s="328"/>
      <c r="M716" s="377"/>
      <c r="N716" s="229"/>
      <c r="O716" s="229"/>
      <c r="P716" s="323"/>
      <c r="Q716" s="329"/>
      <c r="R716" s="330"/>
      <c r="S716" s="330"/>
      <c r="T716" s="330"/>
      <c r="U716" s="330"/>
      <c r="V716" s="330"/>
      <c r="W716" s="323"/>
      <c r="X716" s="323"/>
    </row>
    <row r="717" spans="1:24" ht="13.5" customHeight="1">
      <c r="A717" s="323"/>
      <c r="B717" s="323"/>
      <c r="C717" s="229"/>
      <c r="D717" s="324"/>
      <c r="E717" s="325"/>
      <c r="F717" s="326"/>
      <c r="G717" s="326"/>
      <c r="H717" s="326"/>
      <c r="I717" s="327"/>
      <c r="J717" s="385"/>
      <c r="K717" s="328"/>
      <c r="L717" s="328"/>
      <c r="M717" s="377"/>
      <c r="N717" s="229"/>
      <c r="O717" s="229"/>
      <c r="P717" s="323"/>
      <c r="Q717" s="329"/>
      <c r="R717" s="330"/>
      <c r="S717" s="330"/>
      <c r="T717" s="330"/>
      <c r="U717" s="330"/>
      <c r="V717" s="330"/>
      <c r="W717" s="323"/>
      <c r="X717" s="323"/>
    </row>
    <row r="718" spans="1:24" ht="13.5" customHeight="1">
      <c r="A718" s="323"/>
      <c r="B718" s="323"/>
      <c r="C718" s="229"/>
      <c r="D718" s="324"/>
      <c r="E718" s="325"/>
      <c r="F718" s="326"/>
      <c r="G718" s="326"/>
      <c r="H718" s="326"/>
      <c r="I718" s="327"/>
      <c r="J718" s="385"/>
      <c r="K718" s="328"/>
      <c r="L718" s="328"/>
      <c r="M718" s="377"/>
      <c r="N718" s="229"/>
      <c r="O718" s="229"/>
      <c r="P718" s="323"/>
      <c r="Q718" s="329"/>
      <c r="R718" s="330"/>
      <c r="S718" s="330"/>
      <c r="T718" s="330"/>
      <c r="U718" s="330"/>
      <c r="V718" s="330"/>
      <c r="W718" s="323"/>
      <c r="X718" s="323"/>
    </row>
    <row r="719" spans="1:24" ht="13.5" customHeight="1">
      <c r="A719" s="323"/>
      <c r="B719" s="323"/>
      <c r="C719" s="229"/>
      <c r="D719" s="324"/>
      <c r="E719" s="325"/>
      <c r="F719" s="326"/>
      <c r="G719" s="326"/>
      <c r="H719" s="326"/>
      <c r="I719" s="327"/>
      <c r="J719" s="385"/>
      <c r="K719" s="328"/>
      <c r="L719" s="328"/>
      <c r="M719" s="377"/>
      <c r="N719" s="229"/>
      <c r="O719" s="229"/>
      <c r="P719" s="323"/>
      <c r="Q719" s="329"/>
      <c r="R719" s="330"/>
      <c r="S719" s="330"/>
      <c r="T719" s="330"/>
      <c r="U719" s="330"/>
      <c r="V719" s="330"/>
      <c r="W719" s="323"/>
      <c r="X719" s="323"/>
    </row>
    <row r="720" spans="1:24" ht="13.5" customHeight="1">
      <c r="A720" s="323"/>
      <c r="B720" s="323"/>
      <c r="C720" s="229"/>
      <c r="D720" s="324"/>
      <c r="E720" s="325"/>
      <c r="F720" s="326"/>
      <c r="G720" s="326"/>
      <c r="H720" s="326"/>
      <c r="I720" s="327"/>
      <c r="J720" s="385"/>
      <c r="K720" s="328"/>
      <c r="L720" s="328"/>
      <c r="M720" s="377"/>
      <c r="N720" s="229"/>
      <c r="O720" s="229"/>
      <c r="P720" s="323"/>
      <c r="Q720" s="329"/>
      <c r="R720" s="330"/>
      <c r="S720" s="330"/>
      <c r="T720" s="330"/>
      <c r="U720" s="330"/>
      <c r="V720" s="330"/>
      <c r="W720" s="323"/>
      <c r="X720" s="323"/>
    </row>
    <row r="721" spans="1:24" ht="13.5" customHeight="1">
      <c r="A721" s="323"/>
      <c r="B721" s="323"/>
      <c r="C721" s="229"/>
      <c r="D721" s="324"/>
      <c r="E721" s="325"/>
      <c r="F721" s="326"/>
      <c r="G721" s="326"/>
      <c r="H721" s="326"/>
      <c r="I721" s="327"/>
      <c r="J721" s="385"/>
      <c r="K721" s="328"/>
      <c r="L721" s="328"/>
      <c r="M721" s="377"/>
      <c r="N721" s="229"/>
      <c r="O721" s="229"/>
      <c r="P721" s="323"/>
      <c r="Q721" s="329"/>
      <c r="R721" s="330"/>
      <c r="S721" s="330"/>
      <c r="T721" s="330"/>
      <c r="U721" s="330"/>
      <c r="V721" s="330"/>
      <c r="W721" s="323"/>
      <c r="X721" s="323"/>
    </row>
    <row r="722" spans="1:24" ht="13.5" customHeight="1">
      <c r="A722" s="323"/>
      <c r="B722" s="323"/>
      <c r="C722" s="229"/>
      <c r="D722" s="324"/>
      <c r="E722" s="325"/>
      <c r="F722" s="326"/>
      <c r="G722" s="326"/>
      <c r="H722" s="326"/>
      <c r="I722" s="327"/>
      <c r="J722" s="385"/>
      <c r="K722" s="328"/>
      <c r="L722" s="328"/>
      <c r="M722" s="377"/>
      <c r="N722" s="229"/>
      <c r="O722" s="229"/>
      <c r="P722" s="323"/>
      <c r="Q722" s="329"/>
      <c r="R722" s="330"/>
      <c r="S722" s="330"/>
      <c r="T722" s="330"/>
      <c r="U722" s="330"/>
      <c r="V722" s="330"/>
      <c r="W722" s="323"/>
      <c r="X722" s="323"/>
    </row>
    <row r="723" spans="1:24" ht="13.5" customHeight="1">
      <c r="A723" s="323"/>
      <c r="B723" s="323"/>
      <c r="C723" s="229"/>
      <c r="D723" s="324"/>
      <c r="E723" s="325"/>
      <c r="F723" s="326"/>
      <c r="G723" s="326"/>
      <c r="H723" s="326"/>
      <c r="I723" s="327"/>
      <c r="J723" s="385"/>
      <c r="K723" s="328"/>
      <c r="L723" s="328"/>
      <c r="M723" s="377"/>
      <c r="N723" s="229"/>
      <c r="O723" s="229"/>
      <c r="P723" s="323"/>
      <c r="Q723" s="329"/>
      <c r="R723" s="330"/>
      <c r="S723" s="330"/>
      <c r="T723" s="330"/>
      <c r="U723" s="330"/>
      <c r="V723" s="330"/>
      <c r="W723" s="323"/>
      <c r="X723" s="323"/>
    </row>
    <row r="724" spans="1:24" ht="13.5" customHeight="1">
      <c r="A724" s="323"/>
      <c r="B724" s="323"/>
      <c r="C724" s="229"/>
      <c r="D724" s="324"/>
      <c r="E724" s="325"/>
      <c r="F724" s="326"/>
      <c r="G724" s="326"/>
      <c r="H724" s="326"/>
      <c r="I724" s="327"/>
      <c r="J724" s="385"/>
      <c r="K724" s="328"/>
      <c r="L724" s="328"/>
      <c r="M724" s="377"/>
      <c r="N724" s="229"/>
      <c r="O724" s="229"/>
      <c r="P724" s="323"/>
      <c r="Q724" s="329"/>
      <c r="R724" s="330"/>
      <c r="S724" s="330"/>
      <c r="T724" s="330"/>
      <c r="U724" s="330"/>
      <c r="V724" s="330"/>
      <c r="W724" s="323"/>
      <c r="X724" s="323"/>
    </row>
    <row r="725" spans="1:24" ht="13.5" customHeight="1">
      <c r="A725" s="323"/>
      <c r="B725" s="323"/>
      <c r="C725" s="229"/>
      <c r="D725" s="324"/>
      <c r="E725" s="325"/>
      <c r="F725" s="326"/>
      <c r="G725" s="326"/>
      <c r="H725" s="326"/>
      <c r="I725" s="327"/>
      <c r="J725" s="385"/>
      <c r="K725" s="328"/>
      <c r="L725" s="328"/>
      <c r="M725" s="377"/>
      <c r="N725" s="229"/>
      <c r="O725" s="229"/>
      <c r="P725" s="323"/>
      <c r="Q725" s="329"/>
      <c r="R725" s="330"/>
      <c r="S725" s="330"/>
      <c r="T725" s="330"/>
      <c r="U725" s="330"/>
      <c r="V725" s="330"/>
      <c r="W725" s="323"/>
      <c r="X725" s="323"/>
    </row>
    <row r="726" spans="1:24" ht="13.5" customHeight="1">
      <c r="A726" s="323"/>
      <c r="B726" s="323"/>
      <c r="C726" s="229"/>
      <c r="D726" s="324"/>
      <c r="E726" s="325"/>
      <c r="F726" s="326"/>
      <c r="G726" s="326"/>
      <c r="H726" s="326"/>
      <c r="I726" s="327"/>
      <c r="J726" s="385"/>
      <c r="K726" s="328"/>
      <c r="L726" s="328"/>
      <c r="M726" s="377"/>
      <c r="N726" s="229"/>
      <c r="O726" s="229"/>
      <c r="P726" s="323"/>
      <c r="Q726" s="329"/>
      <c r="R726" s="330"/>
      <c r="S726" s="330"/>
      <c r="T726" s="330"/>
      <c r="U726" s="330"/>
      <c r="V726" s="330"/>
      <c r="W726" s="323"/>
      <c r="X726" s="323"/>
    </row>
    <row r="727" spans="1:24" ht="13.5" customHeight="1">
      <c r="A727" s="323"/>
      <c r="B727" s="323"/>
      <c r="C727" s="229"/>
      <c r="D727" s="324"/>
      <c r="E727" s="325"/>
      <c r="F727" s="326"/>
      <c r="G727" s="326"/>
      <c r="H727" s="326"/>
      <c r="I727" s="327"/>
      <c r="J727" s="385"/>
      <c r="K727" s="328"/>
      <c r="L727" s="328"/>
      <c r="M727" s="377"/>
      <c r="N727" s="229"/>
      <c r="O727" s="229"/>
      <c r="P727" s="323"/>
      <c r="Q727" s="329"/>
      <c r="R727" s="330"/>
      <c r="S727" s="330"/>
      <c r="T727" s="330"/>
      <c r="U727" s="330"/>
      <c r="V727" s="330"/>
      <c r="W727" s="323"/>
      <c r="X727" s="323"/>
    </row>
    <row r="728" spans="1:24" ht="13.5" customHeight="1">
      <c r="A728" s="323"/>
      <c r="B728" s="323"/>
      <c r="C728" s="229"/>
      <c r="D728" s="324"/>
      <c r="E728" s="325"/>
      <c r="F728" s="326"/>
      <c r="G728" s="326"/>
      <c r="H728" s="326"/>
      <c r="I728" s="327"/>
      <c r="J728" s="385"/>
      <c r="K728" s="328"/>
      <c r="L728" s="328"/>
      <c r="M728" s="377"/>
      <c r="N728" s="229"/>
      <c r="O728" s="229"/>
      <c r="P728" s="323"/>
      <c r="Q728" s="329"/>
      <c r="R728" s="330"/>
      <c r="S728" s="330"/>
      <c r="T728" s="330"/>
      <c r="U728" s="330"/>
      <c r="V728" s="330"/>
      <c r="W728" s="323"/>
      <c r="X728" s="323"/>
    </row>
    <row r="729" spans="1:24" ht="13.5" customHeight="1">
      <c r="A729" s="323"/>
      <c r="B729" s="323"/>
      <c r="C729" s="229"/>
      <c r="D729" s="324"/>
      <c r="E729" s="325"/>
      <c r="F729" s="326"/>
      <c r="G729" s="326"/>
      <c r="H729" s="326"/>
      <c r="I729" s="327"/>
      <c r="J729" s="385"/>
      <c r="K729" s="328"/>
      <c r="L729" s="328"/>
      <c r="M729" s="377"/>
      <c r="N729" s="229"/>
      <c r="O729" s="229"/>
      <c r="P729" s="323"/>
      <c r="Q729" s="329"/>
      <c r="R729" s="330"/>
      <c r="S729" s="330"/>
      <c r="T729" s="330"/>
      <c r="U729" s="330"/>
      <c r="V729" s="330"/>
      <c r="W729" s="323"/>
      <c r="X729" s="323"/>
    </row>
    <row r="730" spans="1:24" ht="13.5" customHeight="1">
      <c r="A730" s="323"/>
      <c r="B730" s="323"/>
      <c r="C730" s="229"/>
      <c r="D730" s="324"/>
      <c r="E730" s="325"/>
      <c r="F730" s="326"/>
      <c r="G730" s="326"/>
      <c r="H730" s="326"/>
      <c r="I730" s="327"/>
      <c r="J730" s="385"/>
      <c r="K730" s="328"/>
      <c r="L730" s="328"/>
      <c r="M730" s="377"/>
      <c r="N730" s="229"/>
      <c r="O730" s="229"/>
      <c r="P730" s="323"/>
      <c r="Q730" s="329"/>
      <c r="R730" s="330"/>
      <c r="S730" s="330"/>
      <c r="T730" s="330"/>
      <c r="U730" s="330"/>
      <c r="V730" s="330"/>
      <c r="W730" s="323"/>
      <c r="X730" s="323"/>
    </row>
    <row r="731" spans="1:24" ht="13.5" customHeight="1">
      <c r="A731" s="323"/>
      <c r="B731" s="323"/>
      <c r="C731" s="229"/>
      <c r="D731" s="324"/>
      <c r="E731" s="325"/>
      <c r="F731" s="326"/>
      <c r="G731" s="326"/>
      <c r="H731" s="326"/>
      <c r="I731" s="327"/>
      <c r="J731" s="385"/>
      <c r="K731" s="328"/>
      <c r="L731" s="328"/>
      <c r="M731" s="377"/>
      <c r="N731" s="229"/>
      <c r="O731" s="229"/>
      <c r="P731" s="323"/>
      <c r="Q731" s="329"/>
      <c r="R731" s="330"/>
      <c r="S731" s="330"/>
      <c r="T731" s="330"/>
      <c r="U731" s="330"/>
      <c r="V731" s="330"/>
      <c r="W731" s="323"/>
      <c r="X731" s="323"/>
    </row>
    <row r="732" spans="1:24" ht="13.5" customHeight="1">
      <c r="A732" s="323"/>
      <c r="B732" s="323"/>
      <c r="C732" s="229"/>
      <c r="D732" s="324"/>
      <c r="E732" s="325"/>
      <c r="F732" s="326"/>
      <c r="G732" s="326"/>
      <c r="H732" s="326"/>
      <c r="I732" s="327"/>
      <c r="J732" s="385"/>
      <c r="K732" s="328"/>
      <c r="L732" s="328"/>
      <c r="M732" s="377"/>
      <c r="N732" s="229"/>
      <c r="O732" s="229"/>
      <c r="P732" s="323"/>
      <c r="Q732" s="329"/>
      <c r="R732" s="330"/>
      <c r="S732" s="330"/>
      <c r="T732" s="330"/>
      <c r="U732" s="330"/>
      <c r="V732" s="330"/>
      <c r="W732" s="323"/>
      <c r="X732" s="323"/>
    </row>
    <row r="733" spans="1:24" ht="13.5" customHeight="1">
      <c r="A733" s="323"/>
      <c r="B733" s="323"/>
      <c r="C733" s="229"/>
      <c r="D733" s="324"/>
      <c r="E733" s="325"/>
      <c r="F733" s="326"/>
      <c r="G733" s="326"/>
      <c r="H733" s="326"/>
      <c r="I733" s="327"/>
      <c r="J733" s="385"/>
      <c r="K733" s="328"/>
      <c r="L733" s="328"/>
      <c r="M733" s="377"/>
      <c r="N733" s="229"/>
      <c r="O733" s="229"/>
      <c r="P733" s="323"/>
      <c r="Q733" s="329"/>
      <c r="R733" s="330"/>
      <c r="S733" s="330"/>
      <c r="T733" s="330"/>
      <c r="U733" s="330"/>
      <c r="V733" s="330"/>
      <c r="W733" s="323"/>
      <c r="X733" s="323"/>
    </row>
    <row r="734" spans="1:24" ht="13.5" customHeight="1">
      <c r="A734" s="323"/>
      <c r="B734" s="323"/>
      <c r="C734" s="229"/>
      <c r="D734" s="324"/>
      <c r="E734" s="325"/>
      <c r="F734" s="326"/>
      <c r="G734" s="326"/>
      <c r="H734" s="326"/>
      <c r="I734" s="327"/>
      <c r="J734" s="385"/>
      <c r="K734" s="328"/>
      <c r="L734" s="328"/>
      <c r="M734" s="377"/>
      <c r="N734" s="229"/>
      <c r="O734" s="229"/>
      <c r="P734" s="323"/>
      <c r="Q734" s="329"/>
      <c r="R734" s="330"/>
      <c r="S734" s="330"/>
      <c r="T734" s="330"/>
      <c r="U734" s="330"/>
      <c r="V734" s="330"/>
      <c r="W734" s="323"/>
      <c r="X734" s="323"/>
    </row>
    <row r="735" spans="1:24" ht="13.5" customHeight="1">
      <c r="A735" s="323"/>
      <c r="B735" s="323"/>
      <c r="C735" s="229"/>
      <c r="D735" s="324"/>
      <c r="E735" s="325"/>
      <c r="F735" s="326"/>
      <c r="G735" s="326"/>
      <c r="H735" s="326"/>
      <c r="I735" s="327"/>
      <c r="J735" s="385"/>
      <c r="K735" s="328"/>
      <c r="L735" s="328"/>
      <c r="M735" s="377"/>
      <c r="N735" s="229"/>
      <c r="O735" s="229"/>
      <c r="P735" s="323"/>
      <c r="Q735" s="329"/>
      <c r="R735" s="330"/>
      <c r="S735" s="330"/>
      <c r="T735" s="330"/>
      <c r="U735" s="330"/>
      <c r="V735" s="330"/>
      <c r="W735" s="323"/>
      <c r="X735" s="323"/>
    </row>
    <row r="736" spans="1:24" ht="13.5" customHeight="1">
      <c r="A736" s="323"/>
      <c r="B736" s="323"/>
      <c r="C736" s="229"/>
      <c r="D736" s="324"/>
      <c r="E736" s="325"/>
      <c r="F736" s="326"/>
      <c r="G736" s="326"/>
      <c r="H736" s="326"/>
      <c r="I736" s="327"/>
      <c r="J736" s="385"/>
      <c r="K736" s="328"/>
      <c r="L736" s="328"/>
      <c r="M736" s="377"/>
      <c r="N736" s="229"/>
      <c r="O736" s="229"/>
      <c r="P736" s="323"/>
      <c r="Q736" s="329"/>
      <c r="R736" s="330"/>
      <c r="S736" s="330"/>
      <c r="T736" s="330"/>
      <c r="U736" s="330"/>
      <c r="V736" s="330"/>
      <c r="W736" s="323"/>
      <c r="X736" s="323"/>
    </row>
    <row r="737" spans="1:24" ht="13.5" customHeight="1">
      <c r="A737" s="323"/>
      <c r="B737" s="323"/>
      <c r="C737" s="229"/>
      <c r="D737" s="324"/>
      <c r="E737" s="325"/>
      <c r="F737" s="326"/>
      <c r="G737" s="326"/>
      <c r="H737" s="326"/>
      <c r="I737" s="327"/>
      <c r="J737" s="385"/>
      <c r="K737" s="328"/>
      <c r="L737" s="328"/>
      <c r="M737" s="377"/>
      <c r="N737" s="229"/>
      <c r="O737" s="229"/>
      <c r="P737" s="323"/>
      <c r="Q737" s="329"/>
      <c r="R737" s="330"/>
      <c r="S737" s="330"/>
      <c r="T737" s="330"/>
      <c r="U737" s="330"/>
      <c r="V737" s="330"/>
      <c r="W737" s="323"/>
      <c r="X737" s="323"/>
    </row>
    <row r="738" spans="1:24" ht="13.5" customHeight="1">
      <c r="A738" s="323"/>
      <c r="B738" s="323"/>
      <c r="C738" s="229"/>
      <c r="D738" s="324"/>
      <c r="E738" s="325"/>
      <c r="F738" s="326"/>
      <c r="G738" s="326"/>
      <c r="H738" s="326"/>
      <c r="I738" s="327"/>
      <c r="J738" s="385"/>
      <c r="K738" s="328"/>
      <c r="L738" s="328"/>
      <c r="M738" s="377"/>
      <c r="N738" s="229"/>
      <c r="O738" s="229"/>
      <c r="P738" s="323"/>
      <c r="Q738" s="329"/>
      <c r="R738" s="330"/>
      <c r="S738" s="330"/>
      <c r="T738" s="330"/>
      <c r="U738" s="330"/>
      <c r="V738" s="330"/>
      <c r="W738" s="323"/>
      <c r="X738" s="323"/>
    </row>
    <row r="739" spans="1:24" ht="13.5" customHeight="1">
      <c r="A739" s="323"/>
      <c r="B739" s="323"/>
      <c r="C739" s="229"/>
      <c r="D739" s="324"/>
      <c r="E739" s="325"/>
      <c r="F739" s="326"/>
      <c r="G739" s="326"/>
      <c r="H739" s="326"/>
      <c r="I739" s="327"/>
      <c r="J739" s="385"/>
      <c r="K739" s="328"/>
      <c r="L739" s="328"/>
      <c r="M739" s="377"/>
      <c r="N739" s="229"/>
      <c r="O739" s="229"/>
      <c r="P739" s="323"/>
      <c r="Q739" s="329"/>
      <c r="R739" s="330"/>
      <c r="S739" s="330"/>
      <c r="T739" s="330"/>
      <c r="U739" s="330"/>
      <c r="V739" s="330"/>
      <c r="W739" s="323"/>
      <c r="X739" s="323"/>
    </row>
    <row r="740" spans="1:24" ht="13.5" customHeight="1">
      <c r="A740" s="323"/>
      <c r="B740" s="323"/>
      <c r="C740" s="229"/>
      <c r="D740" s="324"/>
      <c r="E740" s="325"/>
      <c r="F740" s="326"/>
      <c r="G740" s="326"/>
      <c r="H740" s="326"/>
      <c r="I740" s="327"/>
      <c r="J740" s="385"/>
      <c r="K740" s="328"/>
      <c r="L740" s="328"/>
      <c r="M740" s="377"/>
      <c r="N740" s="229"/>
      <c r="O740" s="229"/>
      <c r="P740" s="323"/>
      <c r="Q740" s="329"/>
      <c r="R740" s="330"/>
      <c r="S740" s="330"/>
      <c r="T740" s="330"/>
      <c r="U740" s="330"/>
      <c r="V740" s="330"/>
      <c r="W740" s="323"/>
      <c r="X740" s="323"/>
    </row>
    <row r="741" spans="1:24" ht="13.5" customHeight="1">
      <c r="A741" s="323"/>
      <c r="B741" s="323"/>
      <c r="C741" s="229"/>
      <c r="D741" s="324"/>
      <c r="E741" s="325"/>
      <c r="F741" s="326"/>
      <c r="G741" s="326"/>
      <c r="H741" s="326"/>
      <c r="I741" s="327"/>
      <c r="J741" s="385"/>
      <c r="K741" s="328"/>
      <c r="L741" s="328"/>
      <c r="M741" s="377"/>
      <c r="N741" s="229"/>
      <c r="O741" s="229"/>
      <c r="P741" s="323"/>
      <c r="Q741" s="329"/>
      <c r="R741" s="330"/>
      <c r="S741" s="330"/>
      <c r="T741" s="330"/>
      <c r="U741" s="330"/>
      <c r="V741" s="330"/>
      <c r="W741" s="323"/>
      <c r="X741" s="323"/>
    </row>
    <row r="742" spans="1:24" ht="13.5" customHeight="1">
      <c r="A742" s="323"/>
      <c r="B742" s="323"/>
      <c r="C742" s="229"/>
      <c r="D742" s="324"/>
      <c r="E742" s="325"/>
      <c r="F742" s="326"/>
      <c r="G742" s="326"/>
      <c r="H742" s="326"/>
      <c r="I742" s="327"/>
      <c r="J742" s="385"/>
      <c r="K742" s="328"/>
      <c r="L742" s="328"/>
      <c r="M742" s="377"/>
      <c r="N742" s="229"/>
      <c r="O742" s="229"/>
      <c r="P742" s="323"/>
      <c r="Q742" s="329"/>
      <c r="R742" s="330"/>
      <c r="S742" s="330"/>
      <c r="T742" s="330"/>
      <c r="U742" s="330"/>
      <c r="V742" s="330"/>
      <c r="W742" s="323"/>
      <c r="X742" s="323"/>
    </row>
    <row r="743" spans="1:24" ht="13.5" customHeight="1">
      <c r="A743" s="323"/>
      <c r="B743" s="323"/>
      <c r="C743" s="229"/>
      <c r="D743" s="324"/>
      <c r="E743" s="325"/>
      <c r="F743" s="326"/>
      <c r="G743" s="326"/>
      <c r="H743" s="326"/>
      <c r="I743" s="327"/>
      <c r="J743" s="385"/>
      <c r="K743" s="328"/>
      <c r="L743" s="328"/>
      <c r="M743" s="377"/>
      <c r="N743" s="229"/>
      <c r="O743" s="229"/>
      <c r="P743" s="323"/>
      <c r="Q743" s="329"/>
      <c r="R743" s="330"/>
      <c r="S743" s="330"/>
      <c r="T743" s="330"/>
      <c r="U743" s="330"/>
      <c r="V743" s="330"/>
      <c r="W743" s="323"/>
      <c r="X743" s="323"/>
    </row>
    <row r="744" spans="1:24" ht="13.5" customHeight="1">
      <c r="A744" s="323"/>
      <c r="B744" s="323"/>
      <c r="C744" s="229"/>
      <c r="D744" s="324"/>
      <c r="E744" s="325"/>
      <c r="F744" s="326"/>
      <c r="G744" s="326"/>
      <c r="H744" s="326"/>
      <c r="I744" s="327"/>
      <c r="J744" s="385"/>
      <c r="K744" s="328"/>
      <c r="L744" s="328"/>
      <c r="M744" s="377"/>
      <c r="N744" s="229"/>
      <c r="O744" s="229"/>
      <c r="P744" s="323"/>
      <c r="Q744" s="329"/>
      <c r="R744" s="330"/>
      <c r="S744" s="330"/>
      <c r="T744" s="330"/>
      <c r="U744" s="330"/>
      <c r="V744" s="330"/>
      <c r="W744" s="323"/>
      <c r="X744" s="323"/>
    </row>
    <row r="745" spans="1:24" ht="13.5" customHeight="1">
      <c r="A745" s="323"/>
      <c r="B745" s="323"/>
      <c r="C745" s="229"/>
      <c r="D745" s="324"/>
      <c r="E745" s="325"/>
      <c r="F745" s="326"/>
      <c r="G745" s="326"/>
      <c r="H745" s="326"/>
      <c r="I745" s="327"/>
      <c r="J745" s="385"/>
      <c r="K745" s="328"/>
      <c r="L745" s="328"/>
      <c r="M745" s="377"/>
      <c r="N745" s="229"/>
      <c r="O745" s="229"/>
      <c r="P745" s="323"/>
      <c r="Q745" s="329"/>
      <c r="R745" s="330"/>
      <c r="S745" s="330"/>
      <c r="T745" s="330"/>
      <c r="U745" s="330"/>
      <c r="V745" s="330"/>
      <c r="W745" s="323"/>
      <c r="X745" s="323"/>
    </row>
    <row r="746" spans="1:24" ht="13.5" customHeight="1">
      <c r="A746" s="323"/>
      <c r="B746" s="323"/>
      <c r="C746" s="229"/>
      <c r="D746" s="324"/>
      <c r="E746" s="325"/>
      <c r="F746" s="326"/>
      <c r="G746" s="326"/>
      <c r="H746" s="326"/>
      <c r="I746" s="327"/>
      <c r="J746" s="385"/>
      <c r="K746" s="328"/>
      <c r="L746" s="328"/>
      <c r="M746" s="377"/>
      <c r="N746" s="229"/>
      <c r="O746" s="229"/>
      <c r="P746" s="323"/>
      <c r="Q746" s="329"/>
      <c r="R746" s="330"/>
      <c r="S746" s="330"/>
      <c r="T746" s="330"/>
      <c r="U746" s="330"/>
      <c r="V746" s="330"/>
      <c r="W746" s="323"/>
      <c r="X746" s="323"/>
    </row>
    <row r="747" spans="1:24" ht="13.5" customHeight="1">
      <c r="A747" s="323"/>
      <c r="B747" s="323"/>
      <c r="C747" s="229"/>
      <c r="D747" s="324"/>
      <c r="E747" s="325"/>
      <c r="F747" s="326"/>
      <c r="G747" s="326"/>
      <c r="H747" s="326"/>
      <c r="I747" s="327"/>
      <c r="J747" s="385"/>
      <c r="K747" s="328"/>
      <c r="L747" s="328"/>
      <c r="M747" s="377"/>
      <c r="N747" s="229"/>
      <c r="O747" s="229"/>
      <c r="P747" s="323"/>
      <c r="Q747" s="329"/>
      <c r="R747" s="330"/>
      <c r="S747" s="330"/>
      <c r="T747" s="330"/>
      <c r="U747" s="330"/>
      <c r="V747" s="330"/>
      <c r="W747" s="323"/>
      <c r="X747" s="323"/>
    </row>
    <row r="748" spans="1:24" ht="13.5" customHeight="1">
      <c r="A748" s="323"/>
      <c r="B748" s="323"/>
      <c r="C748" s="229"/>
      <c r="D748" s="324"/>
      <c r="E748" s="325"/>
      <c r="F748" s="326"/>
      <c r="G748" s="326"/>
      <c r="H748" s="326"/>
      <c r="I748" s="327"/>
      <c r="J748" s="385"/>
      <c r="K748" s="328"/>
      <c r="L748" s="328"/>
      <c r="M748" s="377"/>
      <c r="N748" s="229"/>
      <c r="O748" s="229"/>
      <c r="P748" s="323"/>
      <c r="Q748" s="329"/>
      <c r="R748" s="330"/>
      <c r="S748" s="330"/>
      <c r="T748" s="330"/>
      <c r="U748" s="330"/>
      <c r="V748" s="330"/>
      <c r="W748" s="323"/>
      <c r="X748" s="323"/>
    </row>
    <row r="749" spans="1:24" ht="13.5" customHeight="1">
      <c r="A749" s="323"/>
      <c r="B749" s="323"/>
      <c r="C749" s="229"/>
      <c r="D749" s="324"/>
      <c r="E749" s="325"/>
      <c r="F749" s="326"/>
      <c r="G749" s="326"/>
      <c r="H749" s="326"/>
      <c r="I749" s="327"/>
      <c r="J749" s="385"/>
      <c r="K749" s="328"/>
      <c r="L749" s="328"/>
      <c r="M749" s="377"/>
      <c r="N749" s="229"/>
      <c r="O749" s="229"/>
      <c r="P749" s="323"/>
      <c r="Q749" s="329"/>
      <c r="R749" s="330"/>
      <c r="S749" s="330"/>
      <c r="T749" s="330"/>
      <c r="U749" s="330"/>
      <c r="V749" s="330"/>
      <c r="W749" s="323"/>
      <c r="X749" s="323"/>
    </row>
    <row r="750" spans="1:24" ht="13.5" customHeight="1">
      <c r="A750" s="323"/>
      <c r="B750" s="323"/>
      <c r="C750" s="229"/>
      <c r="D750" s="324"/>
      <c r="E750" s="325"/>
      <c r="F750" s="326"/>
      <c r="G750" s="326"/>
      <c r="H750" s="326"/>
      <c r="I750" s="327"/>
      <c r="J750" s="385"/>
      <c r="K750" s="328"/>
      <c r="L750" s="328"/>
      <c r="M750" s="377"/>
      <c r="N750" s="229"/>
      <c r="O750" s="229"/>
      <c r="P750" s="323"/>
      <c r="Q750" s="329"/>
      <c r="R750" s="330"/>
      <c r="S750" s="330"/>
      <c r="T750" s="330"/>
      <c r="U750" s="330"/>
      <c r="V750" s="330"/>
      <c r="W750" s="323"/>
      <c r="X750" s="323"/>
    </row>
    <row r="751" spans="1:24" ht="13.5" customHeight="1">
      <c r="A751" s="323"/>
      <c r="B751" s="323"/>
      <c r="C751" s="229"/>
      <c r="D751" s="324"/>
      <c r="E751" s="325"/>
      <c r="F751" s="326"/>
      <c r="G751" s="326"/>
      <c r="H751" s="326"/>
      <c r="I751" s="327"/>
      <c r="J751" s="385"/>
      <c r="K751" s="328"/>
      <c r="L751" s="328"/>
      <c r="M751" s="377"/>
      <c r="N751" s="229"/>
      <c r="O751" s="229"/>
      <c r="P751" s="323"/>
      <c r="Q751" s="329"/>
      <c r="R751" s="330"/>
      <c r="S751" s="330"/>
      <c r="T751" s="330"/>
      <c r="U751" s="330"/>
      <c r="V751" s="330"/>
      <c r="W751" s="323"/>
      <c r="X751" s="323"/>
    </row>
    <row r="752" spans="1:24" ht="13.5" customHeight="1">
      <c r="A752" s="323"/>
      <c r="B752" s="323"/>
      <c r="C752" s="229"/>
      <c r="D752" s="324"/>
      <c r="E752" s="325"/>
      <c r="F752" s="326"/>
      <c r="G752" s="326"/>
      <c r="H752" s="326"/>
      <c r="I752" s="327"/>
      <c r="J752" s="385"/>
      <c r="K752" s="328"/>
      <c r="L752" s="328"/>
      <c r="M752" s="377"/>
      <c r="N752" s="229"/>
      <c r="O752" s="229"/>
      <c r="P752" s="323"/>
      <c r="Q752" s="329"/>
      <c r="R752" s="330"/>
      <c r="S752" s="330"/>
      <c r="T752" s="330"/>
      <c r="U752" s="330"/>
      <c r="V752" s="330"/>
      <c r="W752" s="323"/>
      <c r="X752" s="323"/>
    </row>
    <row r="753" spans="1:24" ht="13.5" customHeight="1">
      <c r="A753" s="323"/>
      <c r="B753" s="323"/>
      <c r="C753" s="229"/>
      <c r="D753" s="324"/>
      <c r="E753" s="325"/>
      <c r="F753" s="326"/>
      <c r="G753" s="326"/>
      <c r="H753" s="326"/>
      <c r="I753" s="327"/>
      <c r="J753" s="385"/>
      <c r="K753" s="328"/>
      <c r="L753" s="328"/>
      <c r="M753" s="377"/>
      <c r="N753" s="229"/>
      <c r="O753" s="229"/>
      <c r="P753" s="323"/>
      <c r="Q753" s="329"/>
      <c r="R753" s="330"/>
      <c r="S753" s="330"/>
      <c r="T753" s="330"/>
      <c r="U753" s="330"/>
      <c r="V753" s="330"/>
      <c r="W753" s="323"/>
      <c r="X753" s="323"/>
    </row>
    <row r="754" spans="1:24" ht="13.5" customHeight="1">
      <c r="A754" s="323"/>
      <c r="B754" s="323"/>
      <c r="C754" s="229"/>
      <c r="D754" s="324"/>
      <c r="E754" s="325"/>
      <c r="F754" s="326"/>
      <c r="G754" s="326"/>
      <c r="H754" s="326"/>
      <c r="I754" s="327"/>
      <c r="J754" s="385"/>
      <c r="K754" s="328"/>
      <c r="L754" s="328"/>
      <c r="M754" s="377"/>
      <c r="N754" s="229"/>
      <c r="O754" s="229"/>
      <c r="P754" s="323"/>
      <c r="Q754" s="329"/>
      <c r="R754" s="330"/>
      <c r="S754" s="330"/>
      <c r="T754" s="330"/>
      <c r="U754" s="330"/>
      <c r="V754" s="330"/>
      <c r="W754" s="323"/>
      <c r="X754" s="323"/>
    </row>
    <row r="755" spans="1:24" ht="13.5" customHeight="1">
      <c r="A755" s="323"/>
      <c r="B755" s="323"/>
      <c r="C755" s="229"/>
      <c r="D755" s="324"/>
      <c r="E755" s="325"/>
      <c r="F755" s="326"/>
      <c r="G755" s="326"/>
      <c r="H755" s="326"/>
      <c r="I755" s="327"/>
      <c r="J755" s="385"/>
      <c r="K755" s="328"/>
      <c r="L755" s="328"/>
      <c r="M755" s="377"/>
      <c r="N755" s="229"/>
      <c r="O755" s="229"/>
      <c r="P755" s="323"/>
      <c r="Q755" s="329"/>
      <c r="R755" s="330"/>
      <c r="S755" s="330"/>
      <c r="T755" s="330"/>
      <c r="U755" s="330"/>
      <c r="V755" s="330"/>
      <c r="W755" s="323"/>
      <c r="X755" s="323"/>
    </row>
    <row r="756" spans="1:24" ht="13.5" customHeight="1">
      <c r="A756" s="323"/>
      <c r="B756" s="323"/>
      <c r="C756" s="229"/>
      <c r="D756" s="324"/>
      <c r="E756" s="325"/>
      <c r="F756" s="326"/>
      <c r="G756" s="326"/>
      <c r="H756" s="326"/>
      <c r="I756" s="327"/>
      <c r="J756" s="385"/>
      <c r="K756" s="328"/>
      <c r="L756" s="328"/>
      <c r="M756" s="377"/>
      <c r="N756" s="229"/>
      <c r="O756" s="229"/>
      <c r="P756" s="323"/>
      <c r="Q756" s="329"/>
      <c r="R756" s="330"/>
      <c r="S756" s="330"/>
      <c r="T756" s="330"/>
      <c r="U756" s="330"/>
      <c r="V756" s="330"/>
      <c r="W756" s="323"/>
      <c r="X756" s="323"/>
    </row>
    <row r="757" spans="1:24" ht="13.5" customHeight="1">
      <c r="A757" s="323"/>
      <c r="B757" s="323"/>
      <c r="C757" s="229"/>
      <c r="D757" s="324"/>
      <c r="E757" s="325"/>
      <c r="F757" s="326"/>
      <c r="G757" s="326"/>
      <c r="H757" s="326"/>
      <c r="I757" s="327"/>
      <c r="J757" s="385"/>
      <c r="K757" s="328"/>
      <c r="L757" s="328"/>
      <c r="M757" s="377"/>
      <c r="N757" s="229"/>
      <c r="O757" s="229"/>
      <c r="P757" s="323"/>
      <c r="Q757" s="329"/>
      <c r="R757" s="330"/>
      <c r="S757" s="330"/>
      <c r="T757" s="330"/>
      <c r="U757" s="330"/>
      <c r="V757" s="330"/>
      <c r="W757" s="323"/>
      <c r="X757" s="323"/>
    </row>
    <row r="758" spans="1:24" ht="13.5" customHeight="1">
      <c r="A758" s="323"/>
      <c r="B758" s="323"/>
      <c r="C758" s="229"/>
      <c r="D758" s="324"/>
      <c r="E758" s="325"/>
      <c r="F758" s="326"/>
      <c r="G758" s="326"/>
      <c r="H758" s="326"/>
      <c r="I758" s="327"/>
      <c r="J758" s="385"/>
      <c r="K758" s="328"/>
      <c r="L758" s="328"/>
      <c r="M758" s="377"/>
      <c r="N758" s="229"/>
      <c r="O758" s="229"/>
      <c r="P758" s="323"/>
      <c r="Q758" s="329"/>
      <c r="R758" s="330"/>
      <c r="S758" s="330"/>
      <c r="T758" s="330"/>
      <c r="U758" s="330"/>
      <c r="V758" s="330"/>
      <c r="W758" s="323"/>
      <c r="X758" s="323"/>
    </row>
    <row r="759" spans="1:24" ht="13.5" customHeight="1">
      <c r="A759" s="323"/>
      <c r="B759" s="323"/>
      <c r="C759" s="229"/>
      <c r="D759" s="324"/>
      <c r="E759" s="325"/>
      <c r="F759" s="326"/>
      <c r="G759" s="326"/>
      <c r="H759" s="326"/>
      <c r="I759" s="327"/>
      <c r="J759" s="385"/>
      <c r="K759" s="328"/>
      <c r="L759" s="328"/>
      <c r="M759" s="377"/>
      <c r="N759" s="229"/>
      <c r="O759" s="229"/>
      <c r="P759" s="323"/>
      <c r="Q759" s="329"/>
      <c r="R759" s="330"/>
      <c r="S759" s="330"/>
      <c r="T759" s="330"/>
      <c r="U759" s="330"/>
      <c r="V759" s="330"/>
      <c r="W759" s="323"/>
      <c r="X759" s="323"/>
    </row>
    <row r="760" spans="1:24" ht="13.5" customHeight="1">
      <c r="A760" s="323"/>
      <c r="B760" s="323"/>
      <c r="C760" s="229"/>
      <c r="D760" s="324"/>
      <c r="E760" s="325"/>
      <c r="F760" s="326"/>
      <c r="G760" s="326"/>
      <c r="H760" s="326"/>
      <c r="I760" s="327"/>
      <c r="J760" s="385"/>
      <c r="K760" s="328"/>
      <c r="L760" s="328"/>
      <c r="M760" s="377"/>
      <c r="N760" s="229"/>
      <c r="O760" s="229"/>
      <c r="P760" s="323"/>
      <c r="Q760" s="329"/>
      <c r="R760" s="330"/>
      <c r="S760" s="330"/>
      <c r="T760" s="330"/>
      <c r="U760" s="330"/>
      <c r="V760" s="330"/>
      <c r="W760" s="323"/>
      <c r="X760" s="323"/>
    </row>
    <row r="761" spans="1:24" ht="13.5" customHeight="1">
      <c r="A761" s="323"/>
      <c r="B761" s="323"/>
      <c r="C761" s="229"/>
      <c r="D761" s="324"/>
      <c r="E761" s="325"/>
      <c r="F761" s="326"/>
      <c r="G761" s="326"/>
      <c r="H761" s="326"/>
      <c r="I761" s="327"/>
      <c r="J761" s="385"/>
      <c r="K761" s="328"/>
      <c r="L761" s="328"/>
      <c r="M761" s="377"/>
      <c r="N761" s="229"/>
      <c r="O761" s="229"/>
      <c r="P761" s="323"/>
      <c r="Q761" s="329"/>
      <c r="R761" s="330"/>
      <c r="S761" s="330"/>
      <c r="T761" s="330"/>
      <c r="U761" s="330"/>
      <c r="V761" s="330"/>
      <c r="W761" s="323"/>
      <c r="X761" s="323"/>
    </row>
    <row r="762" spans="1:24" ht="13.5" customHeight="1">
      <c r="A762" s="323"/>
      <c r="B762" s="323"/>
      <c r="C762" s="229"/>
      <c r="D762" s="324"/>
      <c r="E762" s="325"/>
      <c r="F762" s="326"/>
      <c r="G762" s="326"/>
      <c r="H762" s="326"/>
      <c r="I762" s="327"/>
      <c r="J762" s="385"/>
      <c r="K762" s="328"/>
      <c r="L762" s="328"/>
      <c r="M762" s="377"/>
      <c r="N762" s="229"/>
      <c r="O762" s="229"/>
      <c r="P762" s="323"/>
      <c r="Q762" s="329"/>
      <c r="R762" s="330"/>
      <c r="S762" s="330"/>
      <c r="T762" s="330"/>
      <c r="U762" s="330"/>
      <c r="V762" s="330"/>
      <c r="W762" s="323"/>
      <c r="X762" s="323"/>
    </row>
    <row r="763" spans="1:24" ht="13.5" customHeight="1">
      <c r="A763" s="323"/>
      <c r="B763" s="323"/>
      <c r="C763" s="229"/>
      <c r="D763" s="324"/>
      <c r="E763" s="325"/>
      <c r="F763" s="326"/>
      <c r="G763" s="326"/>
      <c r="H763" s="326"/>
      <c r="I763" s="327"/>
      <c r="J763" s="385"/>
      <c r="K763" s="328"/>
      <c r="L763" s="328"/>
      <c r="M763" s="377"/>
      <c r="N763" s="229"/>
      <c r="O763" s="229"/>
      <c r="P763" s="323"/>
      <c r="Q763" s="329"/>
      <c r="R763" s="330"/>
      <c r="S763" s="330"/>
      <c r="T763" s="330"/>
      <c r="U763" s="330"/>
      <c r="V763" s="330"/>
      <c r="W763" s="323"/>
      <c r="X763" s="323"/>
    </row>
    <row r="764" spans="1:24" ht="13.5" customHeight="1">
      <c r="A764" s="323"/>
      <c r="B764" s="323"/>
      <c r="C764" s="229"/>
      <c r="D764" s="324"/>
      <c r="E764" s="325"/>
      <c r="F764" s="326"/>
      <c r="G764" s="326"/>
      <c r="H764" s="326"/>
      <c r="I764" s="327"/>
      <c r="J764" s="385"/>
      <c r="K764" s="328"/>
      <c r="L764" s="328"/>
      <c r="M764" s="377"/>
      <c r="N764" s="229"/>
      <c r="O764" s="229"/>
      <c r="P764" s="323"/>
      <c r="Q764" s="329"/>
      <c r="R764" s="330"/>
      <c r="S764" s="330"/>
      <c r="T764" s="330"/>
      <c r="U764" s="330"/>
      <c r="V764" s="330"/>
      <c r="W764" s="323"/>
      <c r="X764" s="323"/>
    </row>
    <row r="765" spans="1:24" ht="13.5" customHeight="1">
      <c r="A765" s="323"/>
      <c r="B765" s="323"/>
      <c r="C765" s="229"/>
      <c r="D765" s="324"/>
      <c r="E765" s="325"/>
      <c r="F765" s="326"/>
      <c r="G765" s="326"/>
      <c r="H765" s="326"/>
      <c r="I765" s="327"/>
      <c r="J765" s="385"/>
      <c r="K765" s="328"/>
      <c r="L765" s="328"/>
      <c r="M765" s="377"/>
      <c r="N765" s="229"/>
      <c r="O765" s="229"/>
      <c r="P765" s="323"/>
      <c r="Q765" s="329"/>
      <c r="R765" s="330"/>
      <c r="S765" s="330"/>
      <c r="T765" s="330"/>
      <c r="U765" s="330"/>
      <c r="V765" s="330"/>
      <c r="W765" s="323"/>
      <c r="X765" s="323"/>
    </row>
    <row r="766" spans="1:24" ht="13.5" customHeight="1">
      <c r="A766" s="323"/>
      <c r="B766" s="323"/>
      <c r="C766" s="229"/>
      <c r="D766" s="324"/>
      <c r="E766" s="325"/>
      <c r="F766" s="326"/>
      <c r="G766" s="326"/>
      <c r="H766" s="326"/>
      <c r="I766" s="327"/>
      <c r="J766" s="385"/>
      <c r="K766" s="328"/>
      <c r="L766" s="328"/>
      <c r="M766" s="377"/>
      <c r="N766" s="229"/>
      <c r="O766" s="229"/>
      <c r="P766" s="323"/>
      <c r="Q766" s="329"/>
      <c r="R766" s="330"/>
      <c r="S766" s="330"/>
      <c r="T766" s="330"/>
      <c r="U766" s="330"/>
      <c r="V766" s="330"/>
      <c r="W766" s="323"/>
      <c r="X766" s="323"/>
    </row>
    <row r="767" spans="1:24" ht="13.5" customHeight="1">
      <c r="A767" s="323"/>
      <c r="B767" s="323"/>
      <c r="C767" s="229"/>
      <c r="D767" s="324"/>
      <c r="E767" s="325"/>
      <c r="F767" s="326"/>
      <c r="G767" s="326"/>
      <c r="H767" s="326"/>
      <c r="I767" s="327"/>
      <c r="J767" s="385"/>
      <c r="K767" s="328"/>
      <c r="L767" s="328"/>
      <c r="M767" s="377"/>
      <c r="N767" s="229"/>
      <c r="O767" s="229"/>
      <c r="P767" s="323"/>
      <c r="Q767" s="329"/>
      <c r="R767" s="330"/>
      <c r="S767" s="330"/>
      <c r="T767" s="330"/>
      <c r="U767" s="330"/>
      <c r="V767" s="330"/>
      <c r="W767" s="323"/>
      <c r="X767" s="323"/>
    </row>
    <row r="768" spans="1:24" ht="13.5" customHeight="1">
      <c r="A768" s="323"/>
      <c r="B768" s="323"/>
      <c r="C768" s="229"/>
      <c r="D768" s="324"/>
      <c r="E768" s="325"/>
      <c r="F768" s="326"/>
      <c r="G768" s="326"/>
      <c r="H768" s="326"/>
      <c r="I768" s="327"/>
      <c r="J768" s="385"/>
      <c r="K768" s="328"/>
      <c r="L768" s="328"/>
      <c r="M768" s="377"/>
      <c r="N768" s="229"/>
      <c r="O768" s="229"/>
      <c r="P768" s="323"/>
      <c r="Q768" s="329"/>
      <c r="R768" s="330"/>
      <c r="S768" s="330"/>
      <c r="T768" s="330"/>
      <c r="U768" s="330"/>
      <c r="V768" s="330"/>
      <c r="W768" s="323"/>
      <c r="X768" s="323"/>
    </row>
    <row r="769" spans="1:24" ht="13.5" customHeight="1">
      <c r="A769" s="323"/>
      <c r="B769" s="323"/>
      <c r="C769" s="229"/>
      <c r="D769" s="324"/>
      <c r="E769" s="325"/>
      <c r="F769" s="326"/>
      <c r="G769" s="326"/>
      <c r="H769" s="326"/>
      <c r="I769" s="327"/>
      <c r="J769" s="385"/>
      <c r="K769" s="328"/>
      <c r="L769" s="328"/>
      <c r="M769" s="377"/>
      <c r="N769" s="229"/>
      <c r="O769" s="229"/>
      <c r="P769" s="323"/>
      <c r="Q769" s="329"/>
      <c r="R769" s="330"/>
      <c r="S769" s="330"/>
      <c r="T769" s="330"/>
      <c r="U769" s="330"/>
      <c r="V769" s="330"/>
      <c r="W769" s="323"/>
      <c r="X769" s="323"/>
    </row>
    <row r="770" spans="1:24" ht="13.5" customHeight="1">
      <c r="A770" s="323"/>
      <c r="B770" s="323"/>
      <c r="C770" s="229"/>
      <c r="D770" s="324"/>
      <c r="E770" s="325"/>
      <c r="F770" s="326"/>
      <c r="G770" s="326"/>
      <c r="H770" s="326"/>
      <c r="I770" s="327"/>
      <c r="J770" s="385"/>
      <c r="K770" s="328"/>
      <c r="L770" s="328"/>
      <c r="M770" s="377"/>
      <c r="N770" s="229"/>
      <c r="O770" s="229"/>
      <c r="P770" s="323"/>
      <c r="Q770" s="329"/>
      <c r="R770" s="330"/>
      <c r="S770" s="330"/>
      <c r="T770" s="330"/>
      <c r="U770" s="330"/>
      <c r="V770" s="330"/>
      <c r="W770" s="323"/>
      <c r="X770" s="323"/>
    </row>
    <row r="771" spans="1:24" ht="13.5" customHeight="1">
      <c r="A771" s="323"/>
      <c r="B771" s="323"/>
      <c r="C771" s="229"/>
      <c r="D771" s="324"/>
      <c r="E771" s="325"/>
      <c r="F771" s="326"/>
      <c r="G771" s="326"/>
      <c r="H771" s="326"/>
      <c r="I771" s="327"/>
      <c r="J771" s="385"/>
      <c r="K771" s="328"/>
      <c r="L771" s="328"/>
      <c r="M771" s="377"/>
      <c r="N771" s="229"/>
      <c r="O771" s="229"/>
      <c r="P771" s="323"/>
      <c r="Q771" s="329"/>
      <c r="R771" s="330"/>
      <c r="S771" s="330"/>
      <c r="T771" s="330"/>
      <c r="U771" s="330"/>
      <c r="V771" s="330"/>
      <c r="W771" s="323"/>
      <c r="X771" s="323"/>
    </row>
    <row r="772" spans="1:24" ht="13.5" customHeight="1">
      <c r="A772" s="323"/>
      <c r="B772" s="323"/>
      <c r="C772" s="229"/>
      <c r="D772" s="324"/>
      <c r="E772" s="325"/>
      <c r="F772" s="326"/>
      <c r="G772" s="326"/>
      <c r="H772" s="326"/>
      <c r="I772" s="327"/>
      <c r="J772" s="385"/>
      <c r="K772" s="328"/>
      <c r="L772" s="328"/>
      <c r="M772" s="377"/>
      <c r="N772" s="229"/>
      <c r="O772" s="229"/>
      <c r="P772" s="323"/>
      <c r="Q772" s="329"/>
      <c r="R772" s="330"/>
      <c r="S772" s="330"/>
      <c r="T772" s="330"/>
      <c r="U772" s="330"/>
      <c r="V772" s="330"/>
      <c r="W772" s="323"/>
      <c r="X772" s="323"/>
    </row>
    <row r="773" spans="1:24" ht="13.5" customHeight="1">
      <c r="A773" s="323"/>
      <c r="B773" s="323"/>
      <c r="C773" s="229"/>
      <c r="D773" s="324"/>
      <c r="E773" s="325"/>
      <c r="F773" s="326"/>
      <c r="G773" s="326"/>
      <c r="H773" s="326"/>
      <c r="I773" s="327"/>
      <c r="J773" s="385"/>
      <c r="K773" s="328"/>
      <c r="L773" s="328"/>
      <c r="M773" s="377"/>
      <c r="N773" s="229"/>
      <c r="O773" s="229"/>
      <c r="P773" s="323"/>
      <c r="Q773" s="329"/>
      <c r="R773" s="330"/>
      <c r="S773" s="330"/>
      <c r="T773" s="330"/>
      <c r="U773" s="330"/>
      <c r="V773" s="330"/>
      <c r="W773" s="323"/>
      <c r="X773" s="323"/>
    </row>
    <row r="774" spans="1:24" ht="13.5" customHeight="1">
      <c r="A774" s="323"/>
      <c r="B774" s="323"/>
      <c r="C774" s="229"/>
      <c r="D774" s="324"/>
      <c r="E774" s="325"/>
      <c r="F774" s="326"/>
      <c r="G774" s="326"/>
      <c r="H774" s="326"/>
      <c r="I774" s="327"/>
      <c r="J774" s="385"/>
      <c r="K774" s="328"/>
      <c r="L774" s="328"/>
      <c r="M774" s="377"/>
      <c r="N774" s="229"/>
      <c r="O774" s="229"/>
      <c r="P774" s="323"/>
      <c r="Q774" s="329"/>
      <c r="R774" s="330"/>
      <c r="S774" s="330"/>
      <c r="T774" s="330"/>
      <c r="U774" s="330"/>
      <c r="V774" s="330"/>
      <c r="W774" s="323"/>
      <c r="X774" s="323"/>
    </row>
    <row r="775" spans="1:24" ht="13.5" customHeight="1">
      <c r="A775" s="323"/>
      <c r="B775" s="323"/>
      <c r="C775" s="229"/>
      <c r="D775" s="324"/>
      <c r="E775" s="325"/>
      <c r="F775" s="326"/>
      <c r="G775" s="326"/>
      <c r="H775" s="326"/>
      <c r="I775" s="327"/>
      <c r="J775" s="385"/>
      <c r="K775" s="328"/>
      <c r="L775" s="328"/>
      <c r="M775" s="377"/>
      <c r="N775" s="229"/>
      <c r="O775" s="229"/>
      <c r="P775" s="323"/>
      <c r="Q775" s="329"/>
      <c r="R775" s="330"/>
      <c r="S775" s="330"/>
      <c r="T775" s="330"/>
      <c r="U775" s="330"/>
      <c r="V775" s="330"/>
      <c r="W775" s="323"/>
      <c r="X775" s="323"/>
    </row>
    <row r="776" spans="1:24" ht="13.5" customHeight="1">
      <c r="A776" s="323"/>
      <c r="B776" s="323"/>
      <c r="C776" s="229"/>
      <c r="D776" s="324"/>
      <c r="E776" s="325"/>
      <c r="F776" s="326"/>
      <c r="G776" s="326"/>
      <c r="H776" s="326"/>
      <c r="I776" s="327"/>
      <c r="J776" s="385"/>
      <c r="K776" s="328"/>
      <c r="L776" s="328"/>
      <c r="M776" s="377"/>
      <c r="N776" s="229"/>
      <c r="O776" s="229"/>
      <c r="P776" s="323"/>
      <c r="Q776" s="329"/>
      <c r="R776" s="330"/>
      <c r="S776" s="330"/>
      <c r="T776" s="330"/>
      <c r="U776" s="330"/>
      <c r="V776" s="330"/>
      <c r="W776" s="323"/>
      <c r="X776" s="323"/>
    </row>
    <row r="777" spans="1:24" ht="13.5" customHeight="1">
      <c r="A777" s="323"/>
      <c r="B777" s="323"/>
      <c r="C777" s="229"/>
      <c r="D777" s="324"/>
      <c r="E777" s="325"/>
      <c r="F777" s="326"/>
      <c r="G777" s="326"/>
      <c r="H777" s="326"/>
      <c r="I777" s="327"/>
      <c r="J777" s="385"/>
      <c r="K777" s="328"/>
      <c r="L777" s="328"/>
      <c r="M777" s="377"/>
      <c r="N777" s="229"/>
      <c r="O777" s="229"/>
      <c r="P777" s="323"/>
      <c r="Q777" s="329"/>
      <c r="R777" s="330"/>
      <c r="S777" s="330"/>
      <c r="T777" s="330"/>
      <c r="U777" s="330"/>
      <c r="V777" s="330"/>
      <c r="W777" s="323"/>
      <c r="X777" s="323"/>
    </row>
    <row r="778" spans="1:24" ht="13.5" customHeight="1">
      <c r="A778" s="323"/>
      <c r="B778" s="323"/>
      <c r="C778" s="229"/>
      <c r="D778" s="324"/>
      <c r="E778" s="325"/>
      <c r="F778" s="326"/>
      <c r="G778" s="326"/>
      <c r="H778" s="326"/>
      <c r="I778" s="327"/>
      <c r="J778" s="385"/>
      <c r="K778" s="328"/>
      <c r="L778" s="328"/>
      <c r="M778" s="377"/>
      <c r="N778" s="229"/>
      <c r="O778" s="229"/>
      <c r="P778" s="323"/>
      <c r="Q778" s="329"/>
      <c r="R778" s="330"/>
      <c r="S778" s="330"/>
      <c r="T778" s="330"/>
      <c r="U778" s="330"/>
      <c r="V778" s="330"/>
      <c r="W778" s="323"/>
      <c r="X778" s="323"/>
    </row>
    <row r="779" spans="1:24" ht="13.5" customHeight="1">
      <c r="A779" s="323"/>
      <c r="B779" s="323"/>
      <c r="C779" s="229"/>
      <c r="D779" s="324"/>
      <c r="E779" s="325"/>
      <c r="F779" s="326"/>
      <c r="G779" s="326"/>
      <c r="H779" s="326"/>
      <c r="I779" s="327"/>
      <c r="J779" s="385"/>
      <c r="K779" s="328"/>
      <c r="L779" s="328"/>
      <c r="M779" s="377"/>
      <c r="N779" s="229"/>
      <c r="O779" s="229"/>
      <c r="P779" s="323"/>
      <c r="Q779" s="329"/>
      <c r="R779" s="330"/>
      <c r="S779" s="330"/>
      <c r="T779" s="330"/>
      <c r="U779" s="330"/>
      <c r="V779" s="330"/>
      <c r="W779" s="323"/>
      <c r="X779" s="323"/>
    </row>
    <row r="780" spans="1:24" ht="13.5" customHeight="1">
      <c r="A780" s="323"/>
      <c r="B780" s="323"/>
      <c r="C780" s="229"/>
      <c r="D780" s="324"/>
      <c r="E780" s="325"/>
      <c r="F780" s="326"/>
      <c r="G780" s="326"/>
      <c r="H780" s="326"/>
      <c r="I780" s="327"/>
      <c r="J780" s="385"/>
      <c r="K780" s="328"/>
      <c r="L780" s="328"/>
      <c r="M780" s="377"/>
      <c r="N780" s="229"/>
      <c r="O780" s="229"/>
      <c r="P780" s="323"/>
      <c r="Q780" s="329"/>
      <c r="R780" s="330"/>
      <c r="S780" s="330"/>
      <c r="T780" s="330"/>
      <c r="U780" s="330"/>
      <c r="V780" s="330"/>
      <c r="W780" s="323"/>
      <c r="X780" s="323"/>
    </row>
    <row r="781" spans="1:24" ht="13.5" customHeight="1">
      <c r="A781" s="323"/>
      <c r="B781" s="323"/>
      <c r="C781" s="229"/>
      <c r="D781" s="324"/>
      <c r="E781" s="325"/>
      <c r="F781" s="326"/>
      <c r="G781" s="326"/>
      <c r="H781" s="326"/>
      <c r="I781" s="327"/>
      <c r="J781" s="385"/>
      <c r="K781" s="328"/>
      <c r="L781" s="328"/>
      <c r="M781" s="377"/>
      <c r="N781" s="229"/>
      <c r="O781" s="229"/>
      <c r="P781" s="323"/>
      <c r="Q781" s="329"/>
      <c r="R781" s="330"/>
      <c r="S781" s="330"/>
      <c r="T781" s="330"/>
      <c r="U781" s="330"/>
      <c r="V781" s="330"/>
      <c r="W781" s="323"/>
      <c r="X781" s="323"/>
    </row>
    <row r="782" spans="1:24" ht="13.5" customHeight="1">
      <c r="A782" s="323"/>
      <c r="B782" s="323"/>
      <c r="C782" s="229"/>
      <c r="D782" s="324"/>
      <c r="E782" s="325"/>
      <c r="F782" s="326"/>
      <c r="G782" s="326"/>
      <c r="H782" s="326"/>
      <c r="I782" s="327"/>
      <c r="J782" s="385"/>
      <c r="K782" s="328"/>
      <c r="L782" s="328"/>
      <c r="M782" s="377"/>
      <c r="N782" s="229"/>
      <c r="O782" s="229"/>
      <c r="P782" s="323"/>
      <c r="Q782" s="329"/>
      <c r="R782" s="330"/>
      <c r="S782" s="330"/>
      <c r="T782" s="330"/>
      <c r="U782" s="330"/>
      <c r="V782" s="330"/>
      <c r="W782" s="323"/>
      <c r="X782" s="323"/>
    </row>
    <row r="783" spans="1:24" ht="13.5" customHeight="1">
      <c r="A783" s="323"/>
      <c r="B783" s="323"/>
      <c r="C783" s="229"/>
      <c r="D783" s="324"/>
      <c r="E783" s="325"/>
      <c r="F783" s="326"/>
      <c r="G783" s="326"/>
      <c r="H783" s="326"/>
      <c r="I783" s="327"/>
      <c r="J783" s="385"/>
      <c r="K783" s="328"/>
      <c r="L783" s="328"/>
      <c r="M783" s="377"/>
      <c r="N783" s="229"/>
      <c r="O783" s="229"/>
      <c r="P783" s="323"/>
      <c r="Q783" s="329"/>
      <c r="R783" s="330"/>
      <c r="S783" s="330"/>
      <c r="T783" s="330"/>
      <c r="U783" s="330"/>
      <c r="V783" s="330"/>
      <c r="W783" s="323"/>
      <c r="X783" s="323"/>
    </row>
    <row r="784" spans="1:24" ht="13.5" customHeight="1">
      <c r="A784" s="323"/>
      <c r="B784" s="323"/>
      <c r="C784" s="229"/>
      <c r="D784" s="324"/>
      <c r="E784" s="325"/>
      <c r="F784" s="326"/>
      <c r="G784" s="326"/>
      <c r="H784" s="326"/>
      <c r="I784" s="327"/>
      <c r="J784" s="385"/>
      <c r="K784" s="328"/>
      <c r="L784" s="328"/>
      <c r="M784" s="377"/>
      <c r="N784" s="229"/>
      <c r="O784" s="229"/>
      <c r="P784" s="323"/>
      <c r="Q784" s="329"/>
      <c r="R784" s="330"/>
      <c r="S784" s="330"/>
      <c r="T784" s="330"/>
      <c r="U784" s="330"/>
      <c r="V784" s="330"/>
      <c r="W784" s="323"/>
      <c r="X784" s="323"/>
    </row>
    <row r="785" spans="1:24" ht="13.5" customHeight="1">
      <c r="A785" s="323"/>
      <c r="B785" s="323"/>
      <c r="C785" s="229"/>
      <c r="D785" s="324"/>
      <c r="E785" s="325"/>
      <c r="F785" s="326"/>
      <c r="G785" s="326"/>
      <c r="H785" s="326"/>
      <c r="I785" s="327"/>
      <c r="J785" s="385"/>
      <c r="K785" s="328"/>
      <c r="L785" s="328"/>
      <c r="M785" s="377"/>
      <c r="N785" s="229"/>
      <c r="O785" s="229"/>
      <c r="P785" s="323"/>
      <c r="Q785" s="329"/>
      <c r="R785" s="330"/>
      <c r="S785" s="330"/>
      <c r="T785" s="330"/>
      <c r="U785" s="330"/>
      <c r="V785" s="330"/>
      <c r="W785" s="323"/>
      <c r="X785" s="323"/>
    </row>
    <row r="786" spans="1:24" ht="13.5" customHeight="1">
      <c r="A786" s="323"/>
      <c r="B786" s="323"/>
      <c r="C786" s="229"/>
      <c r="D786" s="324"/>
      <c r="E786" s="325"/>
      <c r="F786" s="326"/>
      <c r="G786" s="326"/>
      <c r="H786" s="326"/>
      <c r="I786" s="327"/>
      <c r="J786" s="385"/>
      <c r="K786" s="328"/>
      <c r="L786" s="328"/>
      <c r="M786" s="377"/>
      <c r="N786" s="229"/>
      <c r="O786" s="229"/>
      <c r="P786" s="323"/>
      <c r="Q786" s="329"/>
      <c r="R786" s="330"/>
      <c r="S786" s="330"/>
      <c r="T786" s="330"/>
      <c r="U786" s="330"/>
      <c r="V786" s="330"/>
      <c r="W786" s="323"/>
      <c r="X786" s="323"/>
    </row>
    <row r="787" spans="1:24" ht="13.5" customHeight="1">
      <c r="A787" s="323"/>
      <c r="B787" s="323"/>
      <c r="C787" s="229"/>
      <c r="D787" s="324"/>
      <c r="E787" s="325"/>
      <c r="F787" s="326"/>
      <c r="G787" s="326"/>
      <c r="H787" s="326"/>
      <c r="I787" s="327"/>
      <c r="J787" s="385"/>
      <c r="K787" s="328"/>
      <c r="L787" s="328"/>
      <c r="M787" s="377"/>
      <c r="N787" s="229"/>
      <c r="O787" s="229"/>
      <c r="P787" s="323"/>
      <c r="Q787" s="329"/>
      <c r="R787" s="330"/>
      <c r="S787" s="330"/>
      <c r="T787" s="330"/>
      <c r="U787" s="330"/>
      <c r="V787" s="330"/>
      <c r="W787" s="323"/>
      <c r="X787" s="323"/>
    </row>
    <row r="788" spans="1:24" ht="13.5" customHeight="1">
      <c r="A788" s="323"/>
      <c r="B788" s="323"/>
      <c r="C788" s="229"/>
      <c r="D788" s="324"/>
      <c r="E788" s="325"/>
      <c r="F788" s="326"/>
      <c r="G788" s="326"/>
      <c r="H788" s="326"/>
      <c r="I788" s="327"/>
      <c r="J788" s="385"/>
      <c r="K788" s="328"/>
      <c r="L788" s="328"/>
      <c r="M788" s="377"/>
      <c r="N788" s="229"/>
      <c r="O788" s="229"/>
      <c r="P788" s="323"/>
      <c r="Q788" s="329"/>
      <c r="R788" s="330"/>
      <c r="S788" s="330"/>
      <c r="T788" s="330"/>
      <c r="U788" s="330"/>
      <c r="V788" s="330"/>
      <c r="W788" s="323"/>
      <c r="X788" s="323"/>
    </row>
    <row r="789" spans="1:24" ht="13.5" customHeight="1">
      <c r="A789" s="323"/>
      <c r="B789" s="323"/>
      <c r="C789" s="229"/>
      <c r="D789" s="324"/>
      <c r="E789" s="325"/>
      <c r="F789" s="326"/>
      <c r="G789" s="326"/>
      <c r="H789" s="326"/>
      <c r="I789" s="327"/>
      <c r="J789" s="385"/>
      <c r="K789" s="328"/>
      <c r="L789" s="328"/>
      <c r="M789" s="377"/>
      <c r="N789" s="229"/>
      <c r="O789" s="229"/>
      <c r="P789" s="323"/>
      <c r="Q789" s="329"/>
      <c r="R789" s="330"/>
      <c r="S789" s="330"/>
      <c r="T789" s="330"/>
      <c r="U789" s="330"/>
      <c r="V789" s="330"/>
      <c r="W789" s="323"/>
      <c r="X789" s="323"/>
    </row>
    <row r="790" spans="1:24" ht="13.5" customHeight="1">
      <c r="A790" s="323"/>
      <c r="B790" s="323"/>
      <c r="C790" s="229"/>
      <c r="D790" s="324"/>
      <c r="E790" s="325"/>
      <c r="F790" s="326"/>
      <c r="G790" s="326"/>
      <c r="H790" s="326"/>
      <c r="I790" s="327"/>
      <c r="J790" s="385"/>
      <c r="K790" s="328"/>
      <c r="L790" s="328"/>
      <c r="M790" s="377"/>
      <c r="N790" s="229"/>
      <c r="O790" s="229"/>
      <c r="P790" s="323"/>
      <c r="Q790" s="329"/>
      <c r="R790" s="330"/>
      <c r="S790" s="330"/>
      <c r="T790" s="330"/>
      <c r="U790" s="330"/>
      <c r="V790" s="330"/>
      <c r="W790" s="323"/>
      <c r="X790" s="323"/>
    </row>
    <row r="791" spans="1:24" ht="13.5" customHeight="1">
      <c r="A791" s="323"/>
      <c r="B791" s="323"/>
      <c r="C791" s="229"/>
      <c r="D791" s="324"/>
      <c r="E791" s="325"/>
      <c r="F791" s="326"/>
      <c r="G791" s="326"/>
      <c r="H791" s="326"/>
      <c r="I791" s="327"/>
      <c r="J791" s="385"/>
      <c r="K791" s="328"/>
      <c r="L791" s="328"/>
      <c r="M791" s="377"/>
      <c r="N791" s="229"/>
      <c r="O791" s="229"/>
      <c r="P791" s="323"/>
      <c r="Q791" s="329"/>
      <c r="R791" s="330"/>
      <c r="S791" s="330"/>
      <c r="T791" s="330"/>
      <c r="U791" s="330"/>
      <c r="V791" s="330"/>
      <c r="W791" s="323"/>
      <c r="X791" s="323"/>
    </row>
    <row r="792" spans="1:24" ht="13.5" customHeight="1">
      <c r="A792" s="323"/>
      <c r="B792" s="323"/>
      <c r="C792" s="229"/>
      <c r="D792" s="324"/>
      <c r="E792" s="325"/>
      <c r="F792" s="326"/>
      <c r="G792" s="326"/>
      <c r="H792" s="326"/>
      <c r="I792" s="327"/>
      <c r="J792" s="385"/>
      <c r="K792" s="328"/>
      <c r="L792" s="328"/>
      <c r="M792" s="377"/>
      <c r="N792" s="229"/>
      <c r="O792" s="229"/>
      <c r="P792" s="323"/>
      <c r="Q792" s="329"/>
      <c r="R792" s="330"/>
      <c r="S792" s="330"/>
      <c r="T792" s="330"/>
      <c r="U792" s="330"/>
      <c r="V792" s="330"/>
      <c r="W792" s="323"/>
      <c r="X792" s="323"/>
    </row>
    <row r="793" spans="1:24" ht="13.5" customHeight="1">
      <c r="A793" s="323"/>
      <c r="B793" s="323"/>
      <c r="C793" s="229"/>
      <c r="D793" s="324"/>
      <c r="E793" s="325"/>
      <c r="F793" s="326"/>
      <c r="G793" s="326"/>
      <c r="H793" s="326"/>
      <c r="I793" s="327"/>
      <c r="J793" s="385"/>
      <c r="K793" s="328"/>
      <c r="L793" s="328"/>
      <c r="M793" s="377"/>
      <c r="N793" s="229"/>
      <c r="O793" s="229"/>
      <c r="P793" s="323"/>
      <c r="Q793" s="329"/>
      <c r="R793" s="330"/>
      <c r="S793" s="330"/>
      <c r="T793" s="330"/>
      <c r="U793" s="330"/>
      <c r="V793" s="330"/>
      <c r="W793" s="323"/>
      <c r="X793" s="323"/>
    </row>
    <row r="794" spans="1:24" ht="13.5" customHeight="1">
      <c r="A794" s="323"/>
      <c r="B794" s="323"/>
      <c r="C794" s="229"/>
      <c r="D794" s="324"/>
      <c r="E794" s="325"/>
      <c r="F794" s="326"/>
      <c r="G794" s="326"/>
      <c r="H794" s="326"/>
      <c r="I794" s="327"/>
      <c r="J794" s="385"/>
      <c r="K794" s="328"/>
      <c r="L794" s="328"/>
      <c r="M794" s="377"/>
      <c r="N794" s="229"/>
      <c r="O794" s="229"/>
      <c r="P794" s="323"/>
      <c r="Q794" s="329"/>
      <c r="R794" s="330"/>
      <c r="S794" s="330"/>
      <c r="T794" s="330"/>
      <c r="U794" s="330"/>
      <c r="V794" s="330"/>
      <c r="W794" s="323"/>
      <c r="X794" s="323"/>
    </row>
    <row r="795" spans="1:24" ht="13.5" customHeight="1">
      <c r="A795" s="323"/>
      <c r="B795" s="323"/>
      <c r="C795" s="229"/>
      <c r="D795" s="324"/>
      <c r="E795" s="325"/>
      <c r="F795" s="326"/>
      <c r="G795" s="326"/>
      <c r="H795" s="326"/>
      <c r="I795" s="327"/>
      <c r="J795" s="385"/>
      <c r="K795" s="328"/>
      <c r="L795" s="328"/>
      <c r="M795" s="377"/>
      <c r="N795" s="229"/>
      <c r="O795" s="229"/>
      <c r="P795" s="323"/>
      <c r="Q795" s="329"/>
      <c r="R795" s="330"/>
      <c r="S795" s="330"/>
      <c r="T795" s="330"/>
      <c r="U795" s="330"/>
      <c r="V795" s="330"/>
      <c r="W795" s="323"/>
      <c r="X795" s="323"/>
    </row>
    <row r="796" spans="1:24" ht="13.5" customHeight="1">
      <c r="A796" s="323"/>
      <c r="B796" s="323"/>
      <c r="C796" s="229"/>
      <c r="D796" s="324"/>
      <c r="E796" s="325"/>
      <c r="F796" s="326"/>
      <c r="G796" s="326"/>
      <c r="H796" s="326"/>
      <c r="I796" s="327"/>
      <c r="J796" s="385"/>
      <c r="K796" s="328"/>
      <c r="L796" s="328"/>
      <c r="M796" s="377"/>
      <c r="N796" s="229"/>
      <c r="O796" s="229"/>
      <c r="P796" s="323"/>
      <c r="Q796" s="329"/>
      <c r="R796" s="330"/>
      <c r="S796" s="330"/>
      <c r="T796" s="330"/>
      <c r="U796" s="330"/>
      <c r="V796" s="330"/>
      <c r="W796" s="323"/>
      <c r="X796" s="323"/>
    </row>
    <row r="797" spans="1:24" ht="13.5" customHeight="1">
      <c r="A797" s="323"/>
      <c r="B797" s="323"/>
      <c r="C797" s="229"/>
      <c r="D797" s="324"/>
      <c r="E797" s="325"/>
      <c r="F797" s="326"/>
      <c r="G797" s="326"/>
      <c r="H797" s="326"/>
      <c r="I797" s="327"/>
      <c r="J797" s="385"/>
      <c r="K797" s="328"/>
      <c r="L797" s="328"/>
      <c r="M797" s="377"/>
      <c r="N797" s="229"/>
      <c r="O797" s="229"/>
      <c r="P797" s="323"/>
      <c r="Q797" s="329"/>
      <c r="R797" s="330"/>
      <c r="S797" s="330"/>
      <c r="T797" s="330"/>
      <c r="U797" s="330"/>
      <c r="V797" s="330"/>
      <c r="W797" s="323"/>
      <c r="X797" s="323"/>
    </row>
    <row r="798" spans="1:24" ht="13.5" customHeight="1">
      <c r="A798" s="323"/>
      <c r="B798" s="323"/>
      <c r="C798" s="229"/>
      <c r="D798" s="324"/>
      <c r="E798" s="325"/>
      <c r="F798" s="326"/>
      <c r="G798" s="326"/>
      <c r="H798" s="326"/>
      <c r="I798" s="327"/>
      <c r="J798" s="385"/>
      <c r="K798" s="328"/>
      <c r="L798" s="328"/>
      <c r="M798" s="377"/>
      <c r="N798" s="229"/>
      <c r="O798" s="229"/>
      <c r="P798" s="323"/>
      <c r="Q798" s="329"/>
      <c r="R798" s="330"/>
      <c r="S798" s="330"/>
      <c r="T798" s="330"/>
      <c r="U798" s="330"/>
      <c r="V798" s="330"/>
      <c r="W798" s="323"/>
      <c r="X798" s="323"/>
    </row>
    <row r="799" spans="1:24" ht="13.5" customHeight="1">
      <c r="A799" s="323"/>
      <c r="B799" s="323"/>
      <c r="C799" s="229"/>
      <c r="D799" s="324"/>
      <c r="E799" s="325"/>
      <c r="F799" s="326"/>
      <c r="G799" s="326"/>
      <c r="H799" s="326"/>
      <c r="I799" s="327"/>
      <c r="J799" s="385"/>
      <c r="K799" s="328"/>
      <c r="L799" s="328"/>
      <c r="M799" s="377"/>
      <c r="N799" s="229"/>
      <c r="O799" s="229"/>
      <c r="P799" s="323"/>
      <c r="Q799" s="329"/>
      <c r="R799" s="330"/>
      <c r="S799" s="330"/>
      <c r="T799" s="330"/>
      <c r="U799" s="330"/>
      <c r="V799" s="330"/>
      <c r="W799" s="323"/>
      <c r="X799" s="323"/>
    </row>
    <row r="800" spans="1:24" ht="13.5" customHeight="1">
      <c r="A800" s="323"/>
      <c r="B800" s="323"/>
      <c r="C800" s="229"/>
      <c r="D800" s="324"/>
      <c r="E800" s="325"/>
      <c r="F800" s="326"/>
      <c r="G800" s="326"/>
      <c r="H800" s="326"/>
      <c r="I800" s="327"/>
      <c r="J800" s="385"/>
      <c r="K800" s="328"/>
      <c r="L800" s="328"/>
      <c r="M800" s="377"/>
      <c r="N800" s="229"/>
      <c r="O800" s="229"/>
      <c r="P800" s="323"/>
      <c r="Q800" s="329"/>
      <c r="R800" s="330"/>
      <c r="S800" s="330"/>
      <c r="T800" s="330"/>
      <c r="U800" s="330"/>
      <c r="V800" s="330"/>
      <c r="W800" s="323"/>
      <c r="X800" s="323"/>
    </row>
    <row r="801" spans="1:24" ht="13.5" customHeight="1">
      <c r="A801" s="323"/>
      <c r="B801" s="323"/>
      <c r="C801" s="229"/>
      <c r="D801" s="324"/>
      <c r="E801" s="325"/>
      <c r="F801" s="326"/>
      <c r="G801" s="326"/>
      <c r="H801" s="326"/>
      <c r="I801" s="327"/>
      <c r="J801" s="385"/>
      <c r="K801" s="328"/>
      <c r="L801" s="328"/>
      <c r="M801" s="377"/>
      <c r="N801" s="229"/>
      <c r="O801" s="229"/>
      <c r="P801" s="323"/>
      <c r="Q801" s="329"/>
      <c r="R801" s="330"/>
      <c r="S801" s="330"/>
      <c r="T801" s="330"/>
      <c r="U801" s="330"/>
      <c r="V801" s="330"/>
      <c r="W801" s="323"/>
      <c r="X801" s="323"/>
    </row>
    <row r="802" spans="1:24" ht="13.5" customHeight="1">
      <c r="A802" s="323"/>
      <c r="B802" s="323"/>
      <c r="C802" s="229"/>
      <c r="D802" s="324"/>
      <c r="E802" s="325"/>
      <c r="F802" s="326"/>
      <c r="G802" s="326"/>
      <c r="H802" s="326"/>
      <c r="I802" s="327"/>
      <c r="J802" s="385"/>
      <c r="K802" s="328"/>
      <c r="L802" s="328"/>
      <c r="M802" s="377"/>
      <c r="N802" s="229"/>
      <c r="O802" s="229"/>
      <c r="P802" s="323"/>
      <c r="Q802" s="329"/>
      <c r="R802" s="330"/>
      <c r="S802" s="330"/>
      <c r="T802" s="330"/>
      <c r="U802" s="330"/>
      <c r="V802" s="330"/>
      <c r="W802" s="323"/>
      <c r="X802" s="323"/>
    </row>
    <row r="803" spans="1:24" ht="13.5" customHeight="1">
      <c r="A803" s="323"/>
      <c r="B803" s="323"/>
      <c r="C803" s="229"/>
      <c r="D803" s="324"/>
      <c r="E803" s="325"/>
      <c r="F803" s="326"/>
      <c r="G803" s="326"/>
      <c r="H803" s="326"/>
      <c r="I803" s="327"/>
      <c r="J803" s="385"/>
      <c r="K803" s="328"/>
      <c r="L803" s="328"/>
      <c r="M803" s="377"/>
      <c r="N803" s="229"/>
      <c r="O803" s="229"/>
      <c r="P803" s="323"/>
      <c r="Q803" s="329"/>
      <c r="R803" s="330"/>
      <c r="S803" s="330"/>
      <c r="T803" s="330"/>
      <c r="U803" s="330"/>
      <c r="V803" s="330"/>
      <c r="W803" s="323"/>
      <c r="X803" s="323"/>
    </row>
    <row r="804" spans="1:24" ht="13.5" customHeight="1">
      <c r="A804" s="323"/>
      <c r="B804" s="323"/>
      <c r="C804" s="229"/>
      <c r="D804" s="324"/>
      <c r="E804" s="325"/>
      <c r="F804" s="326"/>
      <c r="G804" s="326"/>
      <c r="H804" s="326"/>
      <c r="I804" s="327"/>
      <c r="J804" s="385"/>
      <c r="K804" s="328"/>
      <c r="L804" s="328"/>
      <c r="M804" s="377"/>
      <c r="N804" s="229"/>
      <c r="O804" s="229"/>
      <c r="P804" s="323"/>
      <c r="Q804" s="329"/>
      <c r="R804" s="330"/>
      <c r="S804" s="330"/>
      <c r="T804" s="330"/>
      <c r="U804" s="330"/>
      <c r="V804" s="330"/>
      <c r="W804" s="323"/>
      <c r="X804" s="323"/>
    </row>
    <row r="805" spans="1:24" ht="13.5" customHeight="1">
      <c r="A805" s="323"/>
      <c r="B805" s="323"/>
      <c r="C805" s="229"/>
      <c r="D805" s="324"/>
      <c r="E805" s="325"/>
      <c r="F805" s="326"/>
      <c r="G805" s="326"/>
      <c r="H805" s="326"/>
      <c r="I805" s="327"/>
      <c r="J805" s="385"/>
      <c r="K805" s="328"/>
      <c r="L805" s="328"/>
      <c r="M805" s="377"/>
      <c r="N805" s="229"/>
      <c r="O805" s="229"/>
      <c r="P805" s="323"/>
      <c r="Q805" s="329"/>
      <c r="R805" s="330"/>
      <c r="S805" s="330"/>
      <c r="T805" s="330"/>
      <c r="U805" s="330"/>
      <c r="V805" s="330"/>
      <c r="W805" s="323"/>
      <c r="X805" s="323"/>
    </row>
    <row r="806" spans="1:24" ht="13.5" customHeight="1">
      <c r="A806" s="323"/>
      <c r="B806" s="323"/>
      <c r="C806" s="229"/>
      <c r="D806" s="324"/>
      <c r="E806" s="325"/>
      <c r="F806" s="326"/>
      <c r="G806" s="326"/>
      <c r="H806" s="326"/>
      <c r="I806" s="327"/>
      <c r="J806" s="385"/>
      <c r="K806" s="328"/>
      <c r="L806" s="328"/>
      <c r="M806" s="377"/>
      <c r="N806" s="229"/>
      <c r="O806" s="229"/>
      <c r="P806" s="323"/>
      <c r="Q806" s="329"/>
      <c r="R806" s="330"/>
      <c r="S806" s="330"/>
      <c r="T806" s="330"/>
      <c r="U806" s="330"/>
      <c r="V806" s="330"/>
      <c r="W806" s="323"/>
      <c r="X806" s="323"/>
    </row>
    <row r="807" spans="1:24" ht="13.5" customHeight="1">
      <c r="A807" s="323"/>
      <c r="B807" s="323"/>
      <c r="C807" s="229"/>
      <c r="D807" s="324"/>
      <c r="E807" s="325"/>
      <c r="F807" s="326"/>
      <c r="G807" s="326"/>
      <c r="H807" s="326"/>
      <c r="I807" s="327"/>
      <c r="J807" s="385"/>
      <c r="K807" s="328"/>
      <c r="L807" s="328"/>
      <c r="M807" s="377"/>
      <c r="N807" s="229"/>
      <c r="O807" s="229"/>
      <c r="P807" s="323"/>
      <c r="Q807" s="329"/>
      <c r="R807" s="330"/>
      <c r="S807" s="330"/>
      <c r="T807" s="330"/>
      <c r="U807" s="330"/>
      <c r="V807" s="330"/>
      <c r="W807" s="323"/>
      <c r="X807" s="323"/>
    </row>
    <row r="808" spans="1:24" ht="13.5" customHeight="1">
      <c r="A808" s="323"/>
      <c r="B808" s="323"/>
      <c r="C808" s="229"/>
      <c r="D808" s="324"/>
      <c r="E808" s="325"/>
      <c r="F808" s="326"/>
      <c r="G808" s="326"/>
      <c r="H808" s="326"/>
      <c r="I808" s="327"/>
      <c r="J808" s="385"/>
      <c r="K808" s="328"/>
      <c r="L808" s="328"/>
      <c r="M808" s="377"/>
      <c r="N808" s="229"/>
      <c r="O808" s="229"/>
      <c r="P808" s="323"/>
      <c r="Q808" s="329"/>
      <c r="R808" s="330"/>
      <c r="S808" s="330"/>
      <c r="T808" s="330"/>
      <c r="U808" s="330"/>
      <c r="V808" s="330"/>
      <c r="W808" s="323"/>
      <c r="X808" s="323"/>
    </row>
    <row r="809" spans="1:24" ht="13.5" customHeight="1">
      <c r="A809" s="323"/>
      <c r="B809" s="323"/>
      <c r="C809" s="229"/>
      <c r="D809" s="324"/>
      <c r="E809" s="325"/>
      <c r="F809" s="326"/>
      <c r="G809" s="326"/>
      <c r="H809" s="326"/>
      <c r="I809" s="327"/>
      <c r="J809" s="385"/>
      <c r="K809" s="328"/>
      <c r="L809" s="328"/>
      <c r="M809" s="377"/>
      <c r="N809" s="229"/>
      <c r="O809" s="229"/>
      <c r="P809" s="323"/>
      <c r="Q809" s="329"/>
      <c r="R809" s="330"/>
      <c r="S809" s="330"/>
      <c r="T809" s="330"/>
      <c r="U809" s="330"/>
      <c r="V809" s="330"/>
      <c r="W809" s="323"/>
      <c r="X809" s="323"/>
    </row>
    <row r="810" spans="1:24" ht="13.5" customHeight="1">
      <c r="A810" s="323"/>
      <c r="B810" s="323"/>
      <c r="C810" s="229"/>
      <c r="D810" s="324"/>
      <c r="E810" s="325"/>
      <c r="F810" s="326"/>
      <c r="G810" s="326"/>
      <c r="H810" s="326"/>
      <c r="I810" s="327"/>
      <c r="J810" s="385"/>
      <c r="K810" s="328"/>
      <c r="L810" s="328"/>
      <c r="M810" s="377"/>
      <c r="N810" s="229"/>
      <c r="O810" s="229"/>
      <c r="P810" s="323"/>
      <c r="Q810" s="329"/>
      <c r="R810" s="330"/>
      <c r="S810" s="330"/>
      <c r="T810" s="330"/>
      <c r="U810" s="330"/>
      <c r="V810" s="330"/>
      <c r="W810" s="323"/>
      <c r="X810" s="323"/>
    </row>
    <row r="811" spans="1:24" ht="13.5" customHeight="1">
      <c r="A811" s="323"/>
      <c r="B811" s="323"/>
      <c r="C811" s="229"/>
      <c r="D811" s="324"/>
      <c r="E811" s="325"/>
      <c r="F811" s="326"/>
      <c r="G811" s="326"/>
      <c r="H811" s="326"/>
      <c r="I811" s="327"/>
      <c r="J811" s="385"/>
      <c r="K811" s="328"/>
      <c r="L811" s="328"/>
      <c r="M811" s="377"/>
      <c r="N811" s="229"/>
      <c r="O811" s="229"/>
      <c r="P811" s="323"/>
      <c r="Q811" s="329"/>
      <c r="R811" s="330"/>
      <c r="S811" s="330"/>
      <c r="T811" s="330"/>
      <c r="U811" s="330"/>
      <c r="V811" s="330"/>
      <c r="W811" s="323"/>
      <c r="X811" s="323"/>
    </row>
    <row r="812" spans="1:24" ht="13.5" customHeight="1">
      <c r="A812" s="323"/>
      <c r="B812" s="323"/>
      <c r="C812" s="229"/>
      <c r="D812" s="324"/>
      <c r="E812" s="325"/>
      <c r="F812" s="326"/>
      <c r="G812" s="326"/>
      <c r="H812" s="326"/>
      <c r="I812" s="327"/>
      <c r="J812" s="385"/>
      <c r="K812" s="328"/>
      <c r="L812" s="328"/>
      <c r="M812" s="377"/>
      <c r="N812" s="229"/>
      <c r="O812" s="229"/>
      <c r="P812" s="323"/>
      <c r="Q812" s="329"/>
      <c r="R812" s="330"/>
      <c r="S812" s="330"/>
      <c r="T812" s="330"/>
      <c r="U812" s="330"/>
      <c r="V812" s="330"/>
      <c r="W812" s="323"/>
      <c r="X812" s="323"/>
    </row>
    <row r="813" spans="1:24" ht="13.5" customHeight="1">
      <c r="A813" s="323"/>
      <c r="B813" s="323"/>
      <c r="C813" s="229"/>
      <c r="D813" s="324"/>
      <c r="E813" s="325"/>
      <c r="F813" s="326"/>
      <c r="G813" s="326"/>
      <c r="H813" s="326"/>
      <c r="I813" s="327"/>
      <c r="J813" s="385"/>
      <c r="K813" s="328"/>
      <c r="L813" s="328"/>
      <c r="M813" s="377"/>
      <c r="N813" s="229"/>
      <c r="O813" s="229"/>
      <c r="P813" s="323"/>
      <c r="Q813" s="329"/>
      <c r="R813" s="330"/>
      <c r="S813" s="330"/>
      <c r="T813" s="330"/>
      <c r="U813" s="330"/>
      <c r="V813" s="330"/>
      <c r="W813" s="323"/>
      <c r="X813" s="323"/>
    </row>
    <row r="814" spans="1:24" ht="13.5" customHeight="1">
      <c r="A814" s="323"/>
      <c r="B814" s="323"/>
      <c r="C814" s="229"/>
      <c r="D814" s="324"/>
      <c r="E814" s="325"/>
      <c r="F814" s="326"/>
      <c r="G814" s="326"/>
      <c r="H814" s="326"/>
      <c r="I814" s="327"/>
      <c r="J814" s="385"/>
      <c r="K814" s="328"/>
      <c r="L814" s="328"/>
      <c r="M814" s="377"/>
      <c r="N814" s="229"/>
      <c r="O814" s="229"/>
      <c r="P814" s="323"/>
      <c r="Q814" s="329"/>
      <c r="R814" s="330"/>
      <c r="S814" s="330"/>
      <c r="T814" s="330"/>
      <c r="U814" s="330"/>
      <c r="V814" s="330"/>
      <c r="W814" s="323"/>
      <c r="X814" s="323"/>
    </row>
    <row r="815" spans="1:24" ht="13.5" customHeight="1">
      <c r="A815" s="323"/>
      <c r="B815" s="323"/>
      <c r="C815" s="229"/>
      <c r="D815" s="324"/>
      <c r="E815" s="325"/>
      <c r="F815" s="326"/>
      <c r="G815" s="326"/>
      <c r="H815" s="326"/>
      <c r="I815" s="327"/>
      <c r="J815" s="385"/>
      <c r="K815" s="328"/>
      <c r="L815" s="328"/>
      <c r="M815" s="377"/>
      <c r="N815" s="229"/>
      <c r="O815" s="229"/>
      <c r="P815" s="323"/>
      <c r="Q815" s="329"/>
      <c r="R815" s="330"/>
      <c r="S815" s="330"/>
      <c r="T815" s="330"/>
      <c r="U815" s="330"/>
      <c r="V815" s="330"/>
      <c r="W815" s="323"/>
      <c r="X815" s="323"/>
    </row>
    <row r="816" spans="1:24" ht="13.5" customHeight="1">
      <c r="A816" s="323"/>
      <c r="B816" s="323"/>
      <c r="C816" s="229"/>
      <c r="D816" s="324"/>
      <c r="E816" s="325"/>
      <c r="F816" s="326"/>
      <c r="G816" s="326"/>
      <c r="H816" s="326"/>
      <c r="I816" s="327"/>
      <c r="J816" s="385"/>
      <c r="K816" s="328"/>
      <c r="L816" s="328"/>
      <c r="M816" s="377"/>
      <c r="N816" s="229"/>
      <c r="O816" s="229"/>
      <c r="P816" s="323"/>
      <c r="Q816" s="329"/>
      <c r="R816" s="330"/>
      <c r="S816" s="330"/>
      <c r="T816" s="330"/>
      <c r="U816" s="330"/>
      <c r="V816" s="330"/>
      <c r="W816" s="323"/>
      <c r="X816" s="323"/>
    </row>
    <row r="817" spans="1:24" ht="13.5" customHeight="1">
      <c r="A817" s="323"/>
      <c r="B817" s="323"/>
      <c r="C817" s="229"/>
      <c r="D817" s="324"/>
      <c r="E817" s="325"/>
      <c r="F817" s="326"/>
      <c r="G817" s="326"/>
      <c r="H817" s="326"/>
      <c r="I817" s="327"/>
      <c r="J817" s="385"/>
      <c r="K817" s="328"/>
      <c r="L817" s="328"/>
      <c r="M817" s="377"/>
      <c r="N817" s="229"/>
      <c r="O817" s="229"/>
      <c r="P817" s="323"/>
      <c r="Q817" s="329"/>
      <c r="R817" s="330"/>
      <c r="S817" s="330"/>
      <c r="T817" s="330"/>
      <c r="U817" s="330"/>
      <c r="V817" s="330"/>
      <c r="W817" s="323"/>
      <c r="X817" s="323"/>
    </row>
    <row r="818" spans="1:24" ht="13.5" customHeight="1">
      <c r="A818" s="323"/>
      <c r="B818" s="323"/>
      <c r="C818" s="229"/>
      <c r="D818" s="324"/>
      <c r="E818" s="325"/>
      <c r="F818" s="326"/>
      <c r="G818" s="326"/>
      <c r="H818" s="326"/>
      <c r="I818" s="327"/>
      <c r="J818" s="385"/>
      <c r="K818" s="328"/>
      <c r="L818" s="328"/>
      <c r="M818" s="377"/>
      <c r="N818" s="229"/>
      <c r="O818" s="229"/>
      <c r="P818" s="323"/>
      <c r="Q818" s="329"/>
      <c r="R818" s="330"/>
      <c r="S818" s="330"/>
      <c r="T818" s="330"/>
      <c r="U818" s="330"/>
      <c r="V818" s="330"/>
      <c r="W818" s="323"/>
      <c r="X818" s="323"/>
    </row>
    <row r="819" spans="1:24" ht="13.5" customHeight="1">
      <c r="A819" s="323"/>
      <c r="B819" s="323"/>
      <c r="C819" s="229"/>
      <c r="D819" s="324"/>
      <c r="E819" s="325"/>
      <c r="F819" s="326"/>
      <c r="G819" s="326"/>
      <c r="H819" s="326"/>
      <c r="I819" s="327"/>
      <c r="J819" s="385"/>
      <c r="K819" s="328"/>
      <c r="L819" s="328"/>
      <c r="M819" s="377"/>
      <c r="N819" s="229"/>
      <c r="O819" s="229"/>
      <c r="P819" s="323"/>
      <c r="Q819" s="329"/>
      <c r="R819" s="330"/>
      <c r="S819" s="330"/>
      <c r="T819" s="330"/>
      <c r="U819" s="330"/>
      <c r="V819" s="330"/>
      <c r="W819" s="323"/>
      <c r="X819" s="323"/>
    </row>
    <row r="820" spans="1:24" ht="13.5" customHeight="1">
      <c r="A820" s="323"/>
      <c r="B820" s="323"/>
      <c r="C820" s="229"/>
      <c r="D820" s="324"/>
      <c r="E820" s="325"/>
      <c r="F820" s="326"/>
      <c r="G820" s="326"/>
      <c r="H820" s="326"/>
      <c r="I820" s="327"/>
      <c r="J820" s="385"/>
      <c r="K820" s="328"/>
      <c r="L820" s="328"/>
      <c r="M820" s="377"/>
      <c r="N820" s="229"/>
      <c r="O820" s="229"/>
      <c r="P820" s="323"/>
      <c r="Q820" s="329"/>
      <c r="R820" s="330"/>
      <c r="S820" s="330"/>
      <c r="T820" s="330"/>
      <c r="U820" s="330"/>
      <c r="V820" s="330"/>
      <c r="W820" s="323"/>
      <c r="X820" s="323"/>
    </row>
    <row r="821" spans="1:24" ht="13.5" customHeight="1">
      <c r="A821" s="323"/>
      <c r="B821" s="323"/>
      <c r="C821" s="229"/>
      <c r="D821" s="324"/>
      <c r="E821" s="325"/>
      <c r="F821" s="326"/>
      <c r="G821" s="326"/>
      <c r="H821" s="326"/>
      <c r="I821" s="327"/>
      <c r="J821" s="385"/>
      <c r="K821" s="328"/>
      <c r="L821" s="328"/>
      <c r="M821" s="377"/>
      <c r="N821" s="229"/>
      <c r="O821" s="229"/>
      <c r="P821" s="323"/>
      <c r="Q821" s="329"/>
      <c r="R821" s="330"/>
      <c r="S821" s="330"/>
      <c r="T821" s="330"/>
      <c r="U821" s="330"/>
      <c r="V821" s="330"/>
      <c r="W821" s="323"/>
      <c r="X821" s="323"/>
    </row>
    <row r="822" spans="1:24" ht="13.5" customHeight="1">
      <c r="A822" s="323"/>
      <c r="B822" s="323"/>
      <c r="C822" s="229"/>
      <c r="D822" s="324"/>
      <c r="E822" s="325"/>
      <c r="F822" s="326"/>
      <c r="G822" s="326"/>
      <c r="H822" s="326"/>
      <c r="I822" s="327"/>
      <c r="J822" s="385"/>
      <c r="K822" s="328"/>
      <c r="L822" s="328"/>
      <c r="M822" s="377"/>
      <c r="N822" s="229"/>
      <c r="O822" s="229"/>
      <c r="P822" s="323"/>
      <c r="Q822" s="329"/>
      <c r="R822" s="330"/>
      <c r="S822" s="330"/>
      <c r="T822" s="330"/>
      <c r="U822" s="330"/>
      <c r="V822" s="330"/>
      <c r="W822" s="323"/>
      <c r="X822" s="323"/>
    </row>
    <row r="823" spans="1:24" ht="13.5" customHeight="1">
      <c r="A823" s="323"/>
      <c r="B823" s="323"/>
      <c r="C823" s="229"/>
      <c r="D823" s="324"/>
      <c r="E823" s="325"/>
      <c r="F823" s="326"/>
      <c r="G823" s="326"/>
      <c r="H823" s="326"/>
      <c r="I823" s="327"/>
      <c r="J823" s="385"/>
      <c r="K823" s="328"/>
      <c r="L823" s="328"/>
      <c r="M823" s="377"/>
      <c r="N823" s="229"/>
      <c r="O823" s="229"/>
      <c r="P823" s="323"/>
      <c r="Q823" s="329"/>
      <c r="R823" s="330"/>
      <c r="S823" s="330"/>
      <c r="T823" s="330"/>
      <c r="U823" s="330"/>
      <c r="V823" s="330"/>
      <c r="W823" s="323"/>
      <c r="X823" s="323"/>
    </row>
    <row r="824" spans="1:24" ht="13.5" customHeight="1">
      <c r="A824" s="323"/>
      <c r="B824" s="323"/>
      <c r="C824" s="229"/>
      <c r="D824" s="324"/>
      <c r="E824" s="325"/>
      <c r="F824" s="326"/>
      <c r="G824" s="326"/>
      <c r="H824" s="326"/>
      <c r="I824" s="327"/>
      <c r="J824" s="385"/>
      <c r="K824" s="328"/>
      <c r="L824" s="328"/>
      <c r="M824" s="377"/>
      <c r="N824" s="229"/>
      <c r="O824" s="229"/>
      <c r="P824" s="323"/>
      <c r="Q824" s="329"/>
      <c r="R824" s="330"/>
      <c r="S824" s="330"/>
      <c r="T824" s="330"/>
      <c r="U824" s="330"/>
      <c r="V824" s="330"/>
      <c r="W824" s="323"/>
      <c r="X824" s="323"/>
    </row>
    <row r="825" spans="1:24" ht="13.5" customHeight="1">
      <c r="A825" s="323"/>
      <c r="B825" s="323"/>
      <c r="C825" s="229"/>
      <c r="D825" s="324"/>
      <c r="E825" s="325"/>
      <c r="F825" s="326"/>
      <c r="G825" s="326"/>
      <c r="H825" s="326"/>
      <c r="I825" s="327"/>
      <c r="J825" s="385"/>
      <c r="K825" s="328"/>
      <c r="L825" s="328"/>
      <c r="M825" s="377"/>
      <c r="N825" s="229"/>
      <c r="O825" s="229"/>
      <c r="P825" s="323"/>
      <c r="Q825" s="329"/>
      <c r="R825" s="330"/>
      <c r="S825" s="330"/>
      <c r="T825" s="330"/>
      <c r="U825" s="330"/>
      <c r="V825" s="330"/>
      <c r="W825" s="323"/>
      <c r="X825" s="323"/>
    </row>
    <row r="826" spans="1:24" ht="13.5" customHeight="1">
      <c r="A826" s="323"/>
      <c r="B826" s="323"/>
      <c r="C826" s="229"/>
      <c r="D826" s="324"/>
      <c r="E826" s="325"/>
      <c r="F826" s="326"/>
      <c r="G826" s="326"/>
      <c r="H826" s="326"/>
      <c r="I826" s="327"/>
      <c r="J826" s="385"/>
      <c r="K826" s="328"/>
      <c r="L826" s="328"/>
      <c r="M826" s="377"/>
      <c r="N826" s="229"/>
      <c r="O826" s="229"/>
      <c r="P826" s="323"/>
      <c r="Q826" s="329"/>
      <c r="R826" s="330"/>
      <c r="S826" s="330"/>
      <c r="T826" s="330"/>
      <c r="U826" s="330"/>
      <c r="V826" s="330"/>
      <c r="W826" s="323"/>
      <c r="X826" s="323"/>
    </row>
    <row r="827" spans="1:24" ht="13.5" customHeight="1">
      <c r="A827" s="323"/>
      <c r="B827" s="323"/>
      <c r="C827" s="229"/>
      <c r="D827" s="324"/>
      <c r="E827" s="325"/>
      <c r="F827" s="326"/>
      <c r="G827" s="326"/>
      <c r="H827" s="326"/>
      <c r="I827" s="327"/>
      <c r="J827" s="385"/>
      <c r="K827" s="328"/>
      <c r="L827" s="328"/>
      <c r="M827" s="377"/>
      <c r="N827" s="229"/>
      <c r="O827" s="229"/>
      <c r="P827" s="323"/>
      <c r="Q827" s="329"/>
      <c r="R827" s="330"/>
      <c r="S827" s="330"/>
      <c r="T827" s="330"/>
      <c r="U827" s="330"/>
      <c r="V827" s="330"/>
      <c r="W827" s="323"/>
      <c r="X827" s="323"/>
    </row>
    <row r="828" spans="1:24" ht="13.5" customHeight="1">
      <c r="A828" s="323"/>
      <c r="B828" s="323"/>
      <c r="C828" s="229"/>
      <c r="D828" s="324"/>
      <c r="E828" s="325"/>
      <c r="F828" s="326"/>
      <c r="G828" s="326"/>
      <c r="H828" s="326"/>
      <c r="I828" s="327"/>
      <c r="J828" s="385"/>
      <c r="K828" s="328"/>
      <c r="L828" s="328"/>
      <c r="M828" s="377"/>
      <c r="N828" s="229"/>
      <c r="O828" s="229"/>
      <c r="P828" s="323"/>
      <c r="Q828" s="329"/>
      <c r="R828" s="330"/>
      <c r="S828" s="330"/>
      <c r="T828" s="330"/>
      <c r="U828" s="330"/>
      <c r="V828" s="330"/>
      <c r="W828" s="323"/>
      <c r="X828" s="323"/>
    </row>
    <row r="829" spans="1:24" ht="13.5" customHeight="1">
      <c r="A829" s="323"/>
      <c r="B829" s="323"/>
      <c r="C829" s="229"/>
      <c r="D829" s="324"/>
      <c r="E829" s="325"/>
      <c r="F829" s="326"/>
      <c r="G829" s="326"/>
      <c r="H829" s="326"/>
      <c r="I829" s="327"/>
      <c r="J829" s="385"/>
      <c r="K829" s="328"/>
      <c r="L829" s="328"/>
      <c r="M829" s="377"/>
      <c r="N829" s="229"/>
      <c r="O829" s="229"/>
      <c r="P829" s="323"/>
      <c r="Q829" s="329"/>
      <c r="R829" s="330"/>
      <c r="S829" s="330"/>
      <c r="T829" s="330"/>
      <c r="U829" s="330"/>
      <c r="V829" s="330"/>
      <c r="W829" s="323"/>
      <c r="X829" s="323"/>
    </row>
    <row r="830" spans="1:24" ht="13.5" customHeight="1">
      <c r="A830" s="323"/>
      <c r="B830" s="323"/>
      <c r="C830" s="229"/>
      <c r="D830" s="324"/>
      <c r="E830" s="325"/>
      <c r="F830" s="326"/>
      <c r="G830" s="326"/>
      <c r="H830" s="326"/>
      <c r="I830" s="327"/>
      <c r="J830" s="385"/>
      <c r="K830" s="328"/>
      <c r="L830" s="328"/>
      <c r="M830" s="377"/>
      <c r="N830" s="229"/>
      <c r="O830" s="229"/>
      <c r="P830" s="323"/>
      <c r="Q830" s="329"/>
      <c r="R830" s="330"/>
      <c r="S830" s="330"/>
      <c r="T830" s="330"/>
      <c r="U830" s="330"/>
      <c r="V830" s="330"/>
      <c r="W830" s="323"/>
      <c r="X830" s="323"/>
    </row>
    <row r="831" spans="1:24" ht="13.5" customHeight="1">
      <c r="A831" s="323"/>
      <c r="B831" s="323"/>
      <c r="C831" s="229"/>
      <c r="D831" s="324"/>
      <c r="E831" s="325"/>
      <c r="F831" s="326"/>
      <c r="G831" s="326"/>
      <c r="H831" s="326"/>
      <c r="I831" s="327"/>
      <c r="J831" s="385"/>
      <c r="K831" s="328"/>
      <c r="L831" s="328"/>
      <c r="M831" s="377"/>
      <c r="N831" s="229"/>
      <c r="O831" s="229"/>
      <c r="P831" s="323"/>
      <c r="Q831" s="329"/>
      <c r="R831" s="330"/>
      <c r="S831" s="330"/>
      <c r="T831" s="330"/>
      <c r="U831" s="330"/>
      <c r="V831" s="330"/>
      <c r="W831" s="323"/>
      <c r="X831" s="323"/>
    </row>
    <row r="832" spans="1:24" ht="13.5" customHeight="1">
      <c r="A832" s="323"/>
      <c r="B832" s="323"/>
      <c r="C832" s="229"/>
      <c r="D832" s="324"/>
      <c r="E832" s="325"/>
      <c r="F832" s="326"/>
      <c r="G832" s="326"/>
      <c r="H832" s="326"/>
      <c r="I832" s="327"/>
      <c r="J832" s="385"/>
      <c r="K832" s="328"/>
      <c r="L832" s="328"/>
      <c r="M832" s="377"/>
      <c r="N832" s="229"/>
      <c r="O832" s="229"/>
      <c r="P832" s="323"/>
      <c r="Q832" s="329"/>
      <c r="R832" s="330"/>
      <c r="S832" s="330"/>
      <c r="T832" s="330"/>
      <c r="U832" s="330"/>
      <c r="V832" s="330"/>
      <c r="W832" s="323"/>
      <c r="X832" s="323"/>
    </row>
    <row r="833" spans="1:24" ht="13.5" customHeight="1">
      <c r="A833" s="323"/>
      <c r="B833" s="323"/>
      <c r="C833" s="229"/>
      <c r="D833" s="324"/>
      <c r="E833" s="325"/>
      <c r="F833" s="326"/>
      <c r="G833" s="326"/>
      <c r="H833" s="326"/>
      <c r="I833" s="327"/>
      <c r="J833" s="385"/>
      <c r="K833" s="328"/>
      <c r="L833" s="328"/>
      <c r="M833" s="377"/>
      <c r="N833" s="229"/>
      <c r="O833" s="229"/>
      <c r="P833" s="323"/>
      <c r="Q833" s="329"/>
      <c r="R833" s="330"/>
      <c r="S833" s="330"/>
      <c r="T833" s="330"/>
      <c r="U833" s="330"/>
      <c r="V833" s="330"/>
      <c r="W833" s="323"/>
      <c r="X833" s="323"/>
    </row>
    <row r="834" spans="1:24" ht="13.5" customHeight="1">
      <c r="A834" s="323"/>
      <c r="B834" s="323"/>
      <c r="C834" s="229"/>
      <c r="D834" s="324"/>
      <c r="E834" s="325"/>
      <c r="F834" s="326"/>
      <c r="G834" s="326"/>
      <c r="H834" s="326"/>
      <c r="I834" s="327"/>
      <c r="J834" s="385"/>
      <c r="K834" s="328"/>
      <c r="L834" s="328"/>
      <c r="M834" s="377"/>
      <c r="N834" s="229"/>
      <c r="O834" s="229"/>
      <c r="P834" s="323"/>
      <c r="Q834" s="329"/>
      <c r="R834" s="330"/>
      <c r="S834" s="330"/>
      <c r="T834" s="330"/>
      <c r="U834" s="330"/>
      <c r="V834" s="330"/>
      <c r="W834" s="323"/>
      <c r="X834" s="323"/>
    </row>
    <row r="835" spans="1:24" ht="13.5" customHeight="1">
      <c r="A835" s="323"/>
      <c r="B835" s="323"/>
      <c r="C835" s="229"/>
      <c r="D835" s="324"/>
      <c r="E835" s="325"/>
      <c r="F835" s="326"/>
      <c r="G835" s="326"/>
      <c r="H835" s="326"/>
      <c r="I835" s="327"/>
      <c r="J835" s="385"/>
      <c r="K835" s="328"/>
      <c r="L835" s="328"/>
      <c r="M835" s="377"/>
      <c r="N835" s="229"/>
      <c r="O835" s="229"/>
      <c r="P835" s="323"/>
      <c r="Q835" s="329"/>
      <c r="R835" s="330"/>
      <c r="S835" s="330"/>
      <c r="T835" s="330"/>
      <c r="U835" s="330"/>
      <c r="V835" s="330"/>
      <c r="W835" s="323"/>
      <c r="X835" s="323"/>
    </row>
    <row r="836" spans="1:24" ht="13.5" customHeight="1">
      <c r="A836" s="323"/>
      <c r="B836" s="323"/>
      <c r="C836" s="229"/>
      <c r="D836" s="324"/>
      <c r="E836" s="325"/>
      <c r="F836" s="326"/>
      <c r="G836" s="326"/>
      <c r="H836" s="326"/>
      <c r="I836" s="327"/>
      <c r="J836" s="385"/>
      <c r="K836" s="328"/>
      <c r="L836" s="328"/>
      <c r="M836" s="377"/>
      <c r="N836" s="229"/>
      <c r="O836" s="229"/>
      <c r="P836" s="323"/>
      <c r="Q836" s="329"/>
      <c r="R836" s="330"/>
      <c r="S836" s="330"/>
      <c r="T836" s="330"/>
      <c r="U836" s="330"/>
      <c r="V836" s="330"/>
      <c r="W836" s="323"/>
      <c r="X836" s="323"/>
    </row>
    <row r="837" spans="1:24" ht="13.5" customHeight="1">
      <c r="A837" s="323"/>
      <c r="B837" s="323"/>
      <c r="C837" s="229"/>
      <c r="D837" s="324"/>
      <c r="E837" s="325"/>
      <c r="F837" s="326"/>
      <c r="G837" s="326"/>
      <c r="H837" s="326"/>
      <c r="I837" s="327"/>
      <c r="J837" s="385"/>
      <c r="K837" s="328"/>
      <c r="L837" s="328"/>
      <c r="M837" s="377"/>
      <c r="N837" s="229"/>
      <c r="O837" s="229"/>
      <c r="P837" s="323"/>
      <c r="Q837" s="329"/>
      <c r="R837" s="330"/>
      <c r="S837" s="330"/>
      <c r="T837" s="330"/>
      <c r="U837" s="330"/>
      <c r="V837" s="330"/>
      <c r="W837" s="323"/>
      <c r="X837" s="323"/>
    </row>
    <row r="838" spans="1:24" ht="13.5" customHeight="1">
      <c r="A838" s="323"/>
      <c r="B838" s="323"/>
      <c r="C838" s="229"/>
      <c r="D838" s="324"/>
      <c r="E838" s="325"/>
      <c r="F838" s="326"/>
      <c r="G838" s="326"/>
      <c r="H838" s="326"/>
      <c r="I838" s="327"/>
      <c r="J838" s="385"/>
      <c r="K838" s="328"/>
      <c r="L838" s="328"/>
      <c r="M838" s="377"/>
      <c r="N838" s="229"/>
      <c r="O838" s="229"/>
      <c r="P838" s="323"/>
      <c r="W838" s="323"/>
      <c r="X838" s="323"/>
    </row>
    <row r="839" spans="1:24" ht="13.5" customHeight="1">
      <c r="A839" s="323"/>
      <c r="B839" s="323"/>
      <c r="C839" s="229"/>
      <c r="D839" s="324"/>
      <c r="E839" s="325"/>
      <c r="F839" s="326"/>
      <c r="G839" s="326"/>
      <c r="H839" s="326"/>
      <c r="I839" s="327"/>
      <c r="J839" s="385"/>
      <c r="K839" s="328"/>
      <c r="L839" s="328"/>
      <c r="M839" s="377"/>
      <c r="N839" s="229"/>
      <c r="O839" s="229"/>
      <c r="P839" s="323"/>
      <c r="W839" s="323"/>
      <c r="X839" s="323"/>
    </row>
    <row r="840" spans="1:24" ht="13.5" customHeight="1">
      <c r="A840" s="323"/>
      <c r="B840" s="323"/>
      <c r="C840" s="229"/>
      <c r="D840" s="324"/>
      <c r="E840" s="325"/>
      <c r="F840" s="326"/>
      <c r="G840" s="326"/>
      <c r="H840" s="326"/>
      <c r="I840" s="327"/>
      <c r="J840" s="385"/>
      <c r="K840" s="328"/>
      <c r="L840" s="328"/>
      <c r="M840" s="377"/>
      <c r="N840" s="229"/>
      <c r="O840" s="229"/>
      <c r="P840" s="323"/>
      <c r="W840" s="323"/>
      <c r="X840" s="323"/>
    </row>
    <row r="841" spans="1:24" ht="13.5" customHeight="1">
      <c r="A841" s="323"/>
      <c r="B841" s="323"/>
      <c r="C841" s="229"/>
      <c r="D841" s="324"/>
      <c r="E841" s="325"/>
      <c r="F841" s="326"/>
      <c r="G841" s="326"/>
      <c r="H841" s="326"/>
      <c r="I841" s="327"/>
      <c r="J841" s="385"/>
      <c r="K841" s="328"/>
      <c r="L841" s="328"/>
      <c r="M841" s="377"/>
      <c r="N841" s="229"/>
      <c r="O841" s="229"/>
      <c r="W841" s="323"/>
      <c r="X841" s="323"/>
    </row>
    <row r="842" spans="1:24" ht="13.5" customHeight="1">
      <c r="A842" s="323"/>
      <c r="B842" s="323"/>
      <c r="C842" s="229"/>
      <c r="D842" s="324"/>
      <c r="E842" s="325"/>
      <c r="F842" s="326"/>
      <c r="G842" s="326"/>
      <c r="H842" s="326"/>
      <c r="I842" s="327"/>
      <c r="J842" s="385"/>
      <c r="K842" s="328"/>
      <c r="L842" s="328"/>
      <c r="M842" s="377"/>
      <c r="N842" s="229"/>
      <c r="O842" s="229"/>
      <c r="W842" s="323"/>
      <c r="X842" s="323"/>
    </row>
    <row r="843" spans="1:24" ht="13.5" customHeight="1">
      <c r="A843" s="323"/>
      <c r="B843" s="323"/>
      <c r="C843" s="229"/>
      <c r="D843" s="324"/>
      <c r="E843" s="325"/>
      <c r="F843" s="326"/>
      <c r="G843" s="326"/>
      <c r="H843" s="326"/>
      <c r="I843" s="327"/>
      <c r="J843" s="385"/>
      <c r="K843" s="328"/>
      <c r="L843" s="328"/>
      <c r="M843" s="377"/>
      <c r="N843" s="229"/>
      <c r="O843" s="229"/>
      <c r="W843" s="323"/>
      <c r="X843" s="323"/>
    </row>
    <row r="844" spans="1:24" ht="13.5" customHeight="1">
      <c r="A844" s="323"/>
      <c r="B844" s="323"/>
      <c r="C844" s="229"/>
      <c r="D844" s="324"/>
      <c r="E844" s="325"/>
      <c r="F844" s="326"/>
      <c r="G844" s="326"/>
      <c r="H844" s="326"/>
      <c r="I844" s="327"/>
      <c r="J844" s="385"/>
      <c r="K844" s="328"/>
      <c r="L844" s="328"/>
      <c r="M844" s="377"/>
      <c r="N844" s="229"/>
      <c r="O844" s="229"/>
      <c r="W844" s="323"/>
      <c r="X844" s="323"/>
    </row>
    <row r="845" spans="1:24" ht="13.5" customHeight="1">
      <c r="A845" s="323"/>
      <c r="B845" s="323"/>
      <c r="C845" s="229"/>
      <c r="D845" s="324"/>
      <c r="E845" s="325"/>
      <c r="F845" s="326"/>
      <c r="G845" s="326"/>
      <c r="H845" s="326"/>
      <c r="I845" s="327"/>
      <c r="J845" s="385"/>
      <c r="K845" s="328"/>
      <c r="L845" s="328"/>
      <c r="M845" s="377"/>
      <c r="N845" s="229"/>
      <c r="O845" s="229"/>
      <c r="W845" s="323"/>
      <c r="X845" s="323"/>
    </row>
    <row r="846" spans="1:24" ht="13.5" customHeight="1">
      <c r="A846" s="323"/>
      <c r="B846" s="323"/>
      <c r="C846" s="229"/>
      <c r="D846" s="324"/>
      <c r="E846" s="325"/>
      <c r="F846" s="326"/>
      <c r="G846" s="326"/>
      <c r="H846" s="326"/>
      <c r="I846" s="327"/>
      <c r="J846" s="385"/>
      <c r="K846" s="328"/>
      <c r="L846" s="328"/>
      <c r="M846" s="377"/>
      <c r="N846" s="229"/>
      <c r="O846" s="229"/>
      <c r="W846" s="323"/>
      <c r="X846" s="323"/>
    </row>
    <row r="847" spans="1:24" ht="13.5" customHeight="1">
      <c r="A847" s="323"/>
      <c r="B847" s="323"/>
      <c r="C847" s="229"/>
      <c r="D847" s="324"/>
      <c r="E847" s="325"/>
      <c r="F847" s="326"/>
      <c r="G847" s="326"/>
      <c r="H847" s="326"/>
      <c r="I847" s="327"/>
      <c r="J847" s="385"/>
      <c r="K847" s="328"/>
      <c r="L847" s="328"/>
      <c r="M847" s="377"/>
      <c r="N847" s="229"/>
      <c r="O847" s="229"/>
      <c r="W847" s="323"/>
      <c r="X847" s="323"/>
    </row>
    <row r="848" spans="1:24" ht="13.5" customHeight="1">
      <c r="A848" s="323"/>
      <c r="B848" s="323"/>
      <c r="C848" s="229"/>
      <c r="D848" s="324"/>
      <c r="E848" s="325"/>
      <c r="F848" s="326"/>
      <c r="G848" s="326"/>
      <c r="H848" s="326"/>
      <c r="I848" s="327"/>
      <c r="J848" s="385"/>
      <c r="K848" s="328"/>
      <c r="L848" s="328"/>
      <c r="M848" s="377"/>
      <c r="N848" s="229"/>
      <c r="O848" s="229"/>
      <c r="W848" s="323"/>
      <c r="X848" s="323"/>
    </row>
    <row r="849" spans="1:24" ht="13.5" customHeight="1">
      <c r="A849" s="323"/>
      <c r="B849" s="323"/>
      <c r="C849" s="229"/>
      <c r="D849" s="324"/>
      <c r="E849" s="325"/>
      <c r="F849" s="326"/>
      <c r="G849" s="326"/>
      <c r="H849" s="326"/>
      <c r="I849" s="327"/>
      <c r="J849" s="385"/>
      <c r="K849" s="328"/>
      <c r="L849" s="328"/>
      <c r="M849" s="377"/>
      <c r="N849" s="229"/>
      <c r="O849" s="229"/>
      <c r="W849" s="323"/>
      <c r="X849" s="323"/>
    </row>
    <row r="850" spans="1:24" ht="13.5" customHeight="1">
      <c r="A850" s="323"/>
      <c r="B850" s="323"/>
      <c r="C850" s="229"/>
      <c r="D850" s="324"/>
      <c r="E850" s="325"/>
      <c r="F850" s="326"/>
      <c r="G850" s="326"/>
      <c r="H850" s="326"/>
      <c r="I850" s="327"/>
      <c r="J850" s="385"/>
      <c r="K850" s="328"/>
      <c r="L850" s="328"/>
      <c r="M850" s="377"/>
      <c r="N850" s="229"/>
      <c r="O850" s="229"/>
      <c r="W850" s="323"/>
      <c r="X850" s="323"/>
    </row>
    <row r="851" spans="1:24" ht="13.5" customHeight="1">
      <c r="A851" s="323"/>
      <c r="B851" s="323"/>
      <c r="C851" s="229"/>
      <c r="D851" s="324"/>
      <c r="E851" s="325"/>
      <c r="F851" s="326"/>
      <c r="G851" s="326"/>
      <c r="H851" s="326"/>
      <c r="I851" s="327"/>
      <c r="J851" s="385"/>
      <c r="K851" s="328"/>
      <c r="L851" s="328"/>
      <c r="M851" s="377"/>
      <c r="N851" s="229"/>
      <c r="O851" s="229"/>
      <c r="W851" s="323"/>
      <c r="X851" s="323"/>
    </row>
    <row r="852" spans="1:24" ht="13.5" customHeight="1">
      <c r="A852" s="323"/>
      <c r="B852" s="323"/>
      <c r="C852" s="229"/>
      <c r="D852" s="324"/>
      <c r="E852" s="325"/>
      <c r="F852" s="326"/>
      <c r="G852" s="326"/>
      <c r="H852" s="326"/>
      <c r="I852" s="327"/>
      <c r="J852" s="385"/>
      <c r="K852" s="328"/>
      <c r="L852" s="328"/>
      <c r="M852" s="377"/>
      <c r="N852" s="229"/>
      <c r="O852" s="229"/>
      <c r="X852" s="323"/>
    </row>
    <row r="853" spans="1:24" ht="13.5" customHeight="1">
      <c r="A853" s="323"/>
      <c r="B853" s="323"/>
      <c r="C853" s="229"/>
      <c r="D853" s="324"/>
      <c r="E853" s="325"/>
      <c r="F853" s="326"/>
      <c r="G853" s="326"/>
      <c r="H853" s="326"/>
      <c r="I853" s="327"/>
      <c r="J853" s="385"/>
      <c r="K853" s="328"/>
      <c r="L853" s="328"/>
      <c r="M853" s="377"/>
      <c r="N853" s="229"/>
      <c r="O853" s="229"/>
      <c r="X853" s="323"/>
    </row>
    <row r="854" spans="1:24" ht="13.5" customHeight="1">
      <c r="A854" s="323"/>
      <c r="B854" s="323"/>
      <c r="C854" s="229"/>
      <c r="D854" s="324"/>
      <c r="E854" s="325"/>
      <c r="F854" s="326"/>
      <c r="G854" s="326"/>
      <c r="H854" s="326"/>
      <c r="I854" s="327"/>
      <c r="J854" s="385"/>
      <c r="K854" s="328"/>
      <c r="L854" s="328"/>
      <c r="M854" s="377"/>
      <c r="N854" s="229"/>
      <c r="O854" s="229"/>
      <c r="X854" s="323"/>
    </row>
    <row r="855" spans="1:24" ht="13.5" customHeight="1">
      <c r="A855" s="323"/>
      <c r="B855" s="323"/>
      <c r="C855" s="229"/>
      <c r="D855" s="324"/>
      <c r="E855" s="325"/>
      <c r="F855" s="326"/>
      <c r="G855" s="326"/>
      <c r="H855" s="326"/>
      <c r="I855" s="327"/>
      <c r="J855" s="385"/>
      <c r="K855" s="328"/>
      <c r="L855" s="328"/>
      <c r="M855" s="377"/>
      <c r="N855" s="229"/>
      <c r="O855" s="229"/>
      <c r="X855" s="323"/>
    </row>
    <row r="856" spans="1:24" ht="13.5" customHeight="1">
      <c r="A856" s="323"/>
      <c r="B856" s="323"/>
      <c r="C856" s="229"/>
      <c r="D856" s="324"/>
      <c r="E856" s="325"/>
      <c r="F856" s="326"/>
      <c r="G856" s="326"/>
      <c r="H856" s="326"/>
      <c r="I856" s="327"/>
      <c r="J856" s="385"/>
      <c r="K856" s="328"/>
      <c r="L856" s="328"/>
      <c r="M856" s="377"/>
      <c r="N856" s="229"/>
      <c r="O856" s="229"/>
      <c r="X856" s="323"/>
    </row>
    <row r="857" spans="1:24" ht="13.5" customHeight="1">
      <c r="A857" s="323"/>
      <c r="B857" s="323"/>
      <c r="C857" s="229"/>
      <c r="D857" s="324"/>
      <c r="E857" s="325"/>
      <c r="F857" s="326"/>
      <c r="G857" s="326"/>
      <c r="H857" s="326"/>
      <c r="I857" s="327"/>
      <c r="J857" s="385"/>
      <c r="K857" s="328"/>
      <c r="L857" s="328"/>
      <c r="M857" s="377"/>
      <c r="N857" s="229"/>
      <c r="O857" s="229"/>
      <c r="X857" s="323"/>
    </row>
    <row r="858" spans="1:24" ht="13.5" customHeight="1">
      <c r="A858" s="323"/>
      <c r="B858" s="323"/>
      <c r="C858" s="229"/>
      <c r="D858" s="324"/>
      <c r="E858" s="325"/>
      <c r="F858" s="326"/>
      <c r="G858" s="326"/>
      <c r="H858" s="326"/>
      <c r="I858" s="327"/>
      <c r="J858" s="385"/>
      <c r="K858" s="328"/>
      <c r="L858" s="328"/>
      <c r="M858" s="377"/>
      <c r="N858" s="229"/>
      <c r="O858" s="229"/>
      <c r="X858" s="323"/>
    </row>
    <row r="859" spans="1:24" ht="13.5" customHeight="1">
      <c r="A859" s="323"/>
      <c r="B859" s="323"/>
      <c r="C859" s="229"/>
      <c r="D859" s="324"/>
      <c r="E859" s="325"/>
      <c r="F859" s="326"/>
      <c r="G859" s="326"/>
      <c r="H859" s="326"/>
      <c r="I859" s="327"/>
      <c r="J859" s="385"/>
      <c r="K859" s="328"/>
      <c r="L859" s="328"/>
      <c r="M859" s="377"/>
      <c r="N859" s="229"/>
      <c r="O859" s="229"/>
      <c r="X859" s="323"/>
    </row>
  </sheetData>
  <mergeCells count="3">
    <mergeCell ref="A1:J1"/>
    <mergeCell ref="C144:H144"/>
    <mergeCell ref="C150:E150"/>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E4334-27CF-4803-A68C-61160BD88C23}">
  <dimension ref="A1:AB705"/>
  <sheetViews>
    <sheetView topLeftCell="B1" workbookViewId="0">
      <pane ySplit="2" topLeftCell="A39" activePane="bottomLeft" state="frozen"/>
      <selection pane="bottomLeft" activeCell="S58" sqref="S58"/>
    </sheetView>
  </sheetViews>
  <sheetFormatPr defaultColWidth="14.44140625" defaultRowHeight="13.2"/>
  <cols>
    <col min="1" max="1" width="5" style="418" customWidth="1"/>
    <col min="2" max="2" width="35.33203125" style="395" bestFit="1" customWidth="1"/>
    <col min="3" max="3" width="8.5546875" style="395" customWidth="1"/>
    <col min="4" max="4" width="13.6640625" style="395" customWidth="1"/>
    <col min="5" max="5" width="5.33203125" style="429" bestFit="1" customWidth="1"/>
    <col min="6" max="6" width="14" style="430" bestFit="1" customWidth="1"/>
    <col min="7" max="7" width="8.109375" style="430" bestFit="1" customWidth="1"/>
    <col min="8" max="8" width="17.44140625" style="430" bestFit="1" customWidth="1"/>
    <col min="9" max="9" width="11.6640625" style="431" bestFit="1" customWidth="1"/>
    <col min="10" max="10" width="13.5546875" style="393" bestFit="1" customWidth="1"/>
    <col min="11" max="11" width="7.88671875" style="430" bestFit="1" customWidth="1"/>
    <col min="12" max="12" width="10.6640625" style="431" bestFit="1" customWidth="1"/>
    <col min="13" max="13" width="10.6640625" style="431" customWidth="1"/>
    <col min="14" max="14" width="12.6640625" style="393" bestFit="1" customWidth="1"/>
    <col min="15" max="15" width="12.6640625" style="393" hidden="1" customWidth="1"/>
    <col min="16" max="16" width="25.6640625" style="391" hidden="1" customWidth="1"/>
    <col min="17" max="17" width="11.33203125" style="395" customWidth="1"/>
    <col min="18" max="18" width="9.6640625" style="395" customWidth="1"/>
    <col min="19" max="19" width="16.5546875" style="393" customWidth="1"/>
    <col min="20" max="20" width="8.88671875" style="394" customWidth="1"/>
    <col min="21" max="22" width="8.88671875" style="47" customWidth="1"/>
    <col min="23" max="23" width="10.44140625" style="395" customWidth="1"/>
    <col min="24" max="24" width="13.88671875" style="395" customWidth="1"/>
    <col min="25" max="25" width="11.33203125" style="395" customWidth="1"/>
    <col min="26" max="27" width="14.44140625" style="395"/>
    <col min="28" max="28" width="16" style="395" customWidth="1"/>
    <col min="29" max="29" width="14.44140625" style="395"/>
    <col min="30" max="30" width="14.5546875" style="395" bestFit="1" customWidth="1"/>
    <col min="31" max="31" width="17.6640625" style="395" bestFit="1" customWidth="1"/>
    <col min="32" max="16384" width="14.44140625" style="395"/>
  </cols>
  <sheetData>
    <row r="1" spans="1:28">
      <c r="A1" s="1102" t="s">
        <v>391</v>
      </c>
      <c r="B1" s="1102"/>
      <c r="C1" s="1102"/>
      <c r="D1" s="1102"/>
      <c r="E1" s="1102"/>
      <c r="F1" s="1102"/>
      <c r="G1" s="1102"/>
      <c r="H1" s="1102"/>
      <c r="I1" s="1102"/>
      <c r="J1" s="1102"/>
      <c r="K1" s="1102"/>
      <c r="L1" s="1102"/>
      <c r="M1" s="1102"/>
      <c r="N1" s="1103"/>
      <c r="O1" s="390"/>
      <c r="Q1" s="392"/>
      <c r="R1" s="392"/>
      <c r="W1" s="1101" t="s">
        <v>830</v>
      </c>
      <c r="X1" s="1101"/>
      <c r="Y1" s="1101"/>
      <c r="Z1" s="1101"/>
      <c r="AA1" s="1101"/>
      <c r="AB1" s="1101"/>
    </row>
    <row r="2" spans="1:28" s="404" customFormat="1" ht="26.4">
      <c r="A2" s="396" t="s">
        <v>627</v>
      </c>
      <c r="B2" s="397" t="s">
        <v>822</v>
      </c>
      <c r="C2" s="397" t="s">
        <v>823</v>
      </c>
      <c r="D2" s="397" t="s">
        <v>653</v>
      </c>
      <c r="E2" s="397" t="s">
        <v>91</v>
      </c>
      <c r="F2" s="398" t="s">
        <v>824</v>
      </c>
      <c r="G2" s="398" t="s">
        <v>825</v>
      </c>
      <c r="H2" s="398" t="s">
        <v>562</v>
      </c>
      <c r="I2" s="399" t="s">
        <v>5</v>
      </c>
      <c r="J2" s="399" t="s">
        <v>205</v>
      </c>
      <c r="K2" s="398" t="s">
        <v>831</v>
      </c>
      <c r="L2" s="399" t="s">
        <v>832</v>
      </c>
      <c r="M2" s="399" t="s">
        <v>833</v>
      </c>
      <c r="N2" s="399" t="s">
        <v>205</v>
      </c>
      <c r="O2" s="400"/>
      <c r="P2" s="401"/>
      <c r="Q2" s="402" t="s">
        <v>656</v>
      </c>
      <c r="R2" s="402" t="s">
        <v>657</v>
      </c>
      <c r="S2" s="403" t="s">
        <v>637</v>
      </c>
      <c r="U2" s="404" t="s">
        <v>834</v>
      </c>
    </row>
    <row r="3" spans="1:28">
      <c r="A3" s="241">
        <f>'Flat Sizes'!A4</f>
        <v>1</v>
      </c>
      <c r="B3" s="270" t="str">
        <f>'Flat Sizes'!B4</f>
        <v>Flat 1A</v>
      </c>
      <c r="C3" s="213"/>
      <c r="D3" s="406"/>
      <c r="E3" s="407"/>
      <c r="F3" s="408"/>
      <c r="G3" s="408"/>
      <c r="H3" s="408"/>
      <c r="I3" s="409"/>
      <c r="J3" s="410"/>
      <c r="K3" s="408"/>
      <c r="L3" s="409"/>
      <c r="M3" s="409"/>
      <c r="N3" s="410"/>
      <c r="O3" s="253" t="s">
        <v>392</v>
      </c>
      <c r="P3" s="253" t="s">
        <v>480</v>
      </c>
      <c r="Q3" s="392">
        <f>'Room Conf'!L40</f>
        <v>10</v>
      </c>
      <c r="W3" s="404"/>
      <c r="X3" s="411"/>
      <c r="Y3" s="404"/>
      <c r="Z3" s="412"/>
      <c r="AA3" s="413"/>
      <c r="AB3" s="413"/>
    </row>
    <row r="4" spans="1:28">
      <c r="A4" s="240">
        <f>'Flat Sizes'!A5</f>
        <v>1</v>
      </c>
      <c r="B4" s="244" t="str">
        <f>'Flat Sizes'!B5</f>
        <v>Multi Purpose Room</v>
      </c>
      <c r="C4" s="213" t="s">
        <v>392</v>
      </c>
      <c r="D4" s="406"/>
      <c r="E4" s="407">
        <v>1</v>
      </c>
      <c r="F4" s="408">
        <f>VLOOKUP(C4,'D&amp;W Schedule'!$B$4:$F$20,2,FALSE)</f>
        <v>5.3</v>
      </c>
      <c r="G4" s="408">
        <f>VLOOKUP(C4,'D&amp;W Schedule'!$B$4:$F$20,3,FALSE)</f>
        <v>2.15</v>
      </c>
      <c r="H4" s="492">
        <f>VLOOKUP(C4,'D&amp;W Schedule'!$B$4:$F$20,4,FALSE)</f>
        <v>11.395</v>
      </c>
      <c r="I4" s="492">
        <f>VLOOKUP(C4,'D&amp;W Schedule'!$B$4:$F$20,5,FALSE)</f>
        <v>5920.2</v>
      </c>
      <c r="J4" s="492">
        <f>H4*I4</f>
        <v>67460.678999999989</v>
      </c>
      <c r="K4" s="408"/>
      <c r="L4" s="409"/>
      <c r="M4" s="409"/>
      <c r="N4" s="410">
        <f>J4+M4</f>
        <v>67460.678999999989</v>
      </c>
      <c r="O4" s="253" t="s">
        <v>399</v>
      </c>
      <c r="P4" s="253" t="s">
        <v>835</v>
      </c>
      <c r="Q4" s="392"/>
      <c r="R4" s="392">
        <f>H4*$Q$3</f>
        <v>113.94999999999999</v>
      </c>
      <c r="S4" s="392">
        <f>J4*$Q$3</f>
        <v>674606.78999999992</v>
      </c>
      <c r="U4" s="47" t="str">
        <f>C4</f>
        <v>W1</v>
      </c>
      <c r="W4" s="404"/>
      <c r="X4" s="411"/>
      <c r="Y4" s="404"/>
      <c r="Z4" s="412"/>
      <c r="AA4" s="413"/>
      <c r="AB4" s="413"/>
    </row>
    <row r="5" spans="1:28">
      <c r="A5" s="240">
        <f>'Flat Sizes'!A6</f>
        <v>2</v>
      </c>
      <c r="B5" s="244" t="str">
        <f>'Flat Sizes'!B6</f>
        <v>Study Room</v>
      </c>
      <c r="C5" s="213" t="s">
        <v>393</v>
      </c>
      <c r="D5" s="414"/>
      <c r="E5" s="407">
        <v>1</v>
      </c>
      <c r="F5" s="408">
        <f>VLOOKUP(C5,'D&amp;W Schedule'!$B$4:$F$20,2,FALSE)</f>
        <v>0.97</v>
      </c>
      <c r="G5" s="408">
        <f>VLOOKUP(C5,'D&amp;W Schedule'!$B$4:$F$20,3,FALSE)</f>
        <v>2.15</v>
      </c>
      <c r="H5" s="492">
        <f>VLOOKUP(C5,'D&amp;W Schedule'!$B$4:$F$20,4,FALSE)</f>
        <v>2.0854999999999997</v>
      </c>
      <c r="I5" s="492">
        <f>VLOOKUP(C5,'D&amp;W Schedule'!$B$4:$F$20,5,FALSE)</f>
        <v>5920.2</v>
      </c>
      <c r="J5" s="492">
        <f t="shared" ref="J5:J8" si="0">H5*I5</f>
        <v>12346.577099999999</v>
      </c>
      <c r="K5" s="408"/>
      <c r="L5" s="409"/>
      <c r="M5" s="409"/>
      <c r="N5" s="410">
        <f t="shared" ref="N5:N68" si="1">J5+M5</f>
        <v>12346.577099999999</v>
      </c>
      <c r="O5" s="253" t="s">
        <v>400</v>
      </c>
      <c r="P5" s="253" t="s">
        <v>836</v>
      </c>
      <c r="Q5" s="392"/>
      <c r="R5" s="392">
        <f>H5*$Q$3</f>
        <v>20.854999999999997</v>
      </c>
      <c r="S5" s="392">
        <f>J5*$Q$3</f>
        <v>123465.77099999998</v>
      </c>
      <c r="T5" s="417"/>
      <c r="U5" s="47" t="str">
        <f t="shared" ref="U5:U68" si="2">C5</f>
        <v>W8</v>
      </c>
      <c r="W5" s="404"/>
      <c r="X5" s="411"/>
      <c r="Y5" s="404"/>
      <c r="Z5" s="412"/>
      <c r="AA5" s="413"/>
      <c r="AB5" s="413"/>
    </row>
    <row r="6" spans="1:28">
      <c r="A6" s="240">
        <f>'Flat Sizes'!A7</f>
        <v>3</v>
      </c>
      <c r="B6" s="244" t="str">
        <f>'Flat Sizes'!B7</f>
        <v>M. Bedroom</v>
      </c>
      <c r="C6" s="213" t="s">
        <v>394</v>
      </c>
      <c r="D6" s="414"/>
      <c r="E6" s="407">
        <v>1</v>
      </c>
      <c r="F6" s="408">
        <f>VLOOKUP(C6,'D&amp;W Schedule'!$B$4:$F$20,2,FALSE)</f>
        <v>3.05</v>
      </c>
      <c r="G6" s="408">
        <f>VLOOKUP(C6,'D&amp;W Schedule'!$B$4:$F$20,3,FALSE)</f>
        <v>2.15</v>
      </c>
      <c r="H6" s="492">
        <f>VLOOKUP(C6,'D&amp;W Schedule'!$B$4:$F$20,4,FALSE)</f>
        <v>6.5574999999999992</v>
      </c>
      <c r="I6" s="492">
        <f>VLOOKUP(C6,'D&amp;W Schedule'!$B$4:$F$20,5,FALSE)</f>
        <v>5920.2</v>
      </c>
      <c r="J6" s="492">
        <f t="shared" si="0"/>
        <v>38821.711499999998</v>
      </c>
      <c r="K6" s="408"/>
      <c r="L6" s="409"/>
      <c r="M6" s="409"/>
      <c r="N6" s="410">
        <f t="shared" si="1"/>
        <v>38821.711499999998</v>
      </c>
      <c r="O6" s="253" t="s">
        <v>394</v>
      </c>
      <c r="P6" s="253" t="s">
        <v>837</v>
      </c>
      <c r="Q6" s="392"/>
      <c r="R6" s="392">
        <f>H6*$Q$3</f>
        <v>65.574999999999989</v>
      </c>
      <c r="S6" s="392">
        <f>J6*$Q$3</f>
        <v>388217.11499999999</v>
      </c>
      <c r="T6" s="417"/>
      <c r="U6" s="47" t="str">
        <f t="shared" si="2"/>
        <v>W4</v>
      </c>
      <c r="W6" s="404"/>
      <c r="X6" s="411"/>
      <c r="Y6" s="404"/>
      <c r="Z6" s="412"/>
      <c r="AA6" s="413"/>
      <c r="AB6" s="413"/>
    </row>
    <row r="7" spans="1:28">
      <c r="A7" s="240">
        <f>'Flat Sizes'!A8</f>
        <v>4</v>
      </c>
      <c r="B7" s="244" t="str">
        <f>'Flat Sizes'!B8</f>
        <v>M. Toilet</v>
      </c>
      <c r="C7" s="213" t="s">
        <v>395</v>
      </c>
      <c r="D7" s="414"/>
      <c r="E7" s="407">
        <v>1</v>
      </c>
      <c r="F7" s="408">
        <f>VLOOKUP(C7,'D&amp;W Schedule'!$B$4:$F$20,2,FALSE)</f>
        <v>0.6</v>
      </c>
      <c r="G7" s="408">
        <f>VLOOKUP(C7,'D&amp;W Schedule'!$B$4:$F$20,3,FALSE)</f>
        <v>0.75</v>
      </c>
      <c r="H7" s="492">
        <f>VLOOKUP(C7,'D&amp;W Schedule'!$B$4:$F$20,4,FALSE)</f>
        <v>0.44999999999999996</v>
      </c>
      <c r="I7" s="492">
        <f>VLOOKUP(C7,'D&amp;W Schedule'!$B$4:$F$20,5,FALSE)</f>
        <v>5920.2</v>
      </c>
      <c r="J7" s="492">
        <f t="shared" si="0"/>
        <v>2664.0899999999997</v>
      </c>
      <c r="K7" s="408"/>
      <c r="L7" s="409"/>
      <c r="M7" s="409"/>
      <c r="N7" s="410">
        <f t="shared" si="1"/>
        <v>2664.0899999999997</v>
      </c>
      <c r="O7" s="253" t="s">
        <v>401</v>
      </c>
      <c r="P7" s="253" t="s">
        <v>838</v>
      </c>
      <c r="Q7" s="392"/>
      <c r="R7" s="392">
        <f>H7*$Q$3</f>
        <v>4.5</v>
      </c>
      <c r="S7" s="392">
        <f>J7*$Q$3</f>
        <v>26640.899999999998</v>
      </c>
      <c r="T7" s="417"/>
      <c r="U7" s="47" t="str">
        <f t="shared" si="2"/>
        <v>V</v>
      </c>
      <c r="W7" s="404"/>
      <c r="X7" s="411"/>
      <c r="Y7" s="404"/>
      <c r="Z7" s="412"/>
      <c r="AA7" s="413"/>
      <c r="AB7" s="413"/>
    </row>
    <row r="8" spans="1:28">
      <c r="A8" s="240">
        <f>'Flat Sizes'!A9</f>
        <v>5</v>
      </c>
      <c r="B8" s="244" t="str">
        <f>'Flat Sizes'!B9</f>
        <v>C. Toilet</v>
      </c>
      <c r="C8" s="213" t="s">
        <v>395</v>
      </c>
      <c r="D8" s="414"/>
      <c r="E8" s="407">
        <v>1</v>
      </c>
      <c r="F8" s="408">
        <f>VLOOKUP(C8,'D&amp;W Schedule'!$B$4:$F$20,2,FALSE)</f>
        <v>0.6</v>
      </c>
      <c r="G8" s="408">
        <f>VLOOKUP(C8,'D&amp;W Schedule'!$B$4:$F$20,3,FALSE)</f>
        <v>0.75</v>
      </c>
      <c r="H8" s="492">
        <f>VLOOKUP(C8,'D&amp;W Schedule'!$B$4:$F$20,4,FALSE)</f>
        <v>0.44999999999999996</v>
      </c>
      <c r="I8" s="492">
        <f>VLOOKUP(C8,'D&amp;W Schedule'!$B$4:$F$20,5,FALSE)</f>
        <v>5920.2</v>
      </c>
      <c r="J8" s="492">
        <f t="shared" si="0"/>
        <v>2664.0899999999997</v>
      </c>
      <c r="K8" s="408"/>
      <c r="L8" s="409"/>
      <c r="M8" s="409"/>
      <c r="N8" s="410">
        <f t="shared" si="1"/>
        <v>2664.0899999999997</v>
      </c>
      <c r="O8" s="253" t="s">
        <v>839</v>
      </c>
      <c r="P8" s="253" t="s">
        <v>840</v>
      </c>
      <c r="Q8" s="392"/>
      <c r="R8" s="392">
        <f>H8*$Q$3</f>
        <v>4.5</v>
      </c>
      <c r="S8" s="392">
        <f>J8*$Q$3</f>
        <v>26640.899999999998</v>
      </c>
      <c r="T8" s="417"/>
      <c r="U8" s="47" t="str">
        <f t="shared" si="2"/>
        <v>V</v>
      </c>
      <c r="W8" s="405"/>
      <c r="X8" s="418"/>
      <c r="Y8" s="404"/>
      <c r="Z8" s="412"/>
      <c r="AA8" s="413"/>
      <c r="AB8" s="413"/>
    </row>
    <row r="9" spans="1:28" s="444" customFormat="1">
      <c r="A9" s="246"/>
      <c r="B9" s="246" t="str">
        <f>'Flat Sizes'!B10</f>
        <v>Sub Total</v>
      </c>
      <c r="C9" s="434"/>
      <c r="D9" s="435"/>
      <c r="E9" s="436">
        <f>SUBTOTAL(9,E4:E8)</f>
        <v>5</v>
      </c>
      <c r="F9" s="421"/>
      <c r="G9" s="421"/>
      <c r="H9" s="494">
        <f>SUBTOTAL(9,H4:H8)</f>
        <v>20.937999999999995</v>
      </c>
      <c r="I9" s="493"/>
      <c r="J9" s="493"/>
      <c r="K9" s="421"/>
      <c r="L9" s="422"/>
      <c r="M9" s="422"/>
      <c r="N9" s="495">
        <f>SUBTOTAL(9,N4:N8)</f>
        <v>123957.14759999997</v>
      </c>
      <c r="O9" s="437" t="s">
        <v>841</v>
      </c>
      <c r="P9" s="437" t="s">
        <v>842</v>
      </c>
      <c r="Q9" s="438"/>
      <c r="R9" s="439"/>
      <c r="S9" s="440"/>
      <c r="T9" s="321"/>
      <c r="U9" s="47">
        <f t="shared" si="2"/>
        <v>0</v>
      </c>
      <c r="V9" s="441"/>
      <c r="W9" s="392"/>
      <c r="X9" s="442"/>
      <c r="Y9" s="405"/>
      <c r="Z9" s="443"/>
      <c r="AA9" s="419"/>
      <c r="AB9" s="419"/>
    </row>
    <row r="10" spans="1:28">
      <c r="A10" s="241">
        <f>'Flat Sizes'!A11</f>
        <v>2</v>
      </c>
      <c r="B10" s="270" t="str">
        <f>'Flat Sizes'!B11</f>
        <v>Flat 1B,
2BHK</v>
      </c>
      <c r="C10" s="213"/>
      <c r="D10" s="414"/>
      <c r="E10" s="407"/>
      <c r="F10" s="408"/>
      <c r="G10" s="408"/>
      <c r="H10" s="492"/>
      <c r="I10" s="492"/>
      <c r="J10" s="491"/>
      <c r="K10" s="408"/>
      <c r="L10" s="409"/>
      <c r="M10" s="409"/>
      <c r="N10" s="410"/>
      <c r="O10" s="253" t="s">
        <v>396</v>
      </c>
      <c r="P10" s="253" t="s">
        <v>843</v>
      </c>
      <c r="Q10" s="392">
        <f>'Room Conf'!M40</f>
        <v>18</v>
      </c>
      <c r="R10" s="415"/>
      <c r="S10" s="416"/>
      <c r="T10" s="417"/>
      <c r="U10" s="47">
        <f t="shared" si="2"/>
        <v>0</v>
      </c>
      <c r="W10" s="392"/>
      <c r="X10" s="418"/>
      <c r="Y10" s="404"/>
      <c r="Z10" s="412"/>
      <c r="AA10" s="413"/>
      <c r="AB10" s="413"/>
    </row>
    <row r="11" spans="1:28">
      <c r="A11" s="240">
        <f>'Flat Sizes'!A12</f>
        <v>1</v>
      </c>
      <c r="B11" s="244" t="str">
        <f>'Flat Sizes'!B12</f>
        <v>Living, Dining &amp; Passage</v>
      </c>
      <c r="C11" s="213" t="s">
        <v>392</v>
      </c>
      <c r="D11" s="414"/>
      <c r="E11" s="407">
        <v>1</v>
      </c>
      <c r="F11" s="408">
        <f>VLOOKUP(C11,'D&amp;W Schedule'!$B$4:$F$20,2,FALSE)</f>
        <v>5.3</v>
      </c>
      <c r="G11" s="408">
        <f>VLOOKUP(C11,'D&amp;W Schedule'!$B$4:$F$20,3,FALSE)</f>
        <v>2.15</v>
      </c>
      <c r="H11" s="492">
        <f>VLOOKUP(C11,'D&amp;W Schedule'!$B$4:$F$20,4,FALSE)</f>
        <v>11.395</v>
      </c>
      <c r="I11" s="492">
        <f>VLOOKUP(C11,'D&amp;W Schedule'!$B$4:$F$20,5,FALSE)</f>
        <v>5920.2</v>
      </c>
      <c r="J11" s="492">
        <f t="shared" ref="J11:J16" si="3">H11*I11</f>
        <v>67460.678999999989</v>
      </c>
      <c r="K11" s="408"/>
      <c r="L11" s="409"/>
      <c r="M11" s="409"/>
      <c r="N11" s="410">
        <f t="shared" si="1"/>
        <v>67460.678999999989</v>
      </c>
      <c r="O11" s="253" t="s">
        <v>393</v>
      </c>
      <c r="P11" s="253" t="s">
        <v>844</v>
      </c>
      <c r="Q11" s="392"/>
      <c r="R11" s="415">
        <f>H11*$Q$10</f>
        <v>205.10999999999999</v>
      </c>
      <c r="S11" s="416">
        <f>J11*$Q$10</f>
        <v>1214292.2219999998</v>
      </c>
      <c r="T11" s="417"/>
      <c r="U11" s="47" t="str">
        <f t="shared" si="2"/>
        <v>W1</v>
      </c>
      <c r="W11" s="392"/>
      <c r="X11" s="418"/>
      <c r="Y11" s="404"/>
      <c r="Z11" s="412"/>
      <c r="AA11" s="413"/>
      <c r="AB11" s="413"/>
    </row>
    <row r="12" spans="1:28">
      <c r="A12" s="240">
        <f>'Flat Sizes'!A13</f>
        <v>2</v>
      </c>
      <c r="B12" s="244" t="str">
        <f>'Flat Sizes'!B13</f>
        <v>M. Bedroom</v>
      </c>
      <c r="C12" s="213" t="s">
        <v>394</v>
      </c>
      <c r="D12" s="414"/>
      <c r="E12" s="407">
        <v>1</v>
      </c>
      <c r="F12" s="408">
        <f>VLOOKUP(C12,'D&amp;W Schedule'!$B$4:$F$20,2,FALSE)</f>
        <v>3.05</v>
      </c>
      <c r="G12" s="408">
        <f>VLOOKUP(C12,'D&amp;W Schedule'!$B$4:$F$20,3,FALSE)</f>
        <v>2.15</v>
      </c>
      <c r="H12" s="492">
        <f>VLOOKUP(C12,'D&amp;W Schedule'!$B$4:$F$20,4,FALSE)</f>
        <v>6.5574999999999992</v>
      </c>
      <c r="I12" s="492">
        <f>VLOOKUP(C12,'D&amp;W Schedule'!$B$4:$F$20,5,FALSE)</f>
        <v>5920.2</v>
      </c>
      <c r="J12" s="492">
        <f t="shared" si="3"/>
        <v>38821.711499999998</v>
      </c>
      <c r="K12" s="408"/>
      <c r="L12" s="409"/>
      <c r="M12" s="409"/>
      <c r="N12" s="410">
        <f t="shared" si="1"/>
        <v>38821.711499999998</v>
      </c>
      <c r="O12" s="253" t="s">
        <v>403</v>
      </c>
      <c r="P12" s="253" t="s">
        <v>476</v>
      </c>
      <c r="Q12" s="392"/>
      <c r="R12" s="415">
        <f t="shared" ref="R12:R16" si="4">H12*$Q$10</f>
        <v>118.03499999999998</v>
      </c>
      <c r="S12" s="416">
        <f t="shared" ref="S12:S16" si="5">J12*$Q$10</f>
        <v>698790.80699999991</v>
      </c>
      <c r="T12" s="417"/>
      <c r="U12" s="47" t="str">
        <f t="shared" si="2"/>
        <v>W4</v>
      </c>
      <c r="W12" s="392"/>
      <c r="X12" s="418"/>
      <c r="Y12" s="404"/>
      <c r="Z12" s="412"/>
      <c r="AA12" s="413"/>
      <c r="AB12" s="413"/>
    </row>
    <row r="13" spans="1:28">
      <c r="A13" s="240">
        <f>'Flat Sizes'!A14</f>
        <v>3</v>
      </c>
      <c r="B13" s="244" t="str">
        <f>'Flat Sizes'!B14</f>
        <v>M. Toilet</v>
      </c>
      <c r="C13" s="213" t="s">
        <v>395</v>
      </c>
      <c r="D13" s="414"/>
      <c r="E13" s="407">
        <v>1</v>
      </c>
      <c r="F13" s="408">
        <f>VLOOKUP(C13,'D&amp;W Schedule'!$B$4:$F$20,2,FALSE)</f>
        <v>0.6</v>
      </c>
      <c r="G13" s="408">
        <f>VLOOKUP(C13,'D&amp;W Schedule'!$B$4:$F$20,3,FALSE)</f>
        <v>0.75</v>
      </c>
      <c r="H13" s="492">
        <f>VLOOKUP(C13,'D&amp;W Schedule'!$B$4:$F$20,4,FALSE)</f>
        <v>0.44999999999999996</v>
      </c>
      <c r="I13" s="492">
        <f>VLOOKUP(C13,'D&amp;W Schedule'!$B$4:$F$20,5,FALSE)</f>
        <v>5920.2</v>
      </c>
      <c r="J13" s="492">
        <f t="shared" si="3"/>
        <v>2664.0899999999997</v>
      </c>
      <c r="K13" s="408"/>
      <c r="L13" s="409"/>
      <c r="M13" s="409"/>
      <c r="N13" s="410">
        <f t="shared" si="1"/>
        <v>2664.0899999999997</v>
      </c>
      <c r="O13" s="253" t="s">
        <v>402</v>
      </c>
      <c r="P13" s="253" t="s">
        <v>845</v>
      </c>
      <c r="Q13" s="392"/>
      <c r="R13" s="415">
        <f t="shared" si="4"/>
        <v>8.1</v>
      </c>
      <c r="S13" s="416">
        <f t="shared" si="5"/>
        <v>47953.619999999995</v>
      </c>
      <c r="T13" s="417"/>
      <c r="U13" s="47" t="str">
        <f t="shared" si="2"/>
        <v>V</v>
      </c>
      <c r="W13" s="392"/>
      <c r="X13" s="418"/>
      <c r="Y13" s="404"/>
      <c r="Z13" s="412"/>
      <c r="AA13" s="413"/>
      <c r="AB13" s="413"/>
    </row>
    <row r="14" spans="1:28">
      <c r="A14" s="240">
        <f>'Flat Sizes'!A15</f>
        <v>4</v>
      </c>
      <c r="B14" s="244" t="str">
        <f>'Flat Sizes'!B15</f>
        <v>C.Bedroom</v>
      </c>
      <c r="C14" s="213" t="s">
        <v>394</v>
      </c>
      <c r="D14" s="414"/>
      <c r="E14" s="407">
        <v>1</v>
      </c>
      <c r="F14" s="408">
        <f>VLOOKUP(C14,'D&amp;W Schedule'!$B$4:$F$20,2,FALSE)</f>
        <v>3.05</v>
      </c>
      <c r="G14" s="408">
        <f>VLOOKUP(C14,'D&amp;W Schedule'!$B$4:$F$20,3,FALSE)</f>
        <v>2.15</v>
      </c>
      <c r="H14" s="492">
        <f>VLOOKUP(C14,'D&amp;W Schedule'!$B$4:$F$20,4,FALSE)</f>
        <v>6.5574999999999992</v>
      </c>
      <c r="I14" s="492">
        <f>VLOOKUP(C14,'D&amp;W Schedule'!$B$4:$F$20,5,FALSE)</f>
        <v>5920.2</v>
      </c>
      <c r="J14" s="492">
        <f t="shared" si="3"/>
        <v>38821.711499999998</v>
      </c>
      <c r="K14" s="408"/>
      <c r="L14" s="409"/>
      <c r="M14" s="409"/>
      <c r="N14" s="410">
        <f t="shared" si="1"/>
        <v>38821.711499999998</v>
      </c>
      <c r="O14" s="253" t="s">
        <v>395</v>
      </c>
      <c r="P14" s="253" t="s">
        <v>709</v>
      </c>
      <c r="Q14" s="392"/>
      <c r="R14" s="415">
        <f t="shared" si="4"/>
        <v>118.03499999999998</v>
      </c>
      <c r="S14" s="416">
        <f t="shared" si="5"/>
        <v>698790.80699999991</v>
      </c>
      <c r="T14" s="417"/>
      <c r="U14" s="47" t="str">
        <f t="shared" si="2"/>
        <v>W4</v>
      </c>
      <c r="W14" s="392"/>
      <c r="Y14" s="392"/>
      <c r="AA14" s="515"/>
      <c r="AB14" s="419"/>
    </row>
    <row r="15" spans="1:28">
      <c r="A15" s="240">
        <f>'Flat Sizes'!A16</f>
        <v>5</v>
      </c>
      <c r="B15" s="244" t="str">
        <f>'Flat Sizes'!B16</f>
        <v>C. Toilet</v>
      </c>
      <c r="C15" s="213" t="s">
        <v>395</v>
      </c>
      <c r="D15" s="414"/>
      <c r="E15" s="407">
        <v>1</v>
      </c>
      <c r="F15" s="408">
        <f>VLOOKUP(C15,'D&amp;W Schedule'!$B$4:$F$20,2,FALSE)</f>
        <v>0.6</v>
      </c>
      <c r="G15" s="408">
        <f>VLOOKUP(C15,'D&amp;W Schedule'!$B$4:$F$20,3,FALSE)</f>
        <v>0.75</v>
      </c>
      <c r="H15" s="492">
        <f>VLOOKUP(C15,'D&amp;W Schedule'!$B$4:$F$20,4,FALSE)</f>
        <v>0.44999999999999996</v>
      </c>
      <c r="I15" s="492">
        <f>VLOOKUP(C15,'D&amp;W Schedule'!$B$4:$F$20,5,FALSE)</f>
        <v>5920.2</v>
      </c>
      <c r="J15" s="492">
        <f t="shared" si="3"/>
        <v>2664.0899999999997</v>
      </c>
      <c r="K15" s="408"/>
      <c r="L15" s="409"/>
      <c r="M15" s="409"/>
      <c r="N15" s="410">
        <f t="shared" si="1"/>
        <v>2664.0899999999997</v>
      </c>
      <c r="Q15" s="392"/>
      <c r="R15" s="415">
        <f t="shared" si="4"/>
        <v>8.1</v>
      </c>
      <c r="S15" s="416">
        <f t="shared" si="5"/>
        <v>47953.619999999995</v>
      </c>
      <c r="T15" s="417"/>
      <c r="U15" s="47" t="str">
        <f t="shared" si="2"/>
        <v>V</v>
      </c>
      <c r="W15" s="392"/>
      <c r="Y15" s="392"/>
    </row>
    <row r="16" spans="1:28">
      <c r="A16" s="240">
        <f>'Flat Sizes'!A17</f>
        <v>6</v>
      </c>
      <c r="B16" s="244" t="str">
        <f>'Flat Sizes'!B17</f>
        <v>Kitchen</v>
      </c>
      <c r="C16" s="213" t="s">
        <v>396</v>
      </c>
      <c r="D16" s="420"/>
      <c r="E16" s="407">
        <v>1</v>
      </c>
      <c r="F16" s="408">
        <f>VLOOKUP(C16,'D&amp;W Schedule'!$B$4:$F$20,2,FALSE)</f>
        <v>1</v>
      </c>
      <c r="G16" s="408">
        <f>VLOOKUP(C16,'D&amp;W Schedule'!$B$4:$F$20,3,FALSE)</f>
        <v>2.15</v>
      </c>
      <c r="H16" s="492">
        <f>VLOOKUP(C16,'D&amp;W Schedule'!$B$4:$F$20,4,FALSE)</f>
        <v>2.15</v>
      </c>
      <c r="I16" s="492">
        <f>VLOOKUP(C16,'D&amp;W Schedule'!$B$4:$F$20,5,FALSE)</f>
        <v>5920.2</v>
      </c>
      <c r="J16" s="492">
        <f t="shared" si="3"/>
        <v>12728.429999999998</v>
      </c>
      <c r="K16" s="408"/>
      <c r="L16" s="422"/>
      <c r="M16" s="422"/>
      <c r="N16" s="410">
        <f t="shared" si="1"/>
        <v>12728.429999999998</v>
      </c>
      <c r="Q16" s="392"/>
      <c r="R16" s="415">
        <f t="shared" si="4"/>
        <v>38.699999999999996</v>
      </c>
      <c r="S16" s="416">
        <f t="shared" si="5"/>
        <v>229111.73999999996</v>
      </c>
      <c r="T16" s="417"/>
      <c r="U16" s="47" t="str">
        <f t="shared" si="2"/>
        <v>W7</v>
      </c>
      <c r="V16" s="395"/>
      <c r="W16" s="392"/>
      <c r="Y16" s="392"/>
      <c r="AB16" s="389"/>
    </row>
    <row r="17" spans="1:28" ht="14.4">
      <c r="A17" s="240">
        <f>'Flat Sizes'!A18</f>
        <v>7</v>
      </c>
      <c r="B17" s="244" t="str">
        <f>'Flat Sizes'!B18</f>
        <v>Utility</v>
      </c>
      <c r="C17" s="213" t="s">
        <v>397</v>
      </c>
      <c r="D17" s="406"/>
      <c r="E17" s="407">
        <v>1</v>
      </c>
      <c r="F17" s="408"/>
      <c r="G17" s="408"/>
      <c r="H17" s="492"/>
      <c r="I17" s="492"/>
      <c r="J17" s="491"/>
      <c r="K17" s="408">
        <f>F16</f>
        <v>1</v>
      </c>
      <c r="L17" s="409">
        <f>'D&amp;W Schedule'!$F$20</f>
        <v>9500</v>
      </c>
      <c r="M17" s="409">
        <f>K17*L17</f>
        <v>9500</v>
      </c>
      <c r="N17" s="410">
        <f t="shared" si="1"/>
        <v>9500</v>
      </c>
      <c r="O17" s="423"/>
      <c r="Q17" s="392"/>
      <c r="R17" s="415">
        <f>K17*$Q$10</f>
        <v>18</v>
      </c>
      <c r="S17" s="416">
        <f>M17*$Q$10</f>
        <v>171000</v>
      </c>
      <c r="U17" s="47" t="str">
        <f t="shared" si="2"/>
        <v>UR</v>
      </c>
      <c r="W17"/>
      <c r="Y17" s="392"/>
      <c r="AB17" s="323"/>
    </row>
    <row r="18" spans="1:28" ht="14.4">
      <c r="A18" s="240">
        <f>'Flat Sizes'!A19</f>
        <v>8</v>
      </c>
      <c r="B18" s="244" t="str">
        <f>'Flat Sizes'!B19</f>
        <v>Balcony</v>
      </c>
      <c r="C18" s="213" t="s">
        <v>398</v>
      </c>
      <c r="D18" s="414"/>
      <c r="E18" s="407">
        <v>1</v>
      </c>
      <c r="F18" s="408"/>
      <c r="G18" s="408"/>
      <c r="H18" s="492"/>
      <c r="I18" s="492"/>
      <c r="J18" s="491"/>
      <c r="K18" s="408">
        <f>1.37+2.13</f>
        <v>3.5</v>
      </c>
      <c r="L18" s="409">
        <f>'D&amp;W Schedule'!$F$20</f>
        <v>9500</v>
      </c>
      <c r="M18" s="409">
        <f>K18*L18</f>
        <v>33250</v>
      </c>
      <c r="N18" s="410">
        <f t="shared" si="1"/>
        <v>33250</v>
      </c>
      <c r="Q18" s="392"/>
      <c r="R18" s="415">
        <f>K18*$Q$10</f>
        <v>63</v>
      </c>
      <c r="S18" s="416">
        <f>M18*$Q$10</f>
        <v>598500</v>
      </c>
      <c r="T18" s="417"/>
      <c r="U18" s="47" t="str">
        <f t="shared" si="2"/>
        <v>BR</v>
      </c>
      <c r="W18"/>
      <c r="Y18" s="392"/>
      <c r="AB18" s="323"/>
    </row>
    <row r="19" spans="1:28" ht="14.4">
      <c r="A19" s="245"/>
      <c r="B19" s="246" t="str">
        <f>'Flat Sizes'!B20</f>
        <v>Sub Total</v>
      </c>
      <c r="C19" s="213"/>
      <c r="D19" s="414"/>
      <c r="E19" s="436">
        <f>SUBTOTAL(9,E11:E18)</f>
        <v>8</v>
      </c>
      <c r="F19" s="421"/>
      <c r="G19" s="421"/>
      <c r="H19" s="494">
        <f>SUBTOTAL(9,H11:H18)</f>
        <v>27.56</v>
      </c>
      <c r="I19" s="493"/>
      <c r="J19" s="493"/>
      <c r="K19" s="421"/>
      <c r="L19" s="422"/>
      <c r="M19" s="422"/>
      <c r="N19" s="495">
        <f>SUBTOTAL(9,N11:N18)</f>
        <v>205910.71199999997</v>
      </c>
      <c r="Q19" s="392"/>
      <c r="R19" s="415"/>
      <c r="S19" s="416"/>
      <c r="T19" s="417"/>
      <c r="U19" s="47">
        <f t="shared" si="2"/>
        <v>0</v>
      </c>
      <c r="W19"/>
      <c r="Y19" s="392"/>
      <c r="AB19" s="323"/>
    </row>
    <row r="20" spans="1:28" ht="14.4">
      <c r="A20" s="241">
        <f>'Flat Sizes'!A21</f>
        <v>3</v>
      </c>
      <c r="B20" s="270" t="str">
        <f>'Flat Sizes'!B21</f>
        <v>Flat 2A</v>
      </c>
      <c r="C20" s="213"/>
      <c r="D20" s="414"/>
      <c r="E20" s="407"/>
      <c r="F20" s="408"/>
      <c r="G20" s="408"/>
      <c r="H20" s="492"/>
      <c r="I20" s="492"/>
      <c r="J20" s="491"/>
      <c r="K20" s="408"/>
      <c r="L20" s="409"/>
      <c r="M20" s="409"/>
      <c r="N20" s="410"/>
      <c r="Q20" s="392">
        <f>'Room Conf'!N40</f>
        <v>10</v>
      </c>
      <c r="R20" s="415"/>
      <c r="S20" s="416"/>
      <c r="T20" s="417"/>
      <c r="U20" s="47">
        <f t="shared" si="2"/>
        <v>0</v>
      </c>
      <c r="W20"/>
      <c r="Y20" s="392"/>
      <c r="AB20" s="323"/>
    </row>
    <row r="21" spans="1:28" ht="14.4">
      <c r="A21" s="240">
        <f>'Flat Sizes'!A22</f>
        <v>1</v>
      </c>
      <c r="B21" s="244" t="str">
        <f>'Flat Sizes'!B22</f>
        <v>Multi Purpose Room</v>
      </c>
      <c r="C21" s="213" t="s">
        <v>392</v>
      </c>
      <c r="D21" s="414"/>
      <c r="E21" s="407">
        <v>1</v>
      </c>
      <c r="F21" s="408">
        <f>VLOOKUP(C21,'D&amp;W Schedule'!$B$4:$F$20,2,FALSE)</f>
        <v>5.3</v>
      </c>
      <c r="G21" s="408">
        <f>VLOOKUP(C21,'D&amp;W Schedule'!$B$4:$F$20,3,FALSE)</f>
        <v>2.15</v>
      </c>
      <c r="H21" s="492">
        <f>VLOOKUP(C21,'D&amp;W Schedule'!$B$4:$F$20,4,FALSE)</f>
        <v>11.395</v>
      </c>
      <c r="I21" s="492">
        <f>VLOOKUP(C21,'D&amp;W Schedule'!$B$4:$F$20,5,FALSE)</f>
        <v>5920.2</v>
      </c>
      <c r="J21" s="492">
        <f t="shared" ref="J21:J25" si="6">H21*I21</f>
        <v>67460.678999999989</v>
      </c>
      <c r="K21" s="408"/>
      <c r="L21" s="409"/>
      <c r="M21" s="409"/>
      <c r="N21" s="410">
        <f t="shared" si="1"/>
        <v>67460.678999999989</v>
      </c>
      <c r="Q21" s="392"/>
      <c r="R21" s="415">
        <f>H21*$Q$20</f>
        <v>113.94999999999999</v>
      </c>
      <c r="S21" s="416">
        <f>J21*$Q$20</f>
        <v>674606.78999999992</v>
      </c>
      <c r="T21" s="417"/>
      <c r="U21" s="47" t="str">
        <f t="shared" si="2"/>
        <v>W1</v>
      </c>
      <c r="W21"/>
      <c r="Y21" s="392"/>
      <c r="AB21" s="323"/>
    </row>
    <row r="22" spans="1:28" ht="14.4">
      <c r="A22" s="240">
        <f>'Flat Sizes'!A23</f>
        <v>2</v>
      </c>
      <c r="B22" s="244" t="str">
        <f>'Flat Sizes'!B23</f>
        <v>Study Room</v>
      </c>
      <c r="C22" s="213" t="s">
        <v>393</v>
      </c>
      <c r="D22" s="414"/>
      <c r="E22" s="407">
        <v>1</v>
      </c>
      <c r="F22" s="408">
        <f>VLOOKUP(C22,'D&amp;W Schedule'!$B$4:$F$20,2,FALSE)</f>
        <v>0.97</v>
      </c>
      <c r="G22" s="408">
        <f>VLOOKUP(C22,'D&amp;W Schedule'!$B$4:$F$20,3,FALSE)</f>
        <v>2.15</v>
      </c>
      <c r="H22" s="492">
        <f>VLOOKUP(C22,'D&amp;W Schedule'!$B$4:$F$20,4,FALSE)</f>
        <v>2.0854999999999997</v>
      </c>
      <c r="I22" s="492">
        <f>VLOOKUP(C22,'D&amp;W Schedule'!$B$4:$F$20,5,FALSE)</f>
        <v>5920.2</v>
      </c>
      <c r="J22" s="492">
        <f t="shared" si="6"/>
        <v>12346.577099999999</v>
      </c>
      <c r="K22" s="408"/>
      <c r="L22" s="409"/>
      <c r="M22" s="409"/>
      <c r="N22" s="410">
        <f t="shared" si="1"/>
        <v>12346.577099999999</v>
      </c>
      <c r="Q22" s="392"/>
      <c r="R22" s="415">
        <f t="shared" ref="R22:R25" si="7">H22*$Q$20</f>
        <v>20.854999999999997</v>
      </c>
      <c r="S22" s="416">
        <f t="shared" ref="S22:S25" si="8">J22*$Q$20</f>
        <v>123465.77099999998</v>
      </c>
      <c r="T22" s="417"/>
      <c r="U22" s="47" t="str">
        <f t="shared" si="2"/>
        <v>W8</v>
      </c>
      <c r="W22"/>
      <c r="Y22" s="392"/>
      <c r="AB22" s="323"/>
    </row>
    <row r="23" spans="1:28" ht="14.4">
      <c r="A23" s="240">
        <f>'Flat Sizes'!A24</f>
        <v>3</v>
      </c>
      <c r="B23" s="244" t="str">
        <f>'Flat Sizes'!B24</f>
        <v>M. Bedroom</v>
      </c>
      <c r="C23" s="213" t="s">
        <v>394</v>
      </c>
      <c r="D23" s="420"/>
      <c r="E23" s="407">
        <v>1</v>
      </c>
      <c r="F23" s="408">
        <f>VLOOKUP(C23,'D&amp;W Schedule'!$B$4:$F$20,2,FALSE)</f>
        <v>3.05</v>
      </c>
      <c r="G23" s="408">
        <f>VLOOKUP(C23,'D&amp;W Schedule'!$B$4:$F$20,3,FALSE)</f>
        <v>2.15</v>
      </c>
      <c r="H23" s="492">
        <f>VLOOKUP(C23,'D&amp;W Schedule'!$B$4:$F$20,4,FALSE)</f>
        <v>6.5574999999999992</v>
      </c>
      <c r="I23" s="492">
        <f>VLOOKUP(C23,'D&amp;W Schedule'!$B$4:$F$20,5,FALSE)</f>
        <v>5920.2</v>
      </c>
      <c r="J23" s="492">
        <f t="shared" si="6"/>
        <v>38821.711499999998</v>
      </c>
      <c r="K23" s="408"/>
      <c r="L23" s="422"/>
      <c r="M23" s="422"/>
      <c r="N23" s="410">
        <f t="shared" si="1"/>
        <v>38821.711499999998</v>
      </c>
      <c r="Q23" s="392"/>
      <c r="R23" s="415">
        <f t="shared" si="7"/>
        <v>65.574999999999989</v>
      </c>
      <c r="S23" s="416">
        <f t="shared" si="8"/>
        <v>388217.11499999999</v>
      </c>
      <c r="T23" s="417"/>
      <c r="U23" s="47" t="str">
        <f t="shared" si="2"/>
        <v>W4</v>
      </c>
      <c r="V23" s="395"/>
      <c r="W23"/>
      <c r="X23" s="424"/>
      <c r="Y23" s="392"/>
      <c r="AB23" s="323"/>
    </row>
    <row r="24" spans="1:28" ht="14.4">
      <c r="A24" s="240">
        <f>'Flat Sizes'!A25</f>
        <v>4</v>
      </c>
      <c r="B24" s="244" t="str">
        <f>'Flat Sizes'!B25</f>
        <v>M. Toilet</v>
      </c>
      <c r="C24" s="213" t="s">
        <v>395</v>
      </c>
      <c r="D24" s="406"/>
      <c r="E24" s="407">
        <v>1</v>
      </c>
      <c r="F24" s="408">
        <f>VLOOKUP(C24,'D&amp;W Schedule'!$B$4:$F$20,2,FALSE)</f>
        <v>0.6</v>
      </c>
      <c r="G24" s="408">
        <f>VLOOKUP(C24,'D&amp;W Schedule'!$B$4:$F$20,3,FALSE)</f>
        <v>0.75</v>
      </c>
      <c r="H24" s="492">
        <f>VLOOKUP(C24,'D&amp;W Schedule'!$B$4:$F$20,4,FALSE)</f>
        <v>0.44999999999999996</v>
      </c>
      <c r="I24" s="492">
        <f>VLOOKUP(C24,'D&amp;W Schedule'!$B$4:$F$20,5,FALSE)</f>
        <v>5920.2</v>
      </c>
      <c r="J24" s="492">
        <f t="shared" si="6"/>
        <v>2664.0899999999997</v>
      </c>
      <c r="K24" s="408"/>
      <c r="L24" s="409"/>
      <c r="M24" s="409"/>
      <c r="N24" s="410">
        <f t="shared" si="1"/>
        <v>2664.0899999999997</v>
      </c>
      <c r="O24" s="423"/>
      <c r="Q24" s="392"/>
      <c r="R24" s="415">
        <f t="shared" si="7"/>
        <v>4.5</v>
      </c>
      <c r="S24" s="416">
        <f t="shared" si="8"/>
        <v>26640.899999999998</v>
      </c>
      <c r="T24" s="417"/>
      <c r="U24" s="47" t="str">
        <f t="shared" si="2"/>
        <v>V</v>
      </c>
      <c r="V24" s="395"/>
      <c r="W24"/>
      <c r="X24" s="424"/>
      <c r="Y24" s="392"/>
      <c r="AB24" s="323"/>
    </row>
    <row r="25" spans="1:28" ht="14.4">
      <c r="A25" s="240">
        <f>'Flat Sizes'!A26</f>
        <v>5</v>
      </c>
      <c r="B25" s="244" t="str">
        <f>'Flat Sizes'!B26</f>
        <v>C. Toilet</v>
      </c>
      <c r="C25" s="213" t="s">
        <v>395</v>
      </c>
      <c r="D25" s="414"/>
      <c r="E25" s="407">
        <v>1</v>
      </c>
      <c r="F25" s="408">
        <f>VLOOKUP(C25,'D&amp;W Schedule'!$B$4:$F$20,2,FALSE)</f>
        <v>0.6</v>
      </c>
      <c r="G25" s="408">
        <f>VLOOKUP(C25,'D&amp;W Schedule'!$B$4:$F$20,3,FALSE)</f>
        <v>0.75</v>
      </c>
      <c r="H25" s="492">
        <f>VLOOKUP(C25,'D&amp;W Schedule'!$B$4:$F$20,4,FALSE)</f>
        <v>0.44999999999999996</v>
      </c>
      <c r="I25" s="492">
        <f>VLOOKUP(C25,'D&amp;W Schedule'!$B$4:$F$20,5,FALSE)</f>
        <v>5920.2</v>
      </c>
      <c r="J25" s="492">
        <f t="shared" si="6"/>
        <v>2664.0899999999997</v>
      </c>
      <c r="K25" s="408"/>
      <c r="L25" s="409"/>
      <c r="M25" s="409"/>
      <c r="N25" s="410">
        <f t="shared" si="1"/>
        <v>2664.0899999999997</v>
      </c>
      <c r="R25" s="415">
        <f t="shared" si="7"/>
        <v>4.5</v>
      </c>
      <c r="S25" s="416">
        <f t="shared" si="8"/>
        <v>26640.899999999998</v>
      </c>
      <c r="T25" s="417"/>
      <c r="U25" s="47" t="str">
        <f t="shared" si="2"/>
        <v>V</v>
      </c>
      <c r="V25" s="395"/>
      <c r="W25"/>
      <c r="X25" s="424"/>
      <c r="Y25" s="392"/>
      <c r="AB25" s="389"/>
    </row>
    <row r="26" spans="1:28" ht="14.4">
      <c r="A26" s="245"/>
      <c r="B26" s="246" t="str">
        <f>'Flat Sizes'!B27</f>
        <v>Sub Total</v>
      </c>
      <c r="C26" s="213"/>
      <c r="D26" s="414"/>
      <c r="E26" s="436">
        <f>SUBTOTAL(9,E21:E25)</f>
        <v>5</v>
      </c>
      <c r="F26" s="421"/>
      <c r="G26" s="421"/>
      <c r="H26" s="494">
        <f>SUBTOTAL(9,H21:H25)</f>
        <v>20.937999999999995</v>
      </c>
      <c r="I26" s="493"/>
      <c r="J26" s="493"/>
      <c r="K26" s="421"/>
      <c r="L26" s="422"/>
      <c r="M26" s="422"/>
      <c r="N26" s="495">
        <f>SUBTOTAL(9,N21:N25)</f>
        <v>123957.14759999997</v>
      </c>
      <c r="Q26" s="392"/>
      <c r="R26" s="415"/>
      <c r="S26" s="416"/>
      <c r="T26" s="417"/>
      <c r="U26" s="47">
        <f t="shared" si="2"/>
        <v>0</v>
      </c>
      <c r="V26" s="395"/>
      <c r="W26"/>
      <c r="X26" s="424"/>
      <c r="Y26" s="392"/>
      <c r="AB26" s="389"/>
    </row>
    <row r="27" spans="1:28" ht="14.4">
      <c r="A27" s="241">
        <f>'Flat Sizes'!A28</f>
        <v>4</v>
      </c>
      <c r="B27" s="270" t="str">
        <f>'Flat Sizes'!B28</f>
        <v>Flat 2B,
2BHK</v>
      </c>
      <c r="C27" s="213"/>
      <c r="D27" s="414"/>
      <c r="E27" s="407"/>
      <c r="F27" s="408"/>
      <c r="G27" s="408"/>
      <c r="H27" s="492"/>
      <c r="I27" s="492"/>
      <c r="J27" s="491"/>
      <c r="K27" s="408"/>
      <c r="L27" s="409"/>
      <c r="M27" s="409"/>
      <c r="N27" s="410"/>
      <c r="Q27" s="392">
        <f>'Room Conf'!O40</f>
        <v>18</v>
      </c>
      <c r="R27" s="415"/>
      <c r="S27" s="416"/>
      <c r="T27" s="417"/>
      <c r="U27" s="47">
        <f t="shared" si="2"/>
        <v>0</v>
      </c>
      <c r="V27" s="395"/>
      <c r="W27"/>
      <c r="Y27" s="392"/>
      <c r="AB27" s="389"/>
    </row>
    <row r="28" spans="1:28" ht="14.4">
      <c r="A28" s="240">
        <f>'Flat Sizes'!A29</f>
        <v>1</v>
      </c>
      <c r="B28" s="244" t="str">
        <f>'Flat Sizes'!B29</f>
        <v>Living, Dining &amp; Passage</v>
      </c>
      <c r="C28" s="213" t="s">
        <v>399</v>
      </c>
      <c r="D28" s="414"/>
      <c r="E28" s="407">
        <v>1</v>
      </c>
      <c r="F28" s="408">
        <f>VLOOKUP(C28,'D&amp;W Schedule'!$B$4:$F$20,2,FALSE)</f>
        <v>3.1</v>
      </c>
      <c r="G28" s="408">
        <f>VLOOKUP(C28,'D&amp;W Schedule'!$B$4:$F$20,3,FALSE)</f>
        <v>2.15</v>
      </c>
      <c r="H28" s="492">
        <f>VLOOKUP(C28,'D&amp;W Schedule'!$B$4:$F$20,4,FALSE)</f>
        <v>6.665</v>
      </c>
      <c r="I28" s="492">
        <f>VLOOKUP(C28,'D&amp;W Schedule'!$B$4:$F$20,5,FALSE)</f>
        <v>5920.2</v>
      </c>
      <c r="J28" s="492">
        <f t="shared" ref="J28:J33" si="9">H28*I28</f>
        <v>39458.133000000002</v>
      </c>
      <c r="K28" s="408"/>
      <c r="L28" s="409"/>
      <c r="M28" s="409"/>
      <c r="N28" s="410">
        <f t="shared" si="1"/>
        <v>39458.133000000002</v>
      </c>
      <c r="Q28" s="392"/>
      <c r="R28" s="415">
        <f>H28*$Q$27</f>
        <v>119.97</v>
      </c>
      <c r="S28" s="416">
        <f>J28*$Q$27</f>
        <v>710246.39400000009</v>
      </c>
      <c r="T28" s="417"/>
      <c r="U28" s="47" t="str">
        <f t="shared" si="2"/>
        <v>W2</v>
      </c>
      <c r="V28" s="395"/>
      <c r="W28"/>
      <c r="X28" s="425"/>
      <c r="Y28" s="392"/>
      <c r="AB28" s="389"/>
    </row>
    <row r="29" spans="1:28" ht="14.4">
      <c r="A29" s="240">
        <f>'Flat Sizes'!A30</f>
        <v>2</v>
      </c>
      <c r="B29" s="244" t="str">
        <f>'Flat Sizes'!B30</f>
        <v>M. Bedroom</v>
      </c>
      <c r="C29" s="213" t="s">
        <v>394</v>
      </c>
      <c r="D29" s="414"/>
      <c r="E29" s="407">
        <v>1</v>
      </c>
      <c r="F29" s="408">
        <f>VLOOKUP(C29,'D&amp;W Schedule'!$B$4:$F$20,2,FALSE)</f>
        <v>3.05</v>
      </c>
      <c r="G29" s="408">
        <f>VLOOKUP(C29,'D&amp;W Schedule'!$B$4:$F$20,3,FALSE)</f>
        <v>2.15</v>
      </c>
      <c r="H29" s="492">
        <f>VLOOKUP(C29,'D&amp;W Schedule'!$B$4:$F$20,4,FALSE)</f>
        <v>6.5574999999999992</v>
      </c>
      <c r="I29" s="492">
        <f>VLOOKUP(C29,'D&amp;W Schedule'!$B$4:$F$20,5,FALSE)</f>
        <v>5920.2</v>
      </c>
      <c r="J29" s="492">
        <f t="shared" si="9"/>
        <v>38821.711499999998</v>
      </c>
      <c r="K29" s="408"/>
      <c r="L29" s="409"/>
      <c r="M29" s="409"/>
      <c r="N29" s="410">
        <f t="shared" si="1"/>
        <v>38821.711499999998</v>
      </c>
      <c r="Q29" s="392"/>
      <c r="R29" s="415">
        <f t="shared" ref="R29:R33" si="10">H29*$Q$27</f>
        <v>118.03499999999998</v>
      </c>
      <c r="S29" s="416">
        <f t="shared" ref="S29:S33" si="11">J29*$Q$27</f>
        <v>698790.80699999991</v>
      </c>
      <c r="T29" s="417"/>
      <c r="U29" s="47" t="str">
        <f t="shared" si="2"/>
        <v>W4</v>
      </c>
      <c r="V29" s="395"/>
      <c r="W29"/>
      <c r="X29" s="425"/>
      <c r="Y29" s="392"/>
      <c r="AB29" s="389"/>
    </row>
    <row r="30" spans="1:28" ht="14.4">
      <c r="A30" s="240">
        <f>'Flat Sizes'!A31</f>
        <v>3</v>
      </c>
      <c r="B30" s="244" t="str">
        <f>'Flat Sizes'!B31</f>
        <v>M. Toilet</v>
      </c>
      <c r="C30" s="213" t="s">
        <v>395</v>
      </c>
      <c r="D30" s="414"/>
      <c r="E30" s="407">
        <v>1</v>
      </c>
      <c r="F30" s="408">
        <f>VLOOKUP(C30,'D&amp;W Schedule'!$B$4:$F$20,2,FALSE)</f>
        <v>0.6</v>
      </c>
      <c r="G30" s="408">
        <f>VLOOKUP(C30,'D&amp;W Schedule'!$B$4:$F$20,3,FALSE)</f>
        <v>0.75</v>
      </c>
      <c r="H30" s="492">
        <f>VLOOKUP(C30,'D&amp;W Schedule'!$B$4:$F$20,4,FALSE)</f>
        <v>0.44999999999999996</v>
      </c>
      <c r="I30" s="492">
        <f>VLOOKUP(C30,'D&amp;W Schedule'!$B$4:$F$20,5,FALSE)</f>
        <v>5920.2</v>
      </c>
      <c r="J30" s="492">
        <f t="shared" si="9"/>
        <v>2664.0899999999997</v>
      </c>
      <c r="K30" s="408"/>
      <c r="L30" s="409"/>
      <c r="M30" s="409"/>
      <c r="N30" s="410">
        <f t="shared" si="1"/>
        <v>2664.0899999999997</v>
      </c>
      <c r="Q30" s="392"/>
      <c r="R30" s="415">
        <f t="shared" si="10"/>
        <v>8.1</v>
      </c>
      <c r="S30" s="416">
        <f t="shared" si="11"/>
        <v>47953.619999999995</v>
      </c>
      <c r="T30" s="417"/>
      <c r="U30" s="47" t="str">
        <f t="shared" si="2"/>
        <v>V</v>
      </c>
      <c r="V30" s="395"/>
      <c r="W30"/>
      <c r="X30" s="425"/>
      <c r="Y30" s="392"/>
      <c r="AB30" s="389"/>
    </row>
    <row r="31" spans="1:28" ht="14.4">
      <c r="A31" s="240">
        <f>'Flat Sizes'!A32</f>
        <v>4</v>
      </c>
      <c r="B31" s="244" t="str">
        <f>'Flat Sizes'!B32</f>
        <v>C.Bedroom</v>
      </c>
      <c r="C31" s="213" t="s">
        <v>394</v>
      </c>
      <c r="D31" s="414"/>
      <c r="E31" s="407">
        <v>1</v>
      </c>
      <c r="F31" s="408">
        <f>VLOOKUP(C31,'D&amp;W Schedule'!$B$4:$F$20,2,FALSE)</f>
        <v>3.05</v>
      </c>
      <c r="G31" s="408">
        <f>VLOOKUP(C31,'D&amp;W Schedule'!$B$4:$F$20,3,FALSE)</f>
        <v>2.15</v>
      </c>
      <c r="H31" s="492">
        <f>VLOOKUP(C31,'D&amp;W Schedule'!$B$4:$F$20,4,FALSE)</f>
        <v>6.5574999999999992</v>
      </c>
      <c r="I31" s="492">
        <f>VLOOKUP(C31,'D&amp;W Schedule'!$B$4:$F$20,5,FALSE)</f>
        <v>5920.2</v>
      </c>
      <c r="J31" s="492">
        <f t="shared" si="9"/>
        <v>38821.711499999998</v>
      </c>
      <c r="K31" s="408"/>
      <c r="L31" s="409"/>
      <c r="M31" s="409"/>
      <c r="N31" s="410">
        <f t="shared" si="1"/>
        <v>38821.711499999998</v>
      </c>
      <c r="Q31" s="392"/>
      <c r="R31" s="415">
        <f t="shared" si="10"/>
        <v>118.03499999999998</v>
      </c>
      <c r="S31" s="416">
        <f t="shared" si="11"/>
        <v>698790.80699999991</v>
      </c>
      <c r="T31" s="417"/>
      <c r="U31" s="47" t="str">
        <f t="shared" si="2"/>
        <v>W4</v>
      </c>
      <c r="V31" s="395"/>
      <c r="W31"/>
      <c r="X31" s="425"/>
      <c r="Y31" s="392"/>
      <c r="AB31" s="389"/>
    </row>
    <row r="32" spans="1:28" ht="14.4">
      <c r="A32" s="240">
        <f>'Flat Sizes'!A33</f>
        <v>5</v>
      </c>
      <c r="B32" s="244" t="str">
        <f>'Flat Sizes'!B33</f>
        <v>C. Toilet</v>
      </c>
      <c r="C32" s="213" t="s">
        <v>395</v>
      </c>
      <c r="D32" s="414"/>
      <c r="E32" s="407">
        <v>1</v>
      </c>
      <c r="F32" s="408">
        <f>VLOOKUP(C32,'D&amp;W Schedule'!$B$4:$F$20,2,FALSE)</f>
        <v>0.6</v>
      </c>
      <c r="G32" s="408">
        <f>VLOOKUP(C32,'D&amp;W Schedule'!$B$4:$F$20,3,FALSE)</f>
        <v>0.75</v>
      </c>
      <c r="H32" s="492">
        <f>VLOOKUP(C32,'D&amp;W Schedule'!$B$4:$F$20,4,FALSE)</f>
        <v>0.44999999999999996</v>
      </c>
      <c r="I32" s="492">
        <f>VLOOKUP(C32,'D&amp;W Schedule'!$B$4:$F$20,5,FALSE)</f>
        <v>5920.2</v>
      </c>
      <c r="J32" s="492">
        <f t="shared" si="9"/>
        <v>2664.0899999999997</v>
      </c>
      <c r="K32" s="408"/>
      <c r="L32" s="409"/>
      <c r="M32" s="409"/>
      <c r="N32" s="410">
        <f t="shared" si="1"/>
        <v>2664.0899999999997</v>
      </c>
      <c r="Q32" s="392"/>
      <c r="R32" s="415">
        <f t="shared" si="10"/>
        <v>8.1</v>
      </c>
      <c r="S32" s="416">
        <f t="shared" si="11"/>
        <v>47953.619999999995</v>
      </c>
      <c r="T32" s="417"/>
      <c r="U32" s="47" t="str">
        <f t="shared" si="2"/>
        <v>V</v>
      </c>
      <c r="V32" s="395"/>
      <c r="W32"/>
      <c r="X32" s="425"/>
      <c r="Y32" s="392"/>
      <c r="AB32" s="389"/>
    </row>
    <row r="33" spans="1:25" ht="14.4">
      <c r="A33" s="240">
        <f>'Flat Sizes'!A34</f>
        <v>6</v>
      </c>
      <c r="B33" s="244" t="str">
        <f>'Flat Sizes'!B34</f>
        <v>Kitchen</v>
      </c>
      <c r="C33" s="213" t="s">
        <v>396</v>
      </c>
      <c r="D33" s="414"/>
      <c r="E33" s="407">
        <v>1</v>
      </c>
      <c r="F33" s="408">
        <f>VLOOKUP(C33,'D&amp;W Schedule'!$B$4:$F$20,2,FALSE)</f>
        <v>1</v>
      </c>
      <c r="G33" s="408">
        <f>VLOOKUP(C33,'D&amp;W Schedule'!$B$4:$F$20,3,FALSE)</f>
        <v>2.15</v>
      </c>
      <c r="H33" s="492">
        <f>VLOOKUP(C33,'D&amp;W Schedule'!$B$4:$F$20,4,FALSE)</f>
        <v>2.15</v>
      </c>
      <c r="I33" s="492">
        <f>VLOOKUP(C33,'D&amp;W Schedule'!$B$4:$F$20,5,FALSE)</f>
        <v>5920.2</v>
      </c>
      <c r="J33" s="492">
        <f t="shared" si="9"/>
        <v>12728.429999999998</v>
      </c>
      <c r="K33" s="408"/>
      <c r="L33" s="409"/>
      <c r="M33" s="409"/>
      <c r="N33" s="410">
        <f t="shared" si="1"/>
        <v>12728.429999999998</v>
      </c>
      <c r="Q33" s="392"/>
      <c r="R33" s="415">
        <f t="shared" si="10"/>
        <v>38.699999999999996</v>
      </c>
      <c r="S33" s="416">
        <f t="shared" si="11"/>
        <v>229111.73999999996</v>
      </c>
      <c r="T33" s="417"/>
      <c r="U33" s="47" t="str">
        <f t="shared" si="2"/>
        <v>W7</v>
      </c>
      <c r="V33" s="395"/>
      <c r="W33"/>
      <c r="X33" s="425"/>
      <c r="Y33" s="392"/>
    </row>
    <row r="34" spans="1:25" ht="14.4">
      <c r="A34" s="240">
        <f>'Flat Sizes'!A35</f>
        <v>7</v>
      </c>
      <c r="B34" s="244" t="str">
        <f>'Flat Sizes'!B35</f>
        <v>Utility</v>
      </c>
      <c r="C34" s="213" t="s">
        <v>397</v>
      </c>
      <c r="D34" s="420"/>
      <c r="E34" s="407">
        <v>1</v>
      </c>
      <c r="F34" s="408"/>
      <c r="G34" s="421"/>
      <c r="H34" s="493"/>
      <c r="I34" s="493"/>
      <c r="J34" s="532"/>
      <c r="K34" s="408">
        <f>F33</f>
        <v>1</v>
      </c>
      <c r="L34" s="409">
        <f>'D&amp;W Schedule'!$F$20</f>
        <v>9500</v>
      </c>
      <c r="M34" s="409">
        <f>K34*L34</f>
        <v>9500</v>
      </c>
      <c r="N34" s="410">
        <f t="shared" si="1"/>
        <v>9500</v>
      </c>
      <c r="Q34" s="392"/>
      <c r="R34" s="415">
        <f>K34*$Q$27</f>
        <v>18</v>
      </c>
      <c r="S34" s="416">
        <f>M34*$Q$27</f>
        <v>171000</v>
      </c>
      <c r="T34" s="417"/>
      <c r="U34" s="47" t="str">
        <f t="shared" si="2"/>
        <v>UR</v>
      </c>
      <c r="V34" s="46"/>
      <c r="W34"/>
      <c r="X34" s="425"/>
      <c r="Y34" s="392"/>
    </row>
    <row r="35" spans="1:25" ht="14.4">
      <c r="A35" s="240">
        <f>'Flat Sizes'!A36</f>
        <v>8</v>
      </c>
      <c r="B35" s="244" t="str">
        <f>'Flat Sizes'!B36</f>
        <v>Balcony</v>
      </c>
      <c r="C35" s="213" t="s">
        <v>398</v>
      </c>
      <c r="D35" s="406"/>
      <c r="E35" s="407">
        <v>1</v>
      </c>
      <c r="F35" s="408"/>
      <c r="G35" s="408"/>
      <c r="H35" s="492"/>
      <c r="I35" s="492"/>
      <c r="J35" s="491"/>
      <c r="K35" s="408">
        <f>2.13+1.37</f>
        <v>3.5</v>
      </c>
      <c r="L35" s="409">
        <f>'D&amp;W Schedule'!$F$20</f>
        <v>9500</v>
      </c>
      <c r="M35" s="409">
        <f>K35*L35</f>
        <v>33250</v>
      </c>
      <c r="N35" s="410">
        <f t="shared" si="1"/>
        <v>33250</v>
      </c>
      <c r="O35" s="423"/>
      <c r="Q35" s="392"/>
      <c r="R35" s="415">
        <f>K35*$Q$27</f>
        <v>63</v>
      </c>
      <c r="S35" s="416">
        <f>M35*$Q$27</f>
        <v>598500</v>
      </c>
      <c r="T35" s="417"/>
      <c r="U35" s="47" t="str">
        <f t="shared" si="2"/>
        <v>BR</v>
      </c>
      <c r="V35" s="46"/>
      <c r="W35"/>
      <c r="X35" s="425"/>
      <c r="Y35" s="392"/>
    </row>
    <row r="36" spans="1:25" ht="14.4">
      <c r="A36" s="245"/>
      <c r="B36" s="246" t="str">
        <f>'Flat Sizes'!B37</f>
        <v>Sub Total</v>
      </c>
      <c r="C36" s="213"/>
      <c r="D36" s="414"/>
      <c r="E36" s="436">
        <f>SUBTOTAL(9,E28:E35)</f>
        <v>8</v>
      </c>
      <c r="F36" s="421"/>
      <c r="G36" s="421"/>
      <c r="H36" s="494">
        <f>SUBTOTAL(9,H28:H35)</f>
        <v>22.829999999999995</v>
      </c>
      <c r="I36" s="493"/>
      <c r="J36" s="493"/>
      <c r="K36" s="421"/>
      <c r="L36" s="422"/>
      <c r="M36" s="422"/>
      <c r="N36" s="495">
        <f>SUBTOTAL(9,N28:N35)</f>
        <v>177908.166</v>
      </c>
      <c r="Q36" s="392"/>
      <c r="R36" s="415"/>
      <c r="S36" s="416"/>
      <c r="T36" s="417"/>
      <c r="U36" s="47">
        <f t="shared" si="2"/>
        <v>0</v>
      </c>
      <c r="V36" s="46"/>
      <c r="W36"/>
      <c r="X36" s="425"/>
      <c r="Y36" s="392"/>
    </row>
    <row r="37" spans="1:25" ht="14.4">
      <c r="A37" s="241">
        <f>'Flat Sizes'!A38</f>
        <v>5</v>
      </c>
      <c r="B37" s="270" t="str">
        <f>'Flat Sizes'!B38</f>
        <v>Flat 3A,
2BHK</v>
      </c>
      <c r="C37" s="213"/>
      <c r="D37" s="414"/>
      <c r="E37" s="407"/>
      <c r="F37" s="408"/>
      <c r="G37" s="408"/>
      <c r="H37" s="492"/>
      <c r="I37" s="492"/>
      <c r="J37" s="491"/>
      <c r="K37" s="408"/>
      <c r="L37" s="409"/>
      <c r="M37" s="409"/>
      <c r="N37" s="410"/>
      <c r="Q37" s="392">
        <f>'Room Conf'!P40</f>
        <v>3</v>
      </c>
      <c r="R37" s="415"/>
      <c r="S37" s="416"/>
      <c r="T37" s="417"/>
      <c r="U37" s="47">
        <f t="shared" si="2"/>
        <v>0</v>
      </c>
      <c r="V37" s="46"/>
      <c r="W37"/>
      <c r="X37" s="425"/>
      <c r="Y37" s="392"/>
    </row>
    <row r="38" spans="1:25" ht="14.4">
      <c r="A38" s="240">
        <f>'Flat Sizes'!A39</f>
        <v>1</v>
      </c>
      <c r="B38" s="244" t="str">
        <f>'Flat Sizes'!B39</f>
        <v>Living, Dining &amp; Passage</v>
      </c>
      <c r="C38" s="213" t="s">
        <v>400</v>
      </c>
      <c r="D38" s="414"/>
      <c r="E38" s="407">
        <v>1</v>
      </c>
      <c r="F38" s="408">
        <f>VLOOKUP(C38,'D&amp;W Schedule'!$B$4:$F$20,2,FALSE)</f>
        <v>2.77</v>
      </c>
      <c r="G38" s="408">
        <f>VLOOKUP(C38,'D&amp;W Schedule'!$B$4:$F$20,3,FALSE)</f>
        <v>2.15</v>
      </c>
      <c r="H38" s="492">
        <f>VLOOKUP(C38,'D&amp;W Schedule'!$B$4:$F$20,4,FALSE)</f>
        <v>5.9554999999999998</v>
      </c>
      <c r="I38" s="492">
        <f>VLOOKUP(C38,'D&amp;W Schedule'!$B$4:$F$20,5,FALSE)</f>
        <v>5920.2</v>
      </c>
      <c r="J38" s="492">
        <f t="shared" ref="J38:J44" si="12">H38*I38</f>
        <v>35257.751100000001</v>
      </c>
      <c r="K38" s="408"/>
      <c r="L38" s="409"/>
      <c r="M38" s="409"/>
      <c r="N38" s="410">
        <f t="shared" si="1"/>
        <v>35257.751100000001</v>
      </c>
      <c r="Q38" s="392"/>
      <c r="R38" s="415">
        <f>H38*$Q$37</f>
        <v>17.866499999999998</v>
      </c>
      <c r="S38" s="416">
        <f>J38*$Q$37</f>
        <v>105773.25330000001</v>
      </c>
      <c r="T38" s="417"/>
      <c r="U38" s="47" t="str">
        <f t="shared" si="2"/>
        <v>W3</v>
      </c>
      <c r="V38" s="46"/>
      <c r="W38"/>
      <c r="X38" s="425"/>
      <c r="Y38" s="392"/>
    </row>
    <row r="39" spans="1:25" ht="14.4">
      <c r="A39" s="240">
        <f>'Flat Sizes'!A40</f>
        <v>2</v>
      </c>
      <c r="B39" s="244" t="str">
        <f>'Flat Sizes'!B40</f>
        <v>M. Bedroom</v>
      </c>
      <c r="C39" s="213" t="s">
        <v>394</v>
      </c>
      <c r="D39" s="414"/>
      <c r="E39" s="407">
        <v>1</v>
      </c>
      <c r="F39" s="408">
        <f>VLOOKUP(C39,'D&amp;W Schedule'!$B$4:$F$20,2,FALSE)</f>
        <v>3.05</v>
      </c>
      <c r="G39" s="408">
        <f>VLOOKUP(C39,'D&amp;W Schedule'!$B$4:$F$20,3,FALSE)</f>
        <v>2.15</v>
      </c>
      <c r="H39" s="492">
        <f>VLOOKUP(C39,'D&amp;W Schedule'!$B$4:$F$20,4,FALSE)</f>
        <v>6.5574999999999992</v>
      </c>
      <c r="I39" s="492">
        <f>VLOOKUP(C39,'D&amp;W Schedule'!$B$4:$F$20,5,FALSE)</f>
        <v>5920.2</v>
      </c>
      <c r="J39" s="492">
        <f t="shared" si="12"/>
        <v>38821.711499999998</v>
      </c>
      <c r="K39" s="408"/>
      <c r="L39" s="409"/>
      <c r="M39" s="409"/>
      <c r="N39" s="410">
        <f t="shared" si="1"/>
        <v>38821.711499999998</v>
      </c>
      <c r="Q39" s="392"/>
      <c r="R39" s="415">
        <f t="shared" ref="R39:R44" si="13">H39*$Q$37</f>
        <v>19.672499999999999</v>
      </c>
      <c r="S39" s="416">
        <f t="shared" ref="S39:S44" si="14">J39*$Q$37</f>
        <v>116465.13449999999</v>
      </c>
      <c r="T39" s="417"/>
      <c r="U39" s="47" t="str">
        <f t="shared" si="2"/>
        <v>W4</v>
      </c>
      <c r="V39" s="46"/>
      <c r="W39"/>
      <c r="X39" s="425"/>
      <c r="Y39" s="392"/>
    </row>
    <row r="40" spans="1:25" ht="14.4">
      <c r="A40" s="240">
        <f>'Flat Sizes'!A41</f>
        <v>3</v>
      </c>
      <c r="B40" s="244" t="str">
        <f>'Flat Sizes'!B41</f>
        <v>M. Toilet</v>
      </c>
      <c r="C40" s="213" t="s">
        <v>395</v>
      </c>
      <c r="D40" s="414"/>
      <c r="E40" s="407">
        <v>1</v>
      </c>
      <c r="F40" s="408">
        <f>VLOOKUP(C40,'D&amp;W Schedule'!$B$4:$F$20,2,FALSE)</f>
        <v>0.6</v>
      </c>
      <c r="G40" s="408">
        <f>VLOOKUP(C40,'D&amp;W Schedule'!$B$4:$F$20,3,FALSE)</f>
        <v>0.75</v>
      </c>
      <c r="H40" s="492">
        <f>VLOOKUP(C40,'D&amp;W Schedule'!$B$4:$F$20,4,FALSE)</f>
        <v>0.44999999999999996</v>
      </c>
      <c r="I40" s="492">
        <f>VLOOKUP(C40,'D&amp;W Schedule'!$B$4:$F$20,5,FALSE)</f>
        <v>5920.2</v>
      </c>
      <c r="J40" s="492">
        <f t="shared" si="12"/>
        <v>2664.0899999999997</v>
      </c>
      <c r="K40" s="408"/>
      <c r="L40" s="409"/>
      <c r="M40" s="409"/>
      <c r="N40" s="410">
        <f t="shared" si="1"/>
        <v>2664.0899999999997</v>
      </c>
      <c r="Q40" s="392"/>
      <c r="R40" s="415">
        <f t="shared" si="13"/>
        <v>1.3499999999999999</v>
      </c>
      <c r="S40" s="416">
        <f t="shared" si="14"/>
        <v>7992.2699999999986</v>
      </c>
      <c r="T40" s="417"/>
      <c r="U40" s="47" t="str">
        <f t="shared" si="2"/>
        <v>V</v>
      </c>
      <c r="V40" s="46"/>
      <c r="W40"/>
      <c r="X40" s="425"/>
      <c r="Y40" s="392"/>
    </row>
    <row r="41" spans="1:25" ht="14.4">
      <c r="A41" s="240">
        <f>'Flat Sizes'!A42</f>
        <v>4</v>
      </c>
      <c r="B41" s="244" t="str">
        <f>'Flat Sizes'!B42</f>
        <v>M. Bedroom</v>
      </c>
      <c r="C41" s="213" t="s">
        <v>400</v>
      </c>
      <c r="D41" s="414"/>
      <c r="E41" s="407">
        <v>1</v>
      </c>
      <c r="F41" s="408">
        <f>VLOOKUP(C41,'D&amp;W Schedule'!$B$4:$F$20,2,FALSE)</f>
        <v>2.77</v>
      </c>
      <c r="G41" s="408">
        <f>VLOOKUP(C41,'D&amp;W Schedule'!$B$4:$F$20,3,FALSE)</f>
        <v>2.15</v>
      </c>
      <c r="H41" s="492">
        <f>VLOOKUP(C41,'D&amp;W Schedule'!$B$4:$F$20,4,FALSE)</f>
        <v>5.9554999999999998</v>
      </c>
      <c r="I41" s="492">
        <f>VLOOKUP(C41,'D&amp;W Schedule'!$B$4:$F$20,5,FALSE)</f>
        <v>5920.2</v>
      </c>
      <c r="J41" s="492">
        <f t="shared" si="12"/>
        <v>35257.751100000001</v>
      </c>
      <c r="K41" s="408"/>
      <c r="L41" s="409"/>
      <c r="M41" s="409"/>
      <c r="N41" s="410">
        <f t="shared" si="1"/>
        <v>35257.751100000001</v>
      </c>
      <c r="Q41" s="392"/>
      <c r="R41" s="415">
        <f t="shared" si="13"/>
        <v>17.866499999999998</v>
      </c>
      <c r="S41" s="416">
        <f t="shared" si="14"/>
        <v>105773.25330000001</v>
      </c>
      <c r="T41" s="417"/>
      <c r="U41" s="47" t="str">
        <f t="shared" si="2"/>
        <v>W3</v>
      </c>
      <c r="V41" s="46"/>
      <c r="W41"/>
      <c r="X41" s="425"/>
      <c r="Y41" s="392"/>
    </row>
    <row r="42" spans="1:25" ht="14.4">
      <c r="A42" s="240"/>
      <c r="B42" s="244"/>
      <c r="C42" s="213" t="s">
        <v>401</v>
      </c>
      <c r="D42" s="414"/>
      <c r="E42" s="407">
        <v>1</v>
      </c>
      <c r="F42" s="408">
        <f>VLOOKUP(C42,'D&amp;W Schedule'!$B$4:$F$20,2,FALSE)</f>
        <v>1.03</v>
      </c>
      <c r="G42" s="408">
        <f>VLOOKUP(C42,'D&amp;W Schedule'!$B$4:$F$20,3,FALSE)</f>
        <v>2.15</v>
      </c>
      <c r="H42" s="492">
        <f>VLOOKUP(C42,'D&amp;W Schedule'!$B$4:$F$20,4,FALSE)</f>
        <v>2.2145000000000001</v>
      </c>
      <c r="I42" s="492">
        <f>VLOOKUP(C42,'D&amp;W Schedule'!$B$4:$F$20,5,FALSE)</f>
        <v>5920.2</v>
      </c>
      <c r="J42" s="492">
        <f t="shared" si="12"/>
        <v>13110.2829</v>
      </c>
      <c r="K42" s="408"/>
      <c r="L42" s="409"/>
      <c r="M42" s="409"/>
      <c r="N42" s="410">
        <f t="shared" si="1"/>
        <v>13110.2829</v>
      </c>
      <c r="Q42" s="392"/>
      <c r="R42" s="415">
        <f t="shared" si="13"/>
        <v>6.6435000000000004</v>
      </c>
      <c r="S42" s="416">
        <f t="shared" si="14"/>
        <v>39330.848700000002</v>
      </c>
      <c r="T42" s="417"/>
      <c r="U42" s="47" t="str">
        <f t="shared" si="2"/>
        <v>W4A</v>
      </c>
      <c r="V42" s="46"/>
      <c r="W42"/>
      <c r="X42" s="425"/>
      <c r="Y42" s="392"/>
    </row>
    <row r="43" spans="1:25" ht="14.4">
      <c r="A43" s="240">
        <f>'Flat Sizes'!A43</f>
        <v>5</v>
      </c>
      <c r="B43" s="244" t="str">
        <f>'Flat Sizes'!B43</f>
        <v>M. Toilet</v>
      </c>
      <c r="C43" s="213" t="s">
        <v>395</v>
      </c>
      <c r="D43" s="414"/>
      <c r="E43" s="407">
        <v>1</v>
      </c>
      <c r="F43" s="408">
        <f>VLOOKUP(C43,'D&amp;W Schedule'!$B$4:$F$20,2,FALSE)</f>
        <v>0.6</v>
      </c>
      <c r="G43" s="408">
        <f>VLOOKUP(C43,'D&amp;W Schedule'!$B$4:$F$20,3,FALSE)</f>
        <v>0.75</v>
      </c>
      <c r="H43" s="492">
        <f>VLOOKUP(C43,'D&amp;W Schedule'!$B$4:$F$20,4,FALSE)</f>
        <v>0.44999999999999996</v>
      </c>
      <c r="I43" s="492">
        <f>VLOOKUP(C43,'D&amp;W Schedule'!$B$4:$F$20,5,FALSE)</f>
        <v>5920.2</v>
      </c>
      <c r="J43" s="492">
        <f t="shared" si="12"/>
        <v>2664.0899999999997</v>
      </c>
      <c r="K43" s="408"/>
      <c r="L43" s="409"/>
      <c r="M43" s="409"/>
      <c r="N43" s="410">
        <f t="shared" si="1"/>
        <v>2664.0899999999997</v>
      </c>
      <c r="Q43" s="392"/>
      <c r="R43" s="415">
        <f t="shared" si="13"/>
        <v>1.3499999999999999</v>
      </c>
      <c r="S43" s="416">
        <f t="shared" si="14"/>
        <v>7992.2699999999986</v>
      </c>
      <c r="T43" s="417"/>
      <c r="U43" s="47" t="str">
        <f t="shared" si="2"/>
        <v>V</v>
      </c>
      <c r="V43" s="46"/>
      <c r="W43"/>
      <c r="X43" s="425"/>
      <c r="Y43" s="392"/>
    </row>
    <row r="44" spans="1:25" ht="14.4">
      <c r="A44" s="240">
        <f>'Flat Sizes'!A44</f>
        <v>6</v>
      </c>
      <c r="B44" s="244" t="str">
        <f>'Flat Sizes'!B44</f>
        <v>Kitchen</v>
      </c>
      <c r="C44" s="213" t="s">
        <v>396</v>
      </c>
      <c r="D44" s="414"/>
      <c r="E44" s="407">
        <v>1</v>
      </c>
      <c r="F44" s="408">
        <f>VLOOKUP(C44,'D&amp;W Schedule'!$B$4:$F$20,2,FALSE)</f>
        <v>1</v>
      </c>
      <c r="G44" s="408">
        <f>VLOOKUP(C44,'D&amp;W Schedule'!$B$4:$F$20,3,FALSE)</f>
        <v>2.15</v>
      </c>
      <c r="H44" s="492">
        <f>VLOOKUP(C44,'D&amp;W Schedule'!$B$4:$F$20,4,FALSE)</f>
        <v>2.15</v>
      </c>
      <c r="I44" s="492">
        <f>VLOOKUP(C44,'D&amp;W Schedule'!$B$4:$F$20,5,FALSE)</f>
        <v>5920.2</v>
      </c>
      <c r="J44" s="492">
        <f t="shared" si="12"/>
        <v>12728.429999999998</v>
      </c>
      <c r="K44" s="408"/>
      <c r="L44" s="409"/>
      <c r="M44" s="409"/>
      <c r="N44" s="410">
        <f t="shared" si="1"/>
        <v>12728.429999999998</v>
      </c>
      <c r="Q44" s="392"/>
      <c r="R44" s="415">
        <f t="shared" si="13"/>
        <v>6.4499999999999993</v>
      </c>
      <c r="S44" s="416">
        <f t="shared" si="14"/>
        <v>38185.289999999994</v>
      </c>
      <c r="T44" s="417"/>
      <c r="U44" s="47" t="str">
        <f t="shared" si="2"/>
        <v>W7</v>
      </c>
      <c r="V44" s="46"/>
      <c r="W44"/>
      <c r="X44" s="425"/>
      <c r="Y44" s="392"/>
    </row>
    <row r="45" spans="1:25" ht="14.4">
      <c r="A45" s="240">
        <f>'Flat Sizes'!A45</f>
        <v>7</v>
      </c>
      <c r="B45" s="244" t="str">
        <f>'Flat Sizes'!B45</f>
        <v>Utility</v>
      </c>
      <c r="C45" s="213" t="s">
        <v>397</v>
      </c>
      <c r="D45" s="420"/>
      <c r="E45" s="407">
        <v>1</v>
      </c>
      <c r="F45" s="421"/>
      <c r="G45" s="421"/>
      <c r="H45" s="493"/>
      <c r="I45" s="493"/>
      <c r="J45" s="532"/>
      <c r="K45" s="408">
        <f>F44</f>
        <v>1</v>
      </c>
      <c r="L45" s="409">
        <f>'D&amp;W Schedule'!$F$20</f>
        <v>9500</v>
      </c>
      <c r="M45" s="409">
        <f>K45*L45</f>
        <v>9500</v>
      </c>
      <c r="N45" s="410">
        <f t="shared" si="1"/>
        <v>9500</v>
      </c>
      <c r="Q45" s="392"/>
      <c r="R45" s="392">
        <f>K45*$Q$37</f>
        <v>3</v>
      </c>
      <c r="S45" s="416">
        <f>M45*$Q$37</f>
        <v>28500</v>
      </c>
      <c r="T45" s="417"/>
      <c r="U45" s="47" t="str">
        <f t="shared" si="2"/>
        <v>UR</v>
      </c>
      <c r="V45" s="46"/>
      <c r="W45"/>
      <c r="X45" s="425"/>
      <c r="Y45" s="392"/>
    </row>
    <row r="46" spans="1:25" ht="14.4">
      <c r="A46" s="240">
        <f>'Flat Sizes'!A46</f>
        <v>8</v>
      </c>
      <c r="B46" s="244" t="str">
        <f>'Flat Sizes'!B46</f>
        <v>Balcony</v>
      </c>
      <c r="C46" s="213" t="s">
        <v>398</v>
      </c>
      <c r="D46" s="406"/>
      <c r="E46" s="407">
        <v>1</v>
      </c>
      <c r="F46" s="408"/>
      <c r="G46" s="408"/>
      <c r="H46" s="492"/>
      <c r="I46" s="492"/>
      <c r="J46" s="491"/>
      <c r="K46" s="408">
        <f>2.28+1.37</f>
        <v>3.65</v>
      </c>
      <c r="L46" s="409">
        <f>'D&amp;W Schedule'!$F$20</f>
        <v>9500</v>
      </c>
      <c r="M46" s="409">
        <f>K46*L46</f>
        <v>34675</v>
      </c>
      <c r="N46" s="410">
        <f t="shared" si="1"/>
        <v>34675</v>
      </c>
      <c r="O46" s="423"/>
      <c r="Q46" s="392"/>
      <c r="R46" s="392">
        <f>K46*$Q$37</f>
        <v>10.95</v>
      </c>
      <c r="S46" s="416">
        <f>M46*$Q$37</f>
        <v>104025</v>
      </c>
      <c r="T46" s="417"/>
      <c r="U46" s="47" t="str">
        <f t="shared" si="2"/>
        <v>BR</v>
      </c>
      <c r="V46" s="46"/>
      <c r="W46"/>
      <c r="X46" s="425"/>
      <c r="Y46" s="392"/>
    </row>
    <row r="47" spans="1:25" ht="14.4">
      <c r="A47" s="245"/>
      <c r="B47" s="246" t="str">
        <f>'Flat Sizes'!B47</f>
        <v>Sub Total</v>
      </c>
      <c r="C47" s="213"/>
      <c r="D47" s="414"/>
      <c r="E47" s="436">
        <f>SUBTOTAL(9,E38:E46)</f>
        <v>9</v>
      </c>
      <c r="F47" s="421"/>
      <c r="G47" s="421"/>
      <c r="H47" s="494">
        <f>SUBTOTAL(9,H38:H46)</f>
        <v>23.732999999999997</v>
      </c>
      <c r="I47" s="493"/>
      <c r="J47" s="493"/>
      <c r="K47" s="421"/>
      <c r="L47" s="422"/>
      <c r="M47" s="422"/>
      <c r="N47" s="495">
        <f>SUBTOTAL(9,N38:N46)</f>
        <v>184679.1066</v>
      </c>
      <c r="Q47" s="392"/>
      <c r="R47" s="415"/>
      <c r="S47" s="416"/>
      <c r="T47" s="417"/>
      <c r="U47" s="47">
        <f t="shared" si="2"/>
        <v>0</v>
      </c>
      <c r="V47" s="46"/>
      <c r="W47"/>
      <c r="X47" s="425"/>
      <c r="Y47" s="392"/>
    </row>
    <row r="48" spans="1:25" ht="14.4">
      <c r="A48" s="241">
        <f>'Flat Sizes'!A48</f>
        <v>6</v>
      </c>
      <c r="B48" s="270" t="str">
        <f>'Flat Sizes'!B48</f>
        <v>Flat 3B,
3BHK</v>
      </c>
      <c r="C48" s="213"/>
      <c r="D48" s="414"/>
      <c r="E48" s="407"/>
      <c r="F48" s="408"/>
      <c r="G48" s="408"/>
      <c r="H48" s="492"/>
      <c r="I48" s="492"/>
      <c r="J48" s="491"/>
      <c r="K48" s="408"/>
      <c r="L48" s="409"/>
      <c r="M48" s="409"/>
      <c r="N48" s="410"/>
      <c r="Q48" s="392">
        <f>'Room Conf'!Q40</f>
        <v>27</v>
      </c>
      <c r="R48" s="415"/>
      <c r="S48" s="416"/>
      <c r="T48" s="417"/>
      <c r="U48" s="47">
        <f t="shared" si="2"/>
        <v>0</v>
      </c>
      <c r="V48" s="46"/>
      <c r="W48"/>
      <c r="X48" s="425"/>
      <c r="Y48" s="392"/>
    </row>
    <row r="49" spans="1:25" ht="14.4">
      <c r="A49" s="240">
        <f>'Flat Sizes'!A49</f>
        <v>1</v>
      </c>
      <c r="B49" s="244" t="str">
        <f>'Flat Sizes'!B49</f>
        <v>Living, Dining &amp; Passage</v>
      </c>
      <c r="C49" s="213" t="s">
        <v>400</v>
      </c>
      <c r="D49" s="414"/>
      <c r="E49" s="407">
        <v>1</v>
      </c>
      <c r="F49" s="408">
        <f>VLOOKUP(C49,'D&amp;W Schedule'!$B$4:$F$20,2,FALSE)</f>
        <v>2.77</v>
      </c>
      <c r="G49" s="408">
        <f>VLOOKUP(C49,'D&amp;W Schedule'!$B$4:$F$20,3,FALSE)</f>
        <v>2.15</v>
      </c>
      <c r="H49" s="492">
        <f>VLOOKUP(C49,'D&amp;W Schedule'!$B$4:$F$20,4,FALSE)</f>
        <v>5.9554999999999998</v>
      </c>
      <c r="I49" s="492">
        <f>VLOOKUP(C49,'D&amp;W Schedule'!$B$4:$F$20,5,FALSE)</f>
        <v>5920.2</v>
      </c>
      <c r="J49" s="492">
        <f t="shared" ref="J49:J57" si="15">H49*I49</f>
        <v>35257.751100000001</v>
      </c>
      <c r="K49" s="408"/>
      <c r="L49" s="409"/>
      <c r="M49" s="409"/>
      <c r="N49" s="410">
        <f t="shared" si="1"/>
        <v>35257.751100000001</v>
      </c>
      <c r="Q49" s="392"/>
      <c r="R49" s="415">
        <f>H49*$Q$48</f>
        <v>160.79849999999999</v>
      </c>
      <c r="S49" s="416">
        <f>J49*$Q$48</f>
        <v>951959.27970000007</v>
      </c>
      <c r="T49" s="417"/>
      <c r="U49" s="47" t="str">
        <f t="shared" si="2"/>
        <v>W3</v>
      </c>
      <c r="V49" s="46"/>
      <c r="W49"/>
      <c r="X49" s="425"/>
      <c r="Y49" s="392"/>
    </row>
    <row r="50" spans="1:25" ht="14.4">
      <c r="A50" s="240">
        <f>'Flat Sizes'!A50</f>
        <v>2</v>
      </c>
      <c r="B50" s="244" t="str">
        <f>'Flat Sizes'!B50</f>
        <v>M. Bedroom</v>
      </c>
      <c r="C50" s="213" t="s">
        <v>394</v>
      </c>
      <c r="D50" s="414"/>
      <c r="E50" s="407">
        <v>1</v>
      </c>
      <c r="F50" s="408">
        <f>VLOOKUP(C50,'D&amp;W Schedule'!$B$4:$F$20,2,FALSE)</f>
        <v>3.05</v>
      </c>
      <c r="G50" s="408">
        <f>VLOOKUP(C50,'D&amp;W Schedule'!$B$4:$F$20,3,FALSE)</f>
        <v>2.15</v>
      </c>
      <c r="H50" s="492">
        <f>VLOOKUP(C50,'D&amp;W Schedule'!$B$4:$F$20,4,FALSE)</f>
        <v>6.5574999999999992</v>
      </c>
      <c r="I50" s="492">
        <f>VLOOKUP(C50,'D&amp;W Schedule'!$B$4:$F$20,5,FALSE)</f>
        <v>5920.2</v>
      </c>
      <c r="J50" s="492">
        <f t="shared" si="15"/>
        <v>38821.711499999998</v>
      </c>
      <c r="K50" s="408"/>
      <c r="L50" s="409"/>
      <c r="M50" s="409"/>
      <c r="N50" s="410">
        <f t="shared" si="1"/>
        <v>38821.711499999998</v>
      </c>
      <c r="Q50" s="392"/>
      <c r="R50" s="415">
        <f t="shared" ref="R50:R57" si="16">H50*$Q$48</f>
        <v>177.05249999999998</v>
      </c>
      <c r="S50" s="416">
        <f t="shared" ref="S50:S57" si="17">J50*$Q$48</f>
        <v>1048186.2104999999</v>
      </c>
      <c r="T50" s="417"/>
      <c r="U50" s="47" t="str">
        <f t="shared" si="2"/>
        <v>W4</v>
      </c>
      <c r="V50" s="46"/>
      <c r="W50"/>
      <c r="X50" s="425"/>
      <c r="Y50" s="392"/>
    </row>
    <row r="51" spans="1:25" ht="14.4">
      <c r="A51" s="240">
        <f>'Flat Sizes'!A51</f>
        <v>3</v>
      </c>
      <c r="B51" s="244" t="str">
        <f>'Flat Sizes'!B51</f>
        <v>M. Toilet</v>
      </c>
      <c r="C51" s="213" t="s">
        <v>395</v>
      </c>
      <c r="D51" s="414"/>
      <c r="E51" s="407">
        <v>1</v>
      </c>
      <c r="F51" s="408">
        <f>VLOOKUP(C51,'D&amp;W Schedule'!$B$4:$F$20,2,FALSE)</f>
        <v>0.6</v>
      </c>
      <c r="G51" s="408">
        <f>VLOOKUP(C51,'D&amp;W Schedule'!$B$4:$F$20,3,FALSE)</f>
        <v>0.75</v>
      </c>
      <c r="H51" s="492">
        <f>VLOOKUP(C51,'D&amp;W Schedule'!$B$4:$F$20,4,FALSE)</f>
        <v>0.44999999999999996</v>
      </c>
      <c r="I51" s="492">
        <f>VLOOKUP(C51,'D&amp;W Schedule'!$B$4:$F$20,5,FALSE)</f>
        <v>5920.2</v>
      </c>
      <c r="J51" s="492">
        <f t="shared" si="15"/>
        <v>2664.0899999999997</v>
      </c>
      <c r="K51" s="408"/>
      <c r="L51" s="409"/>
      <c r="M51" s="409"/>
      <c r="N51" s="410">
        <f t="shared" si="1"/>
        <v>2664.0899999999997</v>
      </c>
      <c r="Q51" s="392"/>
      <c r="R51" s="415">
        <f t="shared" si="16"/>
        <v>12.149999999999999</v>
      </c>
      <c r="S51" s="416">
        <f t="shared" si="17"/>
        <v>71930.429999999993</v>
      </c>
      <c r="T51" s="417"/>
      <c r="U51" s="47" t="str">
        <f t="shared" si="2"/>
        <v>V</v>
      </c>
      <c r="V51" s="46"/>
      <c r="W51"/>
      <c r="X51" s="425"/>
      <c r="Y51" s="392"/>
    </row>
    <row r="52" spans="1:25" ht="14.4">
      <c r="A52" s="240">
        <f>'Flat Sizes'!A52</f>
        <v>4</v>
      </c>
      <c r="B52" s="244" t="str">
        <f>'Flat Sizes'!B52</f>
        <v>M. Bedroom</v>
      </c>
      <c r="C52" s="213" t="s">
        <v>394</v>
      </c>
      <c r="D52" s="414"/>
      <c r="E52" s="407">
        <v>1</v>
      </c>
      <c r="F52" s="408">
        <f>VLOOKUP(C52,'D&amp;W Schedule'!$B$4:$F$20,2,FALSE)</f>
        <v>3.05</v>
      </c>
      <c r="G52" s="408">
        <f>VLOOKUP(C52,'D&amp;W Schedule'!$B$4:$F$20,3,FALSE)</f>
        <v>2.15</v>
      </c>
      <c r="H52" s="492">
        <f>VLOOKUP(C52,'D&amp;W Schedule'!$B$4:$F$20,4,FALSE)</f>
        <v>6.5574999999999992</v>
      </c>
      <c r="I52" s="492">
        <f>VLOOKUP(C52,'D&amp;W Schedule'!$B$4:$F$20,5,FALSE)</f>
        <v>5920.2</v>
      </c>
      <c r="J52" s="492">
        <f t="shared" si="15"/>
        <v>38821.711499999998</v>
      </c>
      <c r="K52" s="408"/>
      <c r="L52" s="409"/>
      <c r="M52" s="409"/>
      <c r="N52" s="410">
        <f t="shared" si="1"/>
        <v>38821.711499999998</v>
      </c>
      <c r="Q52" s="392"/>
      <c r="R52" s="415">
        <f t="shared" si="16"/>
        <v>177.05249999999998</v>
      </c>
      <c r="S52" s="416">
        <f t="shared" si="17"/>
        <v>1048186.2104999999</v>
      </c>
      <c r="T52" s="417"/>
      <c r="U52" s="47" t="str">
        <f t="shared" si="2"/>
        <v>W4</v>
      </c>
      <c r="V52" s="46"/>
      <c r="W52"/>
      <c r="X52" s="425"/>
      <c r="Y52" s="392"/>
    </row>
    <row r="53" spans="1:25" ht="14.4">
      <c r="A53" s="240"/>
      <c r="B53" s="244"/>
      <c r="C53" s="213" t="s">
        <v>401</v>
      </c>
      <c r="D53" s="414"/>
      <c r="E53" s="407">
        <v>1</v>
      </c>
      <c r="F53" s="408">
        <f>VLOOKUP(C53,'D&amp;W Schedule'!$B$4:$F$20,2,FALSE)</f>
        <v>1.03</v>
      </c>
      <c r="G53" s="408">
        <f>VLOOKUP(C53,'D&amp;W Schedule'!$B$4:$F$20,3,FALSE)</f>
        <v>2.15</v>
      </c>
      <c r="H53" s="492">
        <f>VLOOKUP(C53,'D&amp;W Schedule'!$B$4:$F$20,4,FALSE)</f>
        <v>2.2145000000000001</v>
      </c>
      <c r="I53" s="492">
        <f>VLOOKUP(C53,'D&amp;W Schedule'!$B$4:$F$20,5,FALSE)</f>
        <v>5920.2</v>
      </c>
      <c r="J53" s="492">
        <f t="shared" si="15"/>
        <v>13110.2829</v>
      </c>
      <c r="K53" s="408"/>
      <c r="L53" s="409"/>
      <c r="M53" s="409"/>
      <c r="N53" s="410">
        <f t="shared" si="1"/>
        <v>13110.2829</v>
      </c>
      <c r="Q53" s="392"/>
      <c r="R53" s="415">
        <f t="shared" si="16"/>
        <v>59.791500000000006</v>
      </c>
      <c r="S53" s="416">
        <f t="shared" si="17"/>
        <v>353977.63829999999</v>
      </c>
      <c r="T53" s="417"/>
      <c r="U53" s="47" t="str">
        <f t="shared" si="2"/>
        <v>W4A</v>
      </c>
      <c r="V53" s="46"/>
      <c r="W53"/>
      <c r="X53" s="425"/>
      <c r="Y53" s="392"/>
    </row>
    <row r="54" spans="1:25" ht="14.4">
      <c r="A54" s="240">
        <f>'Flat Sizes'!A53</f>
        <v>5</v>
      </c>
      <c r="B54" s="244" t="str">
        <f>'Flat Sizes'!B53</f>
        <v>M. Toilet</v>
      </c>
      <c r="C54" s="213" t="s">
        <v>395</v>
      </c>
      <c r="D54" s="414"/>
      <c r="E54" s="407">
        <v>1</v>
      </c>
      <c r="F54" s="408">
        <f>VLOOKUP(C54,'D&amp;W Schedule'!$B$4:$F$20,2,FALSE)</f>
        <v>0.6</v>
      </c>
      <c r="G54" s="408">
        <f>VLOOKUP(C54,'D&amp;W Schedule'!$B$4:$F$20,3,FALSE)</f>
        <v>0.75</v>
      </c>
      <c r="H54" s="492">
        <f>VLOOKUP(C54,'D&amp;W Schedule'!$B$4:$F$20,4,FALSE)</f>
        <v>0.44999999999999996</v>
      </c>
      <c r="I54" s="492">
        <f>VLOOKUP(C54,'D&amp;W Schedule'!$B$4:$F$20,5,FALSE)</f>
        <v>5920.2</v>
      </c>
      <c r="J54" s="492">
        <f t="shared" si="15"/>
        <v>2664.0899999999997</v>
      </c>
      <c r="K54" s="408"/>
      <c r="L54" s="409"/>
      <c r="M54" s="409"/>
      <c r="N54" s="410">
        <f t="shared" si="1"/>
        <v>2664.0899999999997</v>
      </c>
      <c r="Q54" s="392"/>
      <c r="R54" s="415">
        <f t="shared" si="16"/>
        <v>12.149999999999999</v>
      </c>
      <c r="S54" s="416">
        <f t="shared" si="17"/>
        <v>71930.429999999993</v>
      </c>
      <c r="T54" s="417"/>
      <c r="U54" s="47" t="str">
        <f t="shared" si="2"/>
        <v>V</v>
      </c>
      <c r="V54" s="46"/>
      <c r="W54"/>
      <c r="X54" s="425"/>
      <c r="Y54" s="392"/>
    </row>
    <row r="55" spans="1:25" ht="14.4">
      <c r="A55" s="240">
        <f>'Flat Sizes'!A54</f>
        <v>6</v>
      </c>
      <c r="B55" s="244" t="str">
        <f>'Flat Sizes'!B54</f>
        <v>C. Bedroom</v>
      </c>
      <c r="C55" s="213" t="s">
        <v>394</v>
      </c>
      <c r="D55" s="414"/>
      <c r="E55" s="407">
        <v>1</v>
      </c>
      <c r="F55" s="408">
        <f>VLOOKUP(C55,'D&amp;W Schedule'!$B$4:$F$20,2,FALSE)</f>
        <v>3.05</v>
      </c>
      <c r="G55" s="408">
        <f>VLOOKUP(C55,'D&amp;W Schedule'!$B$4:$F$20,3,FALSE)</f>
        <v>2.15</v>
      </c>
      <c r="H55" s="492">
        <f>VLOOKUP(C55,'D&amp;W Schedule'!$B$4:$F$20,4,FALSE)</f>
        <v>6.5574999999999992</v>
      </c>
      <c r="I55" s="492">
        <f>VLOOKUP(C55,'D&amp;W Schedule'!$B$4:$F$20,5,FALSE)</f>
        <v>5920.2</v>
      </c>
      <c r="J55" s="492">
        <f t="shared" si="15"/>
        <v>38821.711499999998</v>
      </c>
      <c r="K55" s="408"/>
      <c r="L55" s="409"/>
      <c r="M55" s="409"/>
      <c r="N55" s="410">
        <f t="shared" si="1"/>
        <v>38821.711499999998</v>
      </c>
      <c r="Q55" s="392"/>
      <c r="R55" s="415">
        <f t="shared" si="16"/>
        <v>177.05249999999998</v>
      </c>
      <c r="S55" s="416">
        <f t="shared" si="17"/>
        <v>1048186.2104999999</v>
      </c>
      <c r="T55" s="417"/>
      <c r="U55" s="47" t="str">
        <f t="shared" si="2"/>
        <v>W4</v>
      </c>
      <c r="V55" s="46"/>
      <c r="W55"/>
      <c r="X55" s="425"/>
      <c r="Y55" s="392"/>
    </row>
    <row r="56" spans="1:25" ht="14.4">
      <c r="A56" s="240">
        <f>'Flat Sizes'!A55</f>
        <v>7</v>
      </c>
      <c r="B56" s="228" t="str">
        <f>'Flat Sizes'!B55</f>
        <v>C. Toilet</v>
      </c>
      <c r="C56" s="213" t="s">
        <v>395</v>
      </c>
      <c r="D56" s="414"/>
      <c r="E56" s="407">
        <v>1</v>
      </c>
      <c r="F56" s="408">
        <f>VLOOKUP(C56,'D&amp;W Schedule'!$B$4:$F$20,2,FALSE)</f>
        <v>0.6</v>
      </c>
      <c r="G56" s="408">
        <f>VLOOKUP(C56,'D&amp;W Schedule'!$B$4:$F$20,3,FALSE)</f>
        <v>0.75</v>
      </c>
      <c r="H56" s="492">
        <f>VLOOKUP(C56,'D&amp;W Schedule'!$B$4:$F$20,4,FALSE)</f>
        <v>0.44999999999999996</v>
      </c>
      <c r="I56" s="492">
        <f>VLOOKUP(C56,'D&amp;W Schedule'!$B$4:$F$20,5,FALSE)</f>
        <v>5920.2</v>
      </c>
      <c r="J56" s="492">
        <f t="shared" si="15"/>
        <v>2664.0899999999997</v>
      </c>
      <c r="K56" s="408"/>
      <c r="L56" s="409"/>
      <c r="M56" s="409"/>
      <c r="N56" s="410">
        <f t="shared" si="1"/>
        <v>2664.0899999999997</v>
      </c>
      <c r="Q56" s="392"/>
      <c r="R56" s="415">
        <f t="shared" si="16"/>
        <v>12.149999999999999</v>
      </c>
      <c r="S56" s="416">
        <f t="shared" si="17"/>
        <v>71930.429999999993</v>
      </c>
      <c r="T56" s="417"/>
      <c r="U56" s="47" t="str">
        <f t="shared" si="2"/>
        <v>V</v>
      </c>
      <c r="V56" s="46"/>
      <c r="W56"/>
      <c r="X56" s="425"/>
      <c r="Y56" s="392"/>
    </row>
    <row r="57" spans="1:25" ht="14.4">
      <c r="A57" s="240">
        <f>'Flat Sizes'!A56</f>
        <v>8</v>
      </c>
      <c r="B57" s="244" t="str">
        <f>'Flat Sizes'!B56</f>
        <v>Kitchen</v>
      </c>
      <c r="C57" s="213" t="s">
        <v>396</v>
      </c>
      <c r="D57" s="420"/>
      <c r="E57" s="407">
        <v>1</v>
      </c>
      <c r="F57" s="408">
        <f>VLOOKUP(C57,'D&amp;W Schedule'!$B$4:$F$20,2,FALSE)</f>
        <v>1</v>
      </c>
      <c r="G57" s="408">
        <f>VLOOKUP(C57,'D&amp;W Schedule'!$B$4:$F$20,3,FALSE)</f>
        <v>2.15</v>
      </c>
      <c r="H57" s="492">
        <f>VLOOKUP(C57,'D&amp;W Schedule'!$B$4:$F$20,4,FALSE)</f>
        <v>2.15</v>
      </c>
      <c r="I57" s="492">
        <f>VLOOKUP(C57,'D&amp;W Schedule'!$B$4:$F$20,5,FALSE)</f>
        <v>5920.2</v>
      </c>
      <c r="J57" s="492">
        <f t="shared" si="15"/>
        <v>12728.429999999998</v>
      </c>
      <c r="K57" s="408"/>
      <c r="L57" s="422"/>
      <c r="M57" s="422"/>
      <c r="N57" s="410">
        <f t="shared" si="1"/>
        <v>12728.429999999998</v>
      </c>
      <c r="Q57" s="392"/>
      <c r="R57" s="415">
        <f t="shared" si="16"/>
        <v>58.05</v>
      </c>
      <c r="S57" s="416">
        <f t="shared" si="17"/>
        <v>343667.61</v>
      </c>
      <c r="T57" s="417"/>
      <c r="U57" s="47" t="str">
        <f t="shared" si="2"/>
        <v>W7</v>
      </c>
      <c r="V57" s="46"/>
      <c r="W57"/>
      <c r="X57" s="425"/>
      <c r="Y57" s="392"/>
    </row>
    <row r="58" spans="1:25" ht="14.4">
      <c r="A58" s="240">
        <f>'Flat Sizes'!A57</f>
        <v>9</v>
      </c>
      <c r="B58" s="244" t="str">
        <f>'Flat Sizes'!B57</f>
        <v>Balcony</v>
      </c>
      <c r="C58" s="213" t="s">
        <v>398</v>
      </c>
      <c r="D58" s="406"/>
      <c r="E58" s="407">
        <v>1</v>
      </c>
      <c r="F58" s="408"/>
      <c r="G58" s="408"/>
      <c r="H58" s="492"/>
      <c r="I58" s="492"/>
      <c r="J58" s="491"/>
      <c r="K58" s="408">
        <f>2.28+1.37</f>
        <v>3.65</v>
      </c>
      <c r="L58" s="409">
        <f>'D&amp;W Schedule'!$F$20</f>
        <v>9500</v>
      </c>
      <c r="M58" s="409">
        <f>K58*L58</f>
        <v>34675</v>
      </c>
      <c r="N58" s="410">
        <f t="shared" si="1"/>
        <v>34675</v>
      </c>
      <c r="O58" s="423"/>
      <c r="Q58" s="392"/>
      <c r="R58" s="392">
        <f>K58*$Q$48</f>
        <v>98.55</v>
      </c>
      <c r="S58" s="416">
        <f>M58*$Q$48</f>
        <v>936225</v>
      </c>
      <c r="T58" s="417"/>
      <c r="U58" s="47" t="str">
        <f t="shared" si="2"/>
        <v>BR</v>
      </c>
      <c r="V58" s="46"/>
      <c r="W58"/>
      <c r="X58" s="425"/>
      <c r="Y58" s="392"/>
    </row>
    <row r="59" spans="1:25" ht="14.4">
      <c r="A59" s="240">
        <f>'Flat Sizes'!A58</f>
        <v>10</v>
      </c>
      <c r="B59" s="244" t="str">
        <f>'Flat Sizes'!B58</f>
        <v>Utility</v>
      </c>
      <c r="C59" s="213" t="s">
        <v>397</v>
      </c>
      <c r="D59" s="414"/>
      <c r="E59" s="407">
        <v>1</v>
      </c>
      <c r="F59" s="408"/>
      <c r="G59" s="408"/>
      <c r="H59" s="492"/>
      <c r="I59" s="492"/>
      <c r="J59" s="491"/>
      <c r="K59" s="408">
        <f>F57</f>
        <v>1</v>
      </c>
      <c r="L59" s="409">
        <f>'D&amp;W Schedule'!$F$20</f>
        <v>9500</v>
      </c>
      <c r="M59" s="409">
        <f>K59*L59</f>
        <v>9500</v>
      </c>
      <c r="N59" s="410">
        <f t="shared" si="1"/>
        <v>9500</v>
      </c>
      <c r="Q59" s="392"/>
      <c r="R59" s="392">
        <f>K59*$Q$48</f>
        <v>27</v>
      </c>
      <c r="S59" s="416">
        <f>M59*$Q$48</f>
        <v>256500</v>
      </c>
      <c r="T59" s="417"/>
      <c r="U59" s="47" t="str">
        <f t="shared" si="2"/>
        <v>UR</v>
      </c>
      <c r="V59" s="46"/>
      <c r="W59"/>
      <c r="X59" s="425"/>
      <c r="Y59" s="392"/>
    </row>
    <row r="60" spans="1:25" ht="14.4">
      <c r="A60" s="245"/>
      <c r="B60" s="246" t="str">
        <f>'Flat Sizes'!B59</f>
        <v>Sub Total</v>
      </c>
      <c r="C60" s="213"/>
      <c r="D60" s="414"/>
      <c r="E60" s="436">
        <f>SUBTOTAL(9,E49:E59)</f>
        <v>11</v>
      </c>
      <c r="F60" s="421"/>
      <c r="G60" s="421"/>
      <c r="H60" s="494">
        <f>SUBTOTAL(9,H49:H59)</f>
        <v>31.342499999999998</v>
      </c>
      <c r="I60" s="493"/>
      <c r="J60" s="493"/>
      <c r="K60" s="421"/>
      <c r="L60" s="422"/>
      <c r="M60" s="422"/>
      <c r="N60" s="495">
        <f>SUBTOTAL(9,N49:N59)</f>
        <v>229728.86850000001</v>
      </c>
      <c r="Q60" s="392"/>
      <c r="R60" s="415"/>
      <c r="S60" s="416"/>
      <c r="T60" s="417"/>
      <c r="U60" s="47">
        <f t="shared" si="2"/>
        <v>0</v>
      </c>
      <c r="V60" s="46"/>
      <c r="W60"/>
      <c r="X60" s="425"/>
      <c r="Y60" s="392"/>
    </row>
    <row r="61" spans="1:25" ht="14.4">
      <c r="A61" s="241">
        <f>'Flat Sizes'!A60</f>
        <v>7</v>
      </c>
      <c r="B61" s="270" t="str">
        <f>'Flat Sizes'!B60</f>
        <v>Flat 4A,
2BHK</v>
      </c>
      <c r="C61" s="213"/>
      <c r="D61" s="414"/>
      <c r="E61" s="407"/>
      <c r="F61" s="408"/>
      <c r="G61" s="408"/>
      <c r="H61" s="492"/>
      <c r="I61" s="492"/>
      <c r="J61" s="491"/>
      <c r="K61" s="408"/>
      <c r="L61" s="409"/>
      <c r="M61" s="409"/>
      <c r="N61" s="410"/>
      <c r="Q61" s="392">
        <f>'Room Conf'!R40</f>
        <v>2</v>
      </c>
      <c r="R61" s="415"/>
      <c r="S61" s="416"/>
      <c r="T61" s="417"/>
      <c r="U61" s="47">
        <f t="shared" si="2"/>
        <v>0</v>
      </c>
      <c r="V61" s="46"/>
      <c r="W61"/>
      <c r="X61" s="425"/>
      <c r="Y61" s="392"/>
    </row>
    <row r="62" spans="1:25" ht="14.4">
      <c r="A62" s="240">
        <f>'Flat Sizes'!A61</f>
        <v>1</v>
      </c>
      <c r="B62" s="244" t="str">
        <f>'Flat Sizes'!B61</f>
        <v>Living, Dining &amp; Passage</v>
      </c>
      <c r="C62" s="213" t="s">
        <v>400</v>
      </c>
      <c r="D62" s="414"/>
      <c r="E62" s="407">
        <v>1</v>
      </c>
      <c r="F62" s="408">
        <f>VLOOKUP(C62,'D&amp;W Schedule'!$B$4:$F$20,2,FALSE)</f>
        <v>2.77</v>
      </c>
      <c r="G62" s="408">
        <f>VLOOKUP(C62,'D&amp;W Schedule'!$B$4:$F$20,3,FALSE)</f>
        <v>2.15</v>
      </c>
      <c r="H62" s="492">
        <f>VLOOKUP(C62,'D&amp;W Schedule'!$B$4:$F$20,4,FALSE)</f>
        <v>5.9554999999999998</v>
      </c>
      <c r="I62" s="492">
        <f>VLOOKUP(C62,'D&amp;W Schedule'!$B$4:$F$20,5,FALSE)</f>
        <v>5920.2</v>
      </c>
      <c r="J62" s="492">
        <f t="shared" ref="J62:J68" si="18">H62*I62</f>
        <v>35257.751100000001</v>
      </c>
      <c r="K62" s="408"/>
      <c r="L62" s="409"/>
      <c r="M62" s="409"/>
      <c r="N62" s="410">
        <f t="shared" si="1"/>
        <v>35257.751100000001</v>
      </c>
      <c r="Q62" s="392"/>
      <c r="R62" s="415">
        <f>H62*$Q$61</f>
        <v>11.911</v>
      </c>
      <c r="S62" s="416">
        <f>J62*$Q$61</f>
        <v>70515.502200000003</v>
      </c>
      <c r="T62" s="417"/>
      <c r="U62" s="47" t="str">
        <f t="shared" si="2"/>
        <v>W3</v>
      </c>
      <c r="V62" s="46"/>
      <c r="W62"/>
      <c r="X62" s="425"/>
      <c r="Y62" s="392"/>
    </row>
    <row r="63" spans="1:25" ht="14.4">
      <c r="A63" s="240">
        <f>'Flat Sizes'!A62</f>
        <v>2</v>
      </c>
      <c r="B63" s="244" t="str">
        <f>'Flat Sizes'!B62</f>
        <v>M. Bedroom</v>
      </c>
      <c r="C63" s="213" t="s">
        <v>394</v>
      </c>
      <c r="D63" s="414"/>
      <c r="E63" s="407">
        <v>1</v>
      </c>
      <c r="F63" s="408">
        <f>VLOOKUP(C63,'D&amp;W Schedule'!$B$4:$F$20,2,FALSE)</f>
        <v>3.05</v>
      </c>
      <c r="G63" s="408">
        <f>VLOOKUP(C63,'D&amp;W Schedule'!$B$4:$F$20,3,FALSE)</f>
        <v>2.15</v>
      </c>
      <c r="H63" s="492">
        <f>VLOOKUP(C63,'D&amp;W Schedule'!$B$4:$F$20,4,FALSE)</f>
        <v>6.5574999999999992</v>
      </c>
      <c r="I63" s="492">
        <f>VLOOKUP(C63,'D&amp;W Schedule'!$B$4:$F$20,5,FALSE)</f>
        <v>5920.2</v>
      </c>
      <c r="J63" s="492">
        <f t="shared" si="18"/>
        <v>38821.711499999998</v>
      </c>
      <c r="K63" s="408"/>
      <c r="L63" s="409"/>
      <c r="M63" s="409"/>
      <c r="N63" s="410">
        <f t="shared" si="1"/>
        <v>38821.711499999998</v>
      </c>
      <c r="Q63" s="392"/>
      <c r="R63" s="415">
        <f t="shared" ref="R63:R68" si="19">H63*$Q$61</f>
        <v>13.114999999999998</v>
      </c>
      <c r="S63" s="416">
        <f t="shared" ref="S63:S68" si="20">J63*$Q$61</f>
        <v>77643.422999999995</v>
      </c>
      <c r="T63" s="417"/>
      <c r="U63" s="47" t="str">
        <f t="shared" si="2"/>
        <v>W4</v>
      </c>
      <c r="V63" s="46"/>
      <c r="W63"/>
      <c r="X63" s="425"/>
      <c r="Y63" s="392"/>
    </row>
    <row r="64" spans="1:25" ht="14.4">
      <c r="A64" s="240">
        <f>'Flat Sizes'!A63</f>
        <v>3</v>
      </c>
      <c r="B64" s="244" t="str">
        <f>'Flat Sizes'!B63</f>
        <v>M. Toilet</v>
      </c>
      <c r="C64" s="213" t="s">
        <v>395</v>
      </c>
      <c r="D64" s="414"/>
      <c r="E64" s="407">
        <v>1</v>
      </c>
      <c r="F64" s="408">
        <f>VLOOKUP(C64,'D&amp;W Schedule'!$B$4:$F$20,2,FALSE)</f>
        <v>0.6</v>
      </c>
      <c r="G64" s="408">
        <f>VLOOKUP(C64,'D&amp;W Schedule'!$B$4:$F$20,3,FALSE)</f>
        <v>0.75</v>
      </c>
      <c r="H64" s="492">
        <f>VLOOKUP(C64,'D&amp;W Schedule'!$B$4:$F$20,4,FALSE)</f>
        <v>0.44999999999999996</v>
      </c>
      <c r="I64" s="492">
        <f>VLOOKUP(C64,'D&amp;W Schedule'!$B$4:$F$20,5,FALSE)</f>
        <v>5920.2</v>
      </c>
      <c r="J64" s="492">
        <f t="shared" si="18"/>
        <v>2664.0899999999997</v>
      </c>
      <c r="K64" s="408"/>
      <c r="L64" s="409"/>
      <c r="M64" s="409"/>
      <c r="N64" s="410">
        <f t="shared" si="1"/>
        <v>2664.0899999999997</v>
      </c>
      <c r="Q64" s="392"/>
      <c r="R64" s="415">
        <f t="shared" si="19"/>
        <v>0.89999999999999991</v>
      </c>
      <c r="S64" s="416">
        <f t="shared" si="20"/>
        <v>5328.1799999999994</v>
      </c>
      <c r="T64" s="417"/>
      <c r="U64" s="47" t="str">
        <f t="shared" si="2"/>
        <v>V</v>
      </c>
      <c r="V64" s="46"/>
      <c r="W64"/>
      <c r="X64" s="425"/>
      <c r="Y64" s="392"/>
    </row>
    <row r="65" spans="1:25" ht="14.4">
      <c r="A65" s="240">
        <f>'Flat Sizes'!A64</f>
        <v>4</v>
      </c>
      <c r="B65" s="244" t="str">
        <f>'Flat Sizes'!B64</f>
        <v>M. Bedroom</v>
      </c>
      <c r="C65" s="213" t="s">
        <v>394</v>
      </c>
      <c r="D65" s="414"/>
      <c r="E65" s="407">
        <v>1</v>
      </c>
      <c r="F65" s="408">
        <f>VLOOKUP(C65,'D&amp;W Schedule'!$B$4:$F$20,2,FALSE)</f>
        <v>3.05</v>
      </c>
      <c r="G65" s="408">
        <f>VLOOKUP(C65,'D&amp;W Schedule'!$B$4:$F$20,3,FALSE)</f>
        <v>2.15</v>
      </c>
      <c r="H65" s="492">
        <f>VLOOKUP(C65,'D&amp;W Schedule'!$B$4:$F$20,4,FALSE)</f>
        <v>6.5574999999999992</v>
      </c>
      <c r="I65" s="492">
        <f>VLOOKUP(C65,'D&amp;W Schedule'!$B$4:$F$20,5,FALSE)</f>
        <v>5920.2</v>
      </c>
      <c r="J65" s="492">
        <f t="shared" si="18"/>
        <v>38821.711499999998</v>
      </c>
      <c r="K65" s="408"/>
      <c r="L65" s="409"/>
      <c r="M65" s="409"/>
      <c r="N65" s="410">
        <f t="shared" si="1"/>
        <v>38821.711499999998</v>
      </c>
      <c r="Q65" s="392"/>
      <c r="R65" s="415">
        <f t="shared" si="19"/>
        <v>13.114999999999998</v>
      </c>
      <c r="S65" s="416">
        <f t="shared" si="20"/>
        <v>77643.422999999995</v>
      </c>
      <c r="T65" s="417"/>
      <c r="U65" s="47" t="str">
        <f t="shared" si="2"/>
        <v>W4</v>
      </c>
      <c r="V65" s="46"/>
      <c r="W65"/>
      <c r="X65" s="425"/>
      <c r="Y65" s="392"/>
    </row>
    <row r="66" spans="1:25" ht="14.4">
      <c r="A66" s="240"/>
      <c r="B66" s="244"/>
      <c r="C66" s="213" t="s">
        <v>401</v>
      </c>
      <c r="D66" s="414"/>
      <c r="E66" s="407">
        <v>1</v>
      </c>
      <c r="F66" s="408">
        <f>VLOOKUP(C66,'D&amp;W Schedule'!$B$4:$F$20,2,FALSE)</f>
        <v>1.03</v>
      </c>
      <c r="G66" s="408">
        <f>VLOOKUP(C66,'D&amp;W Schedule'!$B$4:$F$20,3,FALSE)</f>
        <v>2.15</v>
      </c>
      <c r="H66" s="492">
        <f>VLOOKUP(C66,'D&amp;W Schedule'!$B$4:$F$20,4,FALSE)</f>
        <v>2.2145000000000001</v>
      </c>
      <c r="I66" s="492">
        <f>VLOOKUP(C66,'D&amp;W Schedule'!$B$4:$F$20,5,FALSE)</f>
        <v>5920.2</v>
      </c>
      <c r="J66" s="492">
        <f t="shared" si="18"/>
        <v>13110.2829</v>
      </c>
      <c r="K66" s="408"/>
      <c r="L66" s="409"/>
      <c r="M66" s="409"/>
      <c r="N66" s="410">
        <f t="shared" si="1"/>
        <v>13110.2829</v>
      </c>
      <c r="Q66" s="392"/>
      <c r="R66" s="415">
        <f t="shared" si="19"/>
        <v>4.4290000000000003</v>
      </c>
      <c r="S66" s="416">
        <f t="shared" si="20"/>
        <v>26220.5658</v>
      </c>
      <c r="T66" s="417"/>
      <c r="U66" s="47" t="str">
        <f t="shared" si="2"/>
        <v>W4A</v>
      </c>
      <c r="V66" s="46"/>
      <c r="W66"/>
      <c r="X66" s="425"/>
      <c r="Y66" s="392"/>
    </row>
    <row r="67" spans="1:25" ht="14.4">
      <c r="A67" s="240">
        <f>'Flat Sizes'!A65</f>
        <v>5</v>
      </c>
      <c r="B67" s="244" t="str">
        <f>'Flat Sizes'!B65</f>
        <v>M. Toilet</v>
      </c>
      <c r="C67" s="213" t="s">
        <v>395</v>
      </c>
      <c r="D67" s="414"/>
      <c r="E67" s="407">
        <v>1</v>
      </c>
      <c r="F67" s="408">
        <f>VLOOKUP(C67,'D&amp;W Schedule'!$B$4:$F$20,2,FALSE)</f>
        <v>0.6</v>
      </c>
      <c r="G67" s="408">
        <f>VLOOKUP(C67,'D&amp;W Schedule'!$B$4:$F$20,3,FALSE)</f>
        <v>0.75</v>
      </c>
      <c r="H67" s="492">
        <f>VLOOKUP(C67,'D&amp;W Schedule'!$B$4:$F$20,4,FALSE)</f>
        <v>0.44999999999999996</v>
      </c>
      <c r="I67" s="492">
        <f>VLOOKUP(C67,'D&amp;W Schedule'!$B$4:$F$20,5,FALSE)</f>
        <v>5920.2</v>
      </c>
      <c r="J67" s="492">
        <f t="shared" si="18"/>
        <v>2664.0899999999997</v>
      </c>
      <c r="K67" s="408"/>
      <c r="L67" s="409"/>
      <c r="M67" s="409"/>
      <c r="N67" s="410">
        <f t="shared" si="1"/>
        <v>2664.0899999999997</v>
      </c>
      <c r="Q67" s="392"/>
      <c r="R67" s="415">
        <f t="shared" si="19"/>
        <v>0.89999999999999991</v>
      </c>
      <c r="S67" s="416">
        <f t="shared" si="20"/>
        <v>5328.1799999999994</v>
      </c>
      <c r="T67" s="417"/>
      <c r="U67" s="47" t="str">
        <f t="shared" si="2"/>
        <v>V</v>
      </c>
      <c r="V67" s="46"/>
      <c r="W67"/>
      <c r="X67" s="425"/>
      <c r="Y67" s="392"/>
    </row>
    <row r="68" spans="1:25" ht="14.4">
      <c r="A68" s="240">
        <f>'Flat Sizes'!A66</f>
        <v>6</v>
      </c>
      <c r="B68" s="244" t="str">
        <f>'Flat Sizes'!B66</f>
        <v>Kitchen</v>
      </c>
      <c r="C68" s="213" t="s">
        <v>396</v>
      </c>
      <c r="D68" s="414"/>
      <c r="E68" s="407">
        <v>1</v>
      </c>
      <c r="F68" s="408">
        <f>VLOOKUP(C68,'D&amp;W Schedule'!$B$4:$F$20,2,FALSE)</f>
        <v>1</v>
      </c>
      <c r="G68" s="408">
        <f>VLOOKUP(C68,'D&amp;W Schedule'!$B$4:$F$20,3,FALSE)</f>
        <v>2.15</v>
      </c>
      <c r="H68" s="492">
        <f>VLOOKUP(C68,'D&amp;W Schedule'!$B$4:$F$20,4,FALSE)</f>
        <v>2.15</v>
      </c>
      <c r="I68" s="492">
        <f>VLOOKUP(C68,'D&amp;W Schedule'!$B$4:$F$20,5,FALSE)</f>
        <v>5920.2</v>
      </c>
      <c r="J68" s="492">
        <f t="shared" si="18"/>
        <v>12728.429999999998</v>
      </c>
      <c r="K68" s="408"/>
      <c r="L68" s="409"/>
      <c r="M68" s="409"/>
      <c r="N68" s="410">
        <f t="shared" si="1"/>
        <v>12728.429999999998</v>
      </c>
      <c r="Q68" s="392"/>
      <c r="R68" s="415">
        <f t="shared" si="19"/>
        <v>4.3</v>
      </c>
      <c r="S68" s="416">
        <f t="shared" si="20"/>
        <v>25456.859999999997</v>
      </c>
      <c r="T68" s="417"/>
      <c r="U68" s="47" t="str">
        <f t="shared" si="2"/>
        <v>W7</v>
      </c>
      <c r="V68" s="46"/>
      <c r="W68"/>
      <c r="X68" s="425"/>
      <c r="Y68" s="392"/>
    </row>
    <row r="69" spans="1:25" ht="14.4">
      <c r="A69" s="240">
        <f>'Flat Sizes'!A67</f>
        <v>7</v>
      </c>
      <c r="B69" s="244" t="str">
        <f>'Flat Sizes'!B67</f>
        <v>Utility</v>
      </c>
      <c r="C69" s="213" t="s">
        <v>397</v>
      </c>
      <c r="D69" s="414"/>
      <c r="E69" s="407">
        <v>1</v>
      </c>
      <c r="F69" s="408"/>
      <c r="G69" s="408"/>
      <c r="H69" s="492"/>
      <c r="I69" s="492"/>
      <c r="J69" s="491"/>
      <c r="K69" s="408">
        <f>F68</f>
        <v>1</v>
      </c>
      <c r="L69" s="409">
        <f>'D&amp;W Schedule'!$F$20</f>
        <v>9500</v>
      </c>
      <c r="M69" s="409">
        <f>K69*L69</f>
        <v>9500</v>
      </c>
      <c r="N69" s="410">
        <f t="shared" ref="N69:N132" si="21">J69+M69</f>
        <v>9500</v>
      </c>
      <c r="Q69" s="392"/>
      <c r="R69" s="415">
        <f>K69*$Q$61</f>
        <v>2</v>
      </c>
      <c r="S69" s="416">
        <f>M69*$Q$61</f>
        <v>19000</v>
      </c>
      <c r="T69" s="417"/>
      <c r="U69" s="47" t="str">
        <f t="shared" ref="U69:U132" si="22">C69</f>
        <v>UR</v>
      </c>
      <c r="V69" s="46"/>
      <c r="W69"/>
      <c r="X69" s="425"/>
      <c r="Y69" s="392"/>
    </row>
    <row r="70" spans="1:25" ht="14.4">
      <c r="A70" s="240">
        <f>'Flat Sizes'!A68</f>
        <v>8</v>
      </c>
      <c r="B70" s="244" t="str">
        <f>'Flat Sizes'!B68</f>
        <v>Balcony</v>
      </c>
      <c r="C70" s="213" t="s">
        <v>398</v>
      </c>
      <c r="D70" s="414"/>
      <c r="E70" s="407">
        <v>1</v>
      </c>
      <c r="F70" s="408"/>
      <c r="G70" s="408"/>
      <c r="H70" s="492"/>
      <c r="I70" s="492"/>
      <c r="J70" s="491"/>
      <c r="K70" s="408">
        <f>2.28+1.37</f>
        <v>3.65</v>
      </c>
      <c r="L70" s="409">
        <f>'D&amp;W Schedule'!$F$20</f>
        <v>9500</v>
      </c>
      <c r="M70" s="409">
        <f>K70*L70</f>
        <v>34675</v>
      </c>
      <c r="N70" s="410">
        <f t="shared" si="21"/>
        <v>34675</v>
      </c>
      <c r="Q70" s="392"/>
      <c r="R70" s="415">
        <f>K70*$Q$61</f>
        <v>7.3</v>
      </c>
      <c r="S70" s="416">
        <f>M70*$Q$61</f>
        <v>69350</v>
      </c>
      <c r="T70" s="417"/>
      <c r="U70" s="47" t="str">
        <f t="shared" si="22"/>
        <v>BR</v>
      </c>
      <c r="V70" s="46"/>
      <c r="W70"/>
      <c r="X70" s="425"/>
      <c r="Y70" s="392"/>
    </row>
    <row r="71" spans="1:25" ht="14.4">
      <c r="A71" s="245"/>
      <c r="B71" s="246" t="str">
        <f>'Flat Sizes'!B69</f>
        <v>Sub Total</v>
      </c>
      <c r="C71" s="213"/>
      <c r="D71" s="420"/>
      <c r="E71" s="436">
        <f>SUBTOTAL(9,E62:E70)</f>
        <v>9</v>
      </c>
      <c r="F71" s="421"/>
      <c r="G71" s="421"/>
      <c r="H71" s="494">
        <f>SUBTOTAL(9,H62:H70)</f>
        <v>24.334999999999997</v>
      </c>
      <c r="I71" s="493"/>
      <c r="J71" s="493"/>
      <c r="K71" s="421"/>
      <c r="L71" s="422"/>
      <c r="M71" s="422"/>
      <c r="N71" s="495">
        <f>SUBTOTAL(9,N62:N70)</f>
        <v>188243.06700000001</v>
      </c>
      <c r="Q71" s="392"/>
      <c r="R71" s="392"/>
      <c r="S71" s="423"/>
      <c r="T71" s="417"/>
      <c r="U71" s="47">
        <f t="shared" si="22"/>
        <v>0</v>
      </c>
      <c r="V71" s="46"/>
      <c r="W71"/>
      <c r="X71" s="425"/>
      <c r="Y71" s="392"/>
    </row>
    <row r="72" spans="1:25" ht="13.5" customHeight="1">
      <c r="A72" s="241">
        <f>'Flat Sizes'!A70</f>
        <v>8</v>
      </c>
      <c r="B72" s="270" t="str">
        <f>'Flat Sizes'!B70</f>
        <v>Flat 4B,
3BHK</v>
      </c>
      <c r="C72" s="213"/>
      <c r="D72" s="211"/>
      <c r="E72" s="407"/>
      <c r="F72" s="408"/>
      <c r="G72" s="408"/>
      <c r="H72" s="492"/>
      <c r="I72" s="492"/>
      <c r="J72" s="491"/>
      <c r="K72" s="408"/>
      <c r="L72" s="409"/>
      <c r="M72" s="409"/>
      <c r="N72" s="410"/>
      <c r="O72" s="423"/>
      <c r="Q72" s="392">
        <f>'Room Conf'!S40</f>
        <v>24</v>
      </c>
      <c r="R72" s="392"/>
      <c r="T72" s="417"/>
      <c r="U72" s="47">
        <f t="shared" si="22"/>
        <v>0</v>
      </c>
      <c r="V72" s="46"/>
      <c r="W72"/>
      <c r="X72" s="425"/>
      <c r="Y72" s="392"/>
    </row>
    <row r="73" spans="1:25" ht="13.5" customHeight="1">
      <c r="A73" s="240">
        <f>'Flat Sizes'!A71</f>
        <v>1</v>
      </c>
      <c r="B73" s="244" t="str">
        <f>'Flat Sizes'!B71</f>
        <v>Living, Dining &amp; Passage</v>
      </c>
      <c r="C73" s="213" t="s">
        <v>400</v>
      </c>
      <c r="D73" s="211"/>
      <c r="E73" s="407">
        <v>1</v>
      </c>
      <c r="F73" s="408">
        <f>VLOOKUP(C73,'D&amp;W Schedule'!$B$4:$F$20,2,FALSE)</f>
        <v>2.77</v>
      </c>
      <c r="G73" s="408">
        <f>VLOOKUP(C73,'D&amp;W Schedule'!$B$4:$F$20,3,FALSE)</f>
        <v>2.15</v>
      </c>
      <c r="H73" s="492">
        <f>VLOOKUP(C73,'D&amp;W Schedule'!$B$4:$F$20,4,FALSE)</f>
        <v>5.9554999999999998</v>
      </c>
      <c r="I73" s="492">
        <f>VLOOKUP(C73,'D&amp;W Schedule'!$B$4:$F$20,5,FALSE)</f>
        <v>5920.2</v>
      </c>
      <c r="J73" s="492">
        <f t="shared" ref="J73:J81" si="23">H73*I73</f>
        <v>35257.751100000001</v>
      </c>
      <c r="K73" s="408"/>
      <c r="L73" s="409"/>
      <c r="M73" s="409"/>
      <c r="N73" s="410">
        <f t="shared" si="21"/>
        <v>35257.751100000001</v>
      </c>
      <c r="Q73" s="392"/>
      <c r="R73" s="392">
        <f>H73*$Q$72</f>
        <v>142.93199999999999</v>
      </c>
      <c r="S73" s="393">
        <f>J73*$Q$72</f>
        <v>846186.02640000009</v>
      </c>
      <c r="T73" s="417"/>
      <c r="U73" s="47" t="str">
        <f t="shared" si="22"/>
        <v>W3</v>
      </c>
      <c r="V73" s="46"/>
      <c r="W73"/>
      <c r="X73" s="425"/>
      <c r="Y73" s="392"/>
    </row>
    <row r="74" spans="1:25" ht="13.5" customHeight="1">
      <c r="A74" s="240">
        <f>'Flat Sizes'!A72</f>
        <v>2</v>
      </c>
      <c r="B74" s="244" t="str">
        <f>'Flat Sizes'!B72</f>
        <v>M. Bedroom</v>
      </c>
      <c r="C74" s="213" t="s">
        <v>394</v>
      </c>
      <c r="D74" s="211"/>
      <c r="E74" s="407">
        <v>1</v>
      </c>
      <c r="F74" s="408">
        <f>VLOOKUP(C74,'D&amp;W Schedule'!$B$4:$F$20,2,FALSE)</f>
        <v>3.05</v>
      </c>
      <c r="G74" s="408">
        <f>VLOOKUP(C74,'D&amp;W Schedule'!$B$4:$F$20,3,FALSE)</f>
        <v>2.15</v>
      </c>
      <c r="H74" s="492">
        <f>VLOOKUP(C74,'D&amp;W Schedule'!$B$4:$F$20,4,FALSE)</f>
        <v>6.5574999999999992</v>
      </c>
      <c r="I74" s="492">
        <f>VLOOKUP(C74,'D&amp;W Schedule'!$B$4:$F$20,5,FALSE)</f>
        <v>5920.2</v>
      </c>
      <c r="J74" s="492">
        <f t="shared" si="23"/>
        <v>38821.711499999998</v>
      </c>
      <c r="K74" s="408"/>
      <c r="L74" s="409"/>
      <c r="M74" s="409"/>
      <c r="N74" s="410">
        <f t="shared" si="21"/>
        <v>38821.711499999998</v>
      </c>
      <c r="Q74" s="392"/>
      <c r="R74" s="392">
        <f t="shared" ref="R74:R81" si="24">H74*$Q$72</f>
        <v>157.38</v>
      </c>
      <c r="S74" s="393">
        <f t="shared" ref="S74:S81" si="25">J74*$Q$72</f>
        <v>931721.07599999988</v>
      </c>
      <c r="T74" s="417"/>
      <c r="U74" s="47" t="str">
        <f t="shared" si="22"/>
        <v>W4</v>
      </c>
      <c r="V74" s="46"/>
      <c r="W74"/>
      <c r="X74" s="425"/>
      <c r="Y74" s="392"/>
    </row>
    <row r="75" spans="1:25" ht="13.5" customHeight="1">
      <c r="A75" s="240">
        <f>'Flat Sizes'!A73</f>
        <v>3</v>
      </c>
      <c r="B75" s="244" t="str">
        <f>'Flat Sizes'!B73</f>
        <v>M. Toilet</v>
      </c>
      <c r="C75" s="213" t="s">
        <v>395</v>
      </c>
      <c r="D75" s="211"/>
      <c r="E75" s="407">
        <v>1</v>
      </c>
      <c r="F75" s="408">
        <f>VLOOKUP(C75,'D&amp;W Schedule'!$B$4:$F$20,2,FALSE)</f>
        <v>0.6</v>
      </c>
      <c r="G75" s="408">
        <f>VLOOKUP(C75,'D&amp;W Schedule'!$B$4:$F$20,3,FALSE)</f>
        <v>0.75</v>
      </c>
      <c r="H75" s="492">
        <f>VLOOKUP(C75,'D&amp;W Schedule'!$B$4:$F$20,4,FALSE)</f>
        <v>0.44999999999999996</v>
      </c>
      <c r="I75" s="492">
        <f>VLOOKUP(C75,'D&amp;W Schedule'!$B$4:$F$20,5,FALSE)</f>
        <v>5920.2</v>
      </c>
      <c r="J75" s="492">
        <f t="shared" si="23"/>
        <v>2664.0899999999997</v>
      </c>
      <c r="K75" s="408"/>
      <c r="L75" s="409"/>
      <c r="M75" s="409"/>
      <c r="N75" s="410">
        <f t="shared" si="21"/>
        <v>2664.0899999999997</v>
      </c>
      <c r="Q75" s="392"/>
      <c r="R75" s="392">
        <f t="shared" si="24"/>
        <v>10.799999999999999</v>
      </c>
      <c r="S75" s="393">
        <f t="shared" si="25"/>
        <v>63938.159999999989</v>
      </c>
      <c r="T75" s="417"/>
      <c r="U75" s="47" t="str">
        <f t="shared" si="22"/>
        <v>V</v>
      </c>
      <c r="V75" s="46"/>
      <c r="W75"/>
      <c r="X75" s="425"/>
      <c r="Y75" s="392"/>
    </row>
    <row r="76" spans="1:25" ht="13.5" customHeight="1">
      <c r="A76" s="240">
        <f>'Flat Sizes'!A74</f>
        <v>4</v>
      </c>
      <c r="B76" s="244" t="str">
        <f>'Flat Sizes'!B74</f>
        <v>M. Bedroom</v>
      </c>
      <c r="C76" s="213" t="s">
        <v>394</v>
      </c>
      <c r="D76" s="211"/>
      <c r="E76" s="407">
        <v>1</v>
      </c>
      <c r="F76" s="408">
        <f>VLOOKUP(C76,'D&amp;W Schedule'!$B$4:$F$20,2,FALSE)</f>
        <v>3.05</v>
      </c>
      <c r="G76" s="408">
        <f>VLOOKUP(C76,'D&amp;W Schedule'!$B$4:$F$20,3,FALSE)</f>
        <v>2.15</v>
      </c>
      <c r="H76" s="492">
        <f>VLOOKUP(C76,'D&amp;W Schedule'!$B$4:$F$20,4,FALSE)</f>
        <v>6.5574999999999992</v>
      </c>
      <c r="I76" s="492">
        <f>VLOOKUP(C76,'D&amp;W Schedule'!$B$4:$F$20,5,FALSE)</f>
        <v>5920.2</v>
      </c>
      <c r="J76" s="492">
        <f t="shared" si="23"/>
        <v>38821.711499999998</v>
      </c>
      <c r="K76" s="408"/>
      <c r="L76" s="409"/>
      <c r="M76" s="409"/>
      <c r="N76" s="410">
        <f t="shared" si="21"/>
        <v>38821.711499999998</v>
      </c>
      <c r="Q76" s="392"/>
      <c r="R76" s="392">
        <f t="shared" si="24"/>
        <v>157.38</v>
      </c>
      <c r="S76" s="393">
        <f t="shared" si="25"/>
        <v>931721.07599999988</v>
      </c>
      <c r="T76" s="417"/>
      <c r="U76" s="47" t="str">
        <f t="shared" si="22"/>
        <v>W4</v>
      </c>
      <c r="V76" s="46"/>
      <c r="W76"/>
      <c r="X76" s="425"/>
      <c r="Y76" s="392"/>
    </row>
    <row r="77" spans="1:25" ht="13.5" customHeight="1">
      <c r="A77" s="240"/>
      <c r="B77" s="244"/>
      <c r="C77" s="213" t="s">
        <v>401</v>
      </c>
      <c r="D77" s="211"/>
      <c r="E77" s="407">
        <v>1</v>
      </c>
      <c r="F77" s="408">
        <f>VLOOKUP(C77,'D&amp;W Schedule'!$B$4:$F$20,2,FALSE)</f>
        <v>1.03</v>
      </c>
      <c r="G77" s="408">
        <f>VLOOKUP(C77,'D&amp;W Schedule'!$B$4:$F$20,3,FALSE)</f>
        <v>2.15</v>
      </c>
      <c r="H77" s="492">
        <f>VLOOKUP(C77,'D&amp;W Schedule'!$B$4:$F$20,4,FALSE)</f>
        <v>2.2145000000000001</v>
      </c>
      <c r="I77" s="492">
        <f>VLOOKUP(C77,'D&amp;W Schedule'!$B$4:$F$20,5,FALSE)</f>
        <v>5920.2</v>
      </c>
      <c r="J77" s="492">
        <f t="shared" si="23"/>
        <v>13110.2829</v>
      </c>
      <c r="K77" s="408"/>
      <c r="L77" s="409"/>
      <c r="M77" s="409"/>
      <c r="N77" s="410">
        <f t="shared" si="21"/>
        <v>13110.2829</v>
      </c>
      <c r="Q77" s="392"/>
      <c r="R77" s="392">
        <f t="shared" si="24"/>
        <v>53.148000000000003</v>
      </c>
      <c r="S77" s="393">
        <f t="shared" si="25"/>
        <v>314646.78960000002</v>
      </c>
      <c r="T77" s="417"/>
      <c r="U77" s="47" t="str">
        <f t="shared" si="22"/>
        <v>W4A</v>
      </c>
      <c r="V77" s="46"/>
      <c r="W77"/>
      <c r="X77" s="425"/>
      <c r="Y77" s="392"/>
    </row>
    <row r="78" spans="1:25" ht="13.5" customHeight="1">
      <c r="A78" s="240">
        <f>'Flat Sizes'!A75</f>
        <v>5</v>
      </c>
      <c r="B78" s="244" t="str">
        <f>'Flat Sizes'!B75</f>
        <v>M. Toilet</v>
      </c>
      <c r="C78" s="213" t="s">
        <v>395</v>
      </c>
      <c r="D78" s="211"/>
      <c r="E78" s="407">
        <v>1</v>
      </c>
      <c r="F78" s="408">
        <f>VLOOKUP(C78,'D&amp;W Schedule'!$B$4:$F$20,2,FALSE)</f>
        <v>0.6</v>
      </c>
      <c r="G78" s="408">
        <f>VLOOKUP(C78,'D&amp;W Schedule'!$B$4:$F$20,3,FALSE)</f>
        <v>0.75</v>
      </c>
      <c r="H78" s="492">
        <f>VLOOKUP(C78,'D&amp;W Schedule'!$B$4:$F$20,4,FALSE)</f>
        <v>0.44999999999999996</v>
      </c>
      <c r="I78" s="492">
        <f>VLOOKUP(C78,'D&amp;W Schedule'!$B$4:$F$20,5,FALSE)</f>
        <v>5920.2</v>
      </c>
      <c r="J78" s="492">
        <f t="shared" si="23"/>
        <v>2664.0899999999997</v>
      </c>
      <c r="K78" s="408"/>
      <c r="L78" s="409"/>
      <c r="M78" s="409"/>
      <c r="N78" s="410">
        <f t="shared" si="21"/>
        <v>2664.0899999999997</v>
      </c>
      <c r="Q78" s="392"/>
      <c r="R78" s="392">
        <f t="shared" si="24"/>
        <v>10.799999999999999</v>
      </c>
      <c r="S78" s="393">
        <f t="shared" si="25"/>
        <v>63938.159999999989</v>
      </c>
      <c r="T78" s="417"/>
      <c r="U78" s="47" t="str">
        <f t="shared" si="22"/>
        <v>V</v>
      </c>
      <c r="V78" s="46"/>
      <c r="W78"/>
      <c r="X78" s="425"/>
      <c r="Y78" s="392"/>
    </row>
    <row r="79" spans="1:25" ht="13.5" customHeight="1">
      <c r="A79" s="240">
        <f>'Flat Sizes'!A76</f>
        <v>6</v>
      </c>
      <c r="B79" s="244" t="str">
        <f>'Flat Sizes'!B76</f>
        <v>C. Bedroom</v>
      </c>
      <c r="C79" s="213" t="s">
        <v>394</v>
      </c>
      <c r="D79" s="211"/>
      <c r="E79" s="407">
        <v>1</v>
      </c>
      <c r="F79" s="408">
        <f>VLOOKUP(C79,'D&amp;W Schedule'!$B$4:$F$20,2,FALSE)</f>
        <v>3.05</v>
      </c>
      <c r="G79" s="408">
        <f>VLOOKUP(C79,'D&amp;W Schedule'!$B$4:$F$20,3,FALSE)</f>
        <v>2.15</v>
      </c>
      <c r="H79" s="492">
        <f>VLOOKUP(C79,'D&amp;W Schedule'!$B$4:$F$20,4,FALSE)</f>
        <v>6.5574999999999992</v>
      </c>
      <c r="I79" s="492">
        <f>VLOOKUP(C79,'D&amp;W Schedule'!$B$4:$F$20,5,FALSE)</f>
        <v>5920.2</v>
      </c>
      <c r="J79" s="492">
        <f t="shared" si="23"/>
        <v>38821.711499999998</v>
      </c>
      <c r="K79" s="408"/>
      <c r="L79" s="409"/>
      <c r="M79" s="409"/>
      <c r="N79" s="410">
        <f t="shared" si="21"/>
        <v>38821.711499999998</v>
      </c>
      <c r="Q79" s="392"/>
      <c r="R79" s="392">
        <f t="shared" si="24"/>
        <v>157.38</v>
      </c>
      <c r="S79" s="393">
        <f t="shared" si="25"/>
        <v>931721.07599999988</v>
      </c>
      <c r="T79" s="417"/>
      <c r="U79" s="47" t="str">
        <f t="shared" si="22"/>
        <v>W4</v>
      </c>
      <c r="V79" s="46"/>
      <c r="W79"/>
      <c r="X79" s="425"/>
      <c r="Y79" s="392"/>
    </row>
    <row r="80" spans="1:25" ht="13.5" customHeight="1">
      <c r="A80" s="240">
        <f>'Flat Sizes'!A77</f>
        <v>7</v>
      </c>
      <c r="B80" s="244" t="str">
        <f>'Flat Sizes'!B77</f>
        <v>C. Toilet</v>
      </c>
      <c r="C80" s="213" t="s">
        <v>395</v>
      </c>
      <c r="D80" s="211"/>
      <c r="E80" s="407">
        <v>1</v>
      </c>
      <c r="F80" s="408">
        <f>VLOOKUP(C80,'D&amp;W Schedule'!$B$4:$F$20,2,FALSE)</f>
        <v>0.6</v>
      </c>
      <c r="G80" s="408">
        <f>VLOOKUP(C80,'D&amp;W Schedule'!$B$4:$F$20,3,FALSE)</f>
        <v>0.75</v>
      </c>
      <c r="H80" s="492">
        <f>VLOOKUP(C80,'D&amp;W Schedule'!$B$4:$F$20,4,FALSE)</f>
        <v>0.44999999999999996</v>
      </c>
      <c r="I80" s="492">
        <f>VLOOKUP(C80,'D&amp;W Schedule'!$B$4:$F$20,5,FALSE)</f>
        <v>5920.2</v>
      </c>
      <c r="J80" s="492">
        <f t="shared" si="23"/>
        <v>2664.0899999999997</v>
      </c>
      <c r="K80" s="408"/>
      <c r="L80" s="409"/>
      <c r="M80" s="409"/>
      <c r="N80" s="410">
        <f t="shared" si="21"/>
        <v>2664.0899999999997</v>
      </c>
      <c r="Q80" s="392"/>
      <c r="R80" s="392">
        <f t="shared" si="24"/>
        <v>10.799999999999999</v>
      </c>
      <c r="S80" s="393">
        <f t="shared" si="25"/>
        <v>63938.159999999989</v>
      </c>
      <c r="T80" s="417"/>
      <c r="U80" s="47" t="str">
        <f t="shared" si="22"/>
        <v>V</v>
      </c>
      <c r="V80" s="46"/>
      <c r="W80"/>
      <c r="X80" s="425"/>
      <c r="Y80" s="392"/>
    </row>
    <row r="81" spans="1:25" ht="13.5" customHeight="1">
      <c r="A81" s="240">
        <f>'Flat Sizes'!A78</f>
        <v>8</v>
      </c>
      <c r="B81" s="244" t="str">
        <f>'Flat Sizes'!B78</f>
        <v>Kitchen</v>
      </c>
      <c r="C81" s="213" t="s">
        <v>396</v>
      </c>
      <c r="D81" s="211"/>
      <c r="E81" s="407">
        <v>1</v>
      </c>
      <c r="F81" s="408">
        <f>VLOOKUP(C81,'D&amp;W Schedule'!$B$4:$F$20,2,FALSE)</f>
        <v>1</v>
      </c>
      <c r="G81" s="408">
        <f>VLOOKUP(C81,'D&amp;W Schedule'!$B$4:$F$20,3,FALSE)</f>
        <v>2.15</v>
      </c>
      <c r="H81" s="492">
        <f>VLOOKUP(C81,'D&amp;W Schedule'!$B$4:$F$20,4,FALSE)</f>
        <v>2.15</v>
      </c>
      <c r="I81" s="492">
        <f>VLOOKUP(C81,'D&amp;W Schedule'!$B$4:$F$20,5,FALSE)</f>
        <v>5920.2</v>
      </c>
      <c r="J81" s="492">
        <f t="shared" si="23"/>
        <v>12728.429999999998</v>
      </c>
      <c r="K81" s="408"/>
      <c r="L81" s="409"/>
      <c r="M81" s="409"/>
      <c r="N81" s="410">
        <f t="shared" si="21"/>
        <v>12728.429999999998</v>
      </c>
      <c r="Q81" s="392"/>
      <c r="R81" s="392">
        <f t="shared" si="24"/>
        <v>51.599999999999994</v>
      </c>
      <c r="S81" s="393">
        <f t="shared" si="25"/>
        <v>305482.31999999995</v>
      </c>
      <c r="T81" s="417"/>
      <c r="U81" s="47" t="str">
        <f t="shared" si="22"/>
        <v>W7</v>
      </c>
      <c r="V81" s="46"/>
      <c r="W81"/>
      <c r="X81" s="425"/>
      <c r="Y81" s="392"/>
    </row>
    <row r="82" spans="1:25" ht="13.5" customHeight="1">
      <c r="A82" s="240">
        <f>'Flat Sizes'!A79</f>
        <v>9</v>
      </c>
      <c r="B82" s="244" t="str">
        <f>'Flat Sizes'!B79</f>
        <v>Utility</v>
      </c>
      <c r="C82" s="213" t="s">
        <v>397</v>
      </c>
      <c r="D82" s="211"/>
      <c r="E82" s="407">
        <v>1</v>
      </c>
      <c r="F82" s="408"/>
      <c r="G82" s="408"/>
      <c r="H82" s="492"/>
      <c r="I82" s="492"/>
      <c r="J82" s="492"/>
      <c r="K82" s="408">
        <f>F81</f>
        <v>1</v>
      </c>
      <c r="L82" s="409">
        <f>'D&amp;W Schedule'!$F$20</f>
        <v>9500</v>
      </c>
      <c r="M82" s="409">
        <f>K82*L82</f>
        <v>9500</v>
      </c>
      <c r="N82" s="410">
        <f t="shared" si="21"/>
        <v>9500</v>
      </c>
      <c r="Q82" s="392"/>
      <c r="R82" s="392">
        <f>K82*$Q$72</f>
        <v>24</v>
      </c>
      <c r="S82" s="393">
        <f>M82*$Q$72</f>
        <v>228000</v>
      </c>
      <c r="T82" s="417"/>
      <c r="U82" s="47" t="str">
        <f t="shared" si="22"/>
        <v>UR</v>
      </c>
      <c r="V82" s="46"/>
      <c r="W82"/>
      <c r="X82" s="424"/>
      <c r="Y82" s="392"/>
    </row>
    <row r="83" spans="1:25" ht="13.5" customHeight="1">
      <c r="A83" s="240">
        <f>'Flat Sizes'!A80</f>
        <v>10</v>
      </c>
      <c r="B83" s="244" t="str">
        <f>'Flat Sizes'!B80</f>
        <v>Balcony</v>
      </c>
      <c r="C83" s="213" t="s">
        <v>398</v>
      </c>
      <c r="D83" s="211"/>
      <c r="E83" s="407">
        <v>1</v>
      </c>
      <c r="F83" s="408"/>
      <c r="G83" s="408"/>
      <c r="H83" s="492"/>
      <c r="I83" s="492"/>
      <c r="J83" s="492"/>
      <c r="K83" s="408">
        <f>2.28+1.37</f>
        <v>3.65</v>
      </c>
      <c r="L83" s="409">
        <f>'D&amp;W Schedule'!$F$20</f>
        <v>9500</v>
      </c>
      <c r="M83" s="409">
        <f>K83*L83</f>
        <v>34675</v>
      </c>
      <c r="N83" s="410">
        <f t="shared" si="21"/>
        <v>34675</v>
      </c>
      <c r="Q83" s="392"/>
      <c r="R83" s="392">
        <f>K83*$Q$72</f>
        <v>87.6</v>
      </c>
      <c r="S83" s="393">
        <f>M83*$Q$72</f>
        <v>832200</v>
      </c>
      <c r="T83" s="417"/>
      <c r="U83" s="47" t="str">
        <f t="shared" si="22"/>
        <v>BR</v>
      </c>
      <c r="V83" s="46"/>
      <c r="W83"/>
      <c r="X83" s="424"/>
      <c r="Y83" s="392"/>
    </row>
    <row r="84" spans="1:25" ht="13.5" customHeight="1">
      <c r="A84" s="245"/>
      <c r="B84" s="246" t="str">
        <f>'Flat Sizes'!B81</f>
        <v>Sub Total</v>
      </c>
      <c r="C84" s="213"/>
      <c r="D84" s="211"/>
      <c r="E84" s="436">
        <f>SUBTOTAL(9,E73:E83)</f>
        <v>11</v>
      </c>
      <c r="F84" s="421"/>
      <c r="G84" s="421"/>
      <c r="H84" s="494">
        <f>SUBTOTAL(9,H73:H83)</f>
        <v>31.342499999999998</v>
      </c>
      <c r="I84" s="493"/>
      <c r="J84" s="493"/>
      <c r="K84" s="421"/>
      <c r="L84" s="422"/>
      <c r="M84" s="422"/>
      <c r="N84" s="495">
        <f>SUBTOTAL(9,N73:N83)</f>
        <v>229728.86850000001</v>
      </c>
      <c r="Q84" s="392"/>
      <c r="R84" s="392"/>
      <c r="T84" s="417"/>
      <c r="U84" s="47">
        <f t="shared" si="22"/>
        <v>0</v>
      </c>
      <c r="V84" s="46"/>
      <c r="W84"/>
      <c r="X84" s="424"/>
      <c r="Y84" s="392"/>
    </row>
    <row r="85" spans="1:25" ht="13.5" customHeight="1">
      <c r="A85" s="241">
        <f>'Flat Sizes'!A82</f>
        <v>9</v>
      </c>
      <c r="B85" s="270" t="str">
        <f>'Flat Sizes'!B82</f>
        <v>Flat 5A</v>
      </c>
      <c r="C85" s="213"/>
      <c r="D85" s="211"/>
      <c r="E85" s="407"/>
      <c r="F85" s="408"/>
      <c r="G85" s="408"/>
      <c r="H85" s="492"/>
      <c r="I85" s="492"/>
      <c r="J85" s="491"/>
      <c r="K85" s="408"/>
      <c r="L85" s="409"/>
      <c r="M85" s="409"/>
      <c r="N85" s="410"/>
      <c r="Q85" s="392">
        <f>'Room Conf'!T40</f>
        <v>8</v>
      </c>
      <c r="R85" s="392"/>
      <c r="T85" s="417"/>
      <c r="U85" s="47">
        <f t="shared" si="22"/>
        <v>0</v>
      </c>
      <c r="V85" s="46"/>
      <c r="W85"/>
      <c r="X85" s="424"/>
      <c r="Y85" s="392"/>
    </row>
    <row r="86" spans="1:25" ht="13.5" customHeight="1">
      <c r="A86" s="240">
        <f>'Flat Sizes'!A83</f>
        <v>1</v>
      </c>
      <c r="B86" s="244" t="str">
        <f>'Flat Sizes'!B83</f>
        <v>Multi Purpose Room</v>
      </c>
      <c r="C86" s="213" t="s">
        <v>392</v>
      </c>
      <c r="D86" s="211"/>
      <c r="E86" s="407">
        <v>1</v>
      </c>
      <c r="F86" s="408">
        <f>VLOOKUP(C86,'D&amp;W Schedule'!$B$4:$F$20,2,FALSE)</f>
        <v>5.3</v>
      </c>
      <c r="G86" s="408">
        <f>VLOOKUP(C86,'D&amp;W Schedule'!$B$4:$F$20,3,FALSE)</f>
        <v>2.15</v>
      </c>
      <c r="H86" s="492">
        <f>VLOOKUP(C86,'D&amp;W Schedule'!$B$4:$F$20,4,FALSE)</f>
        <v>11.395</v>
      </c>
      <c r="I86" s="492">
        <f>VLOOKUP(C86,'D&amp;W Schedule'!$B$4:$F$20,5,FALSE)</f>
        <v>5920.2</v>
      </c>
      <c r="J86" s="492">
        <f t="shared" ref="J86:J90" si="26">H86*I86</f>
        <v>67460.678999999989</v>
      </c>
      <c r="K86" s="408"/>
      <c r="L86" s="409"/>
      <c r="M86" s="409"/>
      <c r="N86" s="410">
        <f t="shared" si="21"/>
        <v>67460.678999999989</v>
      </c>
      <c r="Q86" s="392"/>
      <c r="R86" s="392">
        <f>H86*$Q$85</f>
        <v>91.16</v>
      </c>
      <c r="S86" s="393">
        <f>J86*$Q$85</f>
        <v>539685.43199999991</v>
      </c>
      <c r="T86" s="417"/>
      <c r="U86" s="47" t="str">
        <f t="shared" si="22"/>
        <v>W1</v>
      </c>
      <c r="V86" s="46"/>
      <c r="W86"/>
      <c r="X86" s="424"/>
      <c r="Y86" s="392"/>
    </row>
    <row r="87" spans="1:25" ht="13.5" customHeight="1">
      <c r="A87" s="240">
        <f>'Flat Sizes'!A84</f>
        <v>2</v>
      </c>
      <c r="B87" s="244" t="str">
        <f>'Flat Sizes'!B84</f>
        <v>Study Room</v>
      </c>
      <c r="C87" s="213" t="s">
        <v>393</v>
      </c>
      <c r="D87" s="211"/>
      <c r="E87" s="407">
        <v>1</v>
      </c>
      <c r="F87" s="408">
        <f>VLOOKUP(C87,'D&amp;W Schedule'!$B$4:$F$20,2,FALSE)</f>
        <v>0.97</v>
      </c>
      <c r="G87" s="408">
        <f>VLOOKUP(C87,'D&amp;W Schedule'!$B$4:$F$20,3,FALSE)</f>
        <v>2.15</v>
      </c>
      <c r="H87" s="492">
        <f>VLOOKUP(C87,'D&amp;W Schedule'!$B$4:$F$20,4,FALSE)</f>
        <v>2.0854999999999997</v>
      </c>
      <c r="I87" s="492">
        <f>VLOOKUP(C87,'D&amp;W Schedule'!$B$4:$F$20,5,FALSE)</f>
        <v>5920.2</v>
      </c>
      <c r="J87" s="492">
        <f t="shared" si="26"/>
        <v>12346.577099999999</v>
      </c>
      <c r="K87" s="408"/>
      <c r="L87" s="409"/>
      <c r="M87" s="409"/>
      <c r="N87" s="410">
        <f t="shared" si="21"/>
        <v>12346.577099999999</v>
      </c>
      <c r="Q87" s="392"/>
      <c r="R87" s="392">
        <f t="shared" ref="R87:R90" si="27">H87*$Q$85</f>
        <v>16.683999999999997</v>
      </c>
      <c r="S87" s="393">
        <f t="shared" ref="S87:S90" si="28">J87*$Q$85</f>
        <v>98772.616799999989</v>
      </c>
      <c r="T87" s="417"/>
      <c r="U87" s="47" t="str">
        <f t="shared" si="22"/>
        <v>W8</v>
      </c>
      <c r="V87" s="46"/>
      <c r="W87"/>
      <c r="X87" s="424"/>
      <c r="Y87" s="392"/>
    </row>
    <row r="88" spans="1:25" ht="13.5" customHeight="1">
      <c r="A88" s="240">
        <f>'Flat Sizes'!A85</f>
        <v>3</v>
      </c>
      <c r="B88" s="244" t="str">
        <f>'Flat Sizes'!B85</f>
        <v>M. Bedroom</v>
      </c>
      <c r="C88" s="213" t="s">
        <v>394</v>
      </c>
      <c r="D88" s="211"/>
      <c r="E88" s="407">
        <v>1</v>
      </c>
      <c r="F88" s="408">
        <f>VLOOKUP(C88,'D&amp;W Schedule'!$B$4:$F$20,2,FALSE)</f>
        <v>3.05</v>
      </c>
      <c r="G88" s="408">
        <f>VLOOKUP(C88,'D&amp;W Schedule'!$B$4:$F$20,3,FALSE)</f>
        <v>2.15</v>
      </c>
      <c r="H88" s="492">
        <f>VLOOKUP(C88,'D&amp;W Schedule'!$B$4:$F$20,4,FALSE)</f>
        <v>6.5574999999999992</v>
      </c>
      <c r="I88" s="492">
        <f>VLOOKUP(C88,'D&amp;W Schedule'!$B$4:$F$20,5,FALSE)</f>
        <v>5920.2</v>
      </c>
      <c r="J88" s="492">
        <f t="shared" si="26"/>
        <v>38821.711499999998</v>
      </c>
      <c r="K88" s="408"/>
      <c r="L88" s="409"/>
      <c r="M88" s="409"/>
      <c r="N88" s="410">
        <f t="shared" si="21"/>
        <v>38821.711499999998</v>
      </c>
      <c r="Q88" s="392"/>
      <c r="R88" s="392">
        <f t="shared" si="27"/>
        <v>52.459999999999994</v>
      </c>
      <c r="S88" s="393">
        <f t="shared" si="28"/>
        <v>310573.69199999998</v>
      </c>
      <c r="T88" s="417"/>
      <c r="U88" s="47" t="str">
        <f t="shared" si="22"/>
        <v>W4</v>
      </c>
      <c r="V88" s="46"/>
      <c r="W88"/>
      <c r="X88" s="424"/>
      <c r="Y88" s="392"/>
    </row>
    <row r="89" spans="1:25" ht="13.5" customHeight="1">
      <c r="A89" s="240">
        <f>'Flat Sizes'!A86</f>
        <v>4</v>
      </c>
      <c r="B89" s="244" t="str">
        <f>'Flat Sizes'!B86</f>
        <v>M. Toilet</v>
      </c>
      <c r="C89" s="213" t="s">
        <v>395</v>
      </c>
      <c r="D89" s="211"/>
      <c r="E89" s="407">
        <v>1</v>
      </c>
      <c r="F89" s="408">
        <f>VLOOKUP(C89,'D&amp;W Schedule'!$B$4:$F$20,2,FALSE)</f>
        <v>0.6</v>
      </c>
      <c r="G89" s="408">
        <f>VLOOKUP(C89,'D&amp;W Schedule'!$B$4:$F$20,3,FALSE)</f>
        <v>0.75</v>
      </c>
      <c r="H89" s="492">
        <f>VLOOKUP(C89,'D&amp;W Schedule'!$B$4:$F$20,4,FALSE)</f>
        <v>0.44999999999999996</v>
      </c>
      <c r="I89" s="492">
        <f>VLOOKUP(C89,'D&amp;W Schedule'!$B$4:$F$20,5,FALSE)</f>
        <v>5920.2</v>
      </c>
      <c r="J89" s="492">
        <f t="shared" si="26"/>
        <v>2664.0899999999997</v>
      </c>
      <c r="K89" s="408"/>
      <c r="L89" s="409"/>
      <c r="M89" s="409"/>
      <c r="N89" s="410">
        <f t="shared" si="21"/>
        <v>2664.0899999999997</v>
      </c>
      <c r="Q89" s="392"/>
      <c r="R89" s="392">
        <f t="shared" si="27"/>
        <v>3.5999999999999996</v>
      </c>
      <c r="S89" s="393">
        <f t="shared" si="28"/>
        <v>21312.719999999998</v>
      </c>
      <c r="T89" s="417"/>
      <c r="U89" s="47" t="str">
        <f t="shared" si="22"/>
        <v>V</v>
      </c>
      <c r="V89" s="46"/>
      <c r="W89"/>
      <c r="X89" s="424"/>
      <c r="Y89" s="392"/>
    </row>
    <row r="90" spans="1:25" ht="13.5" customHeight="1">
      <c r="A90" s="240">
        <f>'Flat Sizes'!A87</f>
        <v>5</v>
      </c>
      <c r="B90" s="244" t="str">
        <f>'Flat Sizes'!B87</f>
        <v>C. Toilet</v>
      </c>
      <c r="C90" s="213" t="s">
        <v>395</v>
      </c>
      <c r="D90" s="211"/>
      <c r="E90" s="407">
        <v>1</v>
      </c>
      <c r="F90" s="408">
        <f>VLOOKUP(C90,'D&amp;W Schedule'!$B$4:$F$20,2,FALSE)</f>
        <v>0.6</v>
      </c>
      <c r="G90" s="408">
        <f>VLOOKUP(C90,'D&amp;W Schedule'!$B$4:$F$20,3,FALSE)</f>
        <v>0.75</v>
      </c>
      <c r="H90" s="492">
        <f>VLOOKUP(C90,'D&amp;W Schedule'!$B$4:$F$20,4,FALSE)</f>
        <v>0.44999999999999996</v>
      </c>
      <c r="I90" s="492">
        <f>VLOOKUP(C90,'D&amp;W Schedule'!$B$4:$F$20,5,FALSE)</f>
        <v>5920.2</v>
      </c>
      <c r="J90" s="492">
        <f t="shared" si="26"/>
        <v>2664.0899999999997</v>
      </c>
      <c r="K90" s="408"/>
      <c r="L90" s="409"/>
      <c r="M90" s="409"/>
      <c r="N90" s="410">
        <f t="shared" si="21"/>
        <v>2664.0899999999997</v>
      </c>
      <c r="Q90" s="392"/>
      <c r="R90" s="392">
        <f t="shared" si="27"/>
        <v>3.5999999999999996</v>
      </c>
      <c r="S90" s="393">
        <f t="shared" si="28"/>
        <v>21312.719999999998</v>
      </c>
      <c r="T90" s="417"/>
      <c r="U90" s="47" t="str">
        <f t="shared" si="22"/>
        <v>V</v>
      </c>
      <c r="V90" s="46"/>
      <c r="W90"/>
      <c r="X90" s="392"/>
      <c r="Y90" s="392"/>
    </row>
    <row r="91" spans="1:25" ht="13.5" customHeight="1">
      <c r="A91" s="245"/>
      <c r="B91" s="246" t="str">
        <f>'Flat Sizes'!B88</f>
        <v>Sub Total</v>
      </c>
      <c r="C91" s="213"/>
      <c r="D91" s="211"/>
      <c r="E91" s="436">
        <f>SUBTOTAL(9,E86:E90)</f>
        <v>5</v>
      </c>
      <c r="F91" s="421"/>
      <c r="G91" s="421"/>
      <c r="H91" s="494">
        <f>SUBTOTAL(9,H86:H90)</f>
        <v>20.937999999999995</v>
      </c>
      <c r="I91" s="493"/>
      <c r="J91" s="493"/>
      <c r="K91" s="421"/>
      <c r="L91" s="422"/>
      <c r="M91" s="422"/>
      <c r="N91" s="495">
        <f>SUBTOTAL(9,N86:N90)</f>
        <v>123957.14759999997</v>
      </c>
      <c r="Q91" s="392"/>
      <c r="R91" s="392"/>
      <c r="T91" s="417"/>
      <c r="U91" s="47">
        <f t="shared" si="22"/>
        <v>0</v>
      </c>
      <c r="V91" s="46"/>
      <c r="W91"/>
      <c r="X91" s="392"/>
      <c r="Y91" s="392"/>
    </row>
    <row r="92" spans="1:25" ht="13.5" customHeight="1">
      <c r="A92" s="241">
        <f>'Flat Sizes'!A89</f>
        <v>10</v>
      </c>
      <c r="B92" s="270" t="str">
        <f>'Flat Sizes'!B89</f>
        <v>Flat 5B,
2BHK</v>
      </c>
      <c r="C92" s="213"/>
      <c r="D92" s="211"/>
      <c r="E92" s="407"/>
      <c r="F92" s="408"/>
      <c r="G92" s="408"/>
      <c r="H92" s="492"/>
      <c r="I92" s="492"/>
      <c r="J92" s="491"/>
      <c r="K92" s="408"/>
      <c r="L92" s="409"/>
      <c r="M92" s="409"/>
      <c r="N92" s="410"/>
      <c r="Q92" s="392">
        <f>'Room Conf'!U40</f>
        <v>18</v>
      </c>
      <c r="R92" s="392"/>
      <c r="T92" s="417"/>
      <c r="U92" s="47">
        <f t="shared" si="22"/>
        <v>0</v>
      </c>
      <c r="V92" s="46"/>
      <c r="W92"/>
      <c r="X92" s="392"/>
      <c r="Y92" s="392"/>
    </row>
    <row r="93" spans="1:25" ht="13.5" customHeight="1">
      <c r="A93" s="240">
        <f>'Flat Sizes'!A90</f>
        <v>1</v>
      </c>
      <c r="B93" s="244" t="str">
        <f>'Flat Sizes'!B90</f>
        <v>Living, Dining &amp; Passage</v>
      </c>
      <c r="C93" s="213" t="s">
        <v>399</v>
      </c>
      <c r="D93" s="211"/>
      <c r="E93" s="407">
        <v>1</v>
      </c>
      <c r="F93" s="408">
        <f>VLOOKUP(C93,'D&amp;W Schedule'!$B$4:$F$20,2,FALSE)</f>
        <v>3.1</v>
      </c>
      <c r="G93" s="408">
        <f>VLOOKUP(C93,'D&amp;W Schedule'!$B$4:$F$20,3,FALSE)</f>
        <v>2.15</v>
      </c>
      <c r="H93" s="492">
        <f>VLOOKUP(C93,'D&amp;W Schedule'!$B$4:$F$20,4,FALSE)</f>
        <v>6.665</v>
      </c>
      <c r="I93" s="492">
        <f>VLOOKUP(C93,'D&amp;W Schedule'!$B$4:$F$20,5,FALSE)</f>
        <v>5920.2</v>
      </c>
      <c r="J93" s="492">
        <f t="shared" ref="J93:J98" si="29">H93*I93</f>
        <v>39458.133000000002</v>
      </c>
      <c r="K93" s="408"/>
      <c r="L93" s="409"/>
      <c r="M93" s="409"/>
      <c r="N93" s="410">
        <f t="shared" si="21"/>
        <v>39458.133000000002</v>
      </c>
      <c r="Q93" s="392"/>
      <c r="R93" s="392">
        <f>H93*$Q$92</f>
        <v>119.97</v>
      </c>
      <c r="S93" s="393">
        <f>J93*$Q$92</f>
        <v>710246.39400000009</v>
      </c>
      <c r="T93" s="417"/>
      <c r="U93" s="47" t="str">
        <f t="shared" si="22"/>
        <v>W2</v>
      </c>
      <c r="V93" s="46"/>
      <c r="W93"/>
      <c r="X93" s="392"/>
      <c r="Y93" s="392"/>
    </row>
    <row r="94" spans="1:25" ht="13.5" customHeight="1">
      <c r="A94" s="240">
        <f>'Flat Sizes'!A91</f>
        <v>2</v>
      </c>
      <c r="B94" s="244" t="str">
        <f>'Flat Sizes'!B91</f>
        <v>M. Bedroom</v>
      </c>
      <c r="C94" s="213" t="s">
        <v>394</v>
      </c>
      <c r="D94" s="211"/>
      <c r="E94" s="407">
        <v>1</v>
      </c>
      <c r="F94" s="408">
        <f>VLOOKUP(C94,'D&amp;W Schedule'!$B$4:$F$20,2,FALSE)</f>
        <v>3.05</v>
      </c>
      <c r="G94" s="408">
        <f>VLOOKUP(C94,'D&amp;W Schedule'!$B$4:$F$20,3,FALSE)</f>
        <v>2.15</v>
      </c>
      <c r="H94" s="492">
        <f>VLOOKUP(C94,'D&amp;W Schedule'!$B$4:$F$20,4,FALSE)</f>
        <v>6.5574999999999992</v>
      </c>
      <c r="I94" s="492">
        <f>VLOOKUP(C94,'D&amp;W Schedule'!$B$4:$F$20,5,FALSE)</f>
        <v>5920.2</v>
      </c>
      <c r="J94" s="492">
        <f t="shared" si="29"/>
        <v>38821.711499999998</v>
      </c>
      <c r="K94" s="408"/>
      <c r="L94" s="409"/>
      <c r="M94" s="409"/>
      <c r="N94" s="410">
        <f t="shared" si="21"/>
        <v>38821.711499999998</v>
      </c>
      <c r="Q94" s="392"/>
      <c r="R94" s="392">
        <f t="shared" ref="R94:R98" si="30">H94*$Q$92</f>
        <v>118.03499999999998</v>
      </c>
      <c r="S94" s="393">
        <f t="shared" ref="S94:S98" si="31">J94*$Q$92</f>
        <v>698790.80699999991</v>
      </c>
      <c r="T94" s="417"/>
      <c r="U94" s="47" t="str">
        <f t="shared" si="22"/>
        <v>W4</v>
      </c>
      <c r="V94" s="46"/>
      <c r="W94"/>
      <c r="X94" s="392"/>
      <c r="Y94" s="392"/>
    </row>
    <row r="95" spans="1:25" ht="13.5" customHeight="1">
      <c r="A95" s="240">
        <f>'Flat Sizes'!A92</f>
        <v>3</v>
      </c>
      <c r="B95" s="244" t="str">
        <f>'Flat Sizes'!B92</f>
        <v>M. Toilet</v>
      </c>
      <c r="C95" s="213" t="s">
        <v>395</v>
      </c>
      <c r="D95" s="211"/>
      <c r="E95" s="407">
        <v>1</v>
      </c>
      <c r="F95" s="408">
        <f>VLOOKUP(C95,'D&amp;W Schedule'!$B$4:$F$20,2,FALSE)</f>
        <v>0.6</v>
      </c>
      <c r="G95" s="408">
        <f>VLOOKUP(C95,'D&amp;W Schedule'!$B$4:$F$20,3,FALSE)</f>
        <v>0.75</v>
      </c>
      <c r="H95" s="492">
        <f>VLOOKUP(C95,'D&amp;W Schedule'!$B$4:$F$20,4,FALSE)</f>
        <v>0.44999999999999996</v>
      </c>
      <c r="I95" s="492">
        <f>VLOOKUP(C95,'D&amp;W Schedule'!$B$4:$F$20,5,FALSE)</f>
        <v>5920.2</v>
      </c>
      <c r="J95" s="492">
        <f t="shared" si="29"/>
        <v>2664.0899999999997</v>
      </c>
      <c r="K95" s="408"/>
      <c r="L95" s="409"/>
      <c r="M95" s="409"/>
      <c r="N95" s="410">
        <f t="shared" si="21"/>
        <v>2664.0899999999997</v>
      </c>
      <c r="Q95" s="392"/>
      <c r="R95" s="392">
        <f t="shared" si="30"/>
        <v>8.1</v>
      </c>
      <c r="S95" s="393">
        <f t="shared" si="31"/>
        <v>47953.619999999995</v>
      </c>
      <c r="T95" s="417"/>
      <c r="U95" s="47" t="str">
        <f t="shared" si="22"/>
        <v>V</v>
      </c>
      <c r="V95" s="46"/>
      <c r="W95"/>
      <c r="X95" s="392"/>
      <c r="Y95" s="392"/>
    </row>
    <row r="96" spans="1:25" ht="13.5" customHeight="1">
      <c r="A96" s="240">
        <f>'Flat Sizes'!A93</f>
        <v>4</v>
      </c>
      <c r="B96" s="244" t="str">
        <f>'Flat Sizes'!B93</f>
        <v>C. Bedroom</v>
      </c>
      <c r="C96" s="213" t="s">
        <v>394</v>
      </c>
      <c r="D96" s="211"/>
      <c r="E96" s="407">
        <v>1</v>
      </c>
      <c r="F96" s="408">
        <f>VLOOKUP(C96,'D&amp;W Schedule'!$B$4:$F$20,2,FALSE)</f>
        <v>3.05</v>
      </c>
      <c r="G96" s="408">
        <f>VLOOKUP(C96,'D&amp;W Schedule'!$B$4:$F$20,3,FALSE)</f>
        <v>2.15</v>
      </c>
      <c r="H96" s="492">
        <f>VLOOKUP(C96,'D&amp;W Schedule'!$B$4:$F$20,4,FALSE)</f>
        <v>6.5574999999999992</v>
      </c>
      <c r="I96" s="492">
        <f>VLOOKUP(C96,'D&amp;W Schedule'!$B$4:$F$20,5,FALSE)</f>
        <v>5920.2</v>
      </c>
      <c r="J96" s="492">
        <f t="shared" si="29"/>
        <v>38821.711499999998</v>
      </c>
      <c r="K96" s="408"/>
      <c r="L96" s="409"/>
      <c r="M96" s="409"/>
      <c r="N96" s="410">
        <f t="shared" si="21"/>
        <v>38821.711499999998</v>
      </c>
      <c r="Q96" s="392"/>
      <c r="R96" s="392">
        <f t="shared" si="30"/>
        <v>118.03499999999998</v>
      </c>
      <c r="S96" s="393">
        <f t="shared" si="31"/>
        <v>698790.80699999991</v>
      </c>
      <c r="T96" s="417"/>
      <c r="U96" s="47" t="str">
        <f t="shared" si="22"/>
        <v>W4</v>
      </c>
      <c r="V96" s="46"/>
      <c r="W96"/>
      <c r="X96" s="392"/>
      <c r="Y96" s="392"/>
    </row>
    <row r="97" spans="1:25" ht="13.5" customHeight="1">
      <c r="A97" s="240">
        <f>'Flat Sizes'!A94</f>
        <v>5</v>
      </c>
      <c r="B97" s="244" t="str">
        <f>'Flat Sizes'!B94</f>
        <v>C. Toilet</v>
      </c>
      <c r="C97" s="213" t="s">
        <v>395</v>
      </c>
      <c r="D97" s="211"/>
      <c r="E97" s="407">
        <v>1</v>
      </c>
      <c r="F97" s="408">
        <f>VLOOKUP(C97,'D&amp;W Schedule'!$B$4:$F$20,2,FALSE)</f>
        <v>0.6</v>
      </c>
      <c r="G97" s="408">
        <f>VLOOKUP(C97,'D&amp;W Schedule'!$B$4:$F$20,3,FALSE)</f>
        <v>0.75</v>
      </c>
      <c r="H97" s="492">
        <f>VLOOKUP(C97,'D&amp;W Schedule'!$B$4:$F$20,4,FALSE)</f>
        <v>0.44999999999999996</v>
      </c>
      <c r="I97" s="492">
        <f>VLOOKUP(C97,'D&amp;W Schedule'!$B$4:$F$20,5,FALSE)</f>
        <v>5920.2</v>
      </c>
      <c r="J97" s="492">
        <f t="shared" si="29"/>
        <v>2664.0899999999997</v>
      </c>
      <c r="K97" s="408"/>
      <c r="L97" s="409"/>
      <c r="M97" s="409"/>
      <c r="N97" s="410">
        <f t="shared" si="21"/>
        <v>2664.0899999999997</v>
      </c>
      <c r="Q97" s="392"/>
      <c r="R97" s="392">
        <f t="shared" si="30"/>
        <v>8.1</v>
      </c>
      <c r="S97" s="393">
        <f t="shared" si="31"/>
        <v>47953.619999999995</v>
      </c>
      <c r="T97" s="417"/>
      <c r="U97" s="47" t="str">
        <f t="shared" si="22"/>
        <v>V</v>
      </c>
      <c r="V97" s="46"/>
      <c r="W97"/>
      <c r="X97" s="392"/>
      <c r="Y97" s="392"/>
    </row>
    <row r="98" spans="1:25" ht="13.5" customHeight="1">
      <c r="A98" s="240">
        <f>'Flat Sizes'!A95</f>
        <v>6</v>
      </c>
      <c r="B98" s="244" t="str">
        <f>'Flat Sizes'!B95</f>
        <v>Kitchen</v>
      </c>
      <c r="C98" s="213" t="s">
        <v>396</v>
      </c>
      <c r="D98" s="211"/>
      <c r="E98" s="407">
        <v>1</v>
      </c>
      <c r="F98" s="408">
        <f>VLOOKUP(C98,'D&amp;W Schedule'!$B$4:$F$20,2,FALSE)</f>
        <v>1</v>
      </c>
      <c r="G98" s="408">
        <f>VLOOKUP(C98,'D&amp;W Schedule'!$B$4:$F$20,3,FALSE)</f>
        <v>2.15</v>
      </c>
      <c r="H98" s="492">
        <f>VLOOKUP(C98,'D&amp;W Schedule'!$B$4:$F$20,4,FALSE)</f>
        <v>2.15</v>
      </c>
      <c r="I98" s="492">
        <f>VLOOKUP(C98,'D&amp;W Schedule'!$B$4:$F$20,5,FALSE)</f>
        <v>5920.2</v>
      </c>
      <c r="J98" s="492">
        <f t="shared" si="29"/>
        <v>12728.429999999998</v>
      </c>
      <c r="K98" s="408"/>
      <c r="L98" s="409"/>
      <c r="M98" s="409"/>
      <c r="N98" s="410">
        <f t="shared" si="21"/>
        <v>12728.429999999998</v>
      </c>
      <c r="Q98" s="392"/>
      <c r="R98" s="392">
        <f t="shared" si="30"/>
        <v>38.699999999999996</v>
      </c>
      <c r="S98" s="393">
        <f t="shared" si="31"/>
        <v>229111.73999999996</v>
      </c>
      <c r="T98" s="417"/>
      <c r="U98" s="47" t="str">
        <f t="shared" si="22"/>
        <v>W7</v>
      </c>
      <c r="V98" s="46"/>
      <c r="W98"/>
      <c r="X98" s="392"/>
      <c r="Y98" s="392"/>
    </row>
    <row r="99" spans="1:25" ht="13.5" customHeight="1">
      <c r="A99" s="240">
        <f>'Flat Sizes'!A96</f>
        <v>7</v>
      </c>
      <c r="B99" s="244" t="str">
        <f>'Flat Sizes'!B96</f>
        <v>Utility</v>
      </c>
      <c r="C99" s="213" t="s">
        <v>397</v>
      </c>
      <c r="D99" s="211"/>
      <c r="E99" s="407">
        <v>1</v>
      </c>
      <c r="F99" s="408"/>
      <c r="G99" s="408"/>
      <c r="H99" s="492"/>
      <c r="I99" s="492"/>
      <c r="J99" s="491"/>
      <c r="K99" s="408">
        <f>F98</f>
        <v>1</v>
      </c>
      <c r="L99" s="409">
        <f>'D&amp;W Schedule'!$F$20</f>
        <v>9500</v>
      </c>
      <c r="M99" s="409">
        <f>K99*L99</f>
        <v>9500</v>
      </c>
      <c r="N99" s="410">
        <f t="shared" si="21"/>
        <v>9500</v>
      </c>
      <c r="Q99" s="392"/>
      <c r="R99" s="392">
        <f>K99*$Q$92</f>
        <v>18</v>
      </c>
      <c r="S99" s="393">
        <f>M99*$Q$92</f>
        <v>171000</v>
      </c>
      <c r="T99" s="417"/>
      <c r="U99" s="47" t="str">
        <f t="shared" si="22"/>
        <v>UR</v>
      </c>
      <c r="V99" s="46"/>
      <c r="W99"/>
      <c r="X99" s="392"/>
      <c r="Y99" s="392"/>
    </row>
    <row r="100" spans="1:25" ht="13.5" customHeight="1">
      <c r="A100" s="240">
        <f>'Flat Sizes'!A97</f>
        <v>8</v>
      </c>
      <c r="B100" s="244" t="str">
        <f>'Flat Sizes'!B97</f>
        <v>Balcony</v>
      </c>
      <c r="C100" s="213" t="s">
        <v>398</v>
      </c>
      <c r="D100" s="211"/>
      <c r="E100" s="407">
        <v>1</v>
      </c>
      <c r="F100" s="408"/>
      <c r="G100" s="408"/>
      <c r="H100" s="492"/>
      <c r="I100" s="492"/>
      <c r="J100" s="491"/>
      <c r="K100" s="408">
        <f>1.83+1.37</f>
        <v>3.2</v>
      </c>
      <c r="L100" s="409">
        <f>'D&amp;W Schedule'!$F$20</f>
        <v>9500</v>
      </c>
      <c r="M100" s="409">
        <f>K100*L100</f>
        <v>30400</v>
      </c>
      <c r="N100" s="410">
        <f t="shared" si="21"/>
        <v>30400</v>
      </c>
      <c r="Q100" s="392"/>
      <c r="R100" s="392">
        <f>K100*$Q$92</f>
        <v>57.6</v>
      </c>
      <c r="S100" s="393">
        <f>M100*$Q$92</f>
        <v>547200</v>
      </c>
      <c r="T100" s="417"/>
      <c r="U100" s="47" t="str">
        <f t="shared" si="22"/>
        <v>BR</v>
      </c>
      <c r="V100" s="46"/>
      <c r="W100"/>
      <c r="X100" s="392"/>
      <c r="Y100" s="392"/>
    </row>
    <row r="101" spans="1:25" ht="13.5" customHeight="1">
      <c r="A101" s="245"/>
      <c r="B101" s="246" t="str">
        <f>'Flat Sizes'!B98</f>
        <v>Sub Total</v>
      </c>
      <c r="C101" s="213"/>
      <c r="D101" s="211"/>
      <c r="E101" s="436">
        <f>SUBTOTAL(9,E93:E100)</f>
        <v>8</v>
      </c>
      <c r="F101" s="421"/>
      <c r="G101" s="421"/>
      <c r="H101" s="494">
        <f>SUBTOTAL(9,H93:H100)</f>
        <v>22.829999999999995</v>
      </c>
      <c r="I101" s="493"/>
      <c r="J101" s="493"/>
      <c r="K101" s="421"/>
      <c r="L101" s="422"/>
      <c r="M101" s="422"/>
      <c r="N101" s="495">
        <f>SUBTOTAL(9,N93:N100)</f>
        <v>175058.166</v>
      </c>
      <c r="Q101" s="392"/>
      <c r="R101" s="392"/>
      <c r="T101" s="417"/>
      <c r="U101" s="47">
        <f t="shared" si="22"/>
        <v>0</v>
      </c>
      <c r="V101" s="46"/>
      <c r="W101"/>
      <c r="X101" s="392"/>
      <c r="Y101" s="392"/>
    </row>
    <row r="102" spans="1:25" ht="13.5" customHeight="1">
      <c r="A102" s="241">
        <f>'Flat Sizes'!A99</f>
        <v>11</v>
      </c>
      <c r="B102" s="270" t="str">
        <f>'Flat Sizes'!B99</f>
        <v>Flat 6,
2BHK</v>
      </c>
      <c r="C102" s="213"/>
      <c r="D102" s="211"/>
      <c r="E102" s="407"/>
      <c r="F102" s="408"/>
      <c r="G102" s="408"/>
      <c r="H102" s="492"/>
      <c r="I102" s="492"/>
      <c r="J102" s="491"/>
      <c r="K102" s="408"/>
      <c r="L102" s="409"/>
      <c r="M102" s="409"/>
      <c r="N102" s="410"/>
      <c r="Q102" s="392">
        <f>'Room Conf'!V40</f>
        <v>28</v>
      </c>
      <c r="R102" s="392"/>
      <c r="T102" s="417"/>
      <c r="U102" s="47">
        <f t="shared" si="22"/>
        <v>0</v>
      </c>
      <c r="V102" s="46"/>
      <c r="W102"/>
      <c r="X102" s="392"/>
      <c r="Y102" s="392"/>
    </row>
    <row r="103" spans="1:25" ht="13.5" customHeight="1">
      <c r="A103" s="240">
        <f>'Flat Sizes'!A100</f>
        <v>1</v>
      </c>
      <c r="B103" s="244" t="str">
        <f>'Flat Sizes'!B100</f>
        <v>Living, Dining &amp; Passage</v>
      </c>
      <c r="C103" s="213" t="s">
        <v>399</v>
      </c>
      <c r="D103" s="211"/>
      <c r="E103" s="407">
        <v>1</v>
      </c>
      <c r="F103" s="408">
        <f>VLOOKUP(C103,'D&amp;W Schedule'!$B$4:$F$20,2,FALSE)</f>
        <v>3.1</v>
      </c>
      <c r="G103" s="408">
        <f>VLOOKUP(C103,'D&amp;W Schedule'!$B$4:$F$20,3,FALSE)</f>
        <v>2.15</v>
      </c>
      <c r="H103" s="492">
        <f>VLOOKUP(C103,'D&amp;W Schedule'!$B$4:$F$20,4,FALSE)</f>
        <v>6.665</v>
      </c>
      <c r="I103" s="492">
        <f>VLOOKUP(C103,'D&amp;W Schedule'!$B$4:$F$20,5,FALSE)</f>
        <v>5920.2</v>
      </c>
      <c r="J103" s="492">
        <f t="shared" ref="J103:J108" si="32">H103*I103</f>
        <v>39458.133000000002</v>
      </c>
      <c r="K103" s="408"/>
      <c r="L103" s="409"/>
      <c r="M103" s="409"/>
      <c r="N103" s="410">
        <f t="shared" si="21"/>
        <v>39458.133000000002</v>
      </c>
      <c r="Q103" s="392"/>
      <c r="R103" s="392">
        <f>H103*$Q$102</f>
        <v>186.62</v>
      </c>
      <c r="S103" s="393">
        <f>J103*$Q$102</f>
        <v>1104827.7239999999</v>
      </c>
      <c r="T103" s="417"/>
      <c r="U103" s="47" t="str">
        <f t="shared" si="22"/>
        <v>W2</v>
      </c>
      <c r="V103" s="46"/>
      <c r="W103"/>
      <c r="X103" s="392"/>
      <c r="Y103" s="392"/>
    </row>
    <row r="104" spans="1:25" ht="13.5" customHeight="1">
      <c r="A104" s="240">
        <f>'Flat Sizes'!A101</f>
        <v>2</v>
      </c>
      <c r="B104" s="244" t="str">
        <f>'Flat Sizes'!B101</f>
        <v>M. Bedroom</v>
      </c>
      <c r="C104" s="213" t="s">
        <v>394</v>
      </c>
      <c r="D104" s="211"/>
      <c r="E104" s="407">
        <v>1</v>
      </c>
      <c r="F104" s="408">
        <f>VLOOKUP(C104,'D&amp;W Schedule'!$B$4:$F$20,2,FALSE)</f>
        <v>3.05</v>
      </c>
      <c r="G104" s="408">
        <f>VLOOKUP(C104,'D&amp;W Schedule'!$B$4:$F$20,3,FALSE)</f>
        <v>2.15</v>
      </c>
      <c r="H104" s="492">
        <f>VLOOKUP(C104,'D&amp;W Schedule'!$B$4:$F$20,4,FALSE)</f>
        <v>6.5574999999999992</v>
      </c>
      <c r="I104" s="492">
        <f>VLOOKUP(C104,'D&amp;W Schedule'!$B$4:$F$20,5,FALSE)</f>
        <v>5920.2</v>
      </c>
      <c r="J104" s="492">
        <f t="shared" si="32"/>
        <v>38821.711499999998</v>
      </c>
      <c r="K104" s="408"/>
      <c r="L104" s="409"/>
      <c r="M104" s="409"/>
      <c r="N104" s="410">
        <f t="shared" si="21"/>
        <v>38821.711499999998</v>
      </c>
      <c r="Q104" s="392"/>
      <c r="R104" s="392">
        <f t="shared" ref="R104:R108" si="33">H104*$Q$102</f>
        <v>183.60999999999999</v>
      </c>
      <c r="S104" s="393">
        <f t="shared" ref="S104:S108" si="34">J104*$Q$102</f>
        <v>1087007.922</v>
      </c>
      <c r="T104" s="417"/>
      <c r="U104" s="47" t="str">
        <f t="shared" si="22"/>
        <v>W4</v>
      </c>
      <c r="V104" s="46"/>
      <c r="W104"/>
      <c r="X104" s="392"/>
      <c r="Y104" s="392"/>
    </row>
    <row r="105" spans="1:25" ht="13.5" customHeight="1">
      <c r="A105" s="240">
        <f>'Flat Sizes'!A102</f>
        <v>3</v>
      </c>
      <c r="B105" s="244" t="str">
        <f>'Flat Sizes'!B102</f>
        <v>M. Toilet</v>
      </c>
      <c r="C105" s="213" t="s">
        <v>395</v>
      </c>
      <c r="D105" s="211"/>
      <c r="E105" s="407">
        <v>1</v>
      </c>
      <c r="F105" s="408">
        <f>VLOOKUP(C105,'D&amp;W Schedule'!$B$4:$F$20,2,FALSE)</f>
        <v>0.6</v>
      </c>
      <c r="G105" s="408">
        <f>VLOOKUP(C105,'D&amp;W Schedule'!$B$4:$F$20,3,FALSE)</f>
        <v>0.75</v>
      </c>
      <c r="H105" s="492">
        <f>VLOOKUP(C105,'D&amp;W Schedule'!$B$4:$F$20,4,FALSE)</f>
        <v>0.44999999999999996</v>
      </c>
      <c r="I105" s="492">
        <f>VLOOKUP(C105,'D&amp;W Schedule'!$B$4:$F$20,5,FALSE)</f>
        <v>5920.2</v>
      </c>
      <c r="J105" s="492">
        <f t="shared" si="32"/>
        <v>2664.0899999999997</v>
      </c>
      <c r="K105" s="408"/>
      <c r="L105" s="409"/>
      <c r="M105" s="409"/>
      <c r="N105" s="410">
        <f t="shared" si="21"/>
        <v>2664.0899999999997</v>
      </c>
      <c r="Q105" s="392"/>
      <c r="R105" s="392">
        <f t="shared" si="33"/>
        <v>12.599999999999998</v>
      </c>
      <c r="S105" s="393">
        <f t="shared" si="34"/>
        <v>74594.51999999999</v>
      </c>
      <c r="T105" s="417"/>
      <c r="U105" s="47" t="str">
        <f t="shared" si="22"/>
        <v>V</v>
      </c>
      <c r="V105" s="46"/>
      <c r="W105"/>
      <c r="X105" s="392"/>
      <c r="Y105" s="392"/>
    </row>
    <row r="106" spans="1:25" ht="13.5" customHeight="1">
      <c r="A106" s="240">
        <f>'Flat Sizes'!A103</f>
        <v>4</v>
      </c>
      <c r="B106" s="244" t="str">
        <f>'Flat Sizes'!B103</f>
        <v>C. Bedroom</v>
      </c>
      <c r="C106" s="213" t="s">
        <v>394</v>
      </c>
      <c r="D106" s="211"/>
      <c r="E106" s="407">
        <v>1</v>
      </c>
      <c r="F106" s="408">
        <f>VLOOKUP(C106,'D&amp;W Schedule'!$B$4:$F$20,2,FALSE)</f>
        <v>3.05</v>
      </c>
      <c r="G106" s="408">
        <f>VLOOKUP(C106,'D&amp;W Schedule'!$B$4:$F$20,3,FALSE)</f>
        <v>2.15</v>
      </c>
      <c r="H106" s="492">
        <f>VLOOKUP(C106,'D&amp;W Schedule'!$B$4:$F$20,4,FALSE)</f>
        <v>6.5574999999999992</v>
      </c>
      <c r="I106" s="492">
        <f>VLOOKUP(C106,'D&amp;W Schedule'!$B$4:$F$20,5,FALSE)</f>
        <v>5920.2</v>
      </c>
      <c r="J106" s="492">
        <f t="shared" si="32"/>
        <v>38821.711499999998</v>
      </c>
      <c r="K106" s="408"/>
      <c r="L106" s="409"/>
      <c r="M106" s="409"/>
      <c r="N106" s="410">
        <f t="shared" si="21"/>
        <v>38821.711499999998</v>
      </c>
      <c r="Q106" s="392"/>
      <c r="R106" s="392">
        <f t="shared" si="33"/>
        <v>183.60999999999999</v>
      </c>
      <c r="S106" s="393">
        <f t="shared" si="34"/>
        <v>1087007.922</v>
      </c>
      <c r="T106" s="417"/>
      <c r="U106" s="47" t="str">
        <f t="shared" si="22"/>
        <v>W4</v>
      </c>
      <c r="V106" s="46"/>
      <c r="W106"/>
      <c r="X106" s="392"/>
      <c r="Y106" s="392"/>
    </row>
    <row r="107" spans="1:25" ht="13.5" customHeight="1">
      <c r="A107" s="240">
        <f>'Flat Sizes'!A104</f>
        <v>5</v>
      </c>
      <c r="B107" s="244" t="str">
        <f>'Flat Sizes'!B104</f>
        <v>C. Toilet</v>
      </c>
      <c r="C107" s="213" t="s">
        <v>395</v>
      </c>
      <c r="D107" s="211"/>
      <c r="E107" s="407">
        <v>1</v>
      </c>
      <c r="F107" s="408">
        <f>VLOOKUP(C107,'D&amp;W Schedule'!$B$4:$F$20,2,FALSE)</f>
        <v>0.6</v>
      </c>
      <c r="G107" s="408">
        <f>VLOOKUP(C107,'D&amp;W Schedule'!$B$4:$F$20,3,FALSE)</f>
        <v>0.75</v>
      </c>
      <c r="H107" s="492">
        <f>VLOOKUP(C107,'D&amp;W Schedule'!$B$4:$F$20,4,FALSE)</f>
        <v>0.44999999999999996</v>
      </c>
      <c r="I107" s="492">
        <f>VLOOKUP(C107,'D&amp;W Schedule'!$B$4:$F$20,5,FALSE)</f>
        <v>5920.2</v>
      </c>
      <c r="J107" s="492">
        <f t="shared" si="32"/>
        <v>2664.0899999999997</v>
      </c>
      <c r="K107" s="408"/>
      <c r="L107" s="409"/>
      <c r="M107" s="409"/>
      <c r="N107" s="410">
        <f t="shared" si="21"/>
        <v>2664.0899999999997</v>
      </c>
      <c r="Q107" s="392"/>
      <c r="R107" s="392">
        <f t="shared" si="33"/>
        <v>12.599999999999998</v>
      </c>
      <c r="S107" s="393">
        <f t="shared" si="34"/>
        <v>74594.51999999999</v>
      </c>
      <c r="T107" s="417"/>
      <c r="U107" s="47" t="str">
        <f t="shared" si="22"/>
        <v>V</v>
      </c>
      <c r="V107" s="46"/>
      <c r="W107"/>
      <c r="X107" s="392"/>
      <c r="Y107" s="392"/>
    </row>
    <row r="108" spans="1:25" ht="13.5" customHeight="1">
      <c r="A108" s="240">
        <f>'Flat Sizes'!A105</f>
        <v>6</v>
      </c>
      <c r="B108" s="244" t="str">
        <f>'Flat Sizes'!B105</f>
        <v>Kitchen</v>
      </c>
      <c r="C108" s="213" t="s">
        <v>396</v>
      </c>
      <c r="D108" s="211"/>
      <c r="E108" s="407">
        <v>1</v>
      </c>
      <c r="F108" s="408">
        <f>VLOOKUP(C108,'D&amp;W Schedule'!$B$4:$F$20,2,FALSE)</f>
        <v>1</v>
      </c>
      <c r="G108" s="408">
        <f>VLOOKUP(C108,'D&amp;W Schedule'!$B$4:$F$20,3,FALSE)</f>
        <v>2.15</v>
      </c>
      <c r="H108" s="492">
        <f>VLOOKUP(C108,'D&amp;W Schedule'!$B$4:$F$20,4,FALSE)</f>
        <v>2.15</v>
      </c>
      <c r="I108" s="492">
        <f>VLOOKUP(C108,'D&amp;W Schedule'!$B$4:$F$20,5,FALSE)</f>
        <v>5920.2</v>
      </c>
      <c r="J108" s="492">
        <f t="shared" si="32"/>
        <v>12728.429999999998</v>
      </c>
      <c r="K108" s="408"/>
      <c r="L108" s="409"/>
      <c r="M108" s="409"/>
      <c r="N108" s="410">
        <f t="shared" si="21"/>
        <v>12728.429999999998</v>
      </c>
      <c r="Q108" s="392"/>
      <c r="R108" s="392">
        <f t="shared" si="33"/>
        <v>60.199999999999996</v>
      </c>
      <c r="S108" s="393">
        <f t="shared" si="34"/>
        <v>356396.04</v>
      </c>
      <c r="T108" s="417"/>
      <c r="U108" s="47" t="str">
        <f t="shared" si="22"/>
        <v>W7</v>
      </c>
      <c r="V108" s="46"/>
      <c r="W108"/>
      <c r="X108" s="392"/>
      <c r="Y108" s="392"/>
    </row>
    <row r="109" spans="1:25" ht="13.5" customHeight="1">
      <c r="A109" s="240">
        <f>'Flat Sizes'!A106</f>
        <v>7</v>
      </c>
      <c r="B109" s="244" t="str">
        <f>'Flat Sizes'!B106</f>
        <v>Utility</v>
      </c>
      <c r="C109" s="213" t="s">
        <v>397</v>
      </c>
      <c r="D109" s="211"/>
      <c r="E109" s="407">
        <v>1</v>
      </c>
      <c r="F109" s="408"/>
      <c r="G109" s="408"/>
      <c r="H109" s="492"/>
      <c r="I109" s="492"/>
      <c r="J109" s="491"/>
      <c r="K109" s="408">
        <f>F108</f>
        <v>1</v>
      </c>
      <c r="L109" s="409">
        <f>'D&amp;W Schedule'!$F$20</f>
        <v>9500</v>
      </c>
      <c r="M109" s="409">
        <f>K109*L109</f>
        <v>9500</v>
      </c>
      <c r="N109" s="410">
        <f t="shared" si="21"/>
        <v>9500</v>
      </c>
      <c r="Q109" s="392"/>
      <c r="R109" s="392">
        <f>K109*$Q$102</f>
        <v>28</v>
      </c>
      <c r="S109" s="393">
        <f>M109*$Q$102</f>
        <v>266000</v>
      </c>
      <c r="T109" s="417"/>
      <c r="U109" s="47" t="str">
        <f t="shared" si="22"/>
        <v>UR</v>
      </c>
      <c r="V109" s="46"/>
      <c r="W109"/>
      <c r="X109" s="392"/>
      <c r="Y109" s="392"/>
    </row>
    <row r="110" spans="1:25" ht="13.5" customHeight="1">
      <c r="A110" s="240">
        <f>'Flat Sizes'!A107</f>
        <v>8</v>
      </c>
      <c r="B110" s="244" t="str">
        <f>'Flat Sizes'!B107</f>
        <v>Balcony</v>
      </c>
      <c r="C110" s="213" t="s">
        <v>398</v>
      </c>
      <c r="D110" s="211"/>
      <c r="E110" s="407">
        <v>1</v>
      </c>
      <c r="F110" s="408"/>
      <c r="G110" s="408"/>
      <c r="H110" s="492"/>
      <c r="I110" s="492"/>
      <c r="J110" s="491"/>
      <c r="K110" s="408">
        <f>1.83+1.37</f>
        <v>3.2</v>
      </c>
      <c r="L110" s="409">
        <f>'D&amp;W Schedule'!$F$20</f>
        <v>9500</v>
      </c>
      <c r="M110" s="409">
        <f>K110*L110</f>
        <v>30400</v>
      </c>
      <c r="N110" s="410">
        <f t="shared" si="21"/>
        <v>30400</v>
      </c>
      <c r="Q110" s="392"/>
      <c r="R110" s="392">
        <f>K110*$Q$102</f>
        <v>89.600000000000009</v>
      </c>
      <c r="S110" s="393">
        <f>M110*$Q$102</f>
        <v>851200</v>
      </c>
      <c r="T110" s="417"/>
      <c r="U110" s="47" t="str">
        <f t="shared" si="22"/>
        <v>BR</v>
      </c>
      <c r="V110" s="46"/>
      <c r="W110"/>
      <c r="X110" s="392"/>
      <c r="Y110" s="392"/>
    </row>
    <row r="111" spans="1:25" ht="13.5" customHeight="1">
      <c r="A111" s="245"/>
      <c r="B111" s="246" t="str">
        <f>'Flat Sizes'!B108</f>
        <v>Sub Total</v>
      </c>
      <c r="C111" s="213"/>
      <c r="D111" s="211"/>
      <c r="E111" s="436">
        <f>SUBTOTAL(9,E103:E110)</f>
        <v>8</v>
      </c>
      <c r="F111" s="421"/>
      <c r="G111" s="421"/>
      <c r="H111" s="494">
        <f>SUBTOTAL(9,H103:H110)</f>
        <v>22.829999999999995</v>
      </c>
      <c r="I111" s="493"/>
      <c r="J111" s="493"/>
      <c r="K111" s="421"/>
      <c r="L111" s="422"/>
      <c r="M111" s="422"/>
      <c r="N111" s="495">
        <f>SUBTOTAL(9,N103:N110)</f>
        <v>175058.166</v>
      </c>
      <c r="Q111" s="392"/>
      <c r="R111" s="392"/>
      <c r="T111" s="417"/>
      <c r="U111" s="47">
        <f t="shared" si="22"/>
        <v>0</v>
      </c>
      <c r="V111" s="46"/>
      <c r="W111"/>
      <c r="X111" s="392"/>
      <c r="Y111" s="392"/>
    </row>
    <row r="112" spans="1:25" ht="13.5" customHeight="1">
      <c r="A112" s="241">
        <f>'Flat Sizes'!A109</f>
        <v>12</v>
      </c>
      <c r="B112" s="270" t="str">
        <f>'Flat Sizes'!B109</f>
        <v>Flat 7,
3BHK</v>
      </c>
      <c r="C112" s="213"/>
      <c r="D112" s="211"/>
      <c r="E112" s="407"/>
      <c r="F112" s="408"/>
      <c r="G112" s="408"/>
      <c r="H112" s="492"/>
      <c r="I112" s="492"/>
      <c r="J112" s="491"/>
      <c r="K112" s="408"/>
      <c r="L112" s="409"/>
      <c r="M112" s="409"/>
      <c r="N112" s="410"/>
      <c r="Q112" s="392">
        <f>'Room Conf'!W40</f>
        <v>26</v>
      </c>
      <c r="R112" s="392"/>
      <c r="T112" s="417"/>
      <c r="U112" s="47">
        <f t="shared" si="22"/>
        <v>0</v>
      </c>
      <c r="V112" s="46"/>
      <c r="W112"/>
      <c r="X112" s="392"/>
      <c r="Y112" s="392"/>
    </row>
    <row r="113" spans="1:25" ht="13.5" customHeight="1">
      <c r="A113" s="240">
        <f>'Flat Sizes'!A110</f>
        <v>1</v>
      </c>
      <c r="B113" s="244" t="str">
        <f>'Flat Sizes'!B110</f>
        <v>Living, Dining &amp; Passage</v>
      </c>
      <c r="C113" s="213" t="s">
        <v>400</v>
      </c>
      <c r="D113" s="211"/>
      <c r="E113" s="407">
        <v>1</v>
      </c>
      <c r="F113" s="408">
        <f>VLOOKUP(C113,'D&amp;W Schedule'!$B$4:$F$20,2,FALSE)</f>
        <v>2.77</v>
      </c>
      <c r="G113" s="408">
        <f>VLOOKUP(C113,'D&amp;W Schedule'!$B$4:$F$20,3,FALSE)</f>
        <v>2.15</v>
      </c>
      <c r="H113" s="492">
        <f>VLOOKUP(C113,'D&amp;W Schedule'!$B$4:$F$20,4,FALSE)</f>
        <v>5.9554999999999998</v>
      </c>
      <c r="I113" s="492">
        <f>VLOOKUP(C113,'D&amp;W Schedule'!$B$4:$F$20,5,FALSE)</f>
        <v>5920.2</v>
      </c>
      <c r="J113" s="492">
        <f t="shared" ref="J113:J121" si="35">H113*I113</f>
        <v>35257.751100000001</v>
      </c>
      <c r="K113" s="408"/>
      <c r="L113" s="409"/>
      <c r="M113" s="409"/>
      <c r="N113" s="410">
        <f t="shared" si="21"/>
        <v>35257.751100000001</v>
      </c>
      <c r="Q113" s="392"/>
      <c r="R113" s="392">
        <f>H113*$Q$112</f>
        <v>154.84299999999999</v>
      </c>
      <c r="S113" s="393">
        <f>J113*$Q$112</f>
        <v>916701.52860000008</v>
      </c>
      <c r="T113" s="417"/>
      <c r="U113" s="47" t="str">
        <f t="shared" si="22"/>
        <v>W3</v>
      </c>
      <c r="V113" s="46"/>
      <c r="W113"/>
      <c r="X113" s="392"/>
      <c r="Y113" s="392"/>
    </row>
    <row r="114" spans="1:25" ht="13.5" customHeight="1">
      <c r="A114" s="240">
        <f>'Flat Sizes'!A111</f>
        <v>2</v>
      </c>
      <c r="B114" s="244" t="str">
        <f>'Flat Sizes'!B111</f>
        <v>M. Bedroom</v>
      </c>
      <c r="C114" s="213" t="s">
        <v>394</v>
      </c>
      <c r="D114" s="211"/>
      <c r="E114" s="407">
        <v>1</v>
      </c>
      <c r="F114" s="408">
        <f>VLOOKUP(C114,'D&amp;W Schedule'!$B$4:$F$20,2,FALSE)</f>
        <v>3.05</v>
      </c>
      <c r="G114" s="408">
        <f>VLOOKUP(C114,'D&amp;W Schedule'!$B$4:$F$20,3,FALSE)</f>
        <v>2.15</v>
      </c>
      <c r="H114" s="492">
        <f>VLOOKUP(C114,'D&amp;W Schedule'!$B$4:$F$20,4,FALSE)</f>
        <v>6.5574999999999992</v>
      </c>
      <c r="I114" s="492">
        <f>VLOOKUP(C114,'D&amp;W Schedule'!$B$4:$F$20,5,FALSE)</f>
        <v>5920.2</v>
      </c>
      <c r="J114" s="492">
        <f t="shared" si="35"/>
        <v>38821.711499999998</v>
      </c>
      <c r="K114" s="408"/>
      <c r="L114" s="409"/>
      <c r="M114" s="409"/>
      <c r="N114" s="410">
        <f t="shared" si="21"/>
        <v>38821.711499999998</v>
      </c>
      <c r="Q114" s="392"/>
      <c r="R114" s="392">
        <f t="shared" ref="R114:R121" si="36">H114*$Q$112</f>
        <v>170.49499999999998</v>
      </c>
      <c r="S114" s="393">
        <f t="shared" ref="S114:S121" si="37">J114*$Q$112</f>
        <v>1009364.499</v>
      </c>
      <c r="T114" s="417"/>
      <c r="U114" s="47" t="str">
        <f t="shared" si="22"/>
        <v>W4</v>
      </c>
      <c r="V114" s="46"/>
      <c r="W114"/>
      <c r="X114" s="392"/>
      <c r="Y114" s="392"/>
    </row>
    <row r="115" spans="1:25" ht="13.5" customHeight="1">
      <c r="A115" s="240"/>
      <c r="B115" s="244"/>
      <c r="C115" s="213" t="s">
        <v>401</v>
      </c>
      <c r="D115" s="211"/>
      <c r="E115" s="407">
        <v>1</v>
      </c>
      <c r="F115" s="408">
        <f>VLOOKUP(C115,'D&amp;W Schedule'!$B$4:$F$20,2,FALSE)</f>
        <v>1.03</v>
      </c>
      <c r="G115" s="408">
        <f>VLOOKUP(C115,'D&amp;W Schedule'!$B$4:$F$20,3,FALSE)</f>
        <v>2.15</v>
      </c>
      <c r="H115" s="492">
        <f>VLOOKUP(C115,'D&amp;W Schedule'!$B$4:$F$20,4,FALSE)</f>
        <v>2.2145000000000001</v>
      </c>
      <c r="I115" s="492">
        <f>VLOOKUP(C115,'D&amp;W Schedule'!$B$4:$F$20,5,FALSE)</f>
        <v>5920.2</v>
      </c>
      <c r="J115" s="492">
        <f t="shared" si="35"/>
        <v>13110.2829</v>
      </c>
      <c r="K115" s="408"/>
      <c r="L115" s="409"/>
      <c r="M115" s="409"/>
      <c r="N115" s="410">
        <f t="shared" si="21"/>
        <v>13110.2829</v>
      </c>
      <c r="Q115" s="392"/>
      <c r="R115" s="392">
        <f t="shared" si="36"/>
        <v>57.577000000000005</v>
      </c>
      <c r="S115" s="393">
        <f t="shared" si="37"/>
        <v>340867.3554</v>
      </c>
      <c r="T115" s="417"/>
      <c r="U115" s="47" t="str">
        <f t="shared" si="22"/>
        <v>W4A</v>
      </c>
      <c r="V115" s="46"/>
      <c r="W115"/>
      <c r="X115" s="392"/>
      <c r="Y115" s="392"/>
    </row>
    <row r="116" spans="1:25" ht="13.5" customHeight="1">
      <c r="A116" s="240">
        <f>'Flat Sizes'!A112</f>
        <v>3</v>
      </c>
      <c r="B116" s="244" t="str">
        <f>'Flat Sizes'!B112</f>
        <v>M. Toilet</v>
      </c>
      <c r="C116" s="213" t="s">
        <v>395</v>
      </c>
      <c r="D116" s="211"/>
      <c r="E116" s="407">
        <v>1</v>
      </c>
      <c r="F116" s="408">
        <f>VLOOKUP(C116,'D&amp;W Schedule'!$B$4:$F$20,2,FALSE)</f>
        <v>0.6</v>
      </c>
      <c r="G116" s="408">
        <f>VLOOKUP(C116,'D&amp;W Schedule'!$B$4:$F$20,3,FALSE)</f>
        <v>0.75</v>
      </c>
      <c r="H116" s="492">
        <f>VLOOKUP(C116,'D&amp;W Schedule'!$B$4:$F$20,4,FALSE)</f>
        <v>0.44999999999999996</v>
      </c>
      <c r="I116" s="492">
        <f>VLOOKUP(C116,'D&amp;W Schedule'!$B$4:$F$20,5,FALSE)</f>
        <v>5920.2</v>
      </c>
      <c r="J116" s="492">
        <f t="shared" si="35"/>
        <v>2664.0899999999997</v>
      </c>
      <c r="K116" s="408"/>
      <c r="L116" s="409"/>
      <c r="M116" s="409"/>
      <c r="N116" s="410">
        <f t="shared" si="21"/>
        <v>2664.0899999999997</v>
      </c>
      <c r="Q116" s="392"/>
      <c r="R116" s="392">
        <f t="shared" si="36"/>
        <v>11.7</v>
      </c>
      <c r="S116" s="393">
        <f t="shared" si="37"/>
        <v>69266.34</v>
      </c>
      <c r="T116" s="417"/>
      <c r="U116" s="47" t="str">
        <f t="shared" si="22"/>
        <v>V</v>
      </c>
      <c r="V116" s="46"/>
      <c r="W116"/>
      <c r="X116" s="392"/>
      <c r="Y116" s="392"/>
    </row>
    <row r="117" spans="1:25" ht="13.5" customHeight="1">
      <c r="A117" s="240">
        <f>'Flat Sizes'!A113</f>
        <v>4</v>
      </c>
      <c r="B117" s="244" t="str">
        <f>'Flat Sizes'!B113</f>
        <v>M. Bedroom</v>
      </c>
      <c r="C117" s="213" t="s">
        <v>394</v>
      </c>
      <c r="D117" s="211"/>
      <c r="E117" s="407">
        <v>1</v>
      </c>
      <c r="F117" s="408">
        <f>VLOOKUP(C117,'D&amp;W Schedule'!$B$4:$F$20,2,FALSE)</f>
        <v>3.05</v>
      </c>
      <c r="G117" s="408">
        <f>VLOOKUP(C117,'D&amp;W Schedule'!$B$4:$F$20,3,FALSE)</f>
        <v>2.15</v>
      </c>
      <c r="H117" s="492">
        <f>VLOOKUP(C117,'D&amp;W Schedule'!$B$4:$F$20,4,FALSE)</f>
        <v>6.5574999999999992</v>
      </c>
      <c r="I117" s="492">
        <f>VLOOKUP(C117,'D&amp;W Schedule'!$B$4:$F$20,5,FALSE)</f>
        <v>5920.2</v>
      </c>
      <c r="J117" s="492">
        <f t="shared" si="35"/>
        <v>38821.711499999998</v>
      </c>
      <c r="K117" s="408"/>
      <c r="L117" s="409"/>
      <c r="M117" s="409"/>
      <c r="N117" s="410">
        <f t="shared" si="21"/>
        <v>38821.711499999998</v>
      </c>
      <c r="Q117" s="392"/>
      <c r="R117" s="392">
        <f t="shared" si="36"/>
        <v>170.49499999999998</v>
      </c>
      <c r="S117" s="393">
        <f t="shared" si="37"/>
        <v>1009364.499</v>
      </c>
      <c r="T117" s="417"/>
      <c r="U117" s="47" t="str">
        <f t="shared" si="22"/>
        <v>W4</v>
      </c>
      <c r="V117" s="46"/>
      <c r="W117"/>
      <c r="X117" s="392"/>
      <c r="Y117" s="392"/>
    </row>
    <row r="118" spans="1:25" ht="13.5" customHeight="1">
      <c r="A118" s="240">
        <f>'Flat Sizes'!A114</f>
        <v>5</v>
      </c>
      <c r="B118" s="244" t="str">
        <f>'Flat Sizes'!B114</f>
        <v>M. Toilet</v>
      </c>
      <c r="C118" s="213" t="s">
        <v>395</v>
      </c>
      <c r="D118" s="211"/>
      <c r="E118" s="407">
        <v>1</v>
      </c>
      <c r="F118" s="408">
        <f>VLOOKUP(C118,'D&amp;W Schedule'!$B$4:$F$20,2,FALSE)</f>
        <v>0.6</v>
      </c>
      <c r="G118" s="408">
        <f>VLOOKUP(C118,'D&amp;W Schedule'!$B$4:$F$20,3,FALSE)</f>
        <v>0.75</v>
      </c>
      <c r="H118" s="492">
        <f>VLOOKUP(C118,'D&amp;W Schedule'!$B$4:$F$20,4,FALSE)</f>
        <v>0.44999999999999996</v>
      </c>
      <c r="I118" s="492">
        <f>VLOOKUP(C118,'D&amp;W Schedule'!$B$4:$F$20,5,FALSE)</f>
        <v>5920.2</v>
      </c>
      <c r="J118" s="492">
        <f t="shared" si="35"/>
        <v>2664.0899999999997</v>
      </c>
      <c r="K118" s="408"/>
      <c r="L118" s="409"/>
      <c r="M118" s="409"/>
      <c r="N118" s="410">
        <f t="shared" si="21"/>
        <v>2664.0899999999997</v>
      </c>
      <c r="Q118" s="392"/>
      <c r="R118" s="392">
        <f t="shared" si="36"/>
        <v>11.7</v>
      </c>
      <c r="S118" s="393">
        <f t="shared" si="37"/>
        <v>69266.34</v>
      </c>
      <c r="T118" s="417"/>
      <c r="U118" s="47" t="str">
        <f t="shared" si="22"/>
        <v>V</v>
      </c>
      <c r="V118" s="46"/>
      <c r="W118"/>
      <c r="X118" s="392"/>
      <c r="Y118" s="392"/>
    </row>
    <row r="119" spans="1:25" ht="13.5" customHeight="1">
      <c r="A119" s="240">
        <f>'Flat Sizes'!A115</f>
        <v>6</v>
      </c>
      <c r="B119" s="244" t="str">
        <f>'Flat Sizes'!B115</f>
        <v>C. Bedroom</v>
      </c>
      <c r="C119" s="213" t="s">
        <v>394</v>
      </c>
      <c r="D119" s="211"/>
      <c r="E119" s="407">
        <v>1</v>
      </c>
      <c r="F119" s="408">
        <f>VLOOKUP(C119,'D&amp;W Schedule'!$B$4:$F$20,2,FALSE)</f>
        <v>3.05</v>
      </c>
      <c r="G119" s="408">
        <f>VLOOKUP(C119,'D&amp;W Schedule'!$B$4:$F$20,3,FALSE)</f>
        <v>2.15</v>
      </c>
      <c r="H119" s="492">
        <f>VLOOKUP(C119,'D&amp;W Schedule'!$B$4:$F$20,4,FALSE)</f>
        <v>6.5574999999999992</v>
      </c>
      <c r="I119" s="492">
        <f>VLOOKUP(C119,'D&amp;W Schedule'!$B$4:$F$20,5,FALSE)</f>
        <v>5920.2</v>
      </c>
      <c r="J119" s="492">
        <f t="shared" si="35"/>
        <v>38821.711499999998</v>
      </c>
      <c r="K119" s="408"/>
      <c r="L119" s="409"/>
      <c r="M119" s="409"/>
      <c r="N119" s="410">
        <f t="shared" si="21"/>
        <v>38821.711499999998</v>
      </c>
      <c r="Q119" s="392"/>
      <c r="R119" s="392">
        <f t="shared" si="36"/>
        <v>170.49499999999998</v>
      </c>
      <c r="S119" s="393">
        <f t="shared" si="37"/>
        <v>1009364.499</v>
      </c>
      <c r="T119" s="417"/>
      <c r="U119" s="47" t="str">
        <f t="shared" si="22"/>
        <v>W4</v>
      </c>
      <c r="V119" s="46"/>
      <c r="W119"/>
      <c r="X119" s="392"/>
      <c r="Y119" s="392"/>
    </row>
    <row r="120" spans="1:25" ht="13.5" customHeight="1">
      <c r="A120" s="240">
        <f>'Flat Sizes'!A116</f>
        <v>7</v>
      </c>
      <c r="B120" s="244" t="str">
        <f>'Flat Sizes'!B116</f>
        <v>C. Toilet</v>
      </c>
      <c r="C120" s="213" t="s">
        <v>395</v>
      </c>
      <c r="D120" s="211"/>
      <c r="E120" s="407">
        <v>1</v>
      </c>
      <c r="F120" s="408">
        <f>VLOOKUP(C120,'D&amp;W Schedule'!$B$4:$F$20,2,FALSE)</f>
        <v>0.6</v>
      </c>
      <c r="G120" s="408">
        <f>VLOOKUP(C120,'D&amp;W Schedule'!$B$4:$F$20,3,FALSE)</f>
        <v>0.75</v>
      </c>
      <c r="H120" s="492">
        <f>VLOOKUP(C120,'D&amp;W Schedule'!$B$4:$F$20,4,FALSE)</f>
        <v>0.44999999999999996</v>
      </c>
      <c r="I120" s="492">
        <f>VLOOKUP(C120,'D&amp;W Schedule'!$B$4:$F$20,5,FALSE)</f>
        <v>5920.2</v>
      </c>
      <c r="J120" s="492">
        <f t="shared" si="35"/>
        <v>2664.0899999999997</v>
      </c>
      <c r="K120" s="408"/>
      <c r="L120" s="409"/>
      <c r="M120" s="409"/>
      <c r="N120" s="410">
        <f t="shared" si="21"/>
        <v>2664.0899999999997</v>
      </c>
      <c r="Q120" s="392"/>
      <c r="R120" s="392">
        <f t="shared" si="36"/>
        <v>11.7</v>
      </c>
      <c r="S120" s="393">
        <f t="shared" si="37"/>
        <v>69266.34</v>
      </c>
      <c r="T120" s="417"/>
      <c r="U120" s="47" t="str">
        <f t="shared" si="22"/>
        <v>V</v>
      </c>
      <c r="V120" s="46"/>
      <c r="W120"/>
      <c r="X120" s="392"/>
      <c r="Y120" s="392"/>
    </row>
    <row r="121" spans="1:25" ht="13.5" customHeight="1">
      <c r="A121" s="240">
        <f>'Flat Sizes'!A117</f>
        <v>8</v>
      </c>
      <c r="B121" s="244" t="str">
        <f>'Flat Sizes'!B117</f>
        <v>Kitchen</v>
      </c>
      <c r="C121" s="213" t="s">
        <v>396</v>
      </c>
      <c r="D121" s="211"/>
      <c r="E121" s="407">
        <v>1</v>
      </c>
      <c r="F121" s="408">
        <f>VLOOKUP(C121,'D&amp;W Schedule'!$B$4:$F$20,2,FALSE)</f>
        <v>1</v>
      </c>
      <c r="G121" s="408">
        <f>VLOOKUP(C121,'D&amp;W Schedule'!$B$4:$F$20,3,FALSE)</f>
        <v>2.15</v>
      </c>
      <c r="H121" s="492">
        <f>VLOOKUP(C121,'D&amp;W Schedule'!$B$4:$F$20,4,FALSE)</f>
        <v>2.15</v>
      </c>
      <c r="I121" s="492">
        <f>VLOOKUP(C121,'D&amp;W Schedule'!$B$4:$F$20,5,FALSE)</f>
        <v>5920.2</v>
      </c>
      <c r="J121" s="492">
        <f t="shared" si="35"/>
        <v>12728.429999999998</v>
      </c>
      <c r="K121" s="408"/>
      <c r="L121" s="409"/>
      <c r="M121" s="409"/>
      <c r="N121" s="410">
        <f t="shared" si="21"/>
        <v>12728.429999999998</v>
      </c>
      <c r="Q121" s="392"/>
      <c r="R121" s="392">
        <f t="shared" si="36"/>
        <v>55.9</v>
      </c>
      <c r="S121" s="393">
        <f t="shared" si="37"/>
        <v>330939.17999999993</v>
      </c>
      <c r="T121" s="417"/>
      <c r="U121" s="47" t="str">
        <f t="shared" si="22"/>
        <v>W7</v>
      </c>
      <c r="V121" s="46"/>
      <c r="W121"/>
      <c r="X121" s="392"/>
      <c r="Y121" s="392"/>
    </row>
    <row r="122" spans="1:25" ht="13.5" customHeight="1">
      <c r="A122" s="240">
        <f>'Flat Sizes'!A118</f>
        <v>9</v>
      </c>
      <c r="B122" s="244" t="str">
        <f>'Flat Sizes'!B118</f>
        <v>Utility</v>
      </c>
      <c r="C122" s="213" t="s">
        <v>397</v>
      </c>
      <c r="D122" s="211"/>
      <c r="E122" s="407">
        <v>1</v>
      </c>
      <c r="F122" s="408"/>
      <c r="G122" s="408"/>
      <c r="H122" s="492"/>
      <c r="I122" s="492"/>
      <c r="J122" s="491"/>
      <c r="K122" s="408">
        <f>F121</f>
        <v>1</v>
      </c>
      <c r="L122" s="409">
        <f>'D&amp;W Schedule'!$F$20</f>
        <v>9500</v>
      </c>
      <c r="M122" s="409">
        <f>K122*L122</f>
        <v>9500</v>
      </c>
      <c r="N122" s="410">
        <f t="shared" si="21"/>
        <v>9500</v>
      </c>
      <c r="Q122" s="392"/>
      <c r="R122" s="392">
        <f>K122*$Q$112</f>
        <v>26</v>
      </c>
      <c r="S122" s="393">
        <f>M122*$Q$112</f>
        <v>247000</v>
      </c>
      <c r="T122" s="417"/>
      <c r="U122" s="47" t="str">
        <f t="shared" si="22"/>
        <v>UR</v>
      </c>
      <c r="V122" s="46"/>
      <c r="W122"/>
      <c r="X122" s="392"/>
      <c r="Y122" s="392"/>
    </row>
    <row r="123" spans="1:25" ht="13.5" customHeight="1">
      <c r="A123" s="240">
        <f>'Flat Sizes'!A119</f>
        <v>10</v>
      </c>
      <c r="B123" s="244" t="str">
        <f>'Flat Sizes'!B119</f>
        <v>Balcony</v>
      </c>
      <c r="C123" s="213" t="s">
        <v>398</v>
      </c>
      <c r="D123" s="211"/>
      <c r="E123" s="407">
        <v>1</v>
      </c>
      <c r="F123" s="408"/>
      <c r="G123" s="408"/>
      <c r="H123" s="492"/>
      <c r="I123" s="492"/>
      <c r="J123" s="491"/>
      <c r="K123" s="408">
        <f>2.28+1.37</f>
        <v>3.65</v>
      </c>
      <c r="L123" s="409">
        <f>'D&amp;W Schedule'!$F$20</f>
        <v>9500</v>
      </c>
      <c r="M123" s="409">
        <f>K123*L123</f>
        <v>34675</v>
      </c>
      <c r="N123" s="410">
        <f t="shared" si="21"/>
        <v>34675</v>
      </c>
      <c r="Q123" s="392"/>
      <c r="R123" s="392">
        <f>K123*$Q$112</f>
        <v>94.899999999999991</v>
      </c>
      <c r="S123" s="393">
        <f>M123*$Q$112</f>
        <v>901550</v>
      </c>
      <c r="T123" s="417"/>
      <c r="U123" s="47" t="str">
        <f t="shared" si="22"/>
        <v>BR</v>
      </c>
      <c r="V123" s="46"/>
      <c r="W123"/>
      <c r="X123" s="392"/>
      <c r="Y123" s="392"/>
    </row>
    <row r="124" spans="1:25" ht="13.5" customHeight="1">
      <c r="A124" s="240"/>
      <c r="B124" s="246" t="str">
        <f>'Flat Sizes'!B120</f>
        <v>Sub Total</v>
      </c>
      <c r="C124" s="213"/>
      <c r="D124" s="211"/>
      <c r="E124" s="436">
        <f>SUBTOTAL(9,E113:E123)</f>
        <v>11</v>
      </c>
      <c r="F124" s="421"/>
      <c r="G124" s="421"/>
      <c r="H124" s="494">
        <f>SUBTOTAL(9,H113:H123)</f>
        <v>31.342499999999998</v>
      </c>
      <c r="I124" s="493"/>
      <c r="J124" s="493"/>
      <c r="K124" s="421"/>
      <c r="L124" s="422"/>
      <c r="M124" s="422"/>
      <c r="N124" s="495">
        <f>SUBTOTAL(9,N113:P123)</f>
        <v>229728.86849999998</v>
      </c>
      <c r="Q124" s="392"/>
      <c r="R124" s="392"/>
      <c r="T124" s="417"/>
      <c r="U124" s="47">
        <f t="shared" si="22"/>
        <v>0</v>
      </c>
      <c r="V124" s="46"/>
      <c r="W124"/>
      <c r="X124" s="392"/>
      <c r="Y124" s="392"/>
    </row>
    <row r="125" spans="1:25" ht="13.5" customHeight="1">
      <c r="A125" s="241">
        <f>'Flat Sizes'!A121</f>
        <v>13</v>
      </c>
      <c r="B125" s="270" t="str">
        <f>'Flat Sizes'!B121</f>
        <v>Flat 8,
3BHK</v>
      </c>
      <c r="C125" s="213"/>
      <c r="D125" s="211"/>
      <c r="E125" s="407"/>
      <c r="F125" s="408"/>
      <c r="G125" s="408"/>
      <c r="H125" s="492"/>
      <c r="I125" s="492"/>
      <c r="J125" s="491"/>
      <c r="K125" s="408"/>
      <c r="L125" s="409"/>
      <c r="M125" s="409"/>
      <c r="N125" s="410"/>
      <c r="Q125" s="392">
        <f>'Room Conf'!X40</f>
        <v>30</v>
      </c>
      <c r="R125" s="392"/>
      <c r="T125" s="417"/>
      <c r="U125" s="47">
        <f t="shared" si="22"/>
        <v>0</v>
      </c>
      <c r="V125" s="46"/>
      <c r="W125"/>
      <c r="X125" s="392"/>
      <c r="Y125" s="392"/>
    </row>
    <row r="126" spans="1:25" ht="13.5" customHeight="1">
      <c r="A126" s="240">
        <f>'Flat Sizes'!A122</f>
        <v>1</v>
      </c>
      <c r="B126" s="244" t="str">
        <f>'Flat Sizes'!B122</f>
        <v>Living, Dining &amp; Passage</v>
      </c>
      <c r="C126" s="213" t="s">
        <v>400</v>
      </c>
      <c r="D126" s="211"/>
      <c r="E126" s="407">
        <v>1</v>
      </c>
      <c r="F126" s="408">
        <f>VLOOKUP(C126,'D&amp;W Schedule'!$B$4:$F$20,2,FALSE)</f>
        <v>2.77</v>
      </c>
      <c r="G126" s="408">
        <f>VLOOKUP(C126,'D&amp;W Schedule'!$B$4:$F$20,3,FALSE)</f>
        <v>2.15</v>
      </c>
      <c r="H126" s="492">
        <f>VLOOKUP(C126,'D&amp;W Schedule'!$B$4:$F$20,4,FALSE)</f>
        <v>5.9554999999999998</v>
      </c>
      <c r="I126" s="492">
        <f>VLOOKUP(C126,'D&amp;W Schedule'!$B$4:$F$20,5,FALSE)</f>
        <v>5920.2</v>
      </c>
      <c r="J126" s="492">
        <f t="shared" ref="J126:J134" si="38">H126*I126</f>
        <v>35257.751100000001</v>
      </c>
      <c r="K126" s="408"/>
      <c r="L126" s="409"/>
      <c r="M126" s="409"/>
      <c r="N126" s="410">
        <f t="shared" si="21"/>
        <v>35257.751100000001</v>
      </c>
      <c r="Q126" s="392"/>
      <c r="R126" s="392">
        <f>H126*$Q$125</f>
        <v>178.66499999999999</v>
      </c>
      <c r="S126" s="393">
        <f>J126*$Q$125</f>
        <v>1057732.5330000001</v>
      </c>
      <c r="T126" s="417"/>
      <c r="U126" s="47" t="str">
        <f t="shared" si="22"/>
        <v>W3</v>
      </c>
      <c r="V126" s="46"/>
      <c r="W126"/>
      <c r="X126" s="392"/>
      <c r="Y126" s="392"/>
    </row>
    <row r="127" spans="1:25" ht="13.5" customHeight="1">
      <c r="A127" s="240">
        <f>'Flat Sizes'!A123</f>
        <v>2</v>
      </c>
      <c r="B127" s="244" t="str">
        <f>'Flat Sizes'!B123</f>
        <v>M. Bedroom</v>
      </c>
      <c r="C127" s="213" t="s">
        <v>394</v>
      </c>
      <c r="D127" s="211"/>
      <c r="E127" s="407">
        <v>1</v>
      </c>
      <c r="F127" s="408">
        <f>VLOOKUP(C127,'D&amp;W Schedule'!$B$4:$F$20,2,FALSE)</f>
        <v>3.05</v>
      </c>
      <c r="G127" s="408">
        <f>VLOOKUP(C127,'D&amp;W Schedule'!$B$4:$F$20,3,FALSE)</f>
        <v>2.15</v>
      </c>
      <c r="H127" s="492">
        <f>VLOOKUP(C127,'D&amp;W Schedule'!$B$4:$F$20,4,FALSE)</f>
        <v>6.5574999999999992</v>
      </c>
      <c r="I127" s="492">
        <f>VLOOKUP(C127,'D&amp;W Schedule'!$B$4:$F$20,5,FALSE)</f>
        <v>5920.2</v>
      </c>
      <c r="J127" s="492">
        <f t="shared" si="38"/>
        <v>38821.711499999998</v>
      </c>
      <c r="K127" s="408"/>
      <c r="L127" s="409"/>
      <c r="M127" s="409"/>
      <c r="N127" s="410">
        <f t="shared" si="21"/>
        <v>38821.711499999998</v>
      </c>
      <c r="Q127" s="392"/>
      <c r="R127" s="392">
        <f t="shared" ref="R127:R134" si="39">H127*$Q$125</f>
        <v>196.72499999999997</v>
      </c>
      <c r="S127" s="393">
        <f t="shared" ref="S127:S134" si="40">J127*$Q$125</f>
        <v>1164651.345</v>
      </c>
      <c r="T127" s="417"/>
      <c r="U127" s="47" t="str">
        <f t="shared" si="22"/>
        <v>W4</v>
      </c>
      <c r="V127" s="46"/>
      <c r="W127"/>
      <c r="X127" s="392"/>
      <c r="Y127" s="392"/>
    </row>
    <row r="128" spans="1:25" ht="13.5" customHeight="1">
      <c r="A128" s="240"/>
      <c r="B128" s="244"/>
      <c r="C128" s="213" t="s">
        <v>401</v>
      </c>
      <c r="D128" s="211"/>
      <c r="E128" s="407">
        <v>1</v>
      </c>
      <c r="F128" s="408">
        <f>VLOOKUP(C128,'D&amp;W Schedule'!$B$4:$F$20,2,FALSE)</f>
        <v>1.03</v>
      </c>
      <c r="G128" s="408">
        <f>VLOOKUP(C128,'D&amp;W Schedule'!$B$4:$F$20,3,FALSE)</f>
        <v>2.15</v>
      </c>
      <c r="H128" s="492">
        <f>VLOOKUP(C128,'D&amp;W Schedule'!$B$4:$F$20,4,FALSE)</f>
        <v>2.2145000000000001</v>
      </c>
      <c r="I128" s="492">
        <f>VLOOKUP(C128,'D&amp;W Schedule'!$B$4:$F$20,5,FALSE)</f>
        <v>5920.2</v>
      </c>
      <c r="J128" s="492">
        <f t="shared" si="38"/>
        <v>13110.2829</v>
      </c>
      <c r="K128" s="408"/>
      <c r="L128" s="409"/>
      <c r="M128" s="409"/>
      <c r="N128" s="410">
        <f t="shared" si="21"/>
        <v>13110.2829</v>
      </c>
      <c r="Q128" s="392"/>
      <c r="R128" s="392">
        <f t="shared" si="39"/>
        <v>66.435000000000002</v>
      </c>
      <c r="S128" s="393">
        <f t="shared" si="40"/>
        <v>393308.48700000002</v>
      </c>
      <c r="T128" s="417"/>
      <c r="U128" s="47" t="str">
        <f t="shared" si="22"/>
        <v>W4A</v>
      </c>
      <c r="V128" s="46"/>
      <c r="W128"/>
      <c r="X128" s="392"/>
      <c r="Y128" s="392"/>
    </row>
    <row r="129" spans="1:25" ht="13.5" customHeight="1">
      <c r="A129" s="240">
        <f>'Flat Sizes'!A124</f>
        <v>3</v>
      </c>
      <c r="B129" s="244" t="str">
        <f>'Flat Sizes'!B124</f>
        <v>M. Toilet</v>
      </c>
      <c r="C129" s="213" t="s">
        <v>395</v>
      </c>
      <c r="D129" s="211"/>
      <c r="E129" s="407">
        <v>1</v>
      </c>
      <c r="F129" s="408">
        <f>VLOOKUP(C129,'D&amp;W Schedule'!$B$4:$F$20,2,FALSE)</f>
        <v>0.6</v>
      </c>
      <c r="G129" s="408">
        <f>VLOOKUP(C129,'D&amp;W Schedule'!$B$4:$F$20,3,FALSE)</f>
        <v>0.75</v>
      </c>
      <c r="H129" s="492">
        <f>VLOOKUP(C129,'D&amp;W Schedule'!$B$4:$F$20,4,FALSE)</f>
        <v>0.44999999999999996</v>
      </c>
      <c r="I129" s="492">
        <f>VLOOKUP(C129,'D&amp;W Schedule'!$B$4:$F$20,5,FALSE)</f>
        <v>5920.2</v>
      </c>
      <c r="J129" s="492">
        <f t="shared" si="38"/>
        <v>2664.0899999999997</v>
      </c>
      <c r="K129" s="408"/>
      <c r="L129" s="409"/>
      <c r="M129" s="409"/>
      <c r="N129" s="410">
        <f t="shared" si="21"/>
        <v>2664.0899999999997</v>
      </c>
      <c r="Q129" s="392"/>
      <c r="R129" s="392">
        <f t="shared" si="39"/>
        <v>13.499999999999998</v>
      </c>
      <c r="S129" s="393">
        <f t="shared" si="40"/>
        <v>79922.7</v>
      </c>
      <c r="T129" s="417"/>
      <c r="U129" s="47" t="str">
        <f t="shared" si="22"/>
        <v>V</v>
      </c>
      <c r="V129" s="46"/>
      <c r="W129"/>
      <c r="X129" s="392"/>
      <c r="Y129" s="392"/>
    </row>
    <row r="130" spans="1:25" ht="13.5" customHeight="1">
      <c r="A130" s="240">
        <f>'Flat Sizes'!A125</f>
        <v>4</v>
      </c>
      <c r="B130" s="244" t="str">
        <f>'Flat Sizes'!B125</f>
        <v>M. Bedroom</v>
      </c>
      <c r="C130" s="213" t="s">
        <v>394</v>
      </c>
      <c r="D130" s="211"/>
      <c r="E130" s="407">
        <v>1</v>
      </c>
      <c r="F130" s="408">
        <f>VLOOKUP(C130,'D&amp;W Schedule'!$B$4:$F$20,2,FALSE)</f>
        <v>3.05</v>
      </c>
      <c r="G130" s="408">
        <f>VLOOKUP(C130,'D&amp;W Schedule'!$B$4:$F$20,3,FALSE)</f>
        <v>2.15</v>
      </c>
      <c r="H130" s="492">
        <f>VLOOKUP(C130,'D&amp;W Schedule'!$B$4:$F$20,4,FALSE)</f>
        <v>6.5574999999999992</v>
      </c>
      <c r="I130" s="492">
        <f>VLOOKUP(C130,'D&amp;W Schedule'!$B$4:$F$20,5,FALSE)</f>
        <v>5920.2</v>
      </c>
      <c r="J130" s="492">
        <f t="shared" si="38"/>
        <v>38821.711499999998</v>
      </c>
      <c r="K130" s="408"/>
      <c r="L130" s="409"/>
      <c r="M130" s="409"/>
      <c r="N130" s="410">
        <f t="shared" si="21"/>
        <v>38821.711499999998</v>
      </c>
      <c r="Q130" s="392"/>
      <c r="R130" s="392">
        <f t="shared" si="39"/>
        <v>196.72499999999997</v>
      </c>
      <c r="S130" s="393">
        <f t="shared" si="40"/>
        <v>1164651.345</v>
      </c>
      <c r="T130" s="417"/>
      <c r="U130" s="47" t="str">
        <f t="shared" si="22"/>
        <v>W4</v>
      </c>
      <c r="V130" s="46"/>
      <c r="W130"/>
      <c r="X130" s="392"/>
      <c r="Y130" s="392"/>
    </row>
    <row r="131" spans="1:25" ht="13.5" customHeight="1">
      <c r="A131" s="240">
        <f>'Flat Sizes'!A126</f>
        <v>5</v>
      </c>
      <c r="B131" s="244" t="str">
        <f>'Flat Sizes'!B126</f>
        <v>M. Toilet</v>
      </c>
      <c r="C131" s="213" t="s">
        <v>395</v>
      </c>
      <c r="D131" s="211"/>
      <c r="E131" s="407">
        <v>1</v>
      </c>
      <c r="F131" s="408">
        <f>VLOOKUP(C131,'D&amp;W Schedule'!$B$4:$F$20,2,FALSE)</f>
        <v>0.6</v>
      </c>
      <c r="G131" s="408">
        <f>VLOOKUP(C131,'D&amp;W Schedule'!$B$4:$F$20,3,FALSE)</f>
        <v>0.75</v>
      </c>
      <c r="H131" s="492">
        <f>VLOOKUP(C131,'D&amp;W Schedule'!$B$4:$F$20,4,FALSE)</f>
        <v>0.44999999999999996</v>
      </c>
      <c r="I131" s="492">
        <f>VLOOKUP(C131,'D&amp;W Schedule'!$B$4:$F$20,5,FALSE)</f>
        <v>5920.2</v>
      </c>
      <c r="J131" s="492">
        <f t="shared" si="38"/>
        <v>2664.0899999999997</v>
      </c>
      <c r="K131" s="408"/>
      <c r="L131" s="409"/>
      <c r="M131" s="409"/>
      <c r="N131" s="410">
        <f t="shared" si="21"/>
        <v>2664.0899999999997</v>
      </c>
      <c r="Q131" s="392"/>
      <c r="R131" s="392">
        <f t="shared" si="39"/>
        <v>13.499999999999998</v>
      </c>
      <c r="S131" s="393">
        <f t="shared" si="40"/>
        <v>79922.7</v>
      </c>
      <c r="T131" s="417"/>
      <c r="U131" s="47" t="str">
        <f t="shared" si="22"/>
        <v>V</v>
      </c>
      <c r="V131" s="46"/>
      <c r="W131"/>
      <c r="X131" s="392"/>
      <c r="Y131" s="392"/>
    </row>
    <row r="132" spans="1:25" ht="13.5" customHeight="1">
      <c r="A132" s="240">
        <f>'Flat Sizes'!A127</f>
        <v>6</v>
      </c>
      <c r="B132" s="244" t="str">
        <f>'Flat Sizes'!B127</f>
        <v>C. Bedroom</v>
      </c>
      <c r="C132" s="213" t="s">
        <v>394</v>
      </c>
      <c r="D132" s="211"/>
      <c r="E132" s="407">
        <v>1</v>
      </c>
      <c r="F132" s="408">
        <f>VLOOKUP(C132,'D&amp;W Schedule'!$B$4:$F$20,2,FALSE)</f>
        <v>3.05</v>
      </c>
      <c r="G132" s="408">
        <f>VLOOKUP(C132,'D&amp;W Schedule'!$B$4:$F$20,3,FALSE)</f>
        <v>2.15</v>
      </c>
      <c r="H132" s="492">
        <f>VLOOKUP(C132,'D&amp;W Schedule'!$B$4:$F$20,4,FALSE)</f>
        <v>6.5574999999999992</v>
      </c>
      <c r="I132" s="492">
        <f>VLOOKUP(C132,'D&amp;W Schedule'!$B$4:$F$20,5,FALSE)</f>
        <v>5920.2</v>
      </c>
      <c r="J132" s="492">
        <f t="shared" si="38"/>
        <v>38821.711499999998</v>
      </c>
      <c r="K132" s="408"/>
      <c r="L132" s="409"/>
      <c r="M132" s="409"/>
      <c r="N132" s="410">
        <f t="shared" si="21"/>
        <v>38821.711499999998</v>
      </c>
      <c r="Q132" s="392"/>
      <c r="R132" s="392">
        <f t="shared" si="39"/>
        <v>196.72499999999997</v>
      </c>
      <c r="S132" s="393">
        <f t="shared" si="40"/>
        <v>1164651.345</v>
      </c>
      <c r="T132" s="417"/>
      <c r="U132" s="47" t="str">
        <f t="shared" si="22"/>
        <v>W4</v>
      </c>
      <c r="V132" s="46"/>
      <c r="W132"/>
      <c r="X132" s="392"/>
      <c r="Y132" s="392"/>
    </row>
    <row r="133" spans="1:25" ht="13.5" customHeight="1">
      <c r="A133" s="240">
        <f>'Flat Sizes'!A128</f>
        <v>7</v>
      </c>
      <c r="B133" s="244" t="str">
        <f>'Flat Sizes'!B128</f>
        <v>C. Toilet</v>
      </c>
      <c r="C133" s="213" t="s">
        <v>395</v>
      </c>
      <c r="D133" s="211"/>
      <c r="E133" s="407">
        <v>1</v>
      </c>
      <c r="F133" s="408">
        <f>VLOOKUP(C133,'D&amp;W Schedule'!$B$4:$F$20,2,FALSE)</f>
        <v>0.6</v>
      </c>
      <c r="G133" s="408">
        <f>VLOOKUP(C133,'D&amp;W Schedule'!$B$4:$F$20,3,FALSE)</f>
        <v>0.75</v>
      </c>
      <c r="H133" s="492">
        <f>VLOOKUP(C133,'D&amp;W Schedule'!$B$4:$F$20,4,FALSE)</f>
        <v>0.44999999999999996</v>
      </c>
      <c r="I133" s="492">
        <f>VLOOKUP(C133,'D&amp;W Schedule'!$B$4:$F$20,5,FALSE)</f>
        <v>5920.2</v>
      </c>
      <c r="J133" s="492">
        <f t="shared" si="38"/>
        <v>2664.0899999999997</v>
      </c>
      <c r="K133" s="408"/>
      <c r="L133" s="409"/>
      <c r="M133" s="409"/>
      <c r="N133" s="410">
        <f t="shared" ref="N133:N160" si="41">J133+M133</f>
        <v>2664.0899999999997</v>
      </c>
      <c r="Q133" s="392"/>
      <c r="R133" s="392">
        <f t="shared" si="39"/>
        <v>13.499999999999998</v>
      </c>
      <c r="S133" s="393">
        <f t="shared" si="40"/>
        <v>79922.7</v>
      </c>
      <c r="T133" s="417"/>
      <c r="U133" s="47" t="str">
        <f t="shared" ref="U133:U162" si="42">C133</f>
        <v>V</v>
      </c>
      <c r="V133" s="46"/>
      <c r="W133"/>
      <c r="X133" s="392"/>
      <c r="Y133" s="392"/>
    </row>
    <row r="134" spans="1:25" ht="13.5" customHeight="1">
      <c r="A134" s="240">
        <f>'Flat Sizes'!A129</f>
        <v>8</v>
      </c>
      <c r="B134" s="244" t="str">
        <f>'Flat Sizes'!B129</f>
        <v>Kitchen</v>
      </c>
      <c r="C134" s="213" t="s">
        <v>396</v>
      </c>
      <c r="D134" s="211"/>
      <c r="E134" s="407">
        <v>1</v>
      </c>
      <c r="F134" s="408">
        <f>VLOOKUP(C134,'D&amp;W Schedule'!$B$4:$F$20,2,FALSE)</f>
        <v>1</v>
      </c>
      <c r="G134" s="408">
        <f>VLOOKUP(C134,'D&amp;W Schedule'!$B$4:$F$20,3,FALSE)</f>
        <v>2.15</v>
      </c>
      <c r="H134" s="492">
        <f>VLOOKUP(C134,'D&amp;W Schedule'!$B$4:$F$20,4,FALSE)</f>
        <v>2.15</v>
      </c>
      <c r="I134" s="492">
        <f>VLOOKUP(C134,'D&amp;W Schedule'!$B$4:$F$20,5,FALSE)</f>
        <v>5920.2</v>
      </c>
      <c r="J134" s="492">
        <f t="shared" si="38"/>
        <v>12728.429999999998</v>
      </c>
      <c r="K134" s="408"/>
      <c r="L134" s="409"/>
      <c r="M134" s="409"/>
      <c r="N134" s="410">
        <f t="shared" si="41"/>
        <v>12728.429999999998</v>
      </c>
      <c r="Q134" s="392"/>
      <c r="R134" s="392">
        <f t="shared" si="39"/>
        <v>64.5</v>
      </c>
      <c r="S134" s="393">
        <f t="shared" si="40"/>
        <v>381852.89999999997</v>
      </c>
      <c r="T134" s="417"/>
      <c r="U134" s="47" t="str">
        <f t="shared" si="42"/>
        <v>W7</v>
      </c>
      <c r="V134" s="46"/>
      <c r="W134"/>
      <c r="X134" s="392"/>
      <c r="Y134" s="392"/>
    </row>
    <row r="135" spans="1:25" ht="13.5" customHeight="1">
      <c r="A135" s="240">
        <f>'Flat Sizes'!A130</f>
        <v>9</v>
      </c>
      <c r="B135" s="244" t="str">
        <f>'Flat Sizes'!B130</f>
        <v>Utility</v>
      </c>
      <c r="C135" s="213" t="s">
        <v>397</v>
      </c>
      <c r="D135" s="211"/>
      <c r="E135" s="407">
        <v>1</v>
      </c>
      <c r="F135" s="408"/>
      <c r="G135" s="408"/>
      <c r="H135" s="492"/>
      <c r="I135" s="492"/>
      <c r="J135" s="491"/>
      <c r="K135" s="408">
        <f>F134</f>
        <v>1</v>
      </c>
      <c r="L135" s="409">
        <f>'D&amp;W Schedule'!$F$20</f>
        <v>9500</v>
      </c>
      <c r="M135" s="409">
        <f>K135*L135</f>
        <v>9500</v>
      </c>
      <c r="N135" s="410">
        <f t="shared" si="41"/>
        <v>9500</v>
      </c>
      <c r="Q135" s="392"/>
      <c r="R135" s="392">
        <f>K135*$Q$125</f>
        <v>30</v>
      </c>
      <c r="S135" s="393">
        <f>M135*$Q$125</f>
        <v>285000</v>
      </c>
      <c r="T135" s="417"/>
      <c r="U135" s="47" t="str">
        <f t="shared" si="42"/>
        <v>UR</v>
      </c>
      <c r="V135" s="46"/>
      <c r="W135"/>
      <c r="X135" s="392"/>
      <c r="Y135" s="392"/>
    </row>
    <row r="136" spans="1:25" ht="13.5" customHeight="1">
      <c r="A136" s="240">
        <f>'Flat Sizes'!A131</f>
        <v>10</v>
      </c>
      <c r="B136" s="244" t="str">
        <f>'Flat Sizes'!B131</f>
        <v>Balcony</v>
      </c>
      <c r="C136" s="213" t="s">
        <v>398</v>
      </c>
      <c r="D136" s="211"/>
      <c r="E136" s="407">
        <v>1</v>
      </c>
      <c r="F136" s="408"/>
      <c r="G136" s="408"/>
      <c r="H136" s="492"/>
      <c r="I136" s="492"/>
      <c r="J136" s="491"/>
      <c r="K136" s="408">
        <f>2.28+1.37</f>
        <v>3.65</v>
      </c>
      <c r="L136" s="409">
        <f>'D&amp;W Schedule'!$F$20</f>
        <v>9500</v>
      </c>
      <c r="M136" s="409">
        <f>K136*L136</f>
        <v>34675</v>
      </c>
      <c r="N136" s="410">
        <f t="shared" si="41"/>
        <v>34675</v>
      </c>
      <c r="Q136" s="392"/>
      <c r="R136" s="392">
        <f>K136*$Q$125</f>
        <v>109.5</v>
      </c>
      <c r="S136" s="393">
        <f>M136*$Q$125</f>
        <v>1040250</v>
      </c>
      <c r="T136" s="417"/>
      <c r="U136" s="47" t="str">
        <f t="shared" si="42"/>
        <v>BR</v>
      </c>
      <c r="V136" s="46"/>
      <c r="W136"/>
      <c r="X136" s="392"/>
      <c r="Y136" s="392"/>
    </row>
    <row r="137" spans="1:25" ht="13.5" customHeight="1">
      <c r="A137" s="240"/>
      <c r="B137" s="246" t="str">
        <f>'Flat Sizes'!B132</f>
        <v>Sub Total</v>
      </c>
      <c r="C137" s="213"/>
      <c r="D137" s="211"/>
      <c r="E137" s="436">
        <f>SUBTOTAL(9,E126:E136)</f>
        <v>11</v>
      </c>
      <c r="F137" s="421"/>
      <c r="G137" s="421"/>
      <c r="H137" s="494">
        <f>SUBTOTAL(9,H126:H136)</f>
        <v>31.342499999999998</v>
      </c>
      <c r="I137" s="493"/>
      <c r="J137" s="493"/>
      <c r="K137" s="421"/>
      <c r="L137" s="422"/>
      <c r="M137" s="422"/>
      <c r="N137" s="495">
        <f>SUBTOTAL(9,N126:P136)</f>
        <v>229728.86849999998</v>
      </c>
      <c r="Q137" s="392"/>
      <c r="R137" s="392"/>
      <c r="T137" s="417"/>
      <c r="U137" s="47">
        <f t="shared" si="42"/>
        <v>0</v>
      </c>
      <c r="V137" s="46"/>
      <c r="W137"/>
      <c r="X137" s="392"/>
      <c r="Y137" s="392"/>
    </row>
    <row r="138" spans="1:25" ht="13.5" customHeight="1">
      <c r="A138" s="241">
        <f>'Flat Sizes'!A133</f>
        <v>14</v>
      </c>
      <c r="B138" s="270" t="str">
        <f>'Flat Sizes'!B133</f>
        <v>Flat 9,
2BHK</v>
      </c>
      <c r="C138" s="213"/>
      <c r="D138" s="211"/>
      <c r="E138" s="407"/>
      <c r="F138" s="408"/>
      <c r="G138" s="408"/>
      <c r="H138" s="492"/>
      <c r="I138" s="492"/>
      <c r="J138" s="491"/>
      <c r="K138" s="408"/>
      <c r="L138" s="409"/>
      <c r="M138" s="409"/>
      <c r="N138" s="410"/>
      <c r="Q138" s="392">
        <f>'Room Conf'!Y40</f>
        <v>28</v>
      </c>
      <c r="R138" s="392"/>
      <c r="T138" s="417"/>
      <c r="U138" s="47">
        <f t="shared" si="42"/>
        <v>0</v>
      </c>
      <c r="V138" s="46"/>
      <c r="W138"/>
      <c r="X138" s="392"/>
      <c r="Y138" s="392"/>
    </row>
    <row r="139" spans="1:25" ht="13.5" customHeight="1">
      <c r="A139" s="240">
        <f>'Flat Sizes'!A134</f>
        <v>1</v>
      </c>
      <c r="B139" s="244" t="str">
        <f>'Flat Sizes'!B134</f>
        <v>Living, Dining &amp; Passage</v>
      </c>
      <c r="C139" s="213" t="s">
        <v>399</v>
      </c>
      <c r="D139" s="211"/>
      <c r="E139" s="407">
        <v>1</v>
      </c>
      <c r="F139" s="408">
        <f>VLOOKUP(C139,'D&amp;W Schedule'!$B$4:$F$20,2,FALSE)</f>
        <v>3.1</v>
      </c>
      <c r="G139" s="408">
        <f>VLOOKUP(C139,'D&amp;W Schedule'!$B$4:$F$20,3,FALSE)</f>
        <v>2.15</v>
      </c>
      <c r="H139" s="492">
        <f>VLOOKUP(C139,'D&amp;W Schedule'!$B$4:$F$20,4,FALSE)</f>
        <v>6.665</v>
      </c>
      <c r="I139" s="492">
        <f>VLOOKUP(C139,'D&amp;W Schedule'!$B$4:$F$20,5,FALSE)</f>
        <v>5920.2</v>
      </c>
      <c r="J139" s="492">
        <f t="shared" ref="J139:J144" si="43">H139*I139</f>
        <v>39458.133000000002</v>
      </c>
      <c r="K139" s="408"/>
      <c r="L139" s="409"/>
      <c r="M139" s="409"/>
      <c r="N139" s="410">
        <f t="shared" si="41"/>
        <v>39458.133000000002</v>
      </c>
      <c r="Q139" s="392"/>
      <c r="R139" s="392">
        <f>H139*$Q$138</f>
        <v>186.62</v>
      </c>
      <c r="S139" s="393">
        <f>J139*$Q$138</f>
        <v>1104827.7239999999</v>
      </c>
      <c r="T139" s="417"/>
      <c r="U139" s="47" t="str">
        <f t="shared" si="42"/>
        <v>W2</v>
      </c>
      <c r="V139" s="46"/>
      <c r="W139"/>
      <c r="X139" s="392"/>
      <c r="Y139" s="392"/>
    </row>
    <row r="140" spans="1:25" ht="13.5" customHeight="1">
      <c r="A140" s="240">
        <f>'Flat Sizes'!A135</f>
        <v>2</v>
      </c>
      <c r="B140" s="244" t="str">
        <f>'Flat Sizes'!B135</f>
        <v>M. Bedroom</v>
      </c>
      <c r="C140" s="213" t="s">
        <v>394</v>
      </c>
      <c r="D140" s="211"/>
      <c r="E140" s="407">
        <v>1</v>
      </c>
      <c r="F140" s="408">
        <f>VLOOKUP(C140,'D&amp;W Schedule'!$B$4:$F$20,2,FALSE)</f>
        <v>3.05</v>
      </c>
      <c r="G140" s="408">
        <f>VLOOKUP(C140,'D&amp;W Schedule'!$B$4:$F$20,3,FALSE)</f>
        <v>2.15</v>
      </c>
      <c r="H140" s="492">
        <f>VLOOKUP(C140,'D&amp;W Schedule'!$B$4:$F$20,4,FALSE)</f>
        <v>6.5574999999999992</v>
      </c>
      <c r="I140" s="492">
        <f>VLOOKUP(C140,'D&amp;W Schedule'!$B$4:$F$20,5,FALSE)</f>
        <v>5920.2</v>
      </c>
      <c r="J140" s="492">
        <f t="shared" si="43"/>
        <v>38821.711499999998</v>
      </c>
      <c r="K140" s="408"/>
      <c r="L140" s="409"/>
      <c r="M140" s="409"/>
      <c r="N140" s="410">
        <f t="shared" si="41"/>
        <v>38821.711499999998</v>
      </c>
      <c r="Q140" s="392"/>
      <c r="R140" s="392">
        <f t="shared" ref="R140:R144" si="44">H140*$Q$138</f>
        <v>183.60999999999999</v>
      </c>
      <c r="S140" s="393">
        <f t="shared" ref="S140:S144" si="45">J140*$Q$138</f>
        <v>1087007.922</v>
      </c>
      <c r="T140" s="417"/>
      <c r="U140" s="47" t="str">
        <f t="shared" si="42"/>
        <v>W4</v>
      </c>
      <c r="V140" s="46"/>
      <c r="W140"/>
      <c r="X140" s="392"/>
      <c r="Y140" s="392"/>
    </row>
    <row r="141" spans="1:25" ht="13.5" customHeight="1">
      <c r="A141" s="240">
        <f>'Flat Sizes'!A136</f>
        <v>3</v>
      </c>
      <c r="B141" s="244" t="str">
        <f>'Flat Sizes'!B136</f>
        <v>M. Toilet</v>
      </c>
      <c r="C141" s="213" t="s">
        <v>395</v>
      </c>
      <c r="D141" s="211"/>
      <c r="E141" s="407">
        <v>1</v>
      </c>
      <c r="F141" s="408">
        <f>VLOOKUP(C141,'D&amp;W Schedule'!$B$4:$F$20,2,FALSE)</f>
        <v>0.6</v>
      </c>
      <c r="G141" s="408">
        <f>VLOOKUP(C141,'D&amp;W Schedule'!$B$4:$F$20,3,FALSE)</f>
        <v>0.75</v>
      </c>
      <c r="H141" s="492">
        <f>VLOOKUP(C141,'D&amp;W Schedule'!$B$4:$F$20,4,FALSE)</f>
        <v>0.44999999999999996</v>
      </c>
      <c r="I141" s="492">
        <f>VLOOKUP(C141,'D&amp;W Schedule'!$B$4:$F$20,5,FALSE)</f>
        <v>5920.2</v>
      </c>
      <c r="J141" s="492">
        <f t="shared" si="43"/>
        <v>2664.0899999999997</v>
      </c>
      <c r="K141" s="408"/>
      <c r="L141" s="409"/>
      <c r="M141" s="409"/>
      <c r="N141" s="410">
        <f t="shared" si="41"/>
        <v>2664.0899999999997</v>
      </c>
      <c r="Q141" s="392"/>
      <c r="R141" s="392">
        <f t="shared" si="44"/>
        <v>12.599999999999998</v>
      </c>
      <c r="S141" s="393">
        <f t="shared" si="45"/>
        <v>74594.51999999999</v>
      </c>
      <c r="T141" s="417"/>
      <c r="U141" s="47" t="str">
        <f t="shared" si="42"/>
        <v>V</v>
      </c>
      <c r="V141" s="46"/>
      <c r="W141"/>
      <c r="X141" s="392"/>
      <c r="Y141" s="47"/>
    </row>
    <row r="142" spans="1:25" ht="13.5" customHeight="1">
      <c r="A142" s="240">
        <f>'Flat Sizes'!A137</f>
        <v>4</v>
      </c>
      <c r="B142" s="244" t="str">
        <f>'Flat Sizes'!B137</f>
        <v>C. Bedroom</v>
      </c>
      <c r="C142" s="213" t="s">
        <v>394</v>
      </c>
      <c r="D142" s="211"/>
      <c r="E142" s="407">
        <v>1</v>
      </c>
      <c r="F142" s="408">
        <f>VLOOKUP(C142,'D&amp;W Schedule'!$B$4:$F$20,2,FALSE)</f>
        <v>3.05</v>
      </c>
      <c r="G142" s="408">
        <f>VLOOKUP(C142,'D&amp;W Schedule'!$B$4:$F$20,3,FALSE)</f>
        <v>2.15</v>
      </c>
      <c r="H142" s="492">
        <f>VLOOKUP(C142,'D&amp;W Schedule'!$B$4:$F$20,4,FALSE)</f>
        <v>6.5574999999999992</v>
      </c>
      <c r="I142" s="492">
        <f>VLOOKUP(C142,'D&amp;W Schedule'!$B$4:$F$20,5,FALSE)</f>
        <v>5920.2</v>
      </c>
      <c r="J142" s="492">
        <f t="shared" si="43"/>
        <v>38821.711499999998</v>
      </c>
      <c r="K142" s="408"/>
      <c r="L142" s="409"/>
      <c r="M142" s="409"/>
      <c r="N142" s="410">
        <f t="shared" si="41"/>
        <v>38821.711499999998</v>
      </c>
      <c r="Q142" s="392"/>
      <c r="R142" s="392">
        <f t="shared" si="44"/>
        <v>183.60999999999999</v>
      </c>
      <c r="S142" s="393">
        <f t="shared" si="45"/>
        <v>1087007.922</v>
      </c>
      <c r="T142" s="417"/>
      <c r="U142" s="47" t="str">
        <f t="shared" si="42"/>
        <v>W4</v>
      </c>
      <c r="V142" s="46"/>
      <c r="W142"/>
      <c r="X142" s="392"/>
      <c r="Y142" s="47"/>
    </row>
    <row r="143" spans="1:25" ht="13.5" customHeight="1">
      <c r="A143" s="240">
        <f>'Flat Sizes'!A138</f>
        <v>5</v>
      </c>
      <c r="B143" s="244" t="str">
        <f>'Flat Sizes'!B138</f>
        <v>C. Toilet</v>
      </c>
      <c r="C143" s="213" t="s">
        <v>395</v>
      </c>
      <c r="D143" s="211"/>
      <c r="E143" s="407">
        <v>1</v>
      </c>
      <c r="F143" s="408">
        <f>VLOOKUP(C143,'D&amp;W Schedule'!$B$4:$F$20,2,FALSE)</f>
        <v>0.6</v>
      </c>
      <c r="G143" s="408">
        <f>VLOOKUP(C143,'D&amp;W Schedule'!$B$4:$F$20,3,FALSE)</f>
        <v>0.75</v>
      </c>
      <c r="H143" s="492">
        <f>VLOOKUP(C143,'D&amp;W Schedule'!$B$4:$F$20,4,FALSE)</f>
        <v>0.44999999999999996</v>
      </c>
      <c r="I143" s="492">
        <f>VLOOKUP(C143,'D&amp;W Schedule'!$B$4:$F$20,5,FALSE)</f>
        <v>5920.2</v>
      </c>
      <c r="J143" s="492">
        <f t="shared" si="43"/>
        <v>2664.0899999999997</v>
      </c>
      <c r="K143" s="408"/>
      <c r="L143" s="409"/>
      <c r="M143" s="409"/>
      <c r="N143" s="410">
        <f t="shared" si="41"/>
        <v>2664.0899999999997</v>
      </c>
      <c r="Q143" s="392"/>
      <c r="R143" s="392">
        <f t="shared" si="44"/>
        <v>12.599999999999998</v>
      </c>
      <c r="S143" s="393">
        <f t="shared" si="45"/>
        <v>74594.51999999999</v>
      </c>
      <c r="T143" s="417"/>
      <c r="U143" s="47" t="str">
        <f t="shared" si="42"/>
        <v>V</v>
      </c>
      <c r="V143" s="46"/>
      <c r="W143"/>
      <c r="X143" s="392"/>
      <c r="Y143" s="47"/>
    </row>
    <row r="144" spans="1:25" ht="13.5" customHeight="1">
      <c r="A144" s="240">
        <f>'Flat Sizes'!A139</f>
        <v>6</v>
      </c>
      <c r="B144" s="244" t="str">
        <f>'Flat Sizes'!B139</f>
        <v>Kitchen</v>
      </c>
      <c r="C144" s="213" t="s">
        <v>396</v>
      </c>
      <c r="D144" s="211"/>
      <c r="E144" s="407">
        <v>1</v>
      </c>
      <c r="F144" s="408">
        <f>VLOOKUP(C144,'D&amp;W Schedule'!$B$4:$F$20,2,FALSE)</f>
        <v>1</v>
      </c>
      <c r="G144" s="408">
        <f>VLOOKUP(C144,'D&amp;W Schedule'!$B$4:$F$20,3,FALSE)</f>
        <v>2.15</v>
      </c>
      <c r="H144" s="492">
        <f>VLOOKUP(C144,'D&amp;W Schedule'!$B$4:$F$20,4,FALSE)</f>
        <v>2.15</v>
      </c>
      <c r="I144" s="492">
        <f>VLOOKUP(C144,'D&amp;W Schedule'!$B$4:$F$20,5,FALSE)</f>
        <v>5920.2</v>
      </c>
      <c r="J144" s="492">
        <f t="shared" si="43"/>
        <v>12728.429999999998</v>
      </c>
      <c r="K144" s="408"/>
      <c r="L144" s="409"/>
      <c r="M144" s="409"/>
      <c r="N144" s="410">
        <f t="shared" si="41"/>
        <v>12728.429999999998</v>
      </c>
      <c r="Q144" s="392"/>
      <c r="R144" s="392">
        <f t="shared" si="44"/>
        <v>60.199999999999996</v>
      </c>
      <c r="S144" s="393">
        <f t="shared" si="45"/>
        <v>356396.04</v>
      </c>
      <c r="T144" s="417"/>
      <c r="U144" s="47" t="str">
        <f t="shared" si="42"/>
        <v>W7</v>
      </c>
      <c r="V144" s="46"/>
      <c r="W144"/>
      <c r="X144" s="392"/>
      <c r="Y144" s="47"/>
    </row>
    <row r="145" spans="1:25" ht="13.5" customHeight="1">
      <c r="A145" s="240">
        <f>'Flat Sizes'!A140</f>
        <v>7</v>
      </c>
      <c r="B145" s="244" t="str">
        <f>'Flat Sizes'!B140</f>
        <v>Utility</v>
      </c>
      <c r="C145" s="213" t="s">
        <v>397</v>
      </c>
      <c r="D145" s="211"/>
      <c r="E145" s="407">
        <v>1</v>
      </c>
      <c r="F145" s="408"/>
      <c r="G145" s="408"/>
      <c r="H145" s="492"/>
      <c r="I145" s="492"/>
      <c r="J145" s="491"/>
      <c r="K145" s="408">
        <f>F144</f>
        <v>1</v>
      </c>
      <c r="L145" s="409">
        <f>'D&amp;W Schedule'!$F$20</f>
        <v>9500</v>
      </c>
      <c r="M145" s="409">
        <f>K145*L145</f>
        <v>9500</v>
      </c>
      <c r="N145" s="410">
        <f t="shared" si="41"/>
        <v>9500</v>
      </c>
      <c r="Q145" s="392"/>
      <c r="R145" s="392">
        <f>K145*$Q$138</f>
        <v>28</v>
      </c>
      <c r="S145" s="393">
        <f>M145*$Q$138</f>
        <v>266000</v>
      </c>
      <c r="T145" s="417"/>
      <c r="U145" s="47" t="str">
        <f t="shared" si="42"/>
        <v>UR</v>
      </c>
      <c r="V145" s="46"/>
      <c r="W145"/>
      <c r="X145" s="392"/>
      <c r="Y145" s="47"/>
    </row>
    <row r="146" spans="1:25" ht="13.5" customHeight="1">
      <c r="A146" s="240">
        <f>'Flat Sizes'!A141</f>
        <v>8</v>
      </c>
      <c r="B146" s="244" t="str">
        <f>'Flat Sizes'!B141</f>
        <v>Balcony</v>
      </c>
      <c r="C146" s="213" t="s">
        <v>398</v>
      </c>
      <c r="D146" s="211"/>
      <c r="E146" s="407">
        <v>1</v>
      </c>
      <c r="F146" s="408"/>
      <c r="G146" s="408"/>
      <c r="H146" s="492"/>
      <c r="I146" s="492"/>
      <c r="J146" s="491"/>
      <c r="K146" s="408">
        <f>2.13+1.37</f>
        <v>3.5</v>
      </c>
      <c r="L146" s="409">
        <f>'D&amp;W Schedule'!$F$20</f>
        <v>9500</v>
      </c>
      <c r="M146" s="409">
        <f>K146*L146</f>
        <v>33250</v>
      </c>
      <c r="N146" s="410">
        <f t="shared" si="41"/>
        <v>33250</v>
      </c>
      <c r="Q146" s="392"/>
      <c r="R146" s="392">
        <f>K146*$Q$138</f>
        <v>98</v>
      </c>
      <c r="S146" s="393">
        <f>M146*$Q$138</f>
        <v>931000</v>
      </c>
      <c r="T146" s="417"/>
      <c r="U146" s="47" t="str">
        <f t="shared" si="42"/>
        <v>BR</v>
      </c>
      <c r="V146" s="46"/>
      <c r="W146"/>
      <c r="X146" s="392"/>
      <c r="Y146" s="47"/>
    </row>
    <row r="147" spans="1:25" ht="13.5" customHeight="1">
      <c r="A147" s="240"/>
      <c r="B147" s="246" t="str">
        <f>'Flat Sizes'!B142</f>
        <v>Sub Total</v>
      </c>
      <c r="C147" s="213"/>
      <c r="D147" s="211"/>
      <c r="E147" s="436">
        <f>SUBTOTAL(9,E139:E146)</f>
        <v>8</v>
      </c>
      <c r="F147" s="421"/>
      <c r="G147" s="421"/>
      <c r="H147" s="494">
        <f>SUBTOTAL(9,H139:H146)</f>
        <v>22.829999999999995</v>
      </c>
      <c r="I147" s="493"/>
      <c r="J147" s="493"/>
      <c r="K147" s="421"/>
      <c r="L147" s="422"/>
      <c r="M147" s="422"/>
      <c r="N147" s="495">
        <f>SUBTOTAL(9,N139:P146)</f>
        <v>177908.166</v>
      </c>
      <c r="Q147" s="392"/>
      <c r="R147" s="392"/>
      <c r="T147" s="417"/>
      <c r="U147" s="47">
        <f t="shared" si="42"/>
        <v>0</v>
      </c>
      <c r="V147" s="46"/>
      <c r="W147"/>
      <c r="X147" s="392"/>
      <c r="Y147" s="47"/>
    </row>
    <row r="148" spans="1:25" ht="13.5" customHeight="1">
      <c r="A148" s="241">
        <f>'Flat Sizes'!A143</f>
        <v>15</v>
      </c>
      <c r="B148" s="270" t="str">
        <f>'Flat Sizes'!B143</f>
        <v>Flat 10,
2BHK</v>
      </c>
      <c r="C148" s="213"/>
      <c r="D148" s="211"/>
      <c r="E148" s="407"/>
      <c r="F148" s="408"/>
      <c r="G148" s="408"/>
      <c r="H148" s="492"/>
      <c r="I148" s="492"/>
      <c r="J148" s="491"/>
      <c r="K148" s="408"/>
      <c r="L148" s="409"/>
      <c r="M148" s="409"/>
      <c r="N148" s="410"/>
      <c r="Q148" s="392">
        <f>'Room Conf'!Z40</f>
        <v>28</v>
      </c>
      <c r="R148" s="392"/>
      <c r="T148" s="417"/>
      <c r="U148" s="47">
        <f t="shared" si="42"/>
        <v>0</v>
      </c>
      <c r="V148" s="46"/>
      <c r="W148"/>
      <c r="X148" s="392"/>
      <c r="Y148" s="47"/>
    </row>
    <row r="149" spans="1:25" ht="13.5" customHeight="1">
      <c r="A149" s="240">
        <f>'Flat Sizes'!A144</f>
        <v>1</v>
      </c>
      <c r="B149" s="244" t="str">
        <f>'Flat Sizes'!B144</f>
        <v>Living, Dining &amp; Passage</v>
      </c>
      <c r="C149" s="213" t="s">
        <v>399</v>
      </c>
      <c r="D149" s="211"/>
      <c r="E149" s="407">
        <v>1</v>
      </c>
      <c r="F149" s="408">
        <f>VLOOKUP(C149,'D&amp;W Schedule'!$B$4:$F$20,2,FALSE)</f>
        <v>3.1</v>
      </c>
      <c r="G149" s="408">
        <f>VLOOKUP(C149,'D&amp;W Schedule'!$B$4:$F$20,3,FALSE)</f>
        <v>2.15</v>
      </c>
      <c r="H149" s="492">
        <f>VLOOKUP(C149,'D&amp;W Schedule'!$B$4:$F$20,4,FALSE)</f>
        <v>6.665</v>
      </c>
      <c r="I149" s="492">
        <f>VLOOKUP(C149,'D&amp;W Schedule'!$B$4:$F$20,5,FALSE)</f>
        <v>5920.2</v>
      </c>
      <c r="J149" s="492">
        <f t="shared" ref="J149:J154" si="46">H149*I149</f>
        <v>39458.133000000002</v>
      </c>
      <c r="K149" s="408"/>
      <c r="L149" s="409"/>
      <c r="M149" s="409"/>
      <c r="N149" s="410">
        <f t="shared" si="41"/>
        <v>39458.133000000002</v>
      </c>
      <c r="Q149" s="392"/>
      <c r="R149" s="392">
        <f>H149*$Q$148</f>
        <v>186.62</v>
      </c>
      <c r="S149" s="393">
        <f>J149*$Q$148</f>
        <v>1104827.7239999999</v>
      </c>
      <c r="T149" s="417"/>
      <c r="U149" s="47" t="str">
        <f t="shared" si="42"/>
        <v>W2</v>
      </c>
      <c r="V149" s="46"/>
      <c r="W149"/>
      <c r="X149" s="392"/>
      <c r="Y149" s="47"/>
    </row>
    <row r="150" spans="1:25" ht="13.5" customHeight="1">
      <c r="A150" s="240">
        <f>'Flat Sizes'!A145</f>
        <v>2</v>
      </c>
      <c r="B150" s="244" t="str">
        <f>'Flat Sizes'!B145</f>
        <v>M. Bedroom</v>
      </c>
      <c r="C150" s="213" t="s">
        <v>394</v>
      </c>
      <c r="D150" s="211"/>
      <c r="E150" s="407">
        <v>1</v>
      </c>
      <c r="F150" s="408">
        <f>VLOOKUP(C150,'D&amp;W Schedule'!$B$4:$F$20,2,FALSE)</f>
        <v>3.05</v>
      </c>
      <c r="G150" s="408">
        <f>VLOOKUP(C150,'D&amp;W Schedule'!$B$4:$F$20,3,FALSE)</f>
        <v>2.15</v>
      </c>
      <c r="H150" s="492">
        <f>VLOOKUP(C150,'D&amp;W Schedule'!$B$4:$F$20,4,FALSE)</f>
        <v>6.5574999999999992</v>
      </c>
      <c r="I150" s="492">
        <f>VLOOKUP(C150,'D&amp;W Schedule'!$B$4:$F$20,5,FALSE)</f>
        <v>5920.2</v>
      </c>
      <c r="J150" s="492">
        <f t="shared" si="46"/>
        <v>38821.711499999998</v>
      </c>
      <c r="K150" s="408"/>
      <c r="L150" s="409"/>
      <c r="M150" s="409"/>
      <c r="N150" s="410">
        <f t="shared" si="41"/>
        <v>38821.711499999998</v>
      </c>
      <c r="Q150" s="392"/>
      <c r="R150" s="392">
        <f t="shared" ref="R150:R154" si="47">H150*$Q$148</f>
        <v>183.60999999999999</v>
      </c>
      <c r="S150" s="393">
        <f t="shared" ref="S150:S154" si="48">J150*$Q$148</f>
        <v>1087007.922</v>
      </c>
      <c r="T150" s="417"/>
      <c r="U150" s="47" t="str">
        <f t="shared" si="42"/>
        <v>W4</v>
      </c>
      <c r="V150" s="46"/>
      <c r="W150"/>
      <c r="X150" s="392"/>
      <c r="Y150" s="47"/>
    </row>
    <row r="151" spans="1:25" ht="13.5" customHeight="1">
      <c r="A151" s="240">
        <f>'Flat Sizes'!A146</f>
        <v>3</v>
      </c>
      <c r="B151" s="244" t="str">
        <f>'Flat Sizes'!B146</f>
        <v>M. Toilet</v>
      </c>
      <c r="C151" s="213" t="s">
        <v>395</v>
      </c>
      <c r="D151" s="211"/>
      <c r="E151" s="407">
        <v>1</v>
      </c>
      <c r="F151" s="408">
        <f>VLOOKUP(C151,'D&amp;W Schedule'!$B$4:$F$20,2,FALSE)</f>
        <v>0.6</v>
      </c>
      <c r="G151" s="408">
        <f>VLOOKUP(C151,'D&amp;W Schedule'!$B$4:$F$20,3,FALSE)</f>
        <v>0.75</v>
      </c>
      <c r="H151" s="492">
        <f>VLOOKUP(C151,'D&amp;W Schedule'!$B$4:$F$20,4,FALSE)</f>
        <v>0.44999999999999996</v>
      </c>
      <c r="I151" s="492">
        <f>VLOOKUP(C151,'D&amp;W Schedule'!$B$4:$F$20,5,FALSE)</f>
        <v>5920.2</v>
      </c>
      <c r="J151" s="492">
        <f t="shared" si="46"/>
        <v>2664.0899999999997</v>
      </c>
      <c r="K151" s="408"/>
      <c r="L151" s="409"/>
      <c r="M151" s="409"/>
      <c r="N151" s="410">
        <f t="shared" si="41"/>
        <v>2664.0899999999997</v>
      </c>
      <c r="Q151" s="392"/>
      <c r="R151" s="392">
        <f t="shared" si="47"/>
        <v>12.599999999999998</v>
      </c>
      <c r="S151" s="393">
        <f t="shared" si="48"/>
        <v>74594.51999999999</v>
      </c>
      <c r="T151" s="417"/>
      <c r="U151" s="47" t="str">
        <f t="shared" si="42"/>
        <v>V</v>
      </c>
      <c r="V151" s="46"/>
      <c r="W151"/>
      <c r="X151" s="392"/>
      <c r="Y151" s="47"/>
    </row>
    <row r="152" spans="1:25" ht="13.5" customHeight="1">
      <c r="A152" s="240">
        <f>'Flat Sizes'!A147</f>
        <v>4</v>
      </c>
      <c r="B152" s="244" t="str">
        <f>'Flat Sizes'!B147</f>
        <v>C. Bedroom</v>
      </c>
      <c r="C152" s="213" t="s">
        <v>394</v>
      </c>
      <c r="D152" s="211"/>
      <c r="E152" s="407">
        <v>1</v>
      </c>
      <c r="F152" s="408">
        <f>VLOOKUP(C152,'D&amp;W Schedule'!$B$4:$F$20,2,FALSE)</f>
        <v>3.05</v>
      </c>
      <c r="G152" s="408">
        <f>VLOOKUP(C152,'D&amp;W Schedule'!$B$4:$F$20,3,FALSE)</f>
        <v>2.15</v>
      </c>
      <c r="H152" s="492">
        <f>VLOOKUP(C152,'D&amp;W Schedule'!$B$4:$F$20,4,FALSE)</f>
        <v>6.5574999999999992</v>
      </c>
      <c r="I152" s="492">
        <f>VLOOKUP(C152,'D&amp;W Schedule'!$B$4:$F$20,5,FALSE)</f>
        <v>5920.2</v>
      </c>
      <c r="J152" s="492">
        <f t="shared" si="46"/>
        <v>38821.711499999998</v>
      </c>
      <c r="K152" s="408"/>
      <c r="L152" s="409"/>
      <c r="M152" s="409"/>
      <c r="N152" s="410">
        <f t="shared" si="41"/>
        <v>38821.711499999998</v>
      </c>
      <c r="Q152" s="392"/>
      <c r="R152" s="392">
        <f t="shared" si="47"/>
        <v>183.60999999999999</v>
      </c>
      <c r="S152" s="393">
        <f t="shared" si="48"/>
        <v>1087007.922</v>
      </c>
      <c r="T152" s="417"/>
      <c r="U152" s="47" t="str">
        <f t="shared" si="42"/>
        <v>W4</v>
      </c>
      <c r="V152" s="46"/>
      <c r="W152"/>
      <c r="X152" s="392"/>
      <c r="Y152" s="47"/>
    </row>
    <row r="153" spans="1:25" ht="13.5" customHeight="1">
      <c r="A153" s="240">
        <f>'Flat Sizes'!A148</f>
        <v>5</v>
      </c>
      <c r="B153" s="244" t="str">
        <f>'Flat Sizes'!B148</f>
        <v>C. Toilet</v>
      </c>
      <c r="C153" s="213" t="s">
        <v>395</v>
      </c>
      <c r="D153" s="211"/>
      <c r="E153" s="407">
        <v>1</v>
      </c>
      <c r="F153" s="408">
        <f>VLOOKUP(C153,'D&amp;W Schedule'!$B$4:$F$20,2,FALSE)</f>
        <v>0.6</v>
      </c>
      <c r="G153" s="408">
        <f>VLOOKUP(C153,'D&amp;W Schedule'!$B$4:$F$20,3,FALSE)</f>
        <v>0.75</v>
      </c>
      <c r="H153" s="492">
        <f>VLOOKUP(C153,'D&amp;W Schedule'!$B$4:$F$20,4,FALSE)</f>
        <v>0.44999999999999996</v>
      </c>
      <c r="I153" s="492">
        <f>VLOOKUP(C153,'D&amp;W Schedule'!$B$4:$F$20,5,FALSE)</f>
        <v>5920.2</v>
      </c>
      <c r="J153" s="492">
        <f t="shared" si="46"/>
        <v>2664.0899999999997</v>
      </c>
      <c r="K153" s="408"/>
      <c r="L153" s="409"/>
      <c r="M153" s="409"/>
      <c r="N153" s="410">
        <f t="shared" si="41"/>
        <v>2664.0899999999997</v>
      </c>
      <c r="Q153" s="392"/>
      <c r="R153" s="392">
        <f t="shared" si="47"/>
        <v>12.599999999999998</v>
      </c>
      <c r="S153" s="393">
        <f t="shared" si="48"/>
        <v>74594.51999999999</v>
      </c>
      <c r="T153" s="417"/>
      <c r="U153" s="47" t="str">
        <f t="shared" si="42"/>
        <v>V</v>
      </c>
      <c r="V153" s="46"/>
      <c r="W153"/>
      <c r="X153" s="392"/>
      <c r="Y153" s="47"/>
    </row>
    <row r="154" spans="1:25" ht="13.5" customHeight="1">
      <c r="A154" s="240">
        <f>'Flat Sizes'!A149</f>
        <v>6</v>
      </c>
      <c r="B154" s="244" t="str">
        <f>'Flat Sizes'!B149</f>
        <v>Kitchen</v>
      </c>
      <c r="C154" s="213" t="s">
        <v>396</v>
      </c>
      <c r="D154" s="211"/>
      <c r="E154" s="407">
        <v>1</v>
      </c>
      <c r="F154" s="408">
        <f>VLOOKUP(C154,'D&amp;W Schedule'!$B$4:$F$20,2,FALSE)</f>
        <v>1</v>
      </c>
      <c r="G154" s="408">
        <f>VLOOKUP(C154,'D&amp;W Schedule'!$B$4:$F$20,3,FALSE)</f>
        <v>2.15</v>
      </c>
      <c r="H154" s="492">
        <f>VLOOKUP(C154,'D&amp;W Schedule'!$B$4:$F$20,4,FALSE)</f>
        <v>2.15</v>
      </c>
      <c r="I154" s="492">
        <f>VLOOKUP(C154,'D&amp;W Schedule'!$B$4:$F$20,5,FALSE)</f>
        <v>5920.2</v>
      </c>
      <c r="J154" s="492">
        <f t="shared" si="46"/>
        <v>12728.429999999998</v>
      </c>
      <c r="K154" s="408"/>
      <c r="L154" s="409"/>
      <c r="M154" s="409"/>
      <c r="N154" s="410">
        <f t="shared" si="41"/>
        <v>12728.429999999998</v>
      </c>
      <c r="Q154" s="392"/>
      <c r="R154" s="392">
        <f t="shared" si="47"/>
        <v>60.199999999999996</v>
      </c>
      <c r="S154" s="393">
        <f t="shared" si="48"/>
        <v>356396.04</v>
      </c>
      <c r="T154" s="417"/>
      <c r="U154" s="47" t="str">
        <f t="shared" si="42"/>
        <v>W7</v>
      </c>
      <c r="V154" s="46"/>
      <c r="W154"/>
      <c r="X154" s="392"/>
      <c r="Y154" s="47"/>
    </row>
    <row r="155" spans="1:25" ht="13.5" customHeight="1">
      <c r="A155" s="240">
        <f>'Flat Sizes'!A150</f>
        <v>7</v>
      </c>
      <c r="B155" s="244" t="str">
        <f>'Flat Sizes'!B150</f>
        <v>Utility</v>
      </c>
      <c r="C155" s="213" t="s">
        <v>397</v>
      </c>
      <c r="D155" s="211"/>
      <c r="E155" s="407">
        <v>1</v>
      </c>
      <c r="F155" s="408"/>
      <c r="G155" s="408"/>
      <c r="H155" s="492"/>
      <c r="I155" s="492"/>
      <c r="J155" s="491"/>
      <c r="K155" s="408">
        <f>F154</f>
        <v>1</v>
      </c>
      <c r="L155" s="409">
        <f>'D&amp;W Schedule'!$F$20</f>
        <v>9500</v>
      </c>
      <c r="M155" s="409">
        <f>K155*L155</f>
        <v>9500</v>
      </c>
      <c r="N155" s="410">
        <f t="shared" si="41"/>
        <v>9500</v>
      </c>
      <c r="Q155" s="392"/>
      <c r="R155" s="392">
        <f>K155*$Q$148</f>
        <v>28</v>
      </c>
      <c r="S155" s="393">
        <f>M155*$Q$148</f>
        <v>266000</v>
      </c>
      <c r="T155" s="417"/>
      <c r="U155" s="47" t="str">
        <f t="shared" si="42"/>
        <v>UR</v>
      </c>
      <c r="V155" s="46"/>
      <c r="W155"/>
      <c r="X155" s="392"/>
      <c r="Y155" s="47"/>
    </row>
    <row r="156" spans="1:25" ht="13.5" customHeight="1">
      <c r="A156" s="240">
        <f>'Flat Sizes'!A151</f>
        <v>8</v>
      </c>
      <c r="B156" s="244" t="str">
        <f>'Flat Sizes'!B151</f>
        <v>Balcony</v>
      </c>
      <c r="C156" s="213" t="s">
        <v>398</v>
      </c>
      <c r="D156" s="211"/>
      <c r="E156" s="407">
        <v>1</v>
      </c>
      <c r="F156" s="408"/>
      <c r="G156" s="408"/>
      <c r="H156" s="492"/>
      <c r="I156" s="492"/>
      <c r="J156" s="491"/>
      <c r="K156" s="408">
        <f>2.13</f>
        <v>2.13</v>
      </c>
      <c r="L156" s="409">
        <f>'D&amp;W Schedule'!$F$20</f>
        <v>9500</v>
      </c>
      <c r="M156" s="409">
        <f>K156*L156</f>
        <v>20235</v>
      </c>
      <c r="N156" s="410">
        <f t="shared" si="41"/>
        <v>20235</v>
      </c>
      <c r="Q156" s="392"/>
      <c r="R156" s="392">
        <f>K156*$Q$148</f>
        <v>59.64</v>
      </c>
      <c r="S156" s="393">
        <f>M156*$Q$148</f>
        <v>566580</v>
      </c>
      <c r="T156" s="417"/>
      <c r="U156" s="47" t="str">
        <f t="shared" si="42"/>
        <v>BR</v>
      </c>
      <c r="V156" s="46"/>
      <c r="W156"/>
      <c r="X156" s="392"/>
      <c r="Y156" s="47"/>
    </row>
    <row r="157" spans="1:25" ht="13.5" customHeight="1">
      <c r="A157" s="240"/>
      <c r="B157" s="246" t="str">
        <f>'Flat Sizes'!B152</f>
        <v>Sub Total</v>
      </c>
      <c r="C157" s="213"/>
      <c r="D157" s="211"/>
      <c r="E157" s="436">
        <f>SUBTOTAL(9,E149:E156)</f>
        <v>8</v>
      </c>
      <c r="F157" s="421"/>
      <c r="G157" s="421"/>
      <c r="H157" s="494">
        <f>SUBTOTAL(9,H149:H156)</f>
        <v>22.829999999999995</v>
      </c>
      <c r="I157" s="493"/>
      <c r="J157" s="493"/>
      <c r="K157" s="421"/>
      <c r="L157" s="422"/>
      <c r="M157" s="422"/>
      <c r="N157" s="495">
        <f>SUBTOTAL(9,N149:P156)</f>
        <v>164893.166</v>
      </c>
      <c r="Q157" s="392"/>
      <c r="R157" s="392"/>
      <c r="T157" s="417"/>
      <c r="U157" s="47">
        <f t="shared" si="42"/>
        <v>0</v>
      </c>
      <c r="V157" s="46"/>
      <c r="W157"/>
      <c r="X157" s="392"/>
      <c r="Y157" s="47"/>
    </row>
    <row r="158" spans="1:25" ht="13.5" customHeight="1">
      <c r="A158" s="241">
        <f>'Flat Sizes'!A153</f>
        <v>16</v>
      </c>
      <c r="B158" s="270" t="str">
        <f>'Flat Sizes'!B153</f>
        <v>Common Area - Typical Floors</v>
      </c>
      <c r="C158" s="213"/>
      <c r="D158" s="211"/>
      <c r="E158" s="407"/>
      <c r="F158" s="408"/>
      <c r="G158" s="408"/>
      <c r="H158" s="492"/>
      <c r="I158" s="492"/>
      <c r="J158" s="491"/>
      <c r="K158" s="408"/>
      <c r="L158" s="409"/>
      <c r="M158" s="409"/>
      <c r="N158" s="410"/>
      <c r="Q158" s="392"/>
      <c r="R158" s="392"/>
      <c r="T158" s="417"/>
      <c r="U158" s="47">
        <f t="shared" si="42"/>
        <v>0</v>
      </c>
      <c r="V158" s="46"/>
      <c r="W158"/>
      <c r="X158" s="392"/>
      <c r="Y158" s="47"/>
    </row>
    <row r="159" spans="1:25" ht="13.5" customHeight="1">
      <c r="A159" s="240">
        <f>'Flat Sizes'!A154</f>
        <v>1</v>
      </c>
      <c r="B159" s="244" t="s">
        <v>845</v>
      </c>
      <c r="C159" s="213" t="s">
        <v>402</v>
      </c>
      <c r="D159" s="211"/>
      <c r="E159" s="407">
        <v>4</v>
      </c>
      <c r="F159" s="408">
        <f>VLOOKUP(C159,'D&amp;W Schedule'!$B$4:$F$20,2,FALSE)</f>
        <v>1.22</v>
      </c>
      <c r="G159" s="408">
        <f>VLOOKUP(C159,'D&amp;W Schedule'!$B$4:$F$20,3,FALSE)</f>
        <v>2.15</v>
      </c>
      <c r="H159" s="492">
        <f>PRODUCT(E159:G159)</f>
        <v>10.491999999999999</v>
      </c>
      <c r="I159" s="492">
        <f>VLOOKUP(C159,'D&amp;W Schedule'!$B$4:$F$20,5,FALSE)</f>
        <v>5920.2</v>
      </c>
      <c r="J159" s="492">
        <f>H159*I159</f>
        <v>62114.738399999995</v>
      </c>
      <c r="K159" s="408"/>
      <c r="L159" s="409"/>
      <c r="M159" s="409"/>
      <c r="N159" s="410">
        <f t="shared" si="41"/>
        <v>62114.738399999995</v>
      </c>
      <c r="Q159" s="392">
        <f>'Room Conf'!AB40</f>
        <v>37</v>
      </c>
      <c r="R159" s="392">
        <f>H159*Q159</f>
        <v>388.20399999999995</v>
      </c>
      <c r="S159" s="393">
        <f>N159*Q159</f>
        <v>2298245.3207999999</v>
      </c>
      <c r="T159" s="417"/>
      <c r="U159" s="47" t="str">
        <f t="shared" si="42"/>
        <v>LW</v>
      </c>
      <c r="V159" s="46"/>
      <c r="W159"/>
      <c r="X159" s="392"/>
      <c r="Y159" s="47"/>
    </row>
    <row r="160" spans="1:25" ht="13.5" customHeight="1">
      <c r="A160" s="240">
        <v>2</v>
      </c>
      <c r="B160" s="244" t="s">
        <v>476</v>
      </c>
      <c r="C160" s="213" t="s">
        <v>403</v>
      </c>
      <c r="D160" s="211"/>
      <c r="E160" s="407">
        <v>6</v>
      </c>
      <c r="F160" s="408">
        <f>VLOOKUP(C160,'D&amp;W Schedule'!$B$4:$F$20,2,FALSE)</f>
        <v>2</v>
      </c>
      <c r="G160" s="408">
        <f>VLOOKUP(C160,'D&amp;W Schedule'!$B$4:$F$20,3,FALSE)</f>
        <v>2.15</v>
      </c>
      <c r="H160" s="492">
        <f>PRODUCT(E160:G160)</f>
        <v>25.799999999999997</v>
      </c>
      <c r="I160" s="492">
        <f>VLOOKUP(C160,'D&amp;W Schedule'!$B$4:$F$20,5,FALSE)</f>
        <v>5920.2</v>
      </c>
      <c r="J160" s="492">
        <f>H160*I160</f>
        <v>152741.15999999997</v>
      </c>
      <c r="K160" s="408"/>
      <c r="L160" s="409"/>
      <c r="M160" s="409"/>
      <c r="N160" s="410">
        <f t="shared" si="41"/>
        <v>152741.15999999997</v>
      </c>
      <c r="Q160" s="392">
        <f>'Room Conf'!AA40</f>
        <v>37</v>
      </c>
      <c r="R160" s="392">
        <f>H160*Q160</f>
        <v>954.59999999999991</v>
      </c>
      <c r="S160" s="393">
        <f>N160*Q160</f>
        <v>5651422.919999999</v>
      </c>
      <c r="T160" s="417"/>
      <c r="U160" s="47" t="str">
        <f t="shared" si="42"/>
        <v>SW</v>
      </c>
      <c r="V160" s="46"/>
      <c r="W160"/>
      <c r="X160" s="392"/>
      <c r="Y160" s="47"/>
    </row>
    <row r="161" spans="1:25" ht="13.5" customHeight="1">
      <c r="A161" s="240"/>
      <c r="B161" s="246" t="s">
        <v>494</v>
      </c>
      <c r="C161" s="213"/>
      <c r="D161" s="211"/>
      <c r="E161" s="436">
        <f>SUBTOTAL(9,E159:E160)</f>
        <v>10</v>
      </c>
      <c r="F161" s="421"/>
      <c r="G161" s="421"/>
      <c r="H161" s="494">
        <f>SUBTOTAL(9,H159:H160)</f>
        <v>36.291999999999994</v>
      </c>
      <c r="I161" s="493"/>
      <c r="J161" s="493"/>
      <c r="K161" s="421"/>
      <c r="L161" s="422"/>
      <c r="M161" s="422"/>
      <c r="N161" s="495">
        <f>SUBTOTAL(9,N159:N160)</f>
        <v>214855.89839999998</v>
      </c>
      <c r="Q161" s="392"/>
      <c r="R161" s="392"/>
      <c r="T161" s="417"/>
      <c r="U161" s="47">
        <f t="shared" si="42"/>
        <v>0</v>
      </c>
      <c r="V161" s="46"/>
      <c r="W161"/>
      <c r="X161" s="392"/>
      <c r="Y161" s="47"/>
    </row>
    <row r="162" spans="1:25" s="362" customFormat="1" ht="13.5" customHeight="1">
      <c r="A162" s="356"/>
      <c r="B162" s="357" t="s">
        <v>442</v>
      </c>
      <c r="C162" s="374"/>
      <c r="D162" s="358"/>
      <c r="E162" s="445">
        <f>SUBTOTAL(9,E4:E161)</f>
        <v>135</v>
      </c>
      <c r="F162" s="359"/>
      <c r="G162" s="359"/>
      <c r="H162" s="445">
        <f>SUBTOTAL(9,H4:H161)</f>
        <v>414.25399999999973</v>
      </c>
      <c r="I162" s="359"/>
      <c r="J162" s="375"/>
      <c r="K162" s="375"/>
      <c r="L162" s="359"/>
      <c r="M162" s="375"/>
      <c r="N162" s="445">
        <f>SUBTOTAL(9,N4:N161)</f>
        <v>2955301.5308000012</v>
      </c>
      <c r="O162" s="447"/>
      <c r="P162" s="448"/>
      <c r="Q162" s="449">
        <f>SUBTOTAL(9,Q4:Q161)</f>
        <v>342</v>
      </c>
      <c r="R162" s="449">
        <f>SUBTOTAL(9,R4:R161)</f>
        <v>9727.9045000000006</v>
      </c>
      <c r="S162" s="450">
        <f>SUBTOTAL(9,S4:S161)</f>
        <v>61491833.492900014</v>
      </c>
      <c r="T162" s="330"/>
      <c r="U162" s="47">
        <f t="shared" si="42"/>
        <v>0</v>
      </c>
      <c r="V162" s="330"/>
      <c r="W162"/>
      <c r="X162" s="322"/>
      <c r="Y162" s="47"/>
    </row>
    <row r="163" spans="1:25" ht="13.5" customHeight="1">
      <c r="A163" s="411"/>
      <c r="B163" s="392"/>
      <c r="C163" s="404"/>
      <c r="D163" s="402"/>
      <c r="E163" s="426"/>
      <c r="F163" s="427"/>
      <c r="G163" s="427"/>
      <c r="H163" s="427"/>
      <c r="I163" s="428"/>
      <c r="K163" s="427"/>
      <c r="L163" s="428"/>
      <c r="M163" s="428"/>
      <c r="Q163" s="392"/>
      <c r="R163" s="392"/>
      <c r="T163" s="417"/>
      <c r="U163" s="46"/>
      <c r="V163" s="46"/>
      <c r="W163" s="392"/>
      <c r="X163" s="392"/>
      <c r="Y163" s="47"/>
    </row>
    <row r="164" spans="1:25" ht="13.5" customHeight="1">
      <c r="A164" s="411"/>
      <c r="B164" s="392"/>
      <c r="C164" s="1099" t="s">
        <v>846</v>
      </c>
      <c r="D164" s="1099"/>
      <c r="E164" s="1099"/>
      <c r="F164" s="1099"/>
      <c r="G164" s="1099"/>
      <c r="H164" s="1099"/>
      <c r="I164" s="428"/>
      <c r="K164" s="427"/>
      <c r="L164" s="428"/>
      <c r="M164" s="428"/>
      <c r="Q164" s="392"/>
      <c r="R164" s="392"/>
      <c r="T164" s="417"/>
      <c r="U164" s="395"/>
      <c r="V164" s="46"/>
      <c r="W164" s="392"/>
      <c r="X164" s="392"/>
      <c r="Y164" s="47"/>
    </row>
    <row r="165" spans="1:25" ht="13.5" customHeight="1">
      <c r="A165" s="395"/>
      <c r="C165" s="339" t="s">
        <v>288</v>
      </c>
      <c r="D165" s="340" t="s">
        <v>2</v>
      </c>
      <c r="E165" s="340" t="s">
        <v>315</v>
      </c>
      <c r="F165" s="340" t="s">
        <v>657</v>
      </c>
      <c r="G165" s="340" t="s">
        <v>5</v>
      </c>
      <c r="H165" s="340" t="s">
        <v>6</v>
      </c>
      <c r="I165" s="428"/>
      <c r="K165" s="427"/>
      <c r="L165" s="428"/>
      <c r="M165" s="428"/>
      <c r="Q165" s="392"/>
      <c r="R165" s="392"/>
      <c r="T165" s="417"/>
      <c r="U165" s="395"/>
      <c r="V165" s="46"/>
      <c r="W165" s="392"/>
      <c r="X165" s="392"/>
      <c r="Y165" s="47"/>
    </row>
    <row r="166" spans="1:25" ht="13.5" customHeight="1">
      <c r="A166" s="395"/>
      <c r="C166" s="446">
        <v>1</v>
      </c>
      <c r="D166" s="213" t="s">
        <v>392</v>
      </c>
      <c r="E166" s="213" t="s">
        <v>327</v>
      </c>
      <c r="F166" s="211">
        <f>SUMIF($C$3:$C$161,D166,$R$3:$R$161)</f>
        <v>524.16999999999996</v>
      </c>
      <c r="G166" s="407">
        <f>H166/F166</f>
        <v>5920.2</v>
      </c>
      <c r="H166" s="408">
        <f>SUMIF($C$3:$C$161,D166,$S$3:$S$161)</f>
        <v>3103191.2339999997</v>
      </c>
      <c r="I166" s="428"/>
      <c r="K166" s="427"/>
      <c r="L166" s="428"/>
      <c r="M166" s="428"/>
      <c r="Q166" s="392"/>
      <c r="R166" s="392"/>
      <c r="T166" s="417"/>
      <c r="U166" s="395"/>
      <c r="V166" s="46"/>
      <c r="W166" s="392"/>
      <c r="X166" s="392"/>
      <c r="Y166" s="47"/>
    </row>
    <row r="167" spans="1:25" ht="13.5" customHeight="1">
      <c r="A167" s="395"/>
      <c r="C167" s="446">
        <v>2</v>
      </c>
      <c r="D167" s="213" t="s">
        <v>393</v>
      </c>
      <c r="E167" s="213" t="s">
        <v>327</v>
      </c>
      <c r="F167" s="211">
        <f t="shared" ref="F167:F177" si="49">SUMIF($C$3:$C$161,D167,$R$3:$R$161)</f>
        <v>58.393999999999991</v>
      </c>
      <c r="G167" s="407">
        <f t="shared" ref="G167:G177" si="50">H167/F167</f>
        <v>5920.2000000000007</v>
      </c>
      <c r="H167" s="408">
        <f t="shared" ref="H167:H177" si="51">SUMIF($C$3:$C$161,D167,$S$3:$S$161)</f>
        <v>345704.15879999998</v>
      </c>
      <c r="I167" s="428"/>
      <c r="K167" s="427"/>
      <c r="L167" s="428"/>
      <c r="M167" s="428"/>
      <c r="Q167" s="392"/>
      <c r="R167" s="392"/>
      <c r="T167" s="417"/>
      <c r="U167" s="395"/>
      <c r="V167" s="46"/>
      <c r="W167" s="392"/>
      <c r="X167" s="392"/>
      <c r="Y167" s="47"/>
    </row>
    <row r="168" spans="1:25" ht="13.5" customHeight="1">
      <c r="A168" s="395"/>
      <c r="C168" s="446">
        <v>3</v>
      </c>
      <c r="D168" s="213" t="s">
        <v>394</v>
      </c>
      <c r="E168" s="213" t="s">
        <v>327</v>
      </c>
      <c r="F168" s="211">
        <f t="shared" si="49"/>
        <v>4144.34</v>
      </c>
      <c r="G168" s="407">
        <f t="shared" si="50"/>
        <v>5920.1999999999971</v>
      </c>
      <c r="H168" s="408">
        <f t="shared" si="51"/>
        <v>24535321.66799999</v>
      </c>
      <c r="I168" s="428"/>
      <c r="K168" s="427"/>
      <c r="L168" s="428"/>
      <c r="M168" s="428"/>
      <c r="Q168" s="392"/>
      <c r="R168" s="392"/>
      <c r="T168" s="417"/>
      <c r="U168" s="395"/>
      <c r="V168" s="46"/>
      <c r="W168" s="392"/>
      <c r="X168" s="392"/>
      <c r="Y168" s="47"/>
    </row>
    <row r="169" spans="1:25" ht="13.5" customHeight="1">
      <c r="A169" s="395"/>
      <c r="C169" s="446">
        <v>4</v>
      </c>
      <c r="D169" s="213" t="s">
        <v>395</v>
      </c>
      <c r="E169" s="213" t="s">
        <v>327</v>
      </c>
      <c r="F169" s="211">
        <f t="shared" si="49"/>
        <v>298.35000000000002</v>
      </c>
      <c r="G169" s="407">
        <f t="shared" si="50"/>
        <v>5920.2</v>
      </c>
      <c r="H169" s="408">
        <f t="shared" si="51"/>
        <v>1766291.6700000002</v>
      </c>
      <c r="I169" s="428"/>
      <c r="K169" s="427"/>
      <c r="L169" s="428"/>
      <c r="M169" s="428"/>
      <c r="Q169" s="392"/>
      <c r="R169" s="392"/>
      <c r="T169" s="417"/>
      <c r="U169" s="395"/>
      <c r="V169" s="46"/>
      <c r="W169" s="392"/>
      <c r="X169" s="392"/>
      <c r="Y169" s="47"/>
    </row>
    <row r="170" spans="1:25" ht="13.5" customHeight="1">
      <c r="A170" s="395"/>
      <c r="C170" s="446">
        <v>6</v>
      </c>
      <c r="D170" s="213" t="s">
        <v>396</v>
      </c>
      <c r="E170" s="213" t="s">
        <v>327</v>
      </c>
      <c r="F170" s="211">
        <f t="shared" si="49"/>
        <v>537.5</v>
      </c>
      <c r="G170" s="407">
        <f t="shared" si="50"/>
        <v>5920.2</v>
      </c>
      <c r="H170" s="408">
        <f t="shared" si="51"/>
        <v>3182107.5</v>
      </c>
      <c r="I170" s="428"/>
      <c r="K170" s="427"/>
      <c r="L170" s="428"/>
      <c r="M170" s="428"/>
      <c r="Q170" s="392"/>
      <c r="R170" s="392"/>
      <c r="T170" s="417"/>
      <c r="U170" s="395"/>
      <c r="V170" s="46"/>
      <c r="W170" s="392"/>
      <c r="X170" s="392"/>
      <c r="Y170" s="47"/>
    </row>
    <row r="171" spans="1:25" ht="13.5" customHeight="1">
      <c r="A171" s="395"/>
      <c r="C171" s="446">
        <v>7</v>
      </c>
      <c r="D171" s="213" t="s">
        <v>397</v>
      </c>
      <c r="E171" s="213" t="s">
        <v>327</v>
      </c>
      <c r="F171" s="211">
        <f t="shared" si="49"/>
        <v>250</v>
      </c>
      <c r="G171" s="407">
        <f t="shared" si="50"/>
        <v>9500</v>
      </c>
      <c r="H171" s="408">
        <f t="shared" si="51"/>
        <v>2375000</v>
      </c>
      <c r="I171" s="428"/>
      <c r="K171" s="427"/>
      <c r="L171" s="428"/>
      <c r="M171" s="428"/>
      <c r="Q171" s="392"/>
      <c r="R171" s="392"/>
      <c r="T171" s="417"/>
      <c r="U171" s="395"/>
      <c r="V171" s="46"/>
      <c r="W171" s="392"/>
      <c r="X171" s="392"/>
      <c r="Y171" s="47"/>
    </row>
    <row r="172" spans="1:25" ht="13.5" customHeight="1">
      <c r="A172" s="395"/>
      <c r="C172" s="446">
        <v>8</v>
      </c>
      <c r="D172" s="213" t="s">
        <v>398</v>
      </c>
      <c r="E172" s="213" t="s">
        <v>327</v>
      </c>
      <c r="F172" s="211">
        <f t="shared" si="49"/>
        <v>839.64</v>
      </c>
      <c r="G172" s="407">
        <f t="shared" si="50"/>
        <v>9500</v>
      </c>
      <c r="H172" s="408">
        <f t="shared" si="51"/>
        <v>7976580</v>
      </c>
      <c r="I172" s="428"/>
      <c r="K172" s="427"/>
      <c r="L172" s="428"/>
      <c r="M172" s="428"/>
      <c r="Q172" s="392"/>
      <c r="R172" s="392"/>
      <c r="T172" s="417"/>
      <c r="U172" s="395"/>
      <c r="V172" s="46"/>
      <c r="W172" s="392"/>
      <c r="X172" s="392"/>
      <c r="Y172" s="47"/>
    </row>
    <row r="173" spans="1:25" ht="13.5" customHeight="1">
      <c r="A173" s="395"/>
      <c r="C173" s="446">
        <v>9</v>
      </c>
      <c r="D173" s="213" t="s">
        <v>399</v>
      </c>
      <c r="E173" s="213" t="s">
        <v>327</v>
      </c>
      <c r="F173" s="211">
        <f t="shared" si="49"/>
        <v>799.80000000000007</v>
      </c>
      <c r="G173" s="407">
        <f t="shared" si="50"/>
        <v>5920.2</v>
      </c>
      <c r="H173" s="408">
        <f t="shared" si="51"/>
        <v>4734975.96</v>
      </c>
      <c r="I173" s="428"/>
      <c r="K173" s="427"/>
      <c r="L173" s="428"/>
      <c r="M173" s="428"/>
      <c r="Q173" s="392"/>
      <c r="R173" s="392"/>
      <c r="T173" s="417"/>
      <c r="U173" s="395"/>
      <c r="V173" s="46"/>
      <c r="W173" s="392"/>
      <c r="X173" s="392"/>
      <c r="Y173" s="47"/>
    </row>
    <row r="174" spans="1:25" ht="13.5" customHeight="1">
      <c r="A174" s="395"/>
      <c r="C174" s="446">
        <v>10</v>
      </c>
      <c r="D174" s="213" t="s">
        <v>400</v>
      </c>
      <c r="E174" s="213" t="s">
        <v>327</v>
      </c>
      <c r="F174" s="211">
        <f t="shared" si="49"/>
        <v>684.88249999999994</v>
      </c>
      <c r="G174" s="407">
        <f t="shared" si="50"/>
        <v>5920.2000000000007</v>
      </c>
      <c r="H174" s="408">
        <f t="shared" si="51"/>
        <v>4054641.3765000002</v>
      </c>
      <c r="I174" s="428"/>
      <c r="K174" s="427"/>
      <c r="L174" s="428"/>
      <c r="M174" s="428"/>
      <c r="Q174" s="392"/>
      <c r="R174" s="392"/>
      <c r="T174" s="417"/>
      <c r="U174" s="395"/>
      <c r="V174" s="46"/>
      <c r="W174" s="392"/>
      <c r="X174" s="392"/>
      <c r="Y174" s="47"/>
    </row>
    <row r="175" spans="1:25" ht="13.5" customHeight="1">
      <c r="A175" s="395"/>
      <c r="C175" s="446">
        <v>11</v>
      </c>
      <c r="D175" s="213" t="s">
        <v>401</v>
      </c>
      <c r="E175" s="213" t="s">
        <v>327</v>
      </c>
      <c r="F175" s="211">
        <f t="shared" si="49"/>
        <v>248.024</v>
      </c>
      <c r="G175" s="407">
        <f t="shared" si="50"/>
        <v>5920.2</v>
      </c>
      <c r="H175" s="408">
        <f t="shared" si="51"/>
        <v>1468351.6847999999</v>
      </c>
      <c r="I175" s="428"/>
      <c r="K175" s="427"/>
      <c r="L175" s="428"/>
      <c r="M175" s="428"/>
      <c r="Q175" s="392"/>
      <c r="R175" s="392"/>
      <c r="T175" s="417"/>
      <c r="U175" s="395"/>
      <c r="V175" s="46"/>
      <c r="W175" s="392"/>
      <c r="X175" s="392"/>
      <c r="Y175" s="47"/>
    </row>
    <row r="176" spans="1:25" ht="13.5" customHeight="1">
      <c r="A176" s="395"/>
      <c r="C176" s="446">
        <v>12</v>
      </c>
      <c r="D176" s="213" t="s">
        <v>402</v>
      </c>
      <c r="E176" s="213" t="s">
        <v>327</v>
      </c>
      <c r="F176" s="211">
        <f t="shared" si="49"/>
        <v>388.20399999999995</v>
      </c>
      <c r="G176" s="407">
        <f t="shared" si="50"/>
        <v>5920.2000000000007</v>
      </c>
      <c r="H176" s="408">
        <f t="shared" si="51"/>
        <v>2298245.3207999999</v>
      </c>
      <c r="I176" s="428"/>
      <c r="K176" s="427"/>
      <c r="L176" s="428"/>
      <c r="M176" s="428"/>
      <c r="Q176" s="392"/>
      <c r="R176" s="392"/>
      <c r="T176" s="417"/>
      <c r="U176"/>
      <c r="V176" s="46"/>
      <c r="W176" s="392"/>
      <c r="X176" s="392"/>
      <c r="Y176" s="47"/>
    </row>
    <row r="177" spans="1:25" ht="13.5" customHeight="1">
      <c r="A177" s="395"/>
      <c r="C177" s="446">
        <v>13</v>
      </c>
      <c r="D177" s="213" t="s">
        <v>403</v>
      </c>
      <c r="E177" s="213" t="s">
        <v>327</v>
      </c>
      <c r="F177" s="211">
        <f t="shared" si="49"/>
        <v>954.59999999999991</v>
      </c>
      <c r="G177" s="407">
        <f t="shared" si="50"/>
        <v>5920.2</v>
      </c>
      <c r="H177" s="408">
        <f t="shared" si="51"/>
        <v>5651422.919999999</v>
      </c>
      <c r="I177" s="428"/>
      <c r="K177" s="427"/>
      <c r="L177" s="428"/>
      <c r="M177" s="428"/>
      <c r="Q177" s="392"/>
      <c r="R177" s="392"/>
      <c r="T177" s="417"/>
      <c r="U177"/>
      <c r="V177" s="46"/>
      <c r="W177" s="392"/>
      <c r="X177" s="392"/>
      <c r="Y177" s="47"/>
    </row>
    <row r="178" spans="1:25" ht="13.5" customHeight="1">
      <c r="A178" s="411"/>
      <c r="B178" s="392"/>
      <c r="C178" s="1100" t="s">
        <v>442</v>
      </c>
      <c r="D178" s="1100"/>
      <c r="E178" s="1100"/>
      <c r="F178" s="386">
        <f>SUM(F166:F177)</f>
        <v>9727.9045000000006</v>
      </c>
      <c r="G178" s="386"/>
      <c r="H178" s="388">
        <f>SUM(H166:H177)</f>
        <v>61491833.492899992</v>
      </c>
      <c r="I178" s="428"/>
      <c r="K178" s="427"/>
      <c r="L178" s="428"/>
      <c r="M178" s="428"/>
      <c r="Q178" s="392"/>
      <c r="R178" s="392"/>
      <c r="T178" s="417"/>
      <c r="U178"/>
      <c r="V178" s="46"/>
      <c r="W178" s="392"/>
      <c r="X178" s="392"/>
      <c r="Y178" s="47"/>
    </row>
    <row r="179" spans="1:25" ht="13.5" customHeight="1">
      <c r="A179" s="411"/>
      <c r="B179" s="392"/>
      <c r="C179" s="404"/>
      <c r="D179" s="402"/>
      <c r="E179" s="426"/>
      <c r="F179" s="427" t="b">
        <f>F178=R162</f>
        <v>1</v>
      </c>
      <c r="G179" s="427"/>
      <c r="H179" s="427" t="b">
        <f>H178=S162</f>
        <v>1</v>
      </c>
      <c r="I179" s="428"/>
      <c r="K179" s="427"/>
      <c r="L179" s="428"/>
      <c r="M179" s="428"/>
      <c r="Q179" s="392"/>
      <c r="R179" s="392"/>
      <c r="T179" s="417"/>
      <c r="U179"/>
      <c r="V179" s="46"/>
      <c r="W179" s="392"/>
      <c r="X179" s="392"/>
      <c r="Y179" s="47"/>
    </row>
    <row r="180" spans="1:25" ht="13.5" customHeight="1">
      <c r="A180" s="411"/>
      <c r="B180" s="392"/>
      <c r="C180" s="404"/>
      <c r="D180" s="402"/>
      <c r="E180" s="426"/>
      <c r="F180" s="427"/>
      <c r="G180" s="427"/>
      <c r="H180" s="427"/>
      <c r="I180" s="428"/>
      <c r="K180" s="427"/>
      <c r="L180" s="428"/>
      <c r="M180" s="428"/>
      <c r="Q180" s="392"/>
      <c r="R180" s="392"/>
      <c r="T180" s="417"/>
      <c r="U180"/>
      <c r="V180" s="46"/>
      <c r="W180" s="392"/>
      <c r="X180" s="392"/>
      <c r="Y180" s="47"/>
    </row>
    <row r="181" spans="1:25" ht="13.5" customHeight="1">
      <c r="A181" s="411"/>
      <c r="B181" s="392"/>
      <c r="C181" s="404"/>
      <c r="D181" s="402"/>
      <c r="E181" s="426"/>
      <c r="F181" s="427"/>
      <c r="G181" s="427"/>
      <c r="H181" s="427"/>
      <c r="I181" s="428"/>
      <c r="K181" s="427"/>
      <c r="L181" s="428"/>
      <c r="M181" s="428"/>
      <c r="Q181" s="392"/>
      <c r="R181" s="392"/>
      <c r="T181" s="417"/>
      <c r="U181"/>
      <c r="V181" s="46"/>
      <c r="W181" s="392"/>
      <c r="X181" s="392"/>
      <c r="Y181" s="47"/>
    </row>
    <row r="182" spans="1:25" ht="13.5" customHeight="1">
      <c r="A182" s="411"/>
      <c r="B182" s="392"/>
      <c r="C182" s="404"/>
      <c r="D182" s="402"/>
      <c r="E182" s="426"/>
      <c r="F182" s="427"/>
      <c r="G182" s="427"/>
      <c r="H182" s="427"/>
      <c r="I182" s="428"/>
      <c r="K182" s="427"/>
      <c r="L182" s="428"/>
      <c r="M182" s="428"/>
      <c r="Q182" s="392"/>
      <c r="R182" s="392"/>
      <c r="T182" s="417"/>
      <c r="U182"/>
      <c r="V182" s="46"/>
      <c r="W182" s="392"/>
      <c r="X182" s="392"/>
      <c r="Y182" s="47"/>
    </row>
    <row r="183" spans="1:25" ht="13.5" customHeight="1">
      <c r="A183" s="411"/>
      <c r="B183" s="392"/>
      <c r="C183" s="404"/>
      <c r="D183" s="402"/>
      <c r="E183" s="426"/>
      <c r="F183" s="427"/>
      <c r="G183" s="427"/>
      <c r="H183" s="427"/>
      <c r="I183" s="428"/>
      <c r="K183" s="427"/>
      <c r="L183" s="428"/>
      <c r="M183" s="428"/>
      <c r="Q183" s="392"/>
      <c r="R183" s="392"/>
      <c r="T183" s="417"/>
      <c r="U183"/>
      <c r="V183" s="46"/>
      <c r="W183" s="392"/>
      <c r="X183" s="392"/>
      <c r="Y183" s="47"/>
    </row>
    <row r="184" spans="1:25" ht="13.5" customHeight="1">
      <c r="A184" s="411"/>
      <c r="B184" s="392"/>
      <c r="C184" s="404"/>
      <c r="D184" s="402"/>
      <c r="E184" s="426"/>
      <c r="F184" s="427"/>
      <c r="G184" s="427"/>
      <c r="H184" s="427"/>
      <c r="I184" s="428"/>
      <c r="K184" s="427"/>
      <c r="L184" s="428"/>
      <c r="M184" s="428"/>
      <c r="Q184" s="392"/>
      <c r="R184" s="392"/>
      <c r="T184" s="417"/>
      <c r="U184"/>
      <c r="V184" s="46"/>
      <c r="W184" s="392"/>
      <c r="X184" s="392"/>
      <c r="Y184" s="47"/>
    </row>
    <row r="185" spans="1:25" ht="13.5" customHeight="1">
      <c r="A185" s="411"/>
      <c r="B185" s="392"/>
      <c r="C185" s="404"/>
      <c r="D185" s="402"/>
      <c r="E185" s="426"/>
      <c r="F185" s="427"/>
      <c r="G185" s="427"/>
      <c r="H185" s="427"/>
      <c r="I185" s="428"/>
      <c r="K185" s="427"/>
      <c r="L185" s="428"/>
      <c r="M185" s="428"/>
      <c r="Q185" s="392"/>
      <c r="R185" s="392"/>
      <c r="T185" s="417"/>
      <c r="U185"/>
      <c r="V185" s="46"/>
      <c r="W185" s="392"/>
      <c r="X185" s="392"/>
      <c r="Y185" s="47"/>
    </row>
    <row r="186" spans="1:25" ht="13.5" customHeight="1">
      <c r="A186" s="411"/>
      <c r="B186" s="392"/>
      <c r="C186" s="404"/>
      <c r="D186" s="402"/>
      <c r="E186" s="426"/>
      <c r="F186" s="427"/>
      <c r="G186" s="427"/>
      <c r="H186" s="427"/>
      <c r="I186" s="428"/>
      <c r="K186" s="427"/>
      <c r="L186" s="428"/>
      <c r="M186" s="428"/>
      <c r="Q186" s="392"/>
      <c r="R186" s="392"/>
      <c r="T186" s="417"/>
      <c r="U186"/>
      <c r="V186" s="46"/>
      <c r="W186" s="392"/>
      <c r="X186" s="392"/>
      <c r="Y186" s="47"/>
    </row>
    <row r="187" spans="1:25" ht="13.5" customHeight="1">
      <c r="A187" s="411"/>
      <c r="B187" s="392"/>
      <c r="C187" s="404"/>
      <c r="D187" s="402"/>
      <c r="E187" s="426"/>
      <c r="F187" s="427"/>
      <c r="G187" s="427"/>
      <c r="H187" s="427"/>
      <c r="I187" s="428"/>
      <c r="K187" s="427"/>
      <c r="L187" s="428"/>
      <c r="M187" s="428"/>
      <c r="Q187" s="392"/>
      <c r="R187" s="392"/>
      <c r="T187" s="417"/>
      <c r="U187"/>
      <c r="V187" s="46"/>
      <c r="W187" s="392"/>
      <c r="X187" s="392"/>
      <c r="Y187" s="47"/>
    </row>
    <row r="188" spans="1:25" ht="13.5" customHeight="1">
      <c r="A188" s="411"/>
      <c r="B188" s="392"/>
      <c r="C188" s="404"/>
      <c r="D188" s="402"/>
      <c r="E188" s="426"/>
      <c r="F188" s="427"/>
      <c r="G188" s="427"/>
      <c r="H188" s="427"/>
      <c r="I188" s="428"/>
      <c r="K188" s="427"/>
      <c r="L188" s="428"/>
      <c r="M188" s="428"/>
      <c r="Q188" s="392"/>
      <c r="R188" s="392"/>
      <c r="T188" s="417"/>
      <c r="U188"/>
      <c r="V188" s="46"/>
      <c r="W188" s="392"/>
      <c r="X188" s="392"/>
      <c r="Y188" s="47"/>
    </row>
    <row r="189" spans="1:25" ht="13.5" customHeight="1">
      <c r="A189" s="411"/>
      <c r="B189" s="392"/>
      <c r="C189" s="404"/>
      <c r="D189" s="402"/>
      <c r="E189" s="426"/>
      <c r="F189" s="427"/>
      <c r="G189" s="427"/>
      <c r="H189" s="427"/>
      <c r="I189" s="428"/>
      <c r="K189" s="427"/>
      <c r="L189" s="428"/>
      <c r="M189" s="428"/>
      <c r="Q189" s="392"/>
      <c r="R189" s="392"/>
      <c r="T189" s="417"/>
      <c r="U189"/>
      <c r="V189" s="46"/>
      <c r="W189" s="392"/>
      <c r="X189" s="392"/>
      <c r="Y189" s="47"/>
    </row>
    <row r="190" spans="1:25" ht="13.5" customHeight="1">
      <c r="A190" s="411"/>
      <c r="B190" s="392"/>
      <c r="C190" s="404"/>
      <c r="D190" s="402"/>
      <c r="E190" s="426"/>
      <c r="F190" s="427"/>
      <c r="G190" s="427"/>
      <c r="H190" s="427"/>
      <c r="I190" s="428"/>
      <c r="K190" s="427"/>
      <c r="L190" s="428"/>
      <c r="M190" s="428"/>
      <c r="Q190" s="392"/>
      <c r="R190" s="392"/>
      <c r="T190" s="417"/>
      <c r="U190"/>
      <c r="V190" s="46"/>
      <c r="W190" s="392"/>
      <c r="X190" s="392"/>
      <c r="Y190" s="47"/>
    </row>
    <row r="191" spans="1:25" ht="13.5" customHeight="1">
      <c r="A191" s="411"/>
      <c r="B191" s="392"/>
      <c r="C191" s="404"/>
      <c r="D191" s="402"/>
      <c r="E191" s="426"/>
      <c r="F191" s="427"/>
      <c r="G191" s="427"/>
      <c r="H191" s="427"/>
      <c r="I191" s="428"/>
      <c r="K191" s="427"/>
      <c r="L191" s="428"/>
      <c r="M191" s="428"/>
      <c r="Q191" s="392"/>
      <c r="R191" s="392"/>
      <c r="T191" s="417"/>
      <c r="U191"/>
      <c r="V191" s="46"/>
      <c r="W191" s="392"/>
      <c r="X191" s="392"/>
      <c r="Y191" s="47"/>
    </row>
    <row r="192" spans="1:25" ht="13.5" customHeight="1">
      <c r="A192" s="411"/>
      <c r="B192" s="392"/>
      <c r="C192" s="404"/>
      <c r="D192" s="402"/>
      <c r="E192" s="426"/>
      <c r="F192" s="427"/>
      <c r="G192" s="427"/>
      <c r="H192" s="427"/>
      <c r="I192" s="428"/>
      <c r="K192" s="427"/>
      <c r="L192" s="428"/>
      <c r="M192" s="428"/>
      <c r="Q192" s="392"/>
      <c r="R192" s="392"/>
      <c r="T192" s="417"/>
      <c r="U192"/>
      <c r="V192" s="46"/>
      <c r="W192" s="392"/>
      <c r="X192" s="392"/>
      <c r="Y192" s="47"/>
    </row>
    <row r="193" spans="1:25" ht="13.5" customHeight="1">
      <c r="A193" s="411"/>
      <c r="B193" s="392"/>
      <c r="C193" s="404"/>
      <c r="D193" s="402"/>
      <c r="E193" s="426"/>
      <c r="F193" s="427"/>
      <c r="G193" s="427"/>
      <c r="H193" s="427"/>
      <c r="I193" s="428"/>
      <c r="K193" s="427"/>
      <c r="L193" s="428"/>
      <c r="M193" s="428"/>
      <c r="Q193" s="392"/>
      <c r="R193" s="392"/>
      <c r="T193" s="417"/>
      <c r="U193"/>
      <c r="V193" s="46"/>
      <c r="W193" s="392"/>
      <c r="X193" s="392"/>
      <c r="Y193" s="47"/>
    </row>
    <row r="194" spans="1:25" ht="13.5" customHeight="1">
      <c r="A194" s="411"/>
      <c r="B194" s="392"/>
      <c r="C194" s="404"/>
      <c r="D194" s="402"/>
      <c r="E194" s="426"/>
      <c r="F194" s="427"/>
      <c r="G194" s="427"/>
      <c r="H194" s="427"/>
      <c r="I194" s="428"/>
      <c r="K194" s="427"/>
      <c r="L194" s="428"/>
      <c r="M194" s="428"/>
      <c r="Q194" s="392"/>
      <c r="R194" s="392"/>
      <c r="T194" s="417"/>
      <c r="U194"/>
      <c r="V194" s="46"/>
      <c r="W194" s="392"/>
      <c r="X194" s="392"/>
      <c r="Y194" s="47"/>
    </row>
    <row r="195" spans="1:25" ht="13.5" customHeight="1">
      <c r="A195" s="411"/>
      <c r="B195" s="392"/>
      <c r="C195" s="404"/>
      <c r="D195" s="402"/>
      <c r="E195" s="426"/>
      <c r="F195" s="427"/>
      <c r="G195" s="427"/>
      <c r="H195" s="427"/>
      <c r="I195" s="428"/>
      <c r="K195" s="427"/>
      <c r="L195" s="428"/>
      <c r="M195" s="428"/>
      <c r="Q195" s="392"/>
      <c r="R195" s="392"/>
      <c r="T195" s="417"/>
      <c r="U195"/>
      <c r="V195" s="46"/>
      <c r="W195" s="392"/>
      <c r="X195" s="392"/>
      <c r="Y195" s="47"/>
    </row>
    <row r="196" spans="1:25" ht="13.5" customHeight="1">
      <c r="A196" s="411"/>
      <c r="B196" s="392"/>
      <c r="C196" s="404"/>
      <c r="D196" s="402"/>
      <c r="E196" s="426"/>
      <c r="F196" s="427"/>
      <c r="G196" s="427"/>
      <c r="H196" s="427"/>
      <c r="I196" s="428"/>
      <c r="K196" s="427"/>
      <c r="L196" s="428"/>
      <c r="M196" s="428"/>
      <c r="Q196" s="392"/>
      <c r="R196" s="392"/>
      <c r="T196" s="417"/>
      <c r="U196"/>
      <c r="V196" s="46"/>
      <c r="W196" s="392"/>
      <c r="X196" s="392"/>
      <c r="Y196" s="47"/>
    </row>
    <row r="197" spans="1:25" ht="13.5" customHeight="1">
      <c r="A197" s="411"/>
      <c r="B197" s="392"/>
      <c r="C197" s="404"/>
      <c r="D197" s="402"/>
      <c r="E197" s="426"/>
      <c r="F197" s="427"/>
      <c r="G197" s="427"/>
      <c r="H197" s="427"/>
      <c r="I197" s="428"/>
      <c r="K197" s="427"/>
      <c r="L197" s="428"/>
      <c r="M197" s="428"/>
      <c r="Q197" s="392"/>
      <c r="R197" s="392"/>
      <c r="T197" s="417"/>
      <c r="U197"/>
      <c r="V197" s="46"/>
      <c r="W197" s="392"/>
      <c r="X197" s="392"/>
      <c r="Y197" s="47"/>
    </row>
    <row r="198" spans="1:25" ht="13.5" customHeight="1">
      <c r="A198" s="411"/>
      <c r="B198" s="392"/>
      <c r="C198" s="404"/>
      <c r="D198" s="402"/>
      <c r="E198" s="426"/>
      <c r="F198" s="427"/>
      <c r="G198" s="427"/>
      <c r="H198" s="427"/>
      <c r="I198" s="428"/>
      <c r="K198" s="427"/>
      <c r="L198" s="428"/>
      <c r="M198" s="428"/>
      <c r="Q198" s="392"/>
      <c r="R198" s="392"/>
      <c r="T198" s="417"/>
      <c r="U198"/>
      <c r="V198" s="46"/>
      <c r="W198" s="392"/>
      <c r="X198" s="392"/>
      <c r="Y198" s="47"/>
    </row>
    <row r="199" spans="1:25" ht="13.5" customHeight="1">
      <c r="A199" s="411"/>
      <c r="B199" s="392"/>
      <c r="C199" s="404"/>
      <c r="D199" s="402"/>
      <c r="E199" s="426"/>
      <c r="F199" s="427"/>
      <c r="G199" s="427"/>
      <c r="H199" s="427"/>
      <c r="I199" s="428"/>
      <c r="K199" s="427"/>
      <c r="L199" s="428"/>
      <c r="M199" s="428"/>
      <c r="Q199" s="392"/>
      <c r="R199" s="392"/>
      <c r="T199" s="417"/>
      <c r="U199"/>
      <c r="V199" s="46"/>
      <c r="W199" s="392"/>
      <c r="X199" s="392"/>
      <c r="Y199" s="47"/>
    </row>
    <row r="200" spans="1:25" ht="13.5" customHeight="1">
      <c r="A200" s="411"/>
      <c r="B200" s="392"/>
      <c r="C200" s="404"/>
      <c r="D200" s="402"/>
      <c r="E200" s="426"/>
      <c r="F200" s="427"/>
      <c r="G200" s="427"/>
      <c r="H200" s="427"/>
      <c r="I200" s="428"/>
      <c r="K200" s="427"/>
      <c r="L200" s="428"/>
      <c r="M200" s="428"/>
      <c r="Q200" s="392"/>
      <c r="R200" s="392"/>
      <c r="T200" s="417"/>
      <c r="U200"/>
      <c r="V200" s="46"/>
      <c r="W200" s="392"/>
      <c r="X200" s="392"/>
      <c r="Y200" s="47"/>
    </row>
    <row r="201" spans="1:25" ht="13.5" customHeight="1">
      <c r="A201" s="411"/>
      <c r="B201" s="392"/>
      <c r="C201" s="404"/>
      <c r="D201" s="402"/>
      <c r="E201" s="426"/>
      <c r="F201" s="427"/>
      <c r="G201" s="427"/>
      <c r="H201" s="427"/>
      <c r="I201" s="428"/>
      <c r="K201" s="427"/>
      <c r="L201" s="428"/>
      <c r="M201" s="428"/>
      <c r="Q201" s="392"/>
      <c r="R201" s="392"/>
      <c r="T201" s="417"/>
      <c r="U201"/>
      <c r="V201" s="46"/>
      <c r="W201" s="392"/>
      <c r="X201" s="392"/>
      <c r="Y201" s="47"/>
    </row>
    <row r="202" spans="1:25" ht="13.5" customHeight="1">
      <c r="A202" s="411"/>
      <c r="B202" s="392"/>
      <c r="C202" s="404"/>
      <c r="D202" s="402"/>
      <c r="E202" s="426"/>
      <c r="F202" s="427"/>
      <c r="G202" s="427"/>
      <c r="H202" s="427"/>
      <c r="I202" s="428"/>
      <c r="K202" s="427"/>
      <c r="L202" s="428"/>
      <c r="M202" s="428"/>
      <c r="Q202" s="392"/>
      <c r="R202" s="392"/>
      <c r="T202" s="417"/>
      <c r="U202"/>
      <c r="V202" s="46"/>
      <c r="W202" s="392"/>
      <c r="X202" s="392"/>
      <c r="Y202" s="47"/>
    </row>
    <row r="203" spans="1:25" ht="13.5" customHeight="1">
      <c r="A203" s="411"/>
      <c r="B203" s="392"/>
      <c r="C203" s="404"/>
      <c r="D203" s="402"/>
      <c r="E203" s="426"/>
      <c r="F203" s="427"/>
      <c r="G203" s="427"/>
      <c r="H203" s="427"/>
      <c r="I203" s="428"/>
      <c r="K203" s="427"/>
      <c r="L203" s="428"/>
      <c r="M203" s="428"/>
      <c r="Q203" s="392"/>
      <c r="R203" s="392"/>
      <c r="T203" s="417"/>
      <c r="U203"/>
      <c r="V203" s="46"/>
      <c r="W203" s="392"/>
      <c r="X203" s="392"/>
      <c r="Y203" s="47"/>
    </row>
    <row r="204" spans="1:25" ht="13.5" customHeight="1">
      <c r="A204" s="411"/>
      <c r="B204" s="392"/>
      <c r="C204" s="404"/>
      <c r="D204" s="402"/>
      <c r="E204" s="426"/>
      <c r="F204" s="427"/>
      <c r="G204" s="427"/>
      <c r="H204" s="427"/>
      <c r="I204" s="428"/>
      <c r="K204" s="427"/>
      <c r="L204" s="428"/>
      <c r="M204" s="428"/>
      <c r="Q204" s="392"/>
      <c r="R204" s="392"/>
      <c r="T204" s="417"/>
      <c r="U204"/>
      <c r="V204" s="46"/>
      <c r="W204" s="392"/>
      <c r="X204" s="392"/>
      <c r="Y204" s="47"/>
    </row>
    <row r="205" spans="1:25" ht="13.5" customHeight="1">
      <c r="A205" s="411"/>
      <c r="B205" s="392"/>
      <c r="C205" s="404"/>
      <c r="D205" s="402"/>
      <c r="E205" s="426"/>
      <c r="F205" s="427"/>
      <c r="G205" s="427"/>
      <c r="H205" s="427"/>
      <c r="I205" s="428"/>
      <c r="K205" s="427"/>
      <c r="L205" s="428"/>
      <c r="M205" s="428"/>
      <c r="Q205" s="392"/>
      <c r="R205" s="392"/>
      <c r="T205" s="417"/>
      <c r="U205"/>
      <c r="V205" s="46"/>
      <c r="W205" s="392"/>
      <c r="X205" s="392"/>
      <c r="Y205" s="47"/>
    </row>
    <row r="206" spans="1:25" ht="13.5" customHeight="1">
      <c r="A206" s="411"/>
      <c r="B206" s="392"/>
      <c r="C206" s="404"/>
      <c r="D206" s="402"/>
      <c r="E206" s="426"/>
      <c r="F206" s="427"/>
      <c r="G206" s="427"/>
      <c r="H206" s="427"/>
      <c r="I206" s="428"/>
      <c r="K206" s="427"/>
      <c r="L206" s="428"/>
      <c r="M206" s="428"/>
      <c r="Q206" s="392"/>
      <c r="R206" s="392"/>
      <c r="T206" s="417"/>
      <c r="U206"/>
      <c r="V206" s="46"/>
      <c r="W206" s="392"/>
      <c r="X206" s="392"/>
      <c r="Y206" s="47"/>
    </row>
    <row r="207" spans="1:25" ht="13.5" customHeight="1">
      <c r="A207" s="411"/>
      <c r="B207" s="392"/>
      <c r="C207" s="404"/>
      <c r="D207" s="402"/>
      <c r="E207" s="426"/>
      <c r="F207" s="427"/>
      <c r="G207" s="427"/>
      <c r="H207" s="427"/>
      <c r="I207" s="428"/>
      <c r="K207" s="427"/>
      <c r="L207" s="428"/>
      <c r="M207" s="428"/>
      <c r="Q207" s="392"/>
      <c r="R207" s="392"/>
      <c r="T207" s="417"/>
      <c r="U207"/>
      <c r="V207" s="46"/>
      <c r="W207" s="392"/>
      <c r="X207" s="392"/>
      <c r="Y207" s="47"/>
    </row>
    <row r="208" spans="1:25" ht="13.5" customHeight="1">
      <c r="A208" s="411"/>
      <c r="B208" s="392"/>
      <c r="C208" s="404"/>
      <c r="D208" s="402"/>
      <c r="E208" s="426"/>
      <c r="F208" s="427"/>
      <c r="G208" s="427"/>
      <c r="H208" s="427"/>
      <c r="I208" s="428"/>
      <c r="K208" s="427"/>
      <c r="L208" s="428"/>
      <c r="M208" s="428"/>
      <c r="Q208" s="392"/>
      <c r="R208" s="392"/>
      <c r="T208" s="417"/>
      <c r="U208"/>
      <c r="V208" s="46"/>
      <c r="W208" s="392"/>
      <c r="X208" s="392"/>
      <c r="Y208" s="47"/>
    </row>
    <row r="209" spans="1:25" ht="13.5" customHeight="1">
      <c r="A209" s="411"/>
      <c r="B209" s="392"/>
      <c r="C209" s="404"/>
      <c r="D209" s="402"/>
      <c r="E209" s="426"/>
      <c r="F209" s="427"/>
      <c r="G209" s="427"/>
      <c r="H209" s="427"/>
      <c r="I209" s="428"/>
      <c r="K209" s="427"/>
      <c r="L209" s="428"/>
      <c r="M209" s="428"/>
      <c r="Q209" s="392"/>
      <c r="R209" s="392"/>
      <c r="T209" s="417"/>
      <c r="U209"/>
      <c r="V209" s="46"/>
      <c r="W209" s="392"/>
      <c r="X209" s="392"/>
      <c r="Y209" s="47"/>
    </row>
    <row r="210" spans="1:25" ht="13.5" customHeight="1">
      <c r="A210" s="411"/>
      <c r="B210" s="392"/>
      <c r="C210" s="404"/>
      <c r="D210" s="402"/>
      <c r="E210" s="426"/>
      <c r="F210" s="427"/>
      <c r="G210" s="427"/>
      <c r="H210" s="427"/>
      <c r="I210" s="428"/>
      <c r="K210" s="427"/>
      <c r="L210" s="428"/>
      <c r="M210" s="428"/>
      <c r="Q210" s="392"/>
      <c r="R210" s="392"/>
      <c r="T210" s="417"/>
      <c r="U210"/>
      <c r="V210" s="46"/>
      <c r="W210" s="392"/>
      <c r="X210" s="392"/>
      <c r="Y210" s="47"/>
    </row>
    <row r="211" spans="1:25" ht="13.5" customHeight="1">
      <c r="A211" s="411"/>
      <c r="B211" s="392"/>
      <c r="C211" s="404"/>
      <c r="D211" s="402"/>
      <c r="E211" s="426"/>
      <c r="F211" s="427"/>
      <c r="G211" s="427"/>
      <c r="H211" s="427"/>
      <c r="I211" s="428"/>
      <c r="K211" s="427"/>
      <c r="L211" s="428"/>
      <c r="M211" s="428"/>
      <c r="Q211" s="392"/>
      <c r="R211" s="392"/>
      <c r="T211" s="417"/>
      <c r="U211"/>
      <c r="V211" s="46"/>
      <c r="W211" s="392"/>
      <c r="X211" s="392"/>
      <c r="Y211" s="47"/>
    </row>
    <row r="212" spans="1:25" ht="13.5" customHeight="1">
      <c r="A212" s="411"/>
      <c r="B212" s="392"/>
      <c r="C212" s="404"/>
      <c r="D212" s="402"/>
      <c r="E212" s="426"/>
      <c r="F212" s="427"/>
      <c r="G212" s="427"/>
      <c r="H212" s="427"/>
      <c r="I212" s="428"/>
      <c r="K212" s="427"/>
      <c r="L212" s="428"/>
      <c r="M212" s="428"/>
      <c r="Q212" s="392"/>
      <c r="R212" s="392"/>
      <c r="T212" s="417"/>
      <c r="U212"/>
      <c r="V212" s="46"/>
      <c r="W212" s="392"/>
      <c r="X212" s="392"/>
      <c r="Y212" s="47"/>
    </row>
    <row r="213" spans="1:25" ht="13.5" customHeight="1">
      <c r="A213" s="411"/>
      <c r="B213" s="392"/>
      <c r="C213" s="404"/>
      <c r="D213" s="402"/>
      <c r="E213" s="426"/>
      <c r="F213" s="427"/>
      <c r="G213" s="427"/>
      <c r="H213" s="427"/>
      <c r="I213" s="428"/>
      <c r="K213" s="427"/>
      <c r="L213" s="428"/>
      <c r="M213" s="428"/>
      <c r="Q213" s="392"/>
      <c r="R213" s="392"/>
      <c r="T213" s="417"/>
      <c r="U213"/>
      <c r="V213" s="46"/>
      <c r="W213" s="392"/>
      <c r="X213" s="392"/>
      <c r="Y213" s="47"/>
    </row>
    <row r="214" spans="1:25" ht="13.5" customHeight="1">
      <c r="A214" s="411"/>
      <c r="B214" s="392"/>
      <c r="C214" s="404"/>
      <c r="D214" s="402"/>
      <c r="E214" s="426"/>
      <c r="F214" s="427"/>
      <c r="G214" s="427"/>
      <c r="H214" s="427"/>
      <c r="I214" s="428"/>
      <c r="K214" s="427"/>
      <c r="L214" s="428"/>
      <c r="M214" s="428"/>
      <c r="Q214" s="392"/>
      <c r="R214" s="392"/>
      <c r="T214" s="417"/>
      <c r="U214"/>
      <c r="V214" s="46"/>
      <c r="W214" s="392"/>
      <c r="X214" s="392"/>
      <c r="Y214" s="47"/>
    </row>
    <row r="215" spans="1:25" ht="13.5" customHeight="1">
      <c r="A215" s="411"/>
      <c r="B215" s="392"/>
      <c r="C215" s="404"/>
      <c r="D215" s="402"/>
      <c r="E215" s="426"/>
      <c r="F215" s="427"/>
      <c r="G215" s="427"/>
      <c r="H215" s="427"/>
      <c r="I215" s="428"/>
      <c r="K215" s="427"/>
      <c r="L215" s="428"/>
      <c r="M215" s="428"/>
      <c r="Q215" s="392"/>
      <c r="R215" s="392"/>
      <c r="T215" s="417"/>
      <c r="U215"/>
      <c r="V215" s="46"/>
      <c r="W215" s="392"/>
      <c r="X215" s="392"/>
      <c r="Y215" s="47"/>
    </row>
    <row r="216" spans="1:25" ht="13.5" customHeight="1">
      <c r="A216" s="411"/>
      <c r="B216" s="392"/>
      <c r="C216" s="404"/>
      <c r="D216" s="402"/>
      <c r="E216" s="426"/>
      <c r="F216" s="427"/>
      <c r="G216" s="427"/>
      <c r="H216" s="427"/>
      <c r="I216" s="428"/>
      <c r="K216" s="427"/>
      <c r="L216" s="428"/>
      <c r="M216" s="428"/>
      <c r="Q216" s="392"/>
      <c r="R216" s="392"/>
      <c r="T216" s="417"/>
      <c r="U216"/>
      <c r="V216" s="46"/>
      <c r="W216" s="392"/>
      <c r="X216" s="392"/>
      <c r="Y216" s="47"/>
    </row>
    <row r="217" spans="1:25" ht="13.5" customHeight="1">
      <c r="A217" s="411"/>
      <c r="B217" s="392"/>
      <c r="C217" s="404"/>
      <c r="D217" s="402"/>
      <c r="E217" s="426"/>
      <c r="F217" s="427"/>
      <c r="G217" s="427"/>
      <c r="H217" s="427"/>
      <c r="I217" s="428"/>
      <c r="K217" s="427"/>
      <c r="L217" s="428"/>
      <c r="M217" s="428"/>
      <c r="Q217" s="392"/>
      <c r="R217" s="392"/>
      <c r="T217" s="417"/>
      <c r="U217"/>
      <c r="V217" s="46"/>
      <c r="W217" s="392"/>
      <c r="X217" s="392"/>
      <c r="Y217" s="47"/>
    </row>
    <row r="218" spans="1:25" ht="13.5" customHeight="1">
      <c r="A218" s="411"/>
      <c r="B218" s="392"/>
      <c r="C218" s="404"/>
      <c r="D218" s="402"/>
      <c r="E218" s="426"/>
      <c r="F218" s="427"/>
      <c r="G218" s="427"/>
      <c r="H218" s="427"/>
      <c r="I218" s="428"/>
      <c r="K218" s="427"/>
      <c r="L218" s="428"/>
      <c r="M218" s="428"/>
      <c r="Q218" s="392"/>
      <c r="R218" s="392"/>
      <c r="T218" s="417"/>
      <c r="U218"/>
      <c r="V218" s="46"/>
      <c r="W218" s="392"/>
      <c r="X218" s="392"/>
      <c r="Y218" s="47"/>
    </row>
    <row r="219" spans="1:25" ht="13.5" customHeight="1">
      <c r="A219" s="411"/>
      <c r="B219" s="392"/>
      <c r="C219" s="404"/>
      <c r="D219" s="402"/>
      <c r="E219" s="426"/>
      <c r="F219" s="427"/>
      <c r="G219" s="427"/>
      <c r="H219" s="427"/>
      <c r="I219" s="428"/>
      <c r="K219" s="427"/>
      <c r="L219" s="428"/>
      <c r="M219" s="428"/>
      <c r="Q219" s="392"/>
      <c r="R219" s="392"/>
      <c r="T219" s="417"/>
      <c r="U219"/>
      <c r="V219" s="46"/>
      <c r="W219" s="392"/>
      <c r="X219" s="392"/>
      <c r="Y219" s="47"/>
    </row>
    <row r="220" spans="1:25" ht="13.5" customHeight="1">
      <c r="A220" s="411"/>
      <c r="B220" s="392"/>
      <c r="C220" s="404"/>
      <c r="D220" s="402"/>
      <c r="E220" s="426"/>
      <c r="F220" s="427"/>
      <c r="G220" s="427"/>
      <c r="H220" s="427"/>
      <c r="I220" s="428"/>
      <c r="K220" s="427"/>
      <c r="L220" s="428"/>
      <c r="M220" s="428"/>
      <c r="Q220" s="392"/>
      <c r="R220" s="392"/>
      <c r="T220" s="417"/>
      <c r="U220"/>
      <c r="V220" s="46"/>
      <c r="W220" s="392"/>
      <c r="X220" s="392"/>
      <c r="Y220" s="47"/>
    </row>
    <row r="221" spans="1:25" ht="13.5" customHeight="1">
      <c r="A221" s="411"/>
      <c r="B221" s="392"/>
      <c r="C221" s="404"/>
      <c r="D221" s="402"/>
      <c r="E221" s="426"/>
      <c r="F221" s="427"/>
      <c r="G221" s="427"/>
      <c r="H221" s="427"/>
      <c r="I221" s="428"/>
      <c r="K221" s="427"/>
      <c r="L221" s="428"/>
      <c r="M221" s="428"/>
      <c r="Q221" s="392"/>
      <c r="R221" s="392"/>
      <c r="T221" s="417"/>
      <c r="U221"/>
      <c r="V221" s="46"/>
      <c r="W221" s="392"/>
      <c r="X221" s="392"/>
      <c r="Y221" s="47"/>
    </row>
    <row r="222" spans="1:25" ht="13.5" customHeight="1">
      <c r="A222" s="411"/>
      <c r="B222" s="392"/>
      <c r="C222" s="404"/>
      <c r="D222" s="402"/>
      <c r="E222" s="426"/>
      <c r="F222" s="427"/>
      <c r="G222" s="427"/>
      <c r="H222" s="427"/>
      <c r="I222" s="428"/>
      <c r="K222" s="427"/>
      <c r="L222" s="428"/>
      <c r="M222" s="428"/>
      <c r="Q222" s="392"/>
      <c r="R222" s="392"/>
      <c r="T222" s="417"/>
      <c r="U222"/>
      <c r="V222" s="46"/>
      <c r="W222" s="392"/>
      <c r="X222" s="392"/>
      <c r="Y222" s="47"/>
    </row>
    <row r="223" spans="1:25" ht="13.5" customHeight="1">
      <c r="A223" s="411"/>
      <c r="B223" s="392"/>
      <c r="C223" s="404"/>
      <c r="D223" s="402"/>
      <c r="E223" s="426"/>
      <c r="F223" s="427"/>
      <c r="G223" s="427"/>
      <c r="H223" s="427"/>
      <c r="I223" s="428"/>
      <c r="K223" s="427"/>
      <c r="L223" s="428"/>
      <c r="M223" s="428"/>
      <c r="Q223" s="392"/>
      <c r="R223" s="392"/>
      <c r="T223" s="417"/>
      <c r="U223"/>
      <c r="V223" s="46"/>
      <c r="W223" s="392"/>
      <c r="X223" s="392"/>
      <c r="Y223" s="47"/>
    </row>
    <row r="224" spans="1:25" ht="13.5" customHeight="1">
      <c r="A224" s="411"/>
      <c r="B224" s="392"/>
      <c r="C224" s="404"/>
      <c r="D224" s="402"/>
      <c r="E224" s="426"/>
      <c r="F224" s="427"/>
      <c r="G224" s="427"/>
      <c r="H224" s="427"/>
      <c r="I224" s="428"/>
      <c r="K224" s="427"/>
      <c r="L224" s="428"/>
      <c r="M224" s="428"/>
      <c r="Q224" s="392"/>
      <c r="R224" s="392"/>
      <c r="T224" s="417"/>
      <c r="U224"/>
      <c r="V224" s="46"/>
      <c r="W224" s="392"/>
      <c r="X224" s="392"/>
      <c r="Y224" s="47"/>
    </row>
    <row r="225" spans="1:25" ht="13.5" customHeight="1">
      <c r="A225" s="411"/>
      <c r="B225" s="392"/>
      <c r="C225" s="404"/>
      <c r="D225" s="402"/>
      <c r="E225" s="426"/>
      <c r="F225" s="427"/>
      <c r="G225" s="427"/>
      <c r="H225" s="427"/>
      <c r="I225" s="428"/>
      <c r="K225" s="427"/>
      <c r="L225" s="428"/>
      <c r="M225" s="428"/>
      <c r="Q225" s="392"/>
      <c r="R225" s="392"/>
      <c r="T225" s="417"/>
      <c r="U225"/>
      <c r="V225" s="46"/>
      <c r="W225" s="392"/>
      <c r="X225" s="392"/>
      <c r="Y225" s="47"/>
    </row>
    <row r="226" spans="1:25" ht="13.5" customHeight="1">
      <c r="A226" s="411"/>
      <c r="B226" s="392"/>
      <c r="C226" s="404"/>
      <c r="D226" s="402"/>
      <c r="E226" s="426"/>
      <c r="F226" s="427"/>
      <c r="G226" s="427"/>
      <c r="H226" s="427"/>
      <c r="I226" s="428"/>
      <c r="K226" s="427"/>
      <c r="L226" s="428"/>
      <c r="M226" s="428"/>
      <c r="Q226" s="392"/>
      <c r="R226" s="392"/>
      <c r="T226" s="417"/>
      <c r="U226"/>
      <c r="V226" s="46"/>
      <c r="W226" s="392"/>
      <c r="X226" s="392"/>
      <c r="Y226" s="47"/>
    </row>
    <row r="227" spans="1:25" ht="13.5" customHeight="1">
      <c r="A227" s="411"/>
      <c r="B227" s="392"/>
      <c r="C227" s="404"/>
      <c r="D227" s="402"/>
      <c r="E227" s="426"/>
      <c r="F227" s="427"/>
      <c r="G227" s="427"/>
      <c r="H227" s="427"/>
      <c r="I227" s="428"/>
      <c r="K227" s="427"/>
      <c r="L227" s="428"/>
      <c r="M227" s="428"/>
      <c r="Q227" s="392"/>
      <c r="R227" s="392"/>
      <c r="T227" s="417"/>
      <c r="U227"/>
      <c r="V227" s="46"/>
      <c r="W227" s="392"/>
      <c r="X227" s="392"/>
      <c r="Y227" s="47"/>
    </row>
    <row r="228" spans="1:25" ht="13.5" customHeight="1">
      <c r="A228" s="411"/>
      <c r="B228" s="392"/>
      <c r="C228" s="404"/>
      <c r="D228" s="402"/>
      <c r="E228" s="426"/>
      <c r="F228" s="427"/>
      <c r="G228" s="427"/>
      <c r="H228" s="427"/>
      <c r="I228" s="428"/>
      <c r="K228" s="427"/>
      <c r="L228" s="428"/>
      <c r="M228" s="428"/>
      <c r="Q228" s="392"/>
      <c r="R228" s="392"/>
      <c r="T228" s="417"/>
      <c r="U228"/>
      <c r="V228" s="46"/>
      <c r="W228" s="392"/>
      <c r="X228" s="392"/>
      <c r="Y228" s="47"/>
    </row>
    <row r="229" spans="1:25" ht="13.5" customHeight="1">
      <c r="A229" s="411"/>
      <c r="B229" s="392"/>
      <c r="C229" s="404"/>
      <c r="D229" s="402"/>
      <c r="E229" s="426"/>
      <c r="F229" s="427"/>
      <c r="G229" s="427"/>
      <c r="H229" s="427"/>
      <c r="I229" s="428"/>
      <c r="K229" s="427"/>
      <c r="L229" s="428"/>
      <c r="M229" s="428"/>
      <c r="Q229" s="392"/>
      <c r="R229" s="392"/>
      <c r="T229" s="417"/>
      <c r="U229"/>
      <c r="V229" s="46"/>
      <c r="W229" s="392"/>
      <c r="X229" s="392"/>
      <c r="Y229" s="47"/>
    </row>
    <row r="230" spans="1:25" ht="13.5" customHeight="1">
      <c r="A230" s="411"/>
      <c r="B230" s="392"/>
      <c r="C230" s="404"/>
      <c r="D230" s="402"/>
      <c r="E230" s="426"/>
      <c r="F230" s="427"/>
      <c r="G230" s="427"/>
      <c r="H230" s="427"/>
      <c r="I230" s="428"/>
      <c r="K230" s="427"/>
      <c r="L230" s="428"/>
      <c r="M230" s="428"/>
      <c r="Q230" s="392"/>
      <c r="R230" s="392"/>
      <c r="T230" s="417"/>
      <c r="U230"/>
      <c r="V230" s="46"/>
      <c r="W230" s="392"/>
      <c r="X230" s="392"/>
      <c r="Y230" s="47"/>
    </row>
    <row r="231" spans="1:25" ht="13.5" customHeight="1">
      <c r="A231" s="411"/>
      <c r="B231" s="392"/>
      <c r="C231" s="404"/>
      <c r="D231" s="402"/>
      <c r="E231" s="426"/>
      <c r="F231" s="427"/>
      <c r="G231" s="427"/>
      <c r="H231" s="427"/>
      <c r="I231" s="428"/>
      <c r="K231" s="427"/>
      <c r="L231" s="428"/>
      <c r="M231" s="428"/>
      <c r="Q231" s="392"/>
      <c r="R231" s="392"/>
      <c r="T231" s="417"/>
      <c r="U231"/>
      <c r="V231" s="46"/>
      <c r="W231" s="392"/>
      <c r="X231" s="392"/>
      <c r="Y231" s="47"/>
    </row>
    <row r="232" spans="1:25" ht="13.5" customHeight="1">
      <c r="A232" s="411"/>
      <c r="B232" s="392"/>
      <c r="C232" s="404"/>
      <c r="D232" s="402"/>
      <c r="E232" s="426"/>
      <c r="F232" s="427"/>
      <c r="G232" s="427"/>
      <c r="H232" s="427"/>
      <c r="I232" s="428"/>
      <c r="K232" s="427"/>
      <c r="L232" s="428"/>
      <c r="M232" s="428"/>
      <c r="Q232" s="392"/>
      <c r="R232" s="392"/>
      <c r="T232" s="417"/>
      <c r="U232"/>
      <c r="V232" s="46"/>
      <c r="W232" s="392"/>
      <c r="X232" s="392"/>
      <c r="Y232" s="47"/>
    </row>
    <row r="233" spans="1:25" ht="13.5" customHeight="1">
      <c r="A233" s="411"/>
      <c r="B233" s="392"/>
      <c r="C233" s="404"/>
      <c r="D233" s="402"/>
      <c r="E233" s="426"/>
      <c r="F233" s="427"/>
      <c r="G233" s="427"/>
      <c r="H233" s="427"/>
      <c r="I233" s="428"/>
      <c r="K233" s="427"/>
      <c r="L233" s="428"/>
      <c r="M233" s="428"/>
      <c r="Q233" s="392"/>
      <c r="R233" s="392"/>
      <c r="T233" s="417"/>
      <c r="U233"/>
      <c r="V233" s="46"/>
      <c r="W233" s="392"/>
      <c r="X233" s="392"/>
      <c r="Y233" s="47"/>
    </row>
    <row r="234" spans="1:25" ht="13.5" customHeight="1">
      <c r="A234" s="411"/>
      <c r="B234" s="392"/>
      <c r="C234" s="404"/>
      <c r="D234" s="402"/>
      <c r="E234" s="426"/>
      <c r="F234" s="427"/>
      <c r="G234" s="427"/>
      <c r="H234" s="427"/>
      <c r="I234" s="428"/>
      <c r="K234" s="427"/>
      <c r="L234" s="428"/>
      <c r="M234" s="428"/>
      <c r="Q234" s="392"/>
      <c r="R234" s="392"/>
      <c r="T234" s="417"/>
      <c r="U234"/>
      <c r="V234" s="46"/>
      <c r="W234" s="392"/>
      <c r="X234" s="392"/>
      <c r="Y234" s="47"/>
    </row>
    <row r="235" spans="1:25" ht="13.5" customHeight="1">
      <c r="A235" s="411"/>
      <c r="B235" s="392"/>
      <c r="C235" s="404"/>
      <c r="D235" s="402"/>
      <c r="E235" s="426"/>
      <c r="F235" s="427"/>
      <c r="G235" s="427"/>
      <c r="H235" s="427"/>
      <c r="I235" s="428"/>
      <c r="K235" s="427"/>
      <c r="L235" s="428"/>
      <c r="M235" s="428"/>
      <c r="Q235" s="392"/>
      <c r="R235" s="392"/>
      <c r="T235" s="417"/>
      <c r="U235"/>
      <c r="V235" s="46"/>
      <c r="W235" s="392"/>
      <c r="X235" s="392"/>
      <c r="Y235" s="47"/>
    </row>
    <row r="236" spans="1:25" ht="13.5" customHeight="1">
      <c r="A236" s="411"/>
      <c r="B236" s="392"/>
      <c r="C236" s="404"/>
      <c r="D236" s="402"/>
      <c r="E236" s="426"/>
      <c r="F236" s="427"/>
      <c r="G236" s="427"/>
      <c r="H236" s="427"/>
      <c r="I236" s="428"/>
      <c r="K236" s="427"/>
      <c r="L236" s="428"/>
      <c r="M236" s="428"/>
      <c r="Q236" s="392"/>
      <c r="R236" s="392"/>
      <c r="T236" s="417"/>
      <c r="U236"/>
      <c r="V236" s="46"/>
      <c r="W236" s="392"/>
      <c r="X236" s="392"/>
      <c r="Y236" s="47"/>
    </row>
    <row r="237" spans="1:25" ht="13.5" customHeight="1">
      <c r="A237" s="411"/>
      <c r="B237" s="392"/>
      <c r="C237" s="404"/>
      <c r="D237" s="402"/>
      <c r="E237" s="426"/>
      <c r="F237" s="427"/>
      <c r="G237" s="427"/>
      <c r="H237" s="427"/>
      <c r="I237" s="428"/>
      <c r="K237" s="427"/>
      <c r="L237" s="428"/>
      <c r="M237" s="428"/>
      <c r="Q237" s="392"/>
      <c r="R237" s="392"/>
      <c r="T237" s="417"/>
      <c r="U237"/>
      <c r="V237" s="46"/>
      <c r="W237" s="392"/>
      <c r="X237" s="392"/>
      <c r="Y237" s="47"/>
    </row>
    <row r="238" spans="1:25" ht="13.5" customHeight="1">
      <c r="A238" s="411"/>
      <c r="B238" s="392"/>
      <c r="C238" s="404"/>
      <c r="D238" s="402"/>
      <c r="E238" s="426"/>
      <c r="F238" s="427"/>
      <c r="G238" s="427"/>
      <c r="H238" s="427"/>
      <c r="I238" s="428"/>
      <c r="K238" s="427"/>
      <c r="L238" s="428"/>
      <c r="M238" s="428"/>
      <c r="Q238" s="392"/>
      <c r="R238" s="392"/>
      <c r="T238" s="417"/>
      <c r="U238"/>
      <c r="V238" s="46"/>
      <c r="W238" s="392"/>
      <c r="X238" s="392"/>
      <c r="Y238" s="47"/>
    </row>
    <row r="239" spans="1:25" ht="13.5" customHeight="1">
      <c r="A239" s="411"/>
      <c r="B239" s="392"/>
      <c r="C239" s="404"/>
      <c r="D239" s="402"/>
      <c r="E239" s="426"/>
      <c r="F239" s="427"/>
      <c r="G239" s="427"/>
      <c r="H239" s="427"/>
      <c r="I239" s="428"/>
      <c r="K239" s="427"/>
      <c r="L239" s="428"/>
      <c r="M239" s="428"/>
      <c r="Q239" s="392"/>
      <c r="R239" s="392"/>
      <c r="T239" s="417"/>
      <c r="U239"/>
      <c r="V239" s="46"/>
      <c r="W239" s="392"/>
      <c r="X239" s="392"/>
      <c r="Y239" s="47"/>
    </row>
    <row r="240" spans="1:25" ht="13.5" customHeight="1">
      <c r="A240" s="411"/>
      <c r="B240" s="392"/>
      <c r="C240" s="404"/>
      <c r="D240" s="402"/>
      <c r="E240" s="426"/>
      <c r="F240" s="427"/>
      <c r="G240" s="427"/>
      <c r="H240" s="427"/>
      <c r="I240" s="428"/>
      <c r="K240" s="427"/>
      <c r="L240" s="428"/>
      <c r="M240" s="428"/>
      <c r="Q240" s="392"/>
      <c r="R240" s="392"/>
      <c r="T240" s="417"/>
      <c r="U240"/>
      <c r="V240" s="46"/>
      <c r="W240" s="392"/>
      <c r="X240" s="392"/>
      <c r="Y240" s="47"/>
    </row>
    <row r="241" spans="1:25" ht="13.5" customHeight="1">
      <c r="A241" s="411"/>
      <c r="B241" s="392"/>
      <c r="C241" s="404"/>
      <c r="D241" s="402"/>
      <c r="E241" s="426"/>
      <c r="F241" s="427"/>
      <c r="G241" s="427"/>
      <c r="H241" s="427"/>
      <c r="I241" s="428"/>
      <c r="K241" s="427"/>
      <c r="L241" s="428"/>
      <c r="M241" s="428"/>
      <c r="Q241" s="392"/>
      <c r="R241" s="392"/>
      <c r="T241" s="417"/>
      <c r="U241"/>
      <c r="V241" s="46"/>
      <c r="W241" s="392"/>
      <c r="X241" s="392"/>
      <c r="Y241" s="47"/>
    </row>
    <row r="242" spans="1:25" ht="13.5" customHeight="1">
      <c r="A242" s="411"/>
      <c r="B242" s="392"/>
      <c r="C242" s="404"/>
      <c r="D242" s="402"/>
      <c r="E242" s="426"/>
      <c r="F242" s="427"/>
      <c r="G242" s="427"/>
      <c r="H242" s="427"/>
      <c r="I242" s="428"/>
      <c r="K242" s="427"/>
      <c r="L242" s="428"/>
      <c r="M242" s="428"/>
      <c r="Q242" s="392"/>
      <c r="R242" s="392"/>
      <c r="T242" s="417"/>
      <c r="U242"/>
      <c r="V242" s="46"/>
      <c r="W242" s="392"/>
      <c r="X242" s="392"/>
      <c r="Y242" s="47"/>
    </row>
    <row r="243" spans="1:25" ht="13.5" customHeight="1">
      <c r="A243" s="411"/>
      <c r="B243" s="392"/>
      <c r="C243" s="404"/>
      <c r="D243" s="402"/>
      <c r="E243" s="426"/>
      <c r="F243" s="427"/>
      <c r="G243" s="427"/>
      <c r="H243" s="427"/>
      <c r="I243" s="428"/>
      <c r="K243" s="427"/>
      <c r="L243" s="428"/>
      <c r="M243" s="428"/>
      <c r="Q243" s="392"/>
      <c r="R243" s="392"/>
      <c r="T243" s="417"/>
      <c r="U243"/>
      <c r="V243" s="46"/>
      <c r="W243" s="392"/>
      <c r="X243" s="392"/>
      <c r="Y243" s="47"/>
    </row>
    <row r="244" spans="1:25" ht="13.5" customHeight="1">
      <c r="A244" s="411"/>
      <c r="B244" s="392"/>
      <c r="C244" s="404"/>
      <c r="D244" s="402"/>
      <c r="E244" s="426"/>
      <c r="F244" s="427"/>
      <c r="G244" s="427"/>
      <c r="H244" s="427"/>
      <c r="I244" s="428"/>
      <c r="K244" s="427"/>
      <c r="L244" s="428"/>
      <c r="M244" s="428"/>
      <c r="Q244" s="392"/>
      <c r="R244" s="392"/>
      <c r="T244" s="417"/>
      <c r="U244"/>
      <c r="V244" s="46"/>
      <c r="W244" s="392"/>
      <c r="X244" s="392"/>
      <c r="Y244" s="47"/>
    </row>
    <row r="245" spans="1:25" ht="13.5" customHeight="1">
      <c r="A245" s="411"/>
      <c r="B245" s="392"/>
      <c r="C245" s="404"/>
      <c r="D245" s="402"/>
      <c r="E245" s="426"/>
      <c r="F245" s="427"/>
      <c r="G245" s="427"/>
      <c r="H245" s="427"/>
      <c r="I245" s="428"/>
      <c r="K245" s="427"/>
      <c r="L245" s="428"/>
      <c r="M245" s="428"/>
      <c r="Q245" s="392"/>
      <c r="R245" s="392"/>
      <c r="T245" s="417"/>
      <c r="U245"/>
      <c r="V245" s="46"/>
      <c r="W245" s="392"/>
      <c r="X245" s="392"/>
      <c r="Y245" s="47"/>
    </row>
    <row r="246" spans="1:25" ht="13.5" customHeight="1">
      <c r="A246" s="411"/>
      <c r="B246" s="392"/>
      <c r="C246" s="404"/>
      <c r="D246" s="402"/>
      <c r="E246" s="426"/>
      <c r="F246" s="427"/>
      <c r="G246" s="427"/>
      <c r="H246" s="427"/>
      <c r="I246" s="428"/>
      <c r="K246" s="427"/>
      <c r="L246" s="428"/>
      <c r="M246" s="428"/>
      <c r="Q246" s="392"/>
      <c r="R246" s="392"/>
      <c r="T246" s="417"/>
      <c r="U246"/>
      <c r="V246" s="46"/>
      <c r="W246" s="392"/>
      <c r="X246" s="392"/>
      <c r="Y246" s="47"/>
    </row>
    <row r="247" spans="1:25" ht="13.5" customHeight="1">
      <c r="A247" s="411"/>
      <c r="B247" s="392"/>
      <c r="C247" s="404"/>
      <c r="D247" s="402"/>
      <c r="E247" s="426"/>
      <c r="F247" s="427"/>
      <c r="G247" s="427"/>
      <c r="H247" s="427"/>
      <c r="I247" s="428"/>
      <c r="K247" s="427"/>
      <c r="L247" s="428"/>
      <c r="M247" s="428"/>
      <c r="Q247" s="392"/>
      <c r="R247" s="392"/>
      <c r="T247" s="417"/>
      <c r="U247"/>
      <c r="V247" s="46"/>
      <c r="W247" s="392"/>
      <c r="X247" s="392"/>
      <c r="Y247" s="47"/>
    </row>
    <row r="248" spans="1:25" ht="13.5" customHeight="1">
      <c r="A248" s="411"/>
      <c r="B248" s="392"/>
      <c r="C248" s="404"/>
      <c r="D248" s="402"/>
      <c r="E248" s="426"/>
      <c r="F248" s="427"/>
      <c r="G248" s="427"/>
      <c r="H248" s="427"/>
      <c r="I248" s="428"/>
      <c r="K248" s="427"/>
      <c r="L248" s="428"/>
      <c r="M248" s="428"/>
      <c r="Q248" s="392"/>
      <c r="R248" s="392"/>
      <c r="T248" s="417"/>
      <c r="U248"/>
      <c r="V248" s="46"/>
      <c r="W248" s="392"/>
      <c r="X248" s="392"/>
      <c r="Y248" s="47"/>
    </row>
    <row r="249" spans="1:25" ht="13.5" customHeight="1">
      <c r="A249" s="411"/>
      <c r="B249" s="392"/>
      <c r="C249" s="404"/>
      <c r="D249" s="402"/>
      <c r="E249" s="426"/>
      <c r="F249" s="427"/>
      <c r="G249" s="427"/>
      <c r="H249" s="427"/>
      <c r="I249" s="428"/>
      <c r="K249" s="427"/>
      <c r="L249" s="428"/>
      <c r="M249" s="428"/>
      <c r="Q249" s="392"/>
      <c r="R249" s="392"/>
      <c r="T249" s="417"/>
      <c r="U249"/>
      <c r="V249" s="46"/>
      <c r="W249" s="392"/>
      <c r="X249" s="392"/>
      <c r="Y249" s="47"/>
    </row>
    <row r="250" spans="1:25" ht="13.5" customHeight="1">
      <c r="A250" s="411"/>
      <c r="B250" s="392"/>
      <c r="C250" s="404"/>
      <c r="D250" s="402"/>
      <c r="E250" s="426"/>
      <c r="F250" s="427"/>
      <c r="G250" s="427"/>
      <c r="H250" s="427"/>
      <c r="I250" s="428"/>
      <c r="K250" s="427"/>
      <c r="L250" s="428"/>
      <c r="M250" s="428"/>
      <c r="Q250" s="392"/>
      <c r="R250" s="392"/>
      <c r="T250" s="417"/>
      <c r="U250"/>
      <c r="V250" s="46"/>
      <c r="W250" s="392"/>
      <c r="X250" s="392"/>
      <c r="Y250" s="47"/>
    </row>
    <row r="251" spans="1:25" ht="13.5" customHeight="1">
      <c r="A251" s="411"/>
      <c r="B251" s="392"/>
      <c r="C251" s="404"/>
      <c r="D251" s="402"/>
      <c r="E251" s="426"/>
      <c r="F251" s="427"/>
      <c r="G251" s="427"/>
      <c r="H251" s="427"/>
      <c r="I251" s="428"/>
      <c r="K251" s="427"/>
      <c r="L251" s="428"/>
      <c r="M251" s="428"/>
      <c r="Q251" s="392"/>
      <c r="R251" s="392"/>
      <c r="T251" s="417"/>
      <c r="U251"/>
      <c r="V251" s="46"/>
      <c r="W251" s="392"/>
      <c r="X251" s="392"/>
      <c r="Y251" s="47"/>
    </row>
    <row r="252" spans="1:25" ht="13.5" customHeight="1">
      <c r="A252" s="411"/>
      <c r="B252" s="392"/>
      <c r="C252" s="404"/>
      <c r="D252" s="402"/>
      <c r="E252" s="426"/>
      <c r="F252" s="427"/>
      <c r="G252" s="427"/>
      <c r="H252" s="427"/>
      <c r="I252" s="428"/>
      <c r="K252" s="427"/>
      <c r="L252" s="428"/>
      <c r="M252" s="428"/>
      <c r="Q252" s="392"/>
      <c r="R252" s="392"/>
      <c r="T252" s="417"/>
      <c r="U252"/>
      <c r="V252" s="46"/>
      <c r="W252" s="392"/>
      <c r="X252" s="392"/>
      <c r="Y252" s="47"/>
    </row>
    <row r="253" spans="1:25" ht="13.5" customHeight="1">
      <c r="A253" s="411"/>
      <c r="B253" s="392"/>
      <c r="C253" s="404"/>
      <c r="D253" s="402"/>
      <c r="E253" s="426"/>
      <c r="F253" s="427"/>
      <c r="G253" s="427"/>
      <c r="H253" s="427"/>
      <c r="I253" s="428"/>
      <c r="K253" s="427"/>
      <c r="L253" s="428"/>
      <c r="M253" s="428"/>
      <c r="Q253" s="392"/>
      <c r="R253" s="392"/>
      <c r="T253" s="417"/>
      <c r="U253"/>
      <c r="V253" s="46"/>
      <c r="W253" s="392"/>
      <c r="X253" s="392"/>
      <c r="Y253" s="47"/>
    </row>
    <row r="254" spans="1:25" ht="13.5" customHeight="1">
      <c r="A254" s="411"/>
      <c r="B254" s="392"/>
      <c r="C254" s="404"/>
      <c r="D254" s="402"/>
      <c r="E254" s="426"/>
      <c r="F254" s="427"/>
      <c r="G254" s="427"/>
      <c r="H254" s="427"/>
      <c r="I254" s="428"/>
      <c r="K254" s="427"/>
      <c r="L254" s="428"/>
      <c r="M254" s="428"/>
      <c r="Q254" s="392"/>
      <c r="R254" s="392"/>
      <c r="T254" s="417"/>
      <c r="U254"/>
      <c r="V254" s="46"/>
      <c r="W254" s="392"/>
      <c r="X254" s="392"/>
      <c r="Y254" s="47"/>
    </row>
    <row r="255" spans="1:25" ht="13.5" customHeight="1">
      <c r="A255" s="411"/>
      <c r="B255" s="392"/>
      <c r="C255" s="404"/>
      <c r="D255" s="402"/>
      <c r="E255" s="426"/>
      <c r="F255" s="427"/>
      <c r="G255" s="427"/>
      <c r="H255" s="427"/>
      <c r="I255" s="428"/>
      <c r="K255" s="427"/>
      <c r="L255" s="428"/>
      <c r="M255" s="428"/>
      <c r="Q255" s="392"/>
      <c r="R255" s="392"/>
      <c r="T255" s="417"/>
      <c r="U255"/>
      <c r="V255" s="46"/>
      <c r="W255" s="392"/>
      <c r="X255" s="392"/>
      <c r="Y255" s="47"/>
    </row>
    <row r="256" spans="1:25" ht="13.5" customHeight="1">
      <c r="A256" s="411"/>
      <c r="B256" s="392"/>
      <c r="C256" s="404"/>
      <c r="D256" s="402"/>
      <c r="E256" s="426"/>
      <c r="F256" s="427"/>
      <c r="G256" s="427"/>
      <c r="H256" s="427"/>
      <c r="I256" s="428"/>
      <c r="K256" s="427"/>
      <c r="L256" s="428"/>
      <c r="M256" s="428"/>
      <c r="Q256" s="392"/>
      <c r="R256" s="392"/>
      <c r="T256" s="417"/>
      <c r="U256"/>
      <c r="V256" s="46"/>
      <c r="W256" s="392"/>
      <c r="X256" s="392"/>
      <c r="Y256" s="47"/>
    </row>
    <row r="257" spans="1:25" ht="13.5" customHeight="1">
      <c r="A257" s="411"/>
      <c r="B257" s="392"/>
      <c r="C257" s="404"/>
      <c r="D257" s="402"/>
      <c r="E257" s="426"/>
      <c r="F257" s="427"/>
      <c r="G257" s="427"/>
      <c r="H257" s="427"/>
      <c r="I257" s="428"/>
      <c r="K257" s="427"/>
      <c r="L257" s="428"/>
      <c r="M257" s="428"/>
      <c r="Q257" s="392"/>
      <c r="R257" s="392"/>
      <c r="T257" s="417"/>
      <c r="U257"/>
      <c r="V257" s="46"/>
      <c r="W257" s="392"/>
      <c r="X257" s="392"/>
      <c r="Y257" s="47"/>
    </row>
    <row r="258" spans="1:25" ht="13.5" customHeight="1">
      <c r="A258" s="411"/>
      <c r="B258" s="392"/>
      <c r="C258" s="404"/>
      <c r="D258" s="402"/>
      <c r="E258" s="426"/>
      <c r="F258" s="427"/>
      <c r="G258" s="427"/>
      <c r="H258" s="427"/>
      <c r="I258" s="428"/>
      <c r="K258" s="427"/>
      <c r="L258" s="428"/>
      <c r="M258" s="428"/>
      <c r="Q258" s="392"/>
      <c r="R258" s="392"/>
      <c r="T258" s="417"/>
      <c r="U258"/>
      <c r="V258" s="46"/>
      <c r="W258" s="392"/>
      <c r="X258" s="392"/>
      <c r="Y258" s="47"/>
    </row>
    <row r="259" spans="1:25" ht="13.5" customHeight="1">
      <c r="A259" s="411"/>
      <c r="B259" s="392"/>
      <c r="C259" s="404"/>
      <c r="D259" s="402"/>
      <c r="E259" s="426"/>
      <c r="F259" s="427"/>
      <c r="G259" s="427"/>
      <c r="H259" s="427"/>
      <c r="I259" s="428"/>
      <c r="K259" s="427"/>
      <c r="L259" s="428"/>
      <c r="M259" s="428"/>
      <c r="Q259" s="392"/>
      <c r="R259" s="392"/>
      <c r="T259" s="417"/>
      <c r="U259"/>
      <c r="V259" s="46"/>
      <c r="W259" s="392"/>
      <c r="X259" s="392"/>
      <c r="Y259" s="47"/>
    </row>
    <row r="260" spans="1:25" ht="13.5" customHeight="1">
      <c r="A260" s="411"/>
      <c r="B260" s="392"/>
      <c r="C260" s="404"/>
      <c r="D260" s="402"/>
      <c r="E260" s="426"/>
      <c r="F260" s="427"/>
      <c r="G260" s="427"/>
      <c r="H260" s="427"/>
      <c r="I260" s="428"/>
      <c r="K260" s="427"/>
      <c r="L260" s="428"/>
      <c r="M260" s="428"/>
      <c r="Q260" s="392"/>
      <c r="R260" s="392"/>
      <c r="T260" s="417"/>
      <c r="U260"/>
      <c r="V260" s="46"/>
      <c r="W260" s="392"/>
      <c r="X260" s="392"/>
      <c r="Y260" s="47"/>
    </row>
    <row r="261" spans="1:25" ht="13.5" customHeight="1">
      <c r="A261" s="411"/>
      <c r="B261" s="392"/>
      <c r="C261" s="404"/>
      <c r="D261" s="402"/>
      <c r="E261" s="426"/>
      <c r="F261" s="427"/>
      <c r="G261" s="427"/>
      <c r="H261" s="427"/>
      <c r="I261" s="428"/>
      <c r="K261" s="427"/>
      <c r="L261" s="428"/>
      <c r="M261" s="428"/>
      <c r="Q261" s="392"/>
      <c r="R261" s="392"/>
      <c r="T261" s="417"/>
      <c r="U261"/>
      <c r="V261" s="46"/>
      <c r="W261" s="392"/>
      <c r="X261" s="392"/>
      <c r="Y261" s="47"/>
    </row>
    <row r="262" spans="1:25" ht="13.5" customHeight="1">
      <c r="A262" s="411"/>
      <c r="B262" s="392"/>
      <c r="C262" s="404"/>
      <c r="D262" s="402"/>
      <c r="E262" s="426"/>
      <c r="F262" s="427"/>
      <c r="G262" s="427"/>
      <c r="H262" s="427"/>
      <c r="I262" s="428"/>
      <c r="K262" s="427"/>
      <c r="L262" s="428"/>
      <c r="M262" s="428"/>
      <c r="Q262" s="392"/>
      <c r="R262" s="392"/>
      <c r="T262" s="417"/>
      <c r="U262"/>
      <c r="V262" s="46"/>
      <c r="W262" s="392"/>
      <c r="X262" s="392"/>
      <c r="Y262" s="47"/>
    </row>
    <row r="263" spans="1:25" ht="13.5" customHeight="1">
      <c r="A263" s="411"/>
      <c r="B263" s="392"/>
      <c r="C263" s="404"/>
      <c r="D263" s="402"/>
      <c r="E263" s="426"/>
      <c r="F263" s="427"/>
      <c r="G263" s="427"/>
      <c r="H263" s="427"/>
      <c r="I263" s="428"/>
      <c r="K263" s="427"/>
      <c r="L263" s="428"/>
      <c r="M263" s="428"/>
      <c r="Q263" s="392"/>
      <c r="R263" s="392"/>
      <c r="T263" s="417"/>
      <c r="U263"/>
      <c r="V263" s="46"/>
      <c r="W263" s="392"/>
      <c r="X263" s="392"/>
      <c r="Y263" s="47"/>
    </row>
    <row r="264" spans="1:25" ht="13.5" customHeight="1">
      <c r="A264" s="411"/>
      <c r="B264" s="392"/>
      <c r="C264" s="404"/>
      <c r="D264" s="402"/>
      <c r="E264" s="426"/>
      <c r="F264" s="427"/>
      <c r="G264" s="427"/>
      <c r="H264" s="427"/>
      <c r="I264" s="428"/>
      <c r="K264" s="427"/>
      <c r="L264" s="428"/>
      <c r="M264" s="428"/>
      <c r="Q264" s="392"/>
      <c r="R264" s="392"/>
      <c r="T264" s="417"/>
      <c r="U264"/>
      <c r="V264" s="46"/>
      <c r="W264" s="392"/>
      <c r="X264" s="392"/>
      <c r="Y264" s="47"/>
    </row>
    <row r="265" spans="1:25" ht="13.5" customHeight="1">
      <c r="A265" s="411"/>
      <c r="B265" s="392"/>
      <c r="C265" s="404"/>
      <c r="D265" s="402"/>
      <c r="E265" s="426"/>
      <c r="F265" s="427"/>
      <c r="G265" s="427"/>
      <c r="H265" s="427"/>
      <c r="I265" s="428"/>
      <c r="K265" s="427"/>
      <c r="L265" s="428"/>
      <c r="M265" s="428"/>
      <c r="Q265" s="392"/>
      <c r="R265" s="392"/>
      <c r="T265" s="417"/>
      <c r="U265"/>
      <c r="V265" s="46"/>
      <c r="W265" s="392"/>
      <c r="X265" s="392"/>
      <c r="Y265" s="47"/>
    </row>
    <row r="266" spans="1:25" ht="13.5" customHeight="1">
      <c r="A266" s="411"/>
      <c r="B266" s="392"/>
      <c r="C266" s="404"/>
      <c r="D266" s="402"/>
      <c r="E266" s="426"/>
      <c r="F266" s="427"/>
      <c r="G266" s="427"/>
      <c r="H266" s="427"/>
      <c r="I266" s="428"/>
      <c r="K266" s="427"/>
      <c r="L266" s="428"/>
      <c r="M266" s="428"/>
      <c r="Q266" s="392"/>
      <c r="R266" s="392"/>
      <c r="T266" s="417"/>
      <c r="U266"/>
      <c r="V266" s="46"/>
      <c r="W266" s="392"/>
      <c r="X266" s="392"/>
      <c r="Y266" s="47"/>
    </row>
    <row r="267" spans="1:25" ht="13.5" customHeight="1">
      <c r="A267" s="411"/>
      <c r="B267" s="392"/>
      <c r="C267" s="404"/>
      <c r="D267" s="402"/>
      <c r="E267" s="426"/>
      <c r="F267" s="427"/>
      <c r="G267" s="427"/>
      <c r="H267" s="427"/>
      <c r="I267" s="428"/>
      <c r="K267" s="427"/>
      <c r="L267" s="428"/>
      <c r="M267" s="428"/>
      <c r="Q267" s="392"/>
      <c r="R267" s="392"/>
      <c r="T267" s="417"/>
      <c r="U267"/>
      <c r="V267" s="46"/>
      <c r="W267" s="392"/>
      <c r="X267" s="392"/>
      <c r="Y267" s="47"/>
    </row>
    <row r="268" spans="1:25" ht="13.5" customHeight="1">
      <c r="A268" s="411"/>
      <c r="B268" s="392"/>
      <c r="C268" s="404"/>
      <c r="D268" s="402"/>
      <c r="E268" s="426"/>
      <c r="F268" s="427"/>
      <c r="G268" s="427"/>
      <c r="H268" s="427"/>
      <c r="I268" s="428"/>
      <c r="K268" s="427"/>
      <c r="L268" s="428"/>
      <c r="M268" s="428"/>
      <c r="Q268" s="392"/>
      <c r="R268" s="392"/>
      <c r="T268" s="417"/>
      <c r="U268"/>
      <c r="V268" s="46"/>
      <c r="W268" s="392"/>
      <c r="X268" s="392"/>
      <c r="Y268" s="47"/>
    </row>
    <row r="269" spans="1:25" ht="13.5" customHeight="1">
      <c r="A269" s="411"/>
      <c r="B269" s="392"/>
      <c r="C269" s="404"/>
      <c r="D269" s="402"/>
      <c r="E269" s="426"/>
      <c r="F269" s="427"/>
      <c r="G269" s="427"/>
      <c r="H269" s="427"/>
      <c r="I269" s="428"/>
      <c r="K269" s="427"/>
      <c r="L269" s="428"/>
      <c r="M269" s="428"/>
      <c r="Q269" s="392"/>
      <c r="R269" s="392"/>
      <c r="T269" s="417"/>
      <c r="U269"/>
      <c r="V269" s="46"/>
      <c r="W269" s="392"/>
      <c r="X269" s="392"/>
      <c r="Y269" s="47"/>
    </row>
    <row r="270" spans="1:25" ht="13.5" customHeight="1">
      <c r="A270" s="411"/>
      <c r="B270" s="392"/>
      <c r="C270" s="404"/>
      <c r="D270" s="402"/>
      <c r="E270" s="426"/>
      <c r="F270" s="427"/>
      <c r="G270" s="427"/>
      <c r="H270" s="427"/>
      <c r="I270" s="428"/>
      <c r="K270" s="427"/>
      <c r="L270" s="428"/>
      <c r="M270" s="428"/>
      <c r="Q270" s="392"/>
      <c r="R270" s="392"/>
      <c r="T270" s="417"/>
      <c r="U270"/>
      <c r="V270" s="46"/>
      <c r="W270" s="392"/>
      <c r="X270" s="392"/>
      <c r="Y270" s="47"/>
    </row>
    <row r="271" spans="1:25" ht="13.5" customHeight="1">
      <c r="A271" s="411"/>
      <c r="B271" s="392"/>
      <c r="C271" s="404"/>
      <c r="D271" s="402"/>
      <c r="E271" s="426"/>
      <c r="F271" s="427"/>
      <c r="G271" s="427"/>
      <c r="H271" s="427"/>
      <c r="I271" s="428"/>
      <c r="K271" s="427"/>
      <c r="L271" s="428"/>
      <c r="M271" s="428"/>
      <c r="Q271" s="392"/>
      <c r="R271" s="392"/>
      <c r="T271" s="417"/>
      <c r="U271"/>
      <c r="V271" s="46"/>
      <c r="W271" s="392"/>
      <c r="X271" s="392"/>
      <c r="Y271" s="47"/>
    </row>
    <row r="272" spans="1:25" ht="13.5" customHeight="1">
      <c r="A272" s="411"/>
      <c r="B272" s="392"/>
      <c r="C272" s="404"/>
      <c r="D272" s="402"/>
      <c r="E272" s="426"/>
      <c r="F272" s="427"/>
      <c r="G272" s="427"/>
      <c r="H272" s="427"/>
      <c r="I272" s="428"/>
      <c r="K272" s="427"/>
      <c r="L272" s="428"/>
      <c r="M272" s="428"/>
      <c r="Q272" s="392"/>
      <c r="R272" s="392"/>
      <c r="T272" s="417"/>
      <c r="U272"/>
      <c r="V272" s="46"/>
      <c r="W272" s="392"/>
      <c r="X272" s="392"/>
      <c r="Y272" s="47"/>
    </row>
    <row r="273" spans="1:25" ht="13.5" customHeight="1">
      <c r="A273" s="411"/>
      <c r="B273" s="392"/>
      <c r="C273" s="404"/>
      <c r="D273" s="402"/>
      <c r="E273" s="426"/>
      <c r="F273" s="427"/>
      <c r="G273" s="427"/>
      <c r="H273" s="427"/>
      <c r="I273" s="428"/>
      <c r="K273" s="427"/>
      <c r="L273" s="428"/>
      <c r="M273" s="428"/>
      <c r="Q273" s="392"/>
      <c r="R273" s="392"/>
      <c r="T273" s="417"/>
      <c r="U273"/>
      <c r="V273" s="46"/>
      <c r="W273" s="392"/>
      <c r="X273" s="392"/>
      <c r="Y273" s="47"/>
    </row>
    <row r="274" spans="1:25" ht="13.5" customHeight="1">
      <c r="A274" s="411"/>
      <c r="B274" s="392"/>
      <c r="C274" s="404"/>
      <c r="D274" s="402"/>
      <c r="E274" s="426"/>
      <c r="F274" s="427"/>
      <c r="G274" s="427"/>
      <c r="H274" s="427"/>
      <c r="I274" s="428"/>
      <c r="K274" s="427"/>
      <c r="L274" s="428"/>
      <c r="M274" s="428"/>
      <c r="Q274" s="392"/>
      <c r="R274" s="392"/>
      <c r="T274" s="417"/>
      <c r="U274"/>
      <c r="V274" s="46"/>
      <c r="W274" s="392"/>
      <c r="X274" s="392"/>
      <c r="Y274" s="47"/>
    </row>
    <row r="275" spans="1:25" ht="13.5" customHeight="1">
      <c r="A275" s="411"/>
      <c r="B275" s="392"/>
      <c r="C275" s="404"/>
      <c r="D275" s="402"/>
      <c r="E275" s="426"/>
      <c r="F275" s="427"/>
      <c r="G275" s="427"/>
      <c r="H275" s="427"/>
      <c r="I275" s="428"/>
      <c r="K275" s="427"/>
      <c r="L275" s="428"/>
      <c r="M275" s="428"/>
      <c r="Q275" s="392"/>
      <c r="R275" s="392"/>
      <c r="T275" s="417"/>
      <c r="U275"/>
      <c r="V275" s="46"/>
      <c r="W275" s="392"/>
      <c r="X275" s="392"/>
      <c r="Y275" s="47"/>
    </row>
    <row r="276" spans="1:25" ht="13.5" customHeight="1">
      <c r="A276" s="411"/>
      <c r="B276" s="392"/>
      <c r="C276" s="404"/>
      <c r="D276" s="402"/>
      <c r="E276" s="426"/>
      <c r="F276" s="427"/>
      <c r="G276" s="427"/>
      <c r="H276" s="427"/>
      <c r="I276" s="428"/>
      <c r="K276" s="427"/>
      <c r="L276" s="428"/>
      <c r="M276" s="428"/>
      <c r="Q276" s="392"/>
      <c r="R276" s="392"/>
      <c r="T276" s="417"/>
      <c r="U276"/>
      <c r="V276" s="46"/>
      <c r="W276" s="392"/>
      <c r="X276" s="392"/>
      <c r="Y276" s="47"/>
    </row>
    <row r="277" spans="1:25" ht="13.5" customHeight="1">
      <c r="A277" s="411"/>
      <c r="B277" s="392"/>
      <c r="C277" s="404"/>
      <c r="D277" s="402"/>
      <c r="E277" s="426"/>
      <c r="F277" s="427"/>
      <c r="G277" s="427"/>
      <c r="H277" s="427"/>
      <c r="I277" s="428"/>
      <c r="K277" s="427"/>
      <c r="L277" s="428"/>
      <c r="M277" s="428"/>
      <c r="Q277" s="392"/>
      <c r="R277" s="392"/>
      <c r="T277" s="417"/>
      <c r="U277"/>
      <c r="V277" s="46"/>
      <c r="W277" s="392"/>
      <c r="X277" s="392"/>
      <c r="Y277" s="47"/>
    </row>
    <row r="278" spans="1:25" ht="13.5" customHeight="1">
      <c r="A278" s="411"/>
      <c r="B278" s="392"/>
      <c r="C278" s="404"/>
      <c r="D278" s="402"/>
      <c r="E278" s="426"/>
      <c r="F278" s="427"/>
      <c r="G278" s="427"/>
      <c r="H278" s="427"/>
      <c r="I278" s="428"/>
      <c r="K278" s="427"/>
      <c r="L278" s="428"/>
      <c r="M278" s="428"/>
      <c r="Q278" s="392"/>
      <c r="R278" s="392"/>
      <c r="T278" s="417"/>
      <c r="U278"/>
      <c r="V278" s="46"/>
      <c r="W278" s="392"/>
      <c r="X278" s="392"/>
      <c r="Y278" s="47"/>
    </row>
    <row r="279" spans="1:25" ht="13.5" customHeight="1">
      <c r="A279" s="411"/>
      <c r="B279" s="392"/>
      <c r="C279" s="404"/>
      <c r="D279" s="402"/>
      <c r="E279" s="426"/>
      <c r="F279" s="427"/>
      <c r="G279" s="427"/>
      <c r="H279" s="427"/>
      <c r="I279" s="428"/>
      <c r="K279" s="427"/>
      <c r="L279" s="428"/>
      <c r="M279" s="428"/>
      <c r="Q279" s="392"/>
      <c r="R279" s="392"/>
      <c r="T279" s="417"/>
      <c r="U279"/>
      <c r="V279" s="46"/>
      <c r="W279" s="392"/>
      <c r="X279" s="392"/>
      <c r="Y279" s="47"/>
    </row>
    <row r="280" spans="1:25" ht="13.5" customHeight="1">
      <c r="A280" s="411"/>
      <c r="B280" s="392"/>
      <c r="C280" s="404"/>
      <c r="D280" s="402"/>
      <c r="E280" s="426"/>
      <c r="F280" s="427"/>
      <c r="G280" s="427"/>
      <c r="H280" s="427"/>
      <c r="I280" s="428"/>
      <c r="K280" s="427"/>
      <c r="L280" s="428"/>
      <c r="M280" s="428"/>
      <c r="Q280" s="392"/>
      <c r="R280" s="392"/>
      <c r="T280" s="417"/>
      <c r="U280"/>
      <c r="V280" s="46"/>
      <c r="W280" s="392"/>
      <c r="X280" s="392"/>
      <c r="Y280" s="47"/>
    </row>
    <row r="281" spans="1:25" ht="13.5" customHeight="1">
      <c r="A281" s="411"/>
      <c r="B281" s="392"/>
      <c r="C281" s="404"/>
      <c r="D281" s="402"/>
      <c r="E281" s="426"/>
      <c r="F281" s="427"/>
      <c r="G281" s="427"/>
      <c r="H281" s="427"/>
      <c r="I281" s="428"/>
      <c r="K281" s="427"/>
      <c r="L281" s="428"/>
      <c r="M281" s="428"/>
      <c r="Q281" s="392"/>
      <c r="R281" s="392"/>
      <c r="T281" s="417"/>
      <c r="U281"/>
      <c r="V281" s="46"/>
      <c r="W281" s="392"/>
      <c r="X281" s="392"/>
      <c r="Y281" s="47"/>
    </row>
    <row r="282" spans="1:25" ht="13.5" customHeight="1">
      <c r="A282" s="411"/>
      <c r="B282" s="392"/>
      <c r="C282" s="404"/>
      <c r="D282" s="402"/>
      <c r="E282" s="426"/>
      <c r="F282" s="427"/>
      <c r="G282" s="427"/>
      <c r="H282" s="427"/>
      <c r="I282" s="428"/>
      <c r="K282" s="427"/>
      <c r="L282" s="428"/>
      <c r="M282" s="428"/>
      <c r="Q282" s="392"/>
      <c r="R282" s="392"/>
      <c r="T282" s="417"/>
      <c r="U282"/>
      <c r="V282" s="46"/>
      <c r="W282" s="392"/>
      <c r="X282" s="392"/>
      <c r="Y282" s="47"/>
    </row>
    <row r="283" spans="1:25" ht="13.5" customHeight="1">
      <c r="A283" s="411"/>
      <c r="B283" s="392"/>
      <c r="C283" s="404"/>
      <c r="D283" s="402"/>
      <c r="E283" s="426"/>
      <c r="F283" s="427"/>
      <c r="G283" s="427"/>
      <c r="H283" s="427"/>
      <c r="I283" s="428"/>
      <c r="K283" s="427"/>
      <c r="L283" s="428"/>
      <c r="M283" s="428"/>
      <c r="Q283" s="392"/>
      <c r="R283" s="392"/>
      <c r="T283" s="417"/>
      <c r="U283"/>
      <c r="V283" s="46"/>
      <c r="W283" s="392"/>
      <c r="X283" s="392"/>
      <c r="Y283" s="47"/>
    </row>
    <row r="284" spans="1:25" ht="13.5" customHeight="1">
      <c r="A284" s="411"/>
      <c r="B284" s="392"/>
      <c r="C284" s="404"/>
      <c r="D284" s="402"/>
      <c r="E284" s="426"/>
      <c r="F284" s="427"/>
      <c r="G284" s="427"/>
      <c r="H284" s="427"/>
      <c r="I284" s="428"/>
      <c r="K284" s="427"/>
      <c r="L284" s="428"/>
      <c r="M284" s="428"/>
      <c r="Q284" s="392"/>
      <c r="R284" s="392"/>
      <c r="T284" s="417"/>
      <c r="U284"/>
      <c r="V284" s="46"/>
      <c r="W284" s="392"/>
      <c r="X284" s="392"/>
      <c r="Y284" s="47"/>
    </row>
    <row r="285" spans="1:25" ht="13.5" customHeight="1">
      <c r="A285" s="411"/>
      <c r="B285" s="392"/>
      <c r="C285" s="404"/>
      <c r="D285" s="402"/>
      <c r="E285" s="426"/>
      <c r="F285" s="427"/>
      <c r="G285" s="427"/>
      <c r="H285" s="427"/>
      <c r="I285" s="428"/>
      <c r="K285" s="427"/>
      <c r="L285" s="428"/>
      <c r="M285" s="428"/>
      <c r="Q285" s="392"/>
      <c r="R285" s="392"/>
      <c r="T285" s="417"/>
      <c r="U285"/>
      <c r="V285" s="46"/>
      <c r="W285" s="392"/>
      <c r="X285" s="392"/>
      <c r="Y285" s="47"/>
    </row>
    <row r="286" spans="1:25" ht="13.5" customHeight="1">
      <c r="A286" s="411"/>
      <c r="B286" s="392"/>
      <c r="C286" s="404"/>
      <c r="D286" s="402"/>
      <c r="E286" s="426"/>
      <c r="F286" s="427"/>
      <c r="G286" s="427"/>
      <c r="H286" s="427"/>
      <c r="I286" s="428"/>
      <c r="K286" s="427"/>
      <c r="L286" s="428"/>
      <c r="M286" s="428"/>
      <c r="Q286" s="392"/>
      <c r="R286" s="392"/>
      <c r="T286" s="417"/>
      <c r="U286"/>
      <c r="V286" s="46"/>
      <c r="W286" s="392"/>
      <c r="X286" s="392"/>
      <c r="Y286" s="47"/>
    </row>
    <row r="287" spans="1:25" ht="13.5" customHeight="1">
      <c r="A287" s="411"/>
      <c r="B287" s="392"/>
      <c r="C287" s="404"/>
      <c r="D287" s="402"/>
      <c r="E287" s="426"/>
      <c r="F287" s="427"/>
      <c r="G287" s="427"/>
      <c r="H287" s="427"/>
      <c r="I287" s="428"/>
      <c r="K287" s="427"/>
      <c r="L287" s="428"/>
      <c r="M287" s="428"/>
      <c r="Q287" s="392"/>
      <c r="R287" s="392"/>
      <c r="T287" s="417"/>
      <c r="U287"/>
      <c r="V287" s="46"/>
      <c r="W287" s="392"/>
      <c r="X287" s="392"/>
      <c r="Y287" s="47"/>
    </row>
    <row r="288" spans="1:25" ht="13.5" customHeight="1">
      <c r="A288" s="411"/>
      <c r="B288" s="392"/>
      <c r="C288" s="404"/>
      <c r="D288" s="402"/>
      <c r="E288" s="426"/>
      <c r="F288" s="427"/>
      <c r="G288" s="427"/>
      <c r="H288" s="427"/>
      <c r="I288" s="428"/>
      <c r="K288" s="427"/>
      <c r="L288" s="428"/>
      <c r="M288" s="428"/>
      <c r="Q288" s="392"/>
      <c r="R288" s="392"/>
      <c r="T288" s="417"/>
      <c r="U288"/>
      <c r="V288" s="46"/>
      <c r="W288" s="392"/>
      <c r="X288" s="392"/>
      <c r="Y288" s="47"/>
    </row>
    <row r="289" spans="1:25" ht="13.5" customHeight="1">
      <c r="A289" s="411"/>
      <c r="B289" s="392"/>
      <c r="C289" s="404"/>
      <c r="D289" s="402"/>
      <c r="E289" s="426"/>
      <c r="F289" s="427"/>
      <c r="G289" s="427"/>
      <c r="H289" s="427"/>
      <c r="I289" s="428"/>
      <c r="K289" s="427"/>
      <c r="L289" s="428"/>
      <c r="M289" s="428"/>
      <c r="Q289" s="392"/>
      <c r="R289" s="392"/>
      <c r="T289" s="417"/>
      <c r="U289"/>
      <c r="V289" s="46"/>
      <c r="W289" s="392"/>
      <c r="X289" s="392"/>
      <c r="Y289" s="47"/>
    </row>
    <row r="290" spans="1:25" ht="13.5" customHeight="1">
      <c r="A290" s="411"/>
      <c r="B290" s="392"/>
      <c r="C290" s="404"/>
      <c r="D290" s="402"/>
      <c r="E290" s="426"/>
      <c r="F290" s="427"/>
      <c r="G290" s="427"/>
      <c r="H290" s="427"/>
      <c r="I290" s="428"/>
      <c r="K290" s="427"/>
      <c r="L290" s="428"/>
      <c r="M290" s="428"/>
      <c r="Q290" s="392"/>
      <c r="R290" s="392"/>
      <c r="T290" s="417"/>
      <c r="U290"/>
      <c r="V290" s="46"/>
      <c r="W290" s="392"/>
      <c r="X290" s="392"/>
      <c r="Y290" s="47"/>
    </row>
    <row r="291" spans="1:25" ht="13.5" customHeight="1">
      <c r="A291" s="411"/>
      <c r="B291" s="392"/>
      <c r="C291" s="404"/>
      <c r="D291" s="402"/>
      <c r="E291" s="426"/>
      <c r="F291" s="427"/>
      <c r="G291" s="427"/>
      <c r="H291" s="427"/>
      <c r="I291" s="428"/>
      <c r="K291" s="427"/>
      <c r="L291" s="428"/>
      <c r="M291" s="428"/>
      <c r="Q291" s="392"/>
      <c r="R291" s="392"/>
      <c r="T291" s="417"/>
      <c r="U291"/>
      <c r="V291" s="46"/>
      <c r="W291" s="392"/>
      <c r="X291" s="392"/>
      <c r="Y291" s="47"/>
    </row>
    <row r="292" spans="1:25" ht="13.5" customHeight="1">
      <c r="A292" s="411"/>
      <c r="B292" s="392"/>
      <c r="C292" s="404"/>
      <c r="D292" s="402"/>
      <c r="E292" s="426"/>
      <c r="F292" s="427"/>
      <c r="G292" s="427"/>
      <c r="H292" s="427"/>
      <c r="I292" s="428"/>
      <c r="K292" s="427"/>
      <c r="L292" s="428"/>
      <c r="M292" s="428"/>
      <c r="Q292" s="392"/>
      <c r="R292" s="392"/>
      <c r="T292" s="417"/>
      <c r="U292"/>
      <c r="V292" s="46"/>
      <c r="W292" s="392"/>
      <c r="X292" s="392"/>
      <c r="Y292" s="47"/>
    </row>
    <row r="293" spans="1:25" ht="13.5" customHeight="1">
      <c r="A293" s="411"/>
      <c r="B293" s="392"/>
      <c r="C293" s="404"/>
      <c r="D293" s="402"/>
      <c r="E293" s="426"/>
      <c r="F293" s="427"/>
      <c r="G293" s="427"/>
      <c r="H293" s="427"/>
      <c r="I293" s="428"/>
      <c r="K293" s="427"/>
      <c r="L293" s="428"/>
      <c r="M293" s="428"/>
      <c r="Q293" s="392"/>
      <c r="R293" s="392"/>
      <c r="T293" s="417"/>
      <c r="U293"/>
      <c r="V293" s="46"/>
      <c r="W293" s="392"/>
      <c r="X293" s="392"/>
      <c r="Y293" s="47"/>
    </row>
    <row r="294" spans="1:25" ht="13.5" customHeight="1">
      <c r="A294" s="411"/>
      <c r="B294" s="392"/>
      <c r="C294" s="404"/>
      <c r="D294" s="402"/>
      <c r="E294" s="426"/>
      <c r="F294" s="427"/>
      <c r="G294" s="427"/>
      <c r="H294" s="427"/>
      <c r="I294" s="428"/>
      <c r="K294" s="427"/>
      <c r="L294" s="428"/>
      <c r="M294" s="428"/>
      <c r="Q294" s="392"/>
      <c r="R294" s="392"/>
      <c r="T294" s="417"/>
      <c r="U294"/>
      <c r="V294" s="46"/>
      <c r="W294" s="392"/>
      <c r="X294" s="392"/>
      <c r="Y294" s="47"/>
    </row>
    <row r="295" spans="1:25" ht="13.5" customHeight="1">
      <c r="A295" s="411"/>
      <c r="B295" s="392"/>
      <c r="C295" s="404"/>
      <c r="D295" s="402"/>
      <c r="E295" s="426"/>
      <c r="F295" s="427"/>
      <c r="G295" s="427"/>
      <c r="H295" s="427"/>
      <c r="I295" s="428"/>
      <c r="K295" s="427"/>
      <c r="L295" s="428"/>
      <c r="M295" s="428"/>
      <c r="Q295" s="392"/>
      <c r="R295" s="392"/>
      <c r="T295" s="417"/>
      <c r="U295"/>
      <c r="V295" s="46"/>
      <c r="W295" s="392"/>
      <c r="X295" s="392"/>
      <c r="Y295" s="47"/>
    </row>
    <row r="296" spans="1:25" ht="13.5" customHeight="1">
      <c r="A296" s="411"/>
      <c r="B296" s="392"/>
      <c r="C296" s="404"/>
      <c r="D296" s="402"/>
      <c r="E296" s="426"/>
      <c r="F296" s="427"/>
      <c r="G296" s="427"/>
      <c r="H296" s="427"/>
      <c r="I296" s="428"/>
      <c r="K296" s="427"/>
      <c r="L296" s="428"/>
      <c r="M296" s="428"/>
      <c r="Q296" s="392"/>
      <c r="R296" s="392"/>
      <c r="T296" s="417"/>
      <c r="U296"/>
      <c r="V296" s="46"/>
      <c r="W296" s="392"/>
      <c r="X296" s="392"/>
      <c r="Y296" s="47"/>
    </row>
    <row r="297" spans="1:25" ht="13.5" customHeight="1">
      <c r="A297" s="411"/>
      <c r="B297" s="392"/>
      <c r="C297" s="404"/>
      <c r="D297" s="402"/>
      <c r="E297" s="426"/>
      <c r="F297" s="427"/>
      <c r="G297" s="427"/>
      <c r="H297" s="427"/>
      <c r="I297" s="428"/>
      <c r="K297" s="427"/>
      <c r="L297" s="428"/>
      <c r="M297" s="428"/>
      <c r="Q297" s="392"/>
      <c r="R297" s="392"/>
      <c r="T297" s="417"/>
      <c r="U297"/>
      <c r="V297" s="46"/>
      <c r="W297" s="392"/>
      <c r="X297" s="392"/>
      <c r="Y297" s="392"/>
    </row>
    <row r="298" spans="1:25" ht="13.5" customHeight="1">
      <c r="A298" s="411"/>
      <c r="B298" s="392"/>
      <c r="C298" s="404"/>
      <c r="D298" s="402"/>
      <c r="E298" s="426"/>
      <c r="F298" s="427"/>
      <c r="G298" s="427"/>
      <c r="H298" s="427"/>
      <c r="I298" s="428"/>
      <c r="K298" s="427"/>
      <c r="L298" s="428"/>
      <c r="M298" s="428"/>
      <c r="Q298" s="392"/>
      <c r="R298" s="392"/>
      <c r="T298" s="417"/>
      <c r="U298"/>
      <c r="V298" s="46"/>
      <c r="W298" s="392"/>
      <c r="X298" s="392"/>
      <c r="Y298" s="392"/>
    </row>
    <row r="299" spans="1:25" ht="13.5" customHeight="1">
      <c r="A299" s="411"/>
      <c r="B299" s="392"/>
      <c r="C299" s="404"/>
      <c r="D299" s="402"/>
      <c r="E299" s="426"/>
      <c r="F299" s="427"/>
      <c r="G299" s="427"/>
      <c r="H299" s="427"/>
      <c r="I299" s="428"/>
      <c r="K299" s="427"/>
      <c r="L299" s="428"/>
      <c r="M299" s="428"/>
      <c r="Q299" s="392"/>
      <c r="R299" s="392"/>
      <c r="T299" s="417"/>
      <c r="U299"/>
      <c r="V299" s="46"/>
      <c r="W299" s="392"/>
      <c r="X299" s="392"/>
      <c r="Y299" s="392"/>
    </row>
    <row r="300" spans="1:25" ht="13.5" customHeight="1">
      <c r="A300" s="411"/>
      <c r="B300" s="392"/>
      <c r="C300" s="404"/>
      <c r="D300" s="402"/>
      <c r="E300" s="426"/>
      <c r="F300" s="427"/>
      <c r="G300" s="427"/>
      <c r="H300" s="427"/>
      <c r="I300" s="428"/>
      <c r="K300" s="427"/>
      <c r="L300" s="428"/>
      <c r="M300" s="428"/>
      <c r="Q300" s="392"/>
      <c r="R300" s="392"/>
      <c r="T300" s="417"/>
      <c r="U300"/>
      <c r="V300" s="46"/>
      <c r="W300" s="392"/>
      <c r="X300" s="392"/>
      <c r="Y300" s="392"/>
    </row>
    <row r="301" spans="1:25" ht="13.5" customHeight="1">
      <c r="A301" s="411"/>
      <c r="B301" s="392"/>
      <c r="C301" s="404"/>
      <c r="D301" s="402"/>
      <c r="E301" s="426"/>
      <c r="F301" s="427"/>
      <c r="G301" s="427"/>
      <c r="H301" s="427"/>
      <c r="I301" s="428"/>
      <c r="K301" s="427"/>
      <c r="L301" s="428"/>
      <c r="M301" s="428"/>
      <c r="Q301" s="392"/>
      <c r="R301" s="392"/>
      <c r="T301" s="417"/>
      <c r="U301"/>
      <c r="V301" s="46"/>
      <c r="W301" s="392"/>
      <c r="X301" s="392"/>
      <c r="Y301" s="392"/>
    </row>
    <row r="302" spans="1:25" ht="13.5" customHeight="1">
      <c r="A302" s="411"/>
      <c r="B302" s="392"/>
      <c r="C302" s="404"/>
      <c r="D302" s="402"/>
      <c r="E302" s="426"/>
      <c r="F302" s="427"/>
      <c r="G302" s="427"/>
      <c r="H302" s="427"/>
      <c r="I302" s="428"/>
      <c r="K302" s="427"/>
      <c r="L302" s="428"/>
      <c r="M302" s="428"/>
      <c r="Q302" s="392"/>
      <c r="R302" s="392"/>
      <c r="T302" s="417"/>
      <c r="U302"/>
      <c r="V302" s="46"/>
      <c r="W302" s="392"/>
      <c r="X302" s="392"/>
      <c r="Y302" s="392"/>
    </row>
    <row r="303" spans="1:25" ht="13.5" customHeight="1">
      <c r="A303" s="411"/>
      <c r="B303" s="392"/>
      <c r="C303" s="404"/>
      <c r="D303" s="402"/>
      <c r="E303" s="426"/>
      <c r="F303" s="427"/>
      <c r="G303" s="427"/>
      <c r="H303" s="427"/>
      <c r="I303" s="428"/>
      <c r="K303" s="427"/>
      <c r="L303" s="428"/>
      <c r="M303" s="428"/>
      <c r="Q303" s="392"/>
      <c r="R303" s="392"/>
      <c r="T303" s="417"/>
      <c r="U303"/>
      <c r="V303" s="46"/>
      <c r="W303" s="392"/>
      <c r="X303" s="392"/>
      <c r="Y303" s="392"/>
    </row>
    <row r="304" spans="1:25" ht="13.5" customHeight="1">
      <c r="A304" s="411"/>
      <c r="B304" s="392"/>
      <c r="C304" s="404"/>
      <c r="D304" s="402"/>
      <c r="E304" s="426"/>
      <c r="F304" s="427"/>
      <c r="G304" s="427"/>
      <c r="H304" s="427"/>
      <c r="I304" s="428"/>
      <c r="K304" s="427"/>
      <c r="L304" s="428"/>
      <c r="M304" s="428"/>
      <c r="Q304" s="392"/>
      <c r="R304" s="392"/>
      <c r="T304" s="417"/>
      <c r="U304"/>
      <c r="V304" s="46"/>
      <c r="W304" s="392"/>
      <c r="X304" s="392"/>
      <c r="Y304" s="392"/>
    </row>
    <row r="305" spans="1:25" ht="13.5" customHeight="1">
      <c r="A305" s="411"/>
      <c r="B305" s="392"/>
      <c r="C305" s="404"/>
      <c r="D305" s="402"/>
      <c r="E305" s="426"/>
      <c r="F305" s="427"/>
      <c r="G305" s="427"/>
      <c r="H305" s="427"/>
      <c r="I305" s="428"/>
      <c r="K305" s="427"/>
      <c r="L305" s="428"/>
      <c r="M305" s="428"/>
      <c r="Q305" s="392"/>
      <c r="R305" s="392"/>
      <c r="T305" s="417"/>
      <c r="U305"/>
      <c r="V305" s="46"/>
      <c r="W305" s="392"/>
      <c r="X305" s="392"/>
      <c r="Y305" s="392"/>
    </row>
    <row r="306" spans="1:25" ht="13.5" customHeight="1">
      <c r="A306" s="411"/>
      <c r="B306" s="392"/>
      <c r="C306" s="404"/>
      <c r="D306" s="402"/>
      <c r="E306" s="426"/>
      <c r="F306" s="427"/>
      <c r="G306" s="427"/>
      <c r="H306" s="427"/>
      <c r="I306" s="428"/>
      <c r="K306" s="427"/>
      <c r="L306" s="428"/>
      <c r="M306" s="428"/>
      <c r="Q306" s="392"/>
      <c r="R306" s="392"/>
      <c r="T306" s="417"/>
      <c r="U306"/>
      <c r="V306" s="46"/>
      <c r="W306" s="392"/>
      <c r="X306" s="392"/>
      <c r="Y306" s="392"/>
    </row>
    <row r="307" spans="1:25" ht="13.5" customHeight="1">
      <c r="A307" s="411"/>
      <c r="B307" s="392"/>
      <c r="C307" s="404"/>
      <c r="D307" s="402"/>
      <c r="E307" s="426"/>
      <c r="F307" s="427"/>
      <c r="G307" s="427"/>
      <c r="H307" s="427"/>
      <c r="I307" s="428"/>
      <c r="K307" s="427"/>
      <c r="L307" s="428"/>
      <c r="M307" s="428"/>
      <c r="Q307" s="392"/>
      <c r="R307" s="392"/>
      <c r="T307" s="417"/>
      <c r="U307"/>
      <c r="V307" s="46"/>
      <c r="W307" s="392"/>
      <c r="X307" s="392"/>
      <c r="Y307" s="392"/>
    </row>
    <row r="308" spans="1:25" ht="13.5" customHeight="1">
      <c r="A308" s="411"/>
      <c r="B308" s="392"/>
      <c r="C308" s="404"/>
      <c r="D308" s="402"/>
      <c r="E308" s="426"/>
      <c r="F308" s="427"/>
      <c r="G308" s="427"/>
      <c r="H308" s="427"/>
      <c r="I308" s="428"/>
      <c r="K308" s="427"/>
      <c r="L308" s="428"/>
      <c r="M308" s="428"/>
      <c r="Q308" s="392"/>
      <c r="R308" s="392"/>
      <c r="T308" s="417"/>
      <c r="U308"/>
      <c r="V308" s="46"/>
      <c r="W308" s="392"/>
      <c r="X308" s="392"/>
      <c r="Y308" s="392"/>
    </row>
    <row r="309" spans="1:25" ht="13.5" customHeight="1">
      <c r="A309" s="411"/>
      <c r="B309" s="392"/>
      <c r="C309" s="404"/>
      <c r="D309" s="402"/>
      <c r="E309" s="426"/>
      <c r="F309" s="427"/>
      <c r="G309" s="427"/>
      <c r="H309" s="427"/>
      <c r="I309" s="428"/>
      <c r="K309" s="427"/>
      <c r="L309" s="428"/>
      <c r="M309" s="428"/>
      <c r="Q309" s="392"/>
      <c r="R309" s="392"/>
      <c r="T309" s="417"/>
      <c r="U309"/>
      <c r="V309" s="46"/>
      <c r="W309" s="392"/>
      <c r="X309" s="392"/>
      <c r="Y309" s="392"/>
    </row>
    <row r="310" spans="1:25" ht="13.5" customHeight="1">
      <c r="A310" s="411"/>
      <c r="B310" s="392"/>
      <c r="C310" s="404"/>
      <c r="D310" s="402"/>
      <c r="E310" s="426"/>
      <c r="F310" s="427"/>
      <c r="G310" s="427"/>
      <c r="H310" s="427"/>
      <c r="I310" s="428"/>
      <c r="K310" s="427"/>
      <c r="L310" s="428"/>
      <c r="M310" s="428"/>
      <c r="Q310" s="392"/>
      <c r="R310" s="392"/>
      <c r="T310" s="417"/>
      <c r="U310"/>
      <c r="V310" s="46"/>
      <c r="W310" s="392"/>
      <c r="X310" s="392"/>
      <c r="Y310" s="392"/>
    </row>
    <row r="311" spans="1:25" ht="13.5" customHeight="1">
      <c r="A311" s="411"/>
      <c r="B311" s="392"/>
      <c r="C311" s="404"/>
      <c r="D311" s="402"/>
      <c r="E311" s="426"/>
      <c r="F311" s="427"/>
      <c r="G311" s="427"/>
      <c r="H311" s="427"/>
      <c r="I311" s="428"/>
      <c r="K311" s="427"/>
      <c r="L311" s="428"/>
      <c r="M311" s="428"/>
      <c r="Q311" s="392"/>
      <c r="R311" s="392"/>
      <c r="T311" s="417"/>
      <c r="U311"/>
      <c r="V311" s="46"/>
      <c r="W311" s="392"/>
      <c r="X311" s="392"/>
      <c r="Y311" s="392"/>
    </row>
    <row r="312" spans="1:25" ht="13.5" customHeight="1">
      <c r="A312" s="411"/>
      <c r="B312" s="392"/>
      <c r="C312" s="404"/>
      <c r="D312" s="402"/>
      <c r="E312" s="426"/>
      <c r="F312" s="427"/>
      <c r="G312" s="427"/>
      <c r="H312" s="427"/>
      <c r="I312" s="428"/>
      <c r="K312" s="427"/>
      <c r="L312" s="428"/>
      <c r="M312" s="428"/>
      <c r="Q312" s="392"/>
      <c r="R312" s="392"/>
      <c r="T312" s="417"/>
      <c r="U312"/>
      <c r="V312" s="46"/>
      <c r="W312" s="392"/>
      <c r="X312" s="392"/>
      <c r="Y312" s="392"/>
    </row>
    <row r="313" spans="1:25" ht="13.5" customHeight="1">
      <c r="A313" s="411"/>
      <c r="B313" s="392"/>
      <c r="C313" s="404"/>
      <c r="D313" s="402"/>
      <c r="E313" s="426"/>
      <c r="F313" s="427"/>
      <c r="G313" s="427"/>
      <c r="H313" s="427"/>
      <c r="I313" s="428"/>
      <c r="K313" s="427"/>
      <c r="L313" s="428"/>
      <c r="M313" s="428"/>
      <c r="Q313" s="392"/>
      <c r="R313" s="392"/>
      <c r="T313" s="417"/>
      <c r="U313"/>
      <c r="V313" s="46"/>
      <c r="W313" s="392"/>
      <c r="X313" s="392"/>
      <c r="Y313" s="392"/>
    </row>
    <row r="314" spans="1:25" ht="13.5" customHeight="1">
      <c r="A314" s="411"/>
      <c r="B314" s="392"/>
      <c r="C314" s="404"/>
      <c r="D314" s="402"/>
      <c r="E314" s="426"/>
      <c r="F314" s="427"/>
      <c r="G314" s="427"/>
      <c r="H314" s="427"/>
      <c r="I314" s="428"/>
      <c r="K314" s="427"/>
      <c r="L314" s="428"/>
      <c r="M314" s="428"/>
      <c r="Q314" s="392"/>
      <c r="R314" s="392"/>
      <c r="T314" s="417"/>
      <c r="U314"/>
      <c r="V314" s="46"/>
      <c r="W314" s="392"/>
      <c r="X314" s="392"/>
      <c r="Y314" s="392"/>
    </row>
    <row r="315" spans="1:25" ht="13.5" customHeight="1">
      <c r="A315" s="411"/>
      <c r="B315" s="392"/>
      <c r="C315" s="404"/>
      <c r="D315" s="402"/>
      <c r="E315" s="426"/>
      <c r="F315" s="427"/>
      <c r="G315" s="427"/>
      <c r="H315" s="427"/>
      <c r="I315" s="428"/>
      <c r="K315" s="427"/>
      <c r="L315" s="428"/>
      <c r="M315" s="428"/>
      <c r="Q315" s="392"/>
      <c r="R315" s="392"/>
      <c r="T315" s="417"/>
      <c r="U315"/>
      <c r="V315" s="46"/>
      <c r="W315" s="392"/>
      <c r="X315" s="392"/>
      <c r="Y315" s="392"/>
    </row>
    <row r="316" spans="1:25" ht="13.5" customHeight="1">
      <c r="A316" s="411"/>
      <c r="B316" s="392"/>
      <c r="C316" s="404"/>
      <c r="D316" s="402"/>
      <c r="E316" s="426"/>
      <c r="F316" s="427"/>
      <c r="G316" s="427"/>
      <c r="H316" s="427"/>
      <c r="I316" s="428"/>
      <c r="K316" s="427"/>
      <c r="L316" s="428"/>
      <c r="M316" s="428"/>
      <c r="Q316" s="392"/>
      <c r="R316" s="392"/>
      <c r="T316" s="417"/>
      <c r="U316"/>
      <c r="V316" s="46"/>
      <c r="W316" s="392"/>
      <c r="X316" s="392"/>
      <c r="Y316" s="392"/>
    </row>
    <row r="317" spans="1:25" ht="13.5" customHeight="1">
      <c r="A317" s="411"/>
      <c r="B317" s="392"/>
      <c r="C317" s="404"/>
      <c r="D317" s="402"/>
      <c r="E317" s="426"/>
      <c r="F317" s="427"/>
      <c r="G317" s="427"/>
      <c r="H317" s="427"/>
      <c r="I317" s="428"/>
      <c r="K317" s="427"/>
      <c r="L317" s="428"/>
      <c r="M317" s="428"/>
      <c r="Q317" s="392"/>
      <c r="R317" s="392"/>
      <c r="T317" s="417"/>
      <c r="U317"/>
      <c r="V317" s="46"/>
      <c r="W317" s="392"/>
      <c r="X317" s="392"/>
      <c r="Y317" s="392"/>
    </row>
    <row r="318" spans="1:25" ht="13.5" customHeight="1">
      <c r="A318" s="411"/>
      <c r="B318" s="392"/>
      <c r="C318" s="404"/>
      <c r="D318" s="402"/>
      <c r="E318" s="426"/>
      <c r="F318" s="427"/>
      <c r="G318" s="427"/>
      <c r="H318" s="427"/>
      <c r="I318" s="428"/>
      <c r="K318" s="427"/>
      <c r="L318" s="428"/>
      <c r="M318" s="428"/>
      <c r="Q318" s="392"/>
      <c r="R318" s="392"/>
      <c r="T318" s="417"/>
      <c r="U318"/>
      <c r="V318" s="46"/>
      <c r="W318" s="392"/>
      <c r="X318" s="392"/>
      <c r="Y318" s="392"/>
    </row>
    <row r="319" spans="1:25" ht="13.5" customHeight="1">
      <c r="A319" s="411"/>
      <c r="B319" s="392"/>
      <c r="C319" s="404"/>
      <c r="D319" s="402"/>
      <c r="E319" s="426"/>
      <c r="F319" s="427"/>
      <c r="G319" s="427"/>
      <c r="H319" s="427"/>
      <c r="I319" s="428"/>
      <c r="K319" s="427"/>
      <c r="L319" s="428"/>
      <c r="M319" s="428"/>
      <c r="Q319" s="392"/>
      <c r="R319" s="392"/>
      <c r="T319" s="417"/>
      <c r="U319"/>
      <c r="V319" s="46"/>
      <c r="W319" s="392"/>
      <c r="X319" s="392"/>
      <c r="Y319" s="392"/>
    </row>
    <row r="320" spans="1:25" ht="13.5" customHeight="1">
      <c r="A320" s="411"/>
      <c r="B320" s="392"/>
      <c r="C320" s="404"/>
      <c r="D320" s="402"/>
      <c r="E320" s="426"/>
      <c r="F320" s="427"/>
      <c r="G320" s="427"/>
      <c r="H320" s="427"/>
      <c r="I320" s="428"/>
      <c r="K320" s="427"/>
      <c r="L320" s="428"/>
      <c r="M320" s="428"/>
      <c r="Q320" s="392"/>
      <c r="R320" s="392"/>
      <c r="T320" s="417"/>
      <c r="U320"/>
      <c r="V320" s="46"/>
      <c r="W320" s="392"/>
      <c r="X320" s="392"/>
      <c r="Y320" s="392"/>
    </row>
    <row r="321" spans="1:25" ht="13.5" customHeight="1">
      <c r="A321" s="411"/>
      <c r="B321" s="392"/>
      <c r="C321" s="404"/>
      <c r="D321" s="402"/>
      <c r="E321" s="426"/>
      <c r="F321" s="427"/>
      <c r="G321" s="427"/>
      <c r="H321" s="427"/>
      <c r="I321" s="428"/>
      <c r="K321" s="427"/>
      <c r="L321" s="428"/>
      <c r="M321" s="428"/>
      <c r="Q321" s="392"/>
      <c r="R321" s="392"/>
      <c r="T321" s="417"/>
      <c r="U321"/>
      <c r="V321" s="46"/>
      <c r="W321" s="392"/>
      <c r="X321" s="392"/>
      <c r="Y321" s="392"/>
    </row>
    <row r="322" spans="1:25" ht="13.5" customHeight="1">
      <c r="A322" s="411"/>
      <c r="B322" s="392"/>
      <c r="C322" s="404"/>
      <c r="D322" s="402"/>
      <c r="E322" s="426"/>
      <c r="F322" s="427"/>
      <c r="G322" s="427"/>
      <c r="H322" s="427"/>
      <c r="I322" s="428"/>
      <c r="K322" s="427"/>
      <c r="L322" s="428"/>
      <c r="M322" s="428"/>
      <c r="Q322" s="392"/>
      <c r="R322" s="392"/>
      <c r="T322" s="417"/>
      <c r="U322" s="46"/>
      <c r="V322" s="46"/>
      <c r="W322" s="392"/>
      <c r="X322" s="392"/>
      <c r="Y322" s="392"/>
    </row>
    <row r="323" spans="1:25" ht="13.5" customHeight="1">
      <c r="A323" s="411"/>
      <c r="B323" s="392"/>
      <c r="C323" s="404"/>
      <c r="D323" s="402"/>
      <c r="E323" s="426"/>
      <c r="F323" s="427"/>
      <c r="G323" s="427"/>
      <c r="H323" s="427"/>
      <c r="I323" s="428"/>
      <c r="K323" s="427"/>
      <c r="L323" s="428"/>
      <c r="M323" s="428"/>
      <c r="Q323" s="392"/>
      <c r="R323" s="392"/>
      <c r="T323" s="417"/>
      <c r="U323" s="46"/>
      <c r="V323" s="46"/>
      <c r="W323" s="392"/>
      <c r="X323" s="392"/>
      <c r="Y323" s="392"/>
    </row>
    <row r="324" spans="1:25" ht="13.5" customHeight="1">
      <c r="A324" s="411"/>
      <c r="B324" s="392"/>
      <c r="C324" s="404"/>
      <c r="D324" s="402"/>
      <c r="E324" s="426"/>
      <c r="F324" s="427"/>
      <c r="G324" s="427"/>
      <c r="H324" s="427"/>
      <c r="I324" s="428"/>
      <c r="K324" s="427"/>
      <c r="L324" s="428"/>
      <c r="M324" s="428"/>
      <c r="Q324" s="392"/>
      <c r="R324" s="392"/>
      <c r="T324" s="417"/>
      <c r="U324" s="46"/>
      <c r="V324" s="46"/>
      <c r="W324" s="392"/>
      <c r="X324" s="392"/>
      <c r="Y324" s="392"/>
    </row>
    <row r="325" spans="1:25" ht="13.5" customHeight="1">
      <c r="A325" s="411"/>
      <c r="B325" s="392"/>
      <c r="C325" s="404"/>
      <c r="D325" s="402"/>
      <c r="E325" s="426"/>
      <c r="F325" s="427"/>
      <c r="G325" s="427"/>
      <c r="H325" s="427"/>
      <c r="I325" s="428"/>
      <c r="K325" s="427"/>
      <c r="L325" s="428"/>
      <c r="M325" s="428"/>
      <c r="Q325" s="392"/>
      <c r="R325" s="392"/>
      <c r="T325" s="417"/>
      <c r="U325" s="46"/>
      <c r="V325" s="46"/>
      <c r="W325" s="392"/>
      <c r="X325" s="392"/>
      <c r="Y325" s="392"/>
    </row>
    <row r="326" spans="1:25" ht="13.5" customHeight="1">
      <c r="A326" s="411"/>
      <c r="B326" s="392"/>
      <c r="C326" s="404"/>
      <c r="D326" s="402"/>
      <c r="E326" s="426"/>
      <c r="F326" s="427"/>
      <c r="G326" s="427"/>
      <c r="H326" s="427"/>
      <c r="I326" s="428"/>
      <c r="K326" s="427"/>
      <c r="L326" s="428"/>
      <c r="M326" s="428"/>
      <c r="Q326" s="392"/>
      <c r="R326" s="392"/>
      <c r="T326" s="417"/>
      <c r="U326" s="46"/>
      <c r="V326" s="46"/>
      <c r="W326" s="392"/>
      <c r="X326" s="392"/>
      <c r="Y326" s="392"/>
    </row>
    <row r="327" spans="1:25" ht="13.5" customHeight="1">
      <c r="A327" s="411"/>
      <c r="B327" s="392"/>
      <c r="C327" s="404"/>
      <c r="D327" s="402"/>
      <c r="E327" s="426"/>
      <c r="F327" s="427"/>
      <c r="G327" s="427"/>
      <c r="H327" s="427"/>
      <c r="I327" s="428"/>
      <c r="K327" s="427"/>
      <c r="L327" s="428"/>
      <c r="M327" s="428"/>
      <c r="Q327" s="392"/>
      <c r="R327" s="392"/>
      <c r="T327" s="417"/>
      <c r="U327" s="46"/>
      <c r="V327" s="46"/>
      <c r="W327" s="392"/>
      <c r="X327" s="392"/>
      <c r="Y327" s="392"/>
    </row>
    <row r="328" spans="1:25" ht="13.5" customHeight="1">
      <c r="A328" s="411"/>
      <c r="B328" s="392"/>
      <c r="C328" s="404"/>
      <c r="D328" s="402"/>
      <c r="E328" s="426"/>
      <c r="F328" s="427"/>
      <c r="G328" s="427"/>
      <c r="H328" s="427"/>
      <c r="I328" s="428"/>
      <c r="K328" s="427"/>
      <c r="L328" s="428"/>
      <c r="M328" s="428"/>
      <c r="Q328" s="392"/>
      <c r="R328" s="392"/>
      <c r="T328" s="417"/>
      <c r="U328" s="46"/>
      <c r="V328" s="46"/>
      <c r="W328" s="392"/>
      <c r="X328" s="392"/>
      <c r="Y328" s="392"/>
    </row>
    <row r="329" spans="1:25" ht="13.5" customHeight="1">
      <c r="A329" s="411"/>
      <c r="B329" s="392"/>
      <c r="C329" s="404"/>
      <c r="D329" s="402"/>
      <c r="E329" s="426"/>
      <c r="F329" s="427"/>
      <c r="G329" s="427"/>
      <c r="H329" s="427"/>
      <c r="I329" s="428"/>
      <c r="K329" s="427"/>
      <c r="L329" s="428"/>
      <c r="M329" s="428"/>
      <c r="Q329" s="392"/>
      <c r="R329" s="392"/>
      <c r="T329" s="417"/>
      <c r="U329" s="46"/>
      <c r="V329" s="46"/>
      <c r="W329" s="392"/>
      <c r="X329" s="392"/>
      <c r="Y329" s="392"/>
    </row>
    <row r="330" spans="1:25" ht="13.5" customHeight="1">
      <c r="A330" s="411"/>
      <c r="B330" s="392"/>
      <c r="C330" s="404"/>
      <c r="D330" s="402"/>
      <c r="E330" s="426"/>
      <c r="F330" s="427"/>
      <c r="G330" s="427"/>
      <c r="H330" s="427"/>
      <c r="I330" s="428"/>
      <c r="K330" s="427"/>
      <c r="L330" s="428"/>
      <c r="M330" s="428"/>
      <c r="Q330" s="392"/>
      <c r="R330" s="392"/>
      <c r="T330" s="417"/>
      <c r="U330" s="46"/>
      <c r="V330" s="46"/>
      <c r="W330" s="392"/>
      <c r="X330" s="392"/>
      <c r="Y330" s="392"/>
    </row>
    <row r="331" spans="1:25" ht="13.5" customHeight="1">
      <c r="A331" s="411"/>
      <c r="B331" s="392"/>
      <c r="C331" s="404"/>
      <c r="D331" s="402"/>
      <c r="E331" s="426"/>
      <c r="F331" s="427"/>
      <c r="G331" s="427"/>
      <c r="H331" s="427"/>
      <c r="I331" s="428"/>
      <c r="K331" s="427"/>
      <c r="L331" s="428"/>
      <c r="M331" s="428"/>
      <c r="Q331" s="392"/>
      <c r="R331" s="392"/>
      <c r="T331" s="417"/>
      <c r="U331" s="46"/>
      <c r="V331" s="46"/>
      <c r="W331" s="392"/>
      <c r="X331" s="392"/>
      <c r="Y331" s="392"/>
    </row>
    <row r="332" spans="1:25" ht="13.5" customHeight="1">
      <c r="A332" s="411"/>
      <c r="B332" s="392"/>
      <c r="C332" s="404"/>
      <c r="D332" s="402"/>
      <c r="E332" s="426"/>
      <c r="F332" s="427"/>
      <c r="G332" s="427"/>
      <c r="H332" s="427"/>
      <c r="I332" s="428"/>
      <c r="K332" s="427"/>
      <c r="L332" s="428"/>
      <c r="M332" s="428"/>
      <c r="Q332" s="392"/>
      <c r="R332" s="392"/>
      <c r="T332" s="417"/>
      <c r="U332" s="46"/>
      <c r="V332" s="46"/>
      <c r="W332" s="392"/>
      <c r="X332" s="392"/>
      <c r="Y332" s="392"/>
    </row>
    <row r="333" spans="1:25" ht="13.5" customHeight="1">
      <c r="A333" s="411"/>
      <c r="B333" s="392"/>
      <c r="C333" s="404"/>
      <c r="D333" s="402"/>
      <c r="E333" s="426"/>
      <c r="F333" s="427"/>
      <c r="G333" s="427"/>
      <c r="H333" s="427"/>
      <c r="I333" s="428"/>
      <c r="K333" s="427"/>
      <c r="L333" s="428"/>
      <c r="M333" s="428"/>
      <c r="Q333" s="392"/>
      <c r="R333" s="392"/>
      <c r="T333" s="417"/>
      <c r="U333" s="46"/>
      <c r="V333" s="46"/>
      <c r="W333" s="392"/>
      <c r="X333" s="392"/>
      <c r="Y333" s="392"/>
    </row>
    <row r="334" spans="1:25" ht="13.5" customHeight="1">
      <c r="A334" s="411"/>
      <c r="B334" s="392"/>
      <c r="C334" s="404"/>
      <c r="D334" s="402"/>
      <c r="E334" s="426"/>
      <c r="F334" s="427"/>
      <c r="G334" s="427"/>
      <c r="H334" s="427"/>
      <c r="I334" s="428"/>
      <c r="K334" s="427"/>
      <c r="L334" s="428"/>
      <c r="M334" s="428"/>
      <c r="Q334" s="392"/>
      <c r="R334" s="392"/>
      <c r="T334" s="417"/>
      <c r="U334" s="46"/>
      <c r="V334" s="46"/>
      <c r="W334" s="392"/>
      <c r="X334" s="392"/>
      <c r="Y334" s="392"/>
    </row>
    <row r="335" spans="1:25" ht="13.5" customHeight="1">
      <c r="A335" s="411"/>
      <c r="B335" s="392"/>
      <c r="C335" s="404"/>
      <c r="D335" s="402"/>
      <c r="E335" s="426"/>
      <c r="F335" s="427"/>
      <c r="G335" s="427"/>
      <c r="H335" s="427"/>
      <c r="I335" s="428"/>
      <c r="K335" s="427"/>
      <c r="L335" s="428"/>
      <c r="M335" s="428"/>
      <c r="Q335" s="392"/>
      <c r="R335" s="392"/>
      <c r="T335" s="417"/>
      <c r="U335" s="46"/>
      <c r="V335" s="46"/>
      <c r="W335" s="392"/>
      <c r="X335" s="392"/>
      <c r="Y335" s="392"/>
    </row>
    <row r="336" spans="1:25" ht="13.5" customHeight="1">
      <c r="A336" s="411"/>
      <c r="B336" s="392"/>
      <c r="C336" s="404"/>
      <c r="D336" s="402"/>
      <c r="E336" s="426"/>
      <c r="F336" s="427"/>
      <c r="G336" s="427"/>
      <c r="H336" s="427"/>
      <c r="I336" s="428"/>
      <c r="K336" s="427"/>
      <c r="L336" s="428"/>
      <c r="M336" s="428"/>
      <c r="Q336" s="392"/>
      <c r="R336" s="392"/>
      <c r="T336" s="417"/>
      <c r="U336" s="46"/>
      <c r="V336" s="46"/>
      <c r="W336" s="392"/>
      <c r="X336" s="392"/>
      <c r="Y336" s="392"/>
    </row>
    <row r="337" spans="1:25" ht="13.5" customHeight="1">
      <c r="A337" s="411"/>
      <c r="B337" s="392"/>
      <c r="C337" s="404"/>
      <c r="D337" s="402"/>
      <c r="E337" s="426"/>
      <c r="F337" s="427"/>
      <c r="G337" s="427"/>
      <c r="H337" s="427"/>
      <c r="I337" s="428"/>
      <c r="K337" s="427"/>
      <c r="L337" s="428"/>
      <c r="M337" s="428"/>
      <c r="Q337" s="392"/>
      <c r="R337" s="392"/>
      <c r="T337" s="417"/>
      <c r="U337" s="46"/>
      <c r="V337" s="46"/>
      <c r="W337" s="392"/>
      <c r="X337" s="392"/>
      <c r="Y337" s="392"/>
    </row>
    <row r="338" spans="1:25" ht="13.5" customHeight="1">
      <c r="A338" s="411"/>
      <c r="B338" s="392"/>
      <c r="C338" s="404"/>
      <c r="D338" s="402"/>
      <c r="E338" s="426"/>
      <c r="F338" s="427"/>
      <c r="G338" s="427"/>
      <c r="H338" s="427"/>
      <c r="I338" s="428"/>
      <c r="K338" s="427"/>
      <c r="L338" s="428"/>
      <c r="M338" s="428"/>
      <c r="Q338" s="392"/>
      <c r="R338" s="392"/>
      <c r="T338" s="417"/>
      <c r="U338" s="46"/>
      <c r="V338" s="46"/>
      <c r="W338" s="392"/>
      <c r="X338" s="392"/>
      <c r="Y338" s="392"/>
    </row>
    <row r="339" spans="1:25" ht="13.5" customHeight="1">
      <c r="A339" s="411"/>
      <c r="B339" s="392"/>
      <c r="C339" s="404"/>
      <c r="D339" s="402"/>
      <c r="E339" s="426"/>
      <c r="F339" s="427"/>
      <c r="G339" s="427"/>
      <c r="H339" s="427"/>
      <c r="I339" s="428"/>
      <c r="K339" s="427"/>
      <c r="L339" s="428"/>
      <c r="M339" s="428"/>
      <c r="Q339" s="392"/>
      <c r="R339" s="392"/>
      <c r="T339" s="417"/>
      <c r="U339" s="46"/>
      <c r="V339" s="46"/>
      <c r="W339" s="392"/>
      <c r="X339" s="392"/>
      <c r="Y339" s="392"/>
    </row>
    <row r="340" spans="1:25" ht="13.5" customHeight="1">
      <c r="A340" s="411"/>
      <c r="B340" s="392"/>
      <c r="C340" s="404"/>
      <c r="D340" s="402"/>
      <c r="E340" s="426"/>
      <c r="F340" s="427"/>
      <c r="G340" s="427"/>
      <c r="H340" s="427"/>
      <c r="I340" s="428"/>
      <c r="K340" s="427"/>
      <c r="L340" s="428"/>
      <c r="M340" s="428"/>
      <c r="Q340" s="392"/>
      <c r="R340" s="392"/>
      <c r="T340" s="417"/>
      <c r="U340" s="46"/>
      <c r="V340" s="46"/>
      <c r="W340" s="392"/>
      <c r="X340" s="392"/>
      <c r="Y340" s="392"/>
    </row>
    <row r="341" spans="1:25" ht="13.5" customHeight="1">
      <c r="A341" s="411"/>
      <c r="B341" s="392"/>
      <c r="C341" s="404"/>
      <c r="D341" s="402"/>
      <c r="E341" s="426"/>
      <c r="F341" s="427"/>
      <c r="G341" s="427"/>
      <c r="H341" s="427"/>
      <c r="I341" s="428"/>
      <c r="K341" s="427"/>
      <c r="L341" s="428"/>
      <c r="M341" s="428"/>
      <c r="Q341" s="392"/>
      <c r="R341" s="392"/>
      <c r="T341" s="417"/>
      <c r="U341" s="46"/>
      <c r="V341" s="46"/>
      <c r="W341" s="392"/>
      <c r="X341" s="392"/>
      <c r="Y341" s="392"/>
    </row>
    <row r="342" spans="1:25" ht="13.5" customHeight="1">
      <c r="A342" s="411"/>
      <c r="B342" s="392"/>
      <c r="C342" s="404"/>
      <c r="D342" s="402"/>
      <c r="E342" s="426"/>
      <c r="F342" s="427"/>
      <c r="G342" s="427"/>
      <c r="H342" s="427"/>
      <c r="I342" s="428"/>
      <c r="K342" s="427"/>
      <c r="L342" s="428"/>
      <c r="M342" s="428"/>
      <c r="Q342" s="392"/>
      <c r="R342" s="392"/>
      <c r="T342" s="417"/>
      <c r="U342" s="46"/>
      <c r="V342" s="46"/>
      <c r="W342" s="392"/>
      <c r="X342" s="392"/>
      <c r="Y342" s="392"/>
    </row>
    <row r="343" spans="1:25" ht="13.5" customHeight="1">
      <c r="A343" s="411"/>
      <c r="B343" s="392"/>
      <c r="C343" s="404"/>
      <c r="D343" s="402"/>
      <c r="E343" s="426"/>
      <c r="F343" s="427"/>
      <c r="G343" s="427"/>
      <c r="H343" s="427"/>
      <c r="I343" s="428"/>
      <c r="K343" s="427"/>
      <c r="L343" s="428"/>
      <c r="M343" s="428"/>
      <c r="Q343" s="392"/>
      <c r="R343" s="392"/>
      <c r="T343" s="417"/>
      <c r="U343" s="46"/>
      <c r="V343" s="46"/>
      <c r="W343" s="392"/>
      <c r="X343" s="392"/>
      <c r="Y343" s="392"/>
    </row>
    <row r="344" spans="1:25" ht="13.5" customHeight="1">
      <c r="A344" s="411"/>
      <c r="B344" s="392"/>
      <c r="C344" s="404"/>
      <c r="D344" s="402"/>
      <c r="E344" s="426"/>
      <c r="F344" s="427"/>
      <c r="G344" s="427"/>
      <c r="H344" s="427"/>
      <c r="I344" s="428"/>
      <c r="K344" s="427"/>
      <c r="L344" s="428"/>
      <c r="M344" s="428"/>
      <c r="Q344" s="392"/>
      <c r="R344" s="392"/>
      <c r="T344" s="417"/>
      <c r="U344" s="46"/>
      <c r="V344" s="46"/>
      <c r="W344" s="392"/>
      <c r="X344" s="392"/>
      <c r="Y344" s="392"/>
    </row>
    <row r="345" spans="1:25" ht="13.5" customHeight="1">
      <c r="A345" s="411"/>
      <c r="B345" s="392"/>
      <c r="C345" s="404"/>
      <c r="D345" s="402"/>
      <c r="E345" s="426"/>
      <c r="F345" s="427"/>
      <c r="G345" s="427"/>
      <c r="H345" s="427"/>
      <c r="I345" s="428"/>
      <c r="K345" s="427"/>
      <c r="L345" s="428"/>
      <c r="M345" s="428"/>
      <c r="Q345" s="392"/>
      <c r="R345" s="392"/>
      <c r="T345" s="417"/>
      <c r="U345" s="46"/>
      <c r="V345" s="46"/>
      <c r="W345" s="392"/>
      <c r="X345" s="392"/>
      <c r="Y345" s="392"/>
    </row>
    <row r="346" spans="1:25" ht="13.5" customHeight="1">
      <c r="A346" s="411"/>
      <c r="B346" s="392"/>
      <c r="C346" s="404"/>
      <c r="D346" s="402"/>
      <c r="E346" s="426"/>
      <c r="F346" s="427"/>
      <c r="G346" s="427"/>
      <c r="H346" s="427"/>
      <c r="I346" s="428"/>
      <c r="K346" s="427"/>
      <c r="L346" s="428"/>
      <c r="M346" s="428"/>
      <c r="Q346" s="392"/>
      <c r="R346" s="392"/>
      <c r="T346" s="417"/>
      <c r="U346" s="46"/>
      <c r="V346" s="46"/>
      <c r="W346" s="392"/>
      <c r="X346" s="392"/>
      <c r="Y346" s="392"/>
    </row>
    <row r="347" spans="1:25" ht="13.5" customHeight="1">
      <c r="A347" s="411"/>
      <c r="B347" s="392"/>
      <c r="C347" s="404"/>
      <c r="D347" s="402"/>
      <c r="E347" s="426"/>
      <c r="F347" s="427"/>
      <c r="G347" s="427"/>
      <c r="H347" s="427"/>
      <c r="I347" s="428"/>
      <c r="K347" s="427"/>
      <c r="L347" s="428"/>
      <c r="M347" s="428"/>
      <c r="Q347" s="392"/>
      <c r="R347" s="392"/>
      <c r="T347" s="417"/>
      <c r="U347" s="46"/>
      <c r="V347" s="46"/>
      <c r="W347" s="392"/>
      <c r="X347" s="392"/>
      <c r="Y347" s="392"/>
    </row>
    <row r="348" spans="1:25" ht="13.5" customHeight="1">
      <c r="A348" s="411"/>
      <c r="B348" s="392"/>
      <c r="C348" s="404"/>
      <c r="D348" s="402"/>
      <c r="E348" s="426"/>
      <c r="F348" s="427"/>
      <c r="G348" s="427"/>
      <c r="H348" s="427"/>
      <c r="I348" s="428"/>
      <c r="K348" s="427"/>
      <c r="L348" s="428"/>
      <c r="M348" s="428"/>
      <c r="Q348" s="392"/>
      <c r="R348" s="392"/>
      <c r="T348" s="417"/>
      <c r="U348" s="46"/>
      <c r="V348" s="46"/>
      <c r="W348" s="392"/>
      <c r="X348" s="392"/>
      <c r="Y348" s="392"/>
    </row>
    <row r="349" spans="1:25" ht="13.5" customHeight="1">
      <c r="A349" s="411"/>
      <c r="B349" s="392"/>
      <c r="C349" s="404"/>
      <c r="D349" s="402"/>
      <c r="E349" s="426"/>
      <c r="F349" s="427"/>
      <c r="G349" s="427"/>
      <c r="H349" s="427"/>
      <c r="I349" s="428"/>
      <c r="K349" s="427"/>
      <c r="L349" s="428"/>
      <c r="M349" s="428"/>
      <c r="Q349" s="392"/>
      <c r="R349" s="392"/>
      <c r="T349" s="417"/>
      <c r="U349" s="46"/>
      <c r="V349" s="46"/>
      <c r="W349" s="392"/>
      <c r="X349" s="392"/>
      <c r="Y349" s="392"/>
    </row>
    <row r="350" spans="1:25" ht="13.5" customHeight="1">
      <c r="A350" s="411"/>
      <c r="B350" s="392"/>
      <c r="C350" s="404"/>
      <c r="D350" s="402"/>
      <c r="E350" s="426"/>
      <c r="F350" s="427"/>
      <c r="G350" s="427"/>
      <c r="H350" s="427"/>
      <c r="I350" s="428"/>
      <c r="K350" s="427"/>
      <c r="L350" s="428"/>
      <c r="M350" s="428"/>
      <c r="Q350" s="392"/>
      <c r="R350" s="392"/>
      <c r="T350" s="417"/>
      <c r="U350" s="46"/>
      <c r="V350" s="46"/>
      <c r="W350" s="392"/>
      <c r="X350" s="392"/>
      <c r="Y350" s="392"/>
    </row>
    <row r="351" spans="1:25" ht="13.5" customHeight="1">
      <c r="A351" s="411"/>
      <c r="B351" s="392"/>
      <c r="C351" s="404"/>
      <c r="D351" s="402"/>
      <c r="E351" s="426"/>
      <c r="F351" s="427"/>
      <c r="G351" s="427"/>
      <c r="H351" s="427"/>
      <c r="I351" s="428"/>
      <c r="K351" s="427"/>
      <c r="L351" s="428"/>
      <c r="M351" s="428"/>
      <c r="Q351" s="392"/>
      <c r="R351" s="392"/>
      <c r="T351" s="417"/>
      <c r="U351" s="46"/>
      <c r="V351" s="46"/>
      <c r="W351" s="392"/>
      <c r="X351" s="392"/>
      <c r="Y351" s="392"/>
    </row>
    <row r="352" spans="1:25" ht="13.5" customHeight="1">
      <c r="A352" s="411"/>
      <c r="B352" s="392"/>
      <c r="C352" s="404"/>
      <c r="D352" s="402"/>
      <c r="E352" s="426"/>
      <c r="F352" s="427"/>
      <c r="G352" s="427"/>
      <c r="H352" s="427"/>
      <c r="I352" s="428"/>
      <c r="K352" s="427"/>
      <c r="L352" s="428"/>
      <c r="M352" s="428"/>
      <c r="Q352" s="392"/>
      <c r="R352" s="392"/>
      <c r="T352" s="417"/>
      <c r="U352" s="46"/>
      <c r="V352" s="46"/>
      <c r="W352" s="392"/>
      <c r="X352" s="392"/>
      <c r="Y352" s="392"/>
    </row>
    <row r="353" spans="1:25" ht="13.5" customHeight="1">
      <c r="A353" s="411"/>
      <c r="B353" s="392"/>
      <c r="C353" s="404"/>
      <c r="D353" s="402"/>
      <c r="E353" s="426"/>
      <c r="F353" s="427"/>
      <c r="G353" s="427"/>
      <c r="H353" s="427"/>
      <c r="I353" s="428"/>
      <c r="K353" s="427"/>
      <c r="L353" s="428"/>
      <c r="M353" s="428"/>
      <c r="Q353" s="392"/>
      <c r="R353" s="392"/>
      <c r="T353" s="417"/>
      <c r="U353" s="46"/>
      <c r="V353" s="46"/>
      <c r="W353" s="392"/>
      <c r="X353" s="392"/>
      <c r="Y353" s="392"/>
    </row>
    <row r="354" spans="1:25" ht="13.5" customHeight="1">
      <c r="A354" s="411"/>
      <c r="B354" s="392"/>
      <c r="C354" s="404"/>
      <c r="D354" s="402"/>
      <c r="E354" s="426"/>
      <c r="F354" s="427"/>
      <c r="G354" s="427"/>
      <c r="H354" s="427"/>
      <c r="I354" s="428"/>
      <c r="K354" s="427"/>
      <c r="L354" s="428"/>
      <c r="M354" s="428"/>
      <c r="Q354" s="392"/>
      <c r="R354" s="392"/>
      <c r="T354" s="417"/>
      <c r="U354" s="46"/>
      <c r="V354" s="46"/>
      <c r="W354" s="392"/>
      <c r="X354" s="392"/>
      <c r="Y354" s="392"/>
    </row>
    <row r="355" spans="1:25" ht="13.5" customHeight="1">
      <c r="A355" s="411"/>
      <c r="B355" s="392"/>
      <c r="C355" s="404"/>
      <c r="D355" s="402"/>
      <c r="E355" s="426"/>
      <c r="F355" s="427"/>
      <c r="G355" s="427"/>
      <c r="H355" s="427"/>
      <c r="I355" s="428"/>
      <c r="K355" s="427"/>
      <c r="L355" s="428"/>
      <c r="M355" s="428"/>
      <c r="Q355" s="392"/>
      <c r="R355" s="392"/>
      <c r="T355" s="417"/>
      <c r="U355" s="46"/>
      <c r="V355" s="46"/>
      <c r="W355" s="392"/>
      <c r="X355" s="392"/>
      <c r="Y355" s="392"/>
    </row>
    <row r="356" spans="1:25" ht="13.5" customHeight="1">
      <c r="A356" s="411"/>
      <c r="B356" s="392"/>
      <c r="C356" s="404"/>
      <c r="D356" s="402"/>
      <c r="E356" s="426"/>
      <c r="F356" s="427"/>
      <c r="G356" s="427"/>
      <c r="H356" s="427"/>
      <c r="I356" s="428"/>
      <c r="K356" s="427"/>
      <c r="L356" s="428"/>
      <c r="M356" s="428"/>
      <c r="Q356" s="392"/>
      <c r="R356" s="392"/>
      <c r="T356" s="417"/>
      <c r="U356" s="46"/>
      <c r="V356" s="46"/>
      <c r="W356" s="392"/>
      <c r="X356" s="392"/>
      <c r="Y356" s="392"/>
    </row>
    <row r="357" spans="1:25" ht="13.5" customHeight="1">
      <c r="A357" s="411"/>
      <c r="B357" s="392"/>
      <c r="C357" s="404"/>
      <c r="D357" s="402"/>
      <c r="E357" s="426"/>
      <c r="F357" s="427"/>
      <c r="G357" s="427"/>
      <c r="H357" s="427"/>
      <c r="I357" s="428"/>
      <c r="K357" s="427"/>
      <c r="L357" s="428"/>
      <c r="M357" s="428"/>
      <c r="Q357" s="392"/>
      <c r="R357" s="392"/>
      <c r="T357" s="417"/>
      <c r="U357" s="46"/>
      <c r="V357" s="46"/>
      <c r="W357" s="392"/>
      <c r="X357" s="392"/>
      <c r="Y357" s="392"/>
    </row>
    <row r="358" spans="1:25" ht="13.5" customHeight="1">
      <c r="A358" s="411"/>
      <c r="B358" s="392"/>
      <c r="C358" s="404"/>
      <c r="D358" s="402"/>
      <c r="E358" s="426"/>
      <c r="F358" s="427"/>
      <c r="G358" s="427"/>
      <c r="H358" s="427"/>
      <c r="I358" s="428"/>
      <c r="K358" s="427"/>
      <c r="L358" s="428"/>
      <c r="M358" s="428"/>
      <c r="Q358" s="392"/>
      <c r="R358" s="392"/>
      <c r="T358" s="417"/>
      <c r="U358" s="46"/>
      <c r="V358" s="46"/>
      <c r="W358" s="392"/>
      <c r="X358" s="392"/>
      <c r="Y358" s="392"/>
    </row>
    <row r="359" spans="1:25" ht="13.5" customHeight="1">
      <c r="A359" s="411"/>
      <c r="B359" s="392"/>
      <c r="C359" s="404"/>
      <c r="D359" s="402"/>
      <c r="E359" s="426"/>
      <c r="F359" s="427"/>
      <c r="G359" s="427"/>
      <c r="H359" s="427"/>
      <c r="I359" s="428"/>
      <c r="K359" s="427"/>
      <c r="L359" s="428"/>
      <c r="M359" s="428"/>
      <c r="Q359" s="392"/>
      <c r="R359" s="392"/>
      <c r="T359" s="417"/>
      <c r="U359" s="46"/>
      <c r="V359" s="46"/>
      <c r="W359" s="392"/>
      <c r="X359" s="392"/>
      <c r="Y359" s="392"/>
    </row>
    <row r="360" spans="1:25" ht="13.5" customHeight="1">
      <c r="A360" s="411"/>
      <c r="B360" s="392"/>
      <c r="C360" s="404"/>
      <c r="D360" s="402"/>
      <c r="E360" s="426"/>
      <c r="F360" s="427"/>
      <c r="G360" s="427"/>
      <c r="H360" s="427"/>
      <c r="I360" s="428"/>
      <c r="K360" s="427"/>
      <c r="L360" s="428"/>
      <c r="M360" s="428"/>
      <c r="Q360" s="392"/>
      <c r="R360" s="392"/>
      <c r="T360" s="417"/>
      <c r="U360" s="46"/>
      <c r="V360" s="46"/>
      <c r="W360" s="392"/>
      <c r="X360" s="392"/>
      <c r="Y360" s="392"/>
    </row>
    <row r="361" spans="1:25" ht="13.5" customHeight="1">
      <c r="A361" s="411"/>
      <c r="B361" s="392"/>
      <c r="C361" s="404"/>
      <c r="D361" s="402"/>
      <c r="E361" s="426"/>
      <c r="F361" s="427"/>
      <c r="G361" s="427"/>
      <c r="H361" s="427"/>
      <c r="I361" s="428"/>
      <c r="K361" s="427"/>
      <c r="L361" s="428"/>
      <c r="M361" s="428"/>
      <c r="Q361" s="392"/>
      <c r="R361" s="392"/>
      <c r="T361" s="417"/>
      <c r="U361" s="46"/>
      <c r="V361" s="46"/>
      <c r="W361" s="392"/>
      <c r="X361" s="392"/>
      <c r="Y361" s="392"/>
    </row>
    <row r="362" spans="1:25" ht="13.5" customHeight="1">
      <c r="A362" s="411"/>
      <c r="B362" s="392"/>
      <c r="C362" s="404"/>
      <c r="D362" s="402"/>
      <c r="E362" s="426"/>
      <c r="F362" s="427"/>
      <c r="G362" s="427"/>
      <c r="H362" s="427"/>
      <c r="I362" s="428"/>
      <c r="K362" s="427"/>
      <c r="L362" s="428"/>
      <c r="M362" s="428"/>
      <c r="Q362" s="392"/>
      <c r="R362" s="392"/>
      <c r="T362" s="417"/>
      <c r="U362" s="46"/>
      <c r="V362" s="46"/>
      <c r="W362" s="392"/>
      <c r="X362" s="392"/>
      <c r="Y362" s="392"/>
    </row>
    <row r="363" spans="1:25" ht="13.5" customHeight="1">
      <c r="A363" s="411"/>
      <c r="B363" s="392"/>
      <c r="C363" s="404"/>
      <c r="D363" s="402"/>
      <c r="E363" s="426"/>
      <c r="F363" s="427"/>
      <c r="G363" s="427"/>
      <c r="H363" s="427"/>
      <c r="I363" s="428"/>
      <c r="K363" s="427"/>
      <c r="L363" s="428"/>
      <c r="M363" s="428"/>
      <c r="Q363" s="392"/>
      <c r="R363" s="392"/>
      <c r="T363" s="417"/>
      <c r="U363" s="46"/>
      <c r="V363" s="46"/>
      <c r="W363" s="392"/>
      <c r="X363" s="392"/>
      <c r="Y363" s="392"/>
    </row>
    <row r="364" spans="1:25" ht="13.5" customHeight="1">
      <c r="A364" s="411"/>
      <c r="B364" s="392"/>
      <c r="C364" s="404"/>
      <c r="D364" s="402"/>
      <c r="E364" s="426"/>
      <c r="F364" s="427"/>
      <c r="G364" s="427"/>
      <c r="H364" s="427"/>
      <c r="I364" s="428"/>
      <c r="K364" s="427"/>
      <c r="L364" s="428"/>
      <c r="M364" s="428"/>
      <c r="Q364" s="392"/>
      <c r="R364" s="392"/>
      <c r="T364" s="417"/>
      <c r="U364" s="46"/>
      <c r="V364" s="46"/>
      <c r="W364" s="392"/>
      <c r="X364" s="392"/>
      <c r="Y364" s="392"/>
    </row>
    <row r="365" spans="1:25" ht="13.5" customHeight="1">
      <c r="A365" s="411"/>
      <c r="B365" s="392"/>
      <c r="C365" s="404"/>
      <c r="D365" s="402"/>
      <c r="E365" s="426"/>
      <c r="F365" s="427"/>
      <c r="G365" s="427"/>
      <c r="H365" s="427"/>
      <c r="I365" s="428"/>
      <c r="K365" s="427"/>
      <c r="L365" s="428"/>
      <c r="M365" s="428"/>
      <c r="Q365" s="392"/>
      <c r="R365" s="392"/>
      <c r="T365" s="417"/>
      <c r="U365" s="46"/>
      <c r="V365" s="46"/>
      <c r="W365" s="392"/>
      <c r="X365" s="392"/>
      <c r="Y365" s="392"/>
    </row>
    <row r="366" spans="1:25" ht="13.5" customHeight="1">
      <c r="A366" s="411"/>
      <c r="B366" s="392"/>
      <c r="C366" s="404"/>
      <c r="D366" s="402"/>
      <c r="E366" s="426"/>
      <c r="F366" s="427"/>
      <c r="G366" s="427"/>
      <c r="H366" s="427"/>
      <c r="I366" s="428"/>
      <c r="K366" s="427"/>
      <c r="L366" s="428"/>
      <c r="M366" s="428"/>
      <c r="Q366" s="392"/>
      <c r="R366" s="392"/>
      <c r="T366" s="417"/>
      <c r="U366" s="46"/>
      <c r="V366" s="46"/>
      <c r="W366" s="392"/>
      <c r="X366" s="392"/>
      <c r="Y366" s="392"/>
    </row>
    <row r="367" spans="1:25" ht="13.5" customHeight="1">
      <c r="A367" s="411"/>
      <c r="B367" s="392"/>
      <c r="C367" s="404"/>
      <c r="D367" s="402"/>
      <c r="E367" s="426"/>
      <c r="F367" s="427"/>
      <c r="G367" s="427"/>
      <c r="H367" s="427"/>
      <c r="I367" s="428"/>
      <c r="K367" s="427"/>
      <c r="L367" s="428"/>
      <c r="M367" s="428"/>
      <c r="Q367" s="392"/>
      <c r="R367" s="392"/>
      <c r="T367" s="417"/>
      <c r="U367" s="46"/>
      <c r="V367" s="46"/>
      <c r="W367" s="392"/>
      <c r="X367" s="392"/>
      <c r="Y367" s="392"/>
    </row>
    <row r="368" spans="1:25" ht="13.5" customHeight="1">
      <c r="A368" s="411"/>
      <c r="B368" s="392"/>
      <c r="C368" s="404"/>
      <c r="D368" s="402"/>
      <c r="E368" s="426"/>
      <c r="F368" s="427"/>
      <c r="G368" s="427"/>
      <c r="H368" s="427"/>
      <c r="I368" s="428"/>
      <c r="K368" s="427"/>
      <c r="L368" s="428"/>
      <c r="M368" s="428"/>
      <c r="Q368" s="392"/>
      <c r="R368" s="392"/>
      <c r="T368" s="417"/>
      <c r="U368" s="46"/>
      <c r="V368" s="46"/>
      <c r="W368" s="392"/>
      <c r="X368" s="392"/>
      <c r="Y368" s="392"/>
    </row>
    <row r="369" spans="1:25" ht="13.5" customHeight="1">
      <c r="A369" s="411"/>
      <c r="B369" s="392"/>
      <c r="C369" s="404"/>
      <c r="D369" s="402"/>
      <c r="E369" s="426"/>
      <c r="F369" s="427"/>
      <c r="G369" s="427"/>
      <c r="H369" s="427"/>
      <c r="I369" s="428"/>
      <c r="K369" s="427"/>
      <c r="L369" s="428"/>
      <c r="M369" s="428"/>
      <c r="Q369" s="392"/>
      <c r="R369" s="392"/>
      <c r="T369" s="417"/>
      <c r="U369" s="46"/>
      <c r="V369" s="46"/>
      <c r="W369" s="392"/>
      <c r="X369" s="392"/>
      <c r="Y369" s="392"/>
    </row>
    <row r="370" spans="1:25" ht="13.5" customHeight="1">
      <c r="A370" s="411"/>
      <c r="B370" s="392"/>
      <c r="C370" s="404"/>
      <c r="D370" s="402"/>
      <c r="E370" s="426"/>
      <c r="F370" s="427"/>
      <c r="G370" s="427"/>
      <c r="H370" s="427"/>
      <c r="I370" s="428"/>
      <c r="K370" s="427"/>
      <c r="L370" s="428"/>
      <c r="M370" s="428"/>
      <c r="Q370" s="392"/>
      <c r="R370" s="392"/>
      <c r="T370" s="417"/>
      <c r="U370" s="46"/>
      <c r="V370" s="46"/>
      <c r="W370" s="392"/>
      <c r="X370" s="392"/>
      <c r="Y370" s="392"/>
    </row>
    <row r="371" spans="1:25" ht="13.5" customHeight="1">
      <c r="A371" s="411"/>
      <c r="B371" s="392"/>
      <c r="C371" s="404"/>
      <c r="D371" s="402"/>
      <c r="E371" s="426"/>
      <c r="F371" s="427"/>
      <c r="G371" s="427"/>
      <c r="H371" s="427"/>
      <c r="I371" s="428"/>
      <c r="K371" s="427"/>
      <c r="L371" s="428"/>
      <c r="M371" s="428"/>
      <c r="Q371" s="392"/>
      <c r="R371" s="392"/>
      <c r="T371" s="417"/>
      <c r="U371" s="46"/>
      <c r="V371" s="46"/>
      <c r="W371" s="392"/>
      <c r="X371" s="392"/>
      <c r="Y371" s="392"/>
    </row>
    <row r="372" spans="1:25" ht="13.5" customHeight="1">
      <c r="A372" s="411"/>
      <c r="B372" s="392"/>
      <c r="C372" s="404"/>
      <c r="D372" s="402"/>
      <c r="E372" s="426"/>
      <c r="F372" s="427"/>
      <c r="G372" s="427"/>
      <c r="H372" s="427"/>
      <c r="I372" s="428"/>
      <c r="K372" s="427"/>
      <c r="L372" s="428"/>
      <c r="M372" s="428"/>
      <c r="Q372" s="392"/>
      <c r="R372" s="392"/>
      <c r="T372" s="417"/>
      <c r="U372" s="46"/>
      <c r="V372" s="46"/>
      <c r="W372" s="392"/>
      <c r="X372" s="392"/>
      <c r="Y372" s="392"/>
    </row>
    <row r="373" spans="1:25" ht="13.5" customHeight="1">
      <c r="A373" s="411"/>
      <c r="B373" s="392"/>
      <c r="C373" s="404"/>
      <c r="D373" s="402"/>
      <c r="E373" s="426"/>
      <c r="F373" s="427"/>
      <c r="G373" s="427"/>
      <c r="H373" s="427"/>
      <c r="I373" s="428"/>
      <c r="K373" s="427"/>
      <c r="L373" s="428"/>
      <c r="M373" s="428"/>
      <c r="Q373" s="392"/>
      <c r="R373" s="392"/>
      <c r="T373" s="417"/>
      <c r="U373" s="46"/>
      <c r="V373" s="46"/>
      <c r="W373" s="392"/>
      <c r="X373" s="392"/>
      <c r="Y373" s="392"/>
    </row>
    <row r="374" spans="1:25" ht="13.5" customHeight="1">
      <c r="A374" s="411"/>
      <c r="B374" s="392"/>
      <c r="C374" s="404"/>
      <c r="D374" s="402"/>
      <c r="E374" s="426"/>
      <c r="F374" s="427"/>
      <c r="G374" s="427"/>
      <c r="H374" s="427"/>
      <c r="I374" s="428"/>
      <c r="K374" s="427"/>
      <c r="L374" s="428"/>
      <c r="M374" s="428"/>
      <c r="Q374" s="392"/>
      <c r="R374" s="392"/>
      <c r="T374" s="417"/>
      <c r="U374" s="46"/>
      <c r="V374" s="46"/>
      <c r="W374" s="392"/>
      <c r="X374" s="392"/>
      <c r="Y374" s="392"/>
    </row>
    <row r="375" spans="1:25" ht="13.5" customHeight="1">
      <c r="A375" s="411"/>
      <c r="B375" s="392"/>
      <c r="C375" s="404"/>
      <c r="D375" s="402"/>
      <c r="E375" s="426"/>
      <c r="F375" s="427"/>
      <c r="G375" s="427"/>
      <c r="H375" s="427"/>
      <c r="I375" s="428"/>
      <c r="K375" s="427"/>
      <c r="L375" s="428"/>
      <c r="M375" s="428"/>
      <c r="Q375" s="392"/>
      <c r="R375" s="392"/>
      <c r="T375" s="417"/>
      <c r="U375" s="46"/>
      <c r="V375" s="46"/>
      <c r="W375" s="392"/>
      <c r="X375" s="392"/>
      <c r="Y375" s="392"/>
    </row>
    <row r="376" spans="1:25" ht="13.5" customHeight="1">
      <c r="A376" s="411"/>
      <c r="B376" s="392"/>
      <c r="C376" s="404"/>
      <c r="D376" s="402"/>
      <c r="E376" s="426"/>
      <c r="F376" s="427"/>
      <c r="G376" s="427"/>
      <c r="H376" s="427"/>
      <c r="I376" s="428"/>
      <c r="K376" s="427"/>
      <c r="L376" s="428"/>
      <c r="M376" s="428"/>
      <c r="Q376" s="392"/>
      <c r="R376" s="392"/>
      <c r="T376" s="417"/>
      <c r="U376" s="46"/>
      <c r="V376" s="46"/>
      <c r="W376" s="392"/>
      <c r="X376" s="392"/>
      <c r="Y376" s="392"/>
    </row>
    <row r="377" spans="1:25" ht="13.5" customHeight="1">
      <c r="A377" s="411"/>
      <c r="B377" s="392"/>
      <c r="C377" s="404"/>
      <c r="D377" s="402"/>
      <c r="E377" s="426"/>
      <c r="F377" s="427"/>
      <c r="G377" s="427"/>
      <c r="H377" s="427"/>
      <c r="I377" s="428"/>
      <c r="K377" s="427"/>
      <c r="L377" s="428"/>
      <c r="M377" s="428"/>
      <c r="Q377" s="392"/>
      <c r="R377" s="392"/>
      <c r="T377" s="417"/>
      <c r="U377" s="46"/>
      <c r="V377" s="46"/>
      <c r="W377" s="392"/>
      <c r="X377" s="392"/>
      <c r="Y377" s="392"/>
    </row>
    <row r="378" spans="1:25" ht="13.5" customHeight="1">
      <c r="A378" s="411"/>
      <c r="B378" s="392"/>
      <c r="C378" s="404"/>
      <c r="D378" s="402"/>
      <c r="E378" s="426"/>
      <c r="F378" s="427"/>
      <c r="G378" s="427"/>
      <c r="H378" s="427"/>
      <c r="I378" s="428"/>
      <c r="K378" s="427"/>
      <c r="L378" s="428"/>
      <c r="M378" s="428"/>
      <c r="Q378" s="392"/>
      <c r="R378" s="392"/>
      <c r="T378" s="417"/>
      <c r="U378" s="46"/>
      <c r="V378" s="46"/>
      <c r="W378" s="392"/>
      <c r="X378" s="392"/>
      <c r="Y378" s="392"/>
    </row>
    <row r="379" spans="1:25" ht="13.5" customHeight="1">
      <c r="A379" s="411"/>
      <c r="B379" s="392"/>
      <c r="C379" s="404"/>
      <c r="D379" s="402"/>
      <c r="E379" s="426"/>
      <c r="F379" s="427"/>
      <c r="G379" s="427"/>
      <c r="H379" s="427"/>
      <c r="I379" s="428"/>
      <c r="K379" s="427"/>
      <c r="L379" s="428"/>
      <c r="M379" s="428"/>
      <c r="Q379" s="392"/>
      <c r="R379" s="392"/>
      <c r="T379" s="417"/>
      <c r="U379" s="46"/>
      <c r="V379" s="46"/>
      <c r="W379" s="392"/>
      <c r="X379" s="392"/>
      <c r="Y379" s="392"/>
    </row>
    <row r="380" spans="1:25" ht="13.5" customHeight="1">
      <c r="A380" s="411"/>
      <c r="B380" s="392"/>
      <c r="C380" s="404"/>
      <c r="D380" s="402"/>
      <c r="E380" s="426"/>
      <c r="F380" s="427"/>
      <c r="G380" s="427"/>
      <c r="H380" s="427"/>
      <c r="I380" s="428"/>
      <c r="K380" s="427"/>
      <c r="L380" s="428"/>
      <c r="M380" s="428"/>
      <c r="Q380" s="392"/>
      <c r="R380" s="392"/>
      <c r="T380" s="417"/>
      <c r="U380" s="46"/>
      <c r="V380" s="46"/>
      <c r="W380" s="392"/>
      <c r="X380" s="392"/>
      <c r="Y380" s="392"/>
    </row>
    <row r="381" spans="1:25" ht="13.5" customHeight="1">
      <c r="A381" s="411"/>
      <c r="B381" s="392"/>
      <c r="C381" s="404"/>
      <c r="D381" s="402"/>
      <c r="E381" s="426"/>
      <c r="F381" s="427"/>
      <c r="G381" s="427"/>
      <c r="H381" s="427"/>
      <c r="I381" s="428"/>
      <c r="K381" s="427"/>
      <c r="L381" s="428"/>
      <c r="M381" s="428"/>
      <c r="Q381" s="392"/>
      <c r="R381" s="392"/>
      <c r="T381" s="417"/>
      <c r="U381" s="46"/>
      <c r="V381" s="46"/>
      <c r="W381" s="392"/>
      <c r="X381" s="392"/>
      <c r="Y381" s="392"/>
    </row>
    <row r="382" spans="1:25" ht="13.5" customHeight="1">
      <c r="A382" s="411"/>
      <c r="B382" s="392"/>
      <c r="C382" s="404"/>
      <c r="D382" s="402"/>
      <c r="E382" s="426"/>
      <c r="F382" s="427"/>
      <c r="G382" s="427"/>
      <c r="H382" s="427"/>
      <c r="I382" s="428"/>
      <c r="K382" s="427"/>
      <c r="L382" s="428"/>
      <c r="M382" s="428"/>
      <c r="Q382" s="392"/>
      <c r="R382" s="392"/>
      <c r="T382" s="417"/>
      <c r="U382" s="46"/>
      <c r="V382" s="46"/>
      <c r="W382" s="392"/>
      <c r="X382" s="392"/>
      <c r="Y382" s="392"/>
    </row>
    <row r="383" spans="1:25" ht="13.5" customHeight="1">
      <c r="A383" s="411"/>
      <c r="B383" s="392"/>
      <c r="C383" s="404"/>
      <c r="D383" s="402"/>
      <c r="E383" s="426"/>
      <c r="F383" s="427"/>
      <c r="G383" s="427"/>
      <c r="H383" s="427"/>
      <c r="I383" s="428"/>
      <c r="K383" s="427"/>
      <c r="L383" s="428"/>
      <c r="M383" s="428"/>
      <c r="Q383" s="392"/>
      <c r="R383" s="392"/>
      <c r="T383" s="417"/>
      <c r="U383" s="46"/>
      <c r="V383" s="46"/>
      <c r="W383" s="392"/>
      <c r="X383" s="392"/>
      <c r="Y383" s="392"/>
    </row>
    <row r="384" spans="1:25" ht="13.5" customHeight="1">
      <c r="A384" s="411"/>
      <c r="B384" s="392"/>
      <c r="C384" s="404"/>
      <c r="D384" s="402"/>
      <c r="E384" s="426"/>
      <c r="F384" s="427"/>
      <c r="G384" s="427"/>
      <c r="H384" s="427"/>
      <c r="I384" s="428"/>
      <c r="K384" s="427"/>
      <c r="L384" s="428"/>
      <c r="M384" s="428"/>
      <c r="Q384" s="392"/>
      <c r="R384" s="392"/>
      <c r="T384" s="417"/>
      <c r="U384" s="46"/>
      <c r="V384" s="46"/>
      <c r="W384" s="392"/>
      <c r="X384" s="392"/>
      <c r="Y384" s="392"/>
    </row>
    <row r="385" spans="1:25" ht="13.5" customHeight="1">
      <c r="A385" s="411"/>
      <c r="B385" s="392"/>
      <c r="C385" s="404"/>
      <c r="D385" s="402"/>
      <c r="E385" s="426"/>
      <c r="F385" s="427"/>
      <c r="G385" s="427"/>
      <c r="H385" s="427"/>
      <c r="I385" s="428"/>
      <c r="K385" s="427"/>
      <c r="L385" s="428"/>
      <c r="M385" s="428"/>
      <c r="Q385" s="392"/>
      <c r="R385" s="392"/>
      <c r="T385" s="417"/>
      <c r="U385" s="46"/>
      <c r="V385" s="46"/>
      <c r="W385" s="392"/>
      <c r="X385" s="392"/>
      <c r="Y385" s="392"/>
    </row>
    <row r="386" spans="1:25" ht="13.5" customHeight="1">
      <c r="A386" s="411"/>
      <c r="B386" s="392"/>
      <c r="C386" s="404"/>
      <c r="D386" s="402"/>
      <c r="E386" s="426"/>
      <c r="F386" s="427"/>
      <c r="G386" s="427"/>
      <c r="H386" s="427"/>
      <c r="I386" s="428"/>
      <c r="K386" s="427"/>
      <c r="L386" s="428"/>
      <c r="M386" s="428"/>
      <c r="Q386" s="392"/>
      <c r="R386" s="392"/>
      <c r="T386" s="417"/>
      <c r="U386" s="46"/>
      <c r="V386" s="46"/>
      <c r="W386" s="392"/>
      <c r="X386" s="392"/>
      <c r="Y386" s="392"/>
    </row>
    <row r="387" spans="1:25" ht="13.5" customHeight="1">
      <c r="A387" s="411"/>
      <c r="B387" s="392"/>
      <c r="C387" s="404"/>
      <c r="D387" s="402"/>
      <c r="E387" s="426"/>
      <c r="F387" s="427"/>
      <c r="G387" s="427"/>
      <c r="H387" s="427"/>
      <c r="I387" s="428"/>
      <c r="K387" s="427"/>
      <c r="L387" s="428"/>
      <c r="M387" s="428"/>
      <c r="Q387" s="392"/>
      <c r="R387" s="392"/>
      <c r="T387" s="417"/>
      <c r="U387" s="46"/>
      <c r="V387" s="46"/>
      <c r="W387" s="392"/>
      <c r="X387" s="392"/>
      <c r="Y387" s="392"/>
    </row>
    <row r="388" spans="1:25" ht="13.5" customHeight="1">
      <c r="A388" s="411"/>
      <c r="B388" s="392"/>
      <c r="C388" s="404"/>
      <c r="D388" s="402"/>
      <c r="E388" s="426"/>
      <c r="F388" s="427"/>
      <c r="G388" s="427"/>
      <c r="H388" s="427"/>
      <c r="I388" s="428"/>
      <c r="K388" s="427"/>
      <c r="L388" s="428"/>
      <c r="M388" s="428"/>
      <c r="Q388" s="392"/>
      <c r="R388" s="392"/>
      <c r="T388" s="417"/>
      <c r="U388" s="46"/>
      <c r="V388" s="46"/>
      <c r="W388" s="392"/>
      <c r="X388" s="392"/>
      <c r="Y388" s="392"/>
    </row>
    <row r="389" spans="1:25" ht="13.5" customHeight="1">
      <c r="A389" s="411"/>
      <c r="B389" s="392"/>
      <c r="C389" s="404"/>
      <c r="D389" s="402"/>
      <c r="E389" s="426"/>
      <c r="F389" s="427"/>
      <c r="G389" s="427"/>
      <c r="H389" s="427"/>
      <c r="I389" s="428"/>
      <c r="K389" s="427"/>
      <c r="L389" s="428"/>
      <c r="M389" s="428"/>
      <c r="Q389" s="392"/>
      <c r="R389" s="392"/>
      <c r="T389" s="417"/>
      <c r="U389" s="46"/>
      <c r="V389" s="46"/>
      <c r="W389" s="392"/>
      <c r="X389" s="392"/>
      <c r="Y389" s="392"/>
    </row>
    <row r="390" spans="1:25" ht="13.5" customHeight="1">
      <c r="A390" s="411"/>
      <c r="B390" s="392"/>
      <c r="C390" s="404"/>
      <c r="D390" s="402"/>
      <c r="E390" s="426"/>
      <c r="F390" s="427"/>
      <c r="G390" s="427"/>
      <c r="H390" s="427"/>
      <c r="I390" s="428"/>
      <c r="K390" s="427"/>
      <c r="L390" s="428"/>
      <c r="M390" s="428"/>
      <c r="Q390" s="392"/>
      <c r="R390" s="392"/>
      <c r="T390" s="417"/>
      <c r="U390" s="46"/>
      <c r="V390" s="46"/>
      <c r="W390" s="392"/>
      <c r="X390" s="392"/>
      <c r="Y390" s="392"/>
    </row>
    <row r="391" spans="1:25" ht="13.5" customHeight="1">
      <c r="A391" s="411"/>
      <c r="B391" s="392"/>
      <c r="C391" s="404"/>
      <c r="D391" s="402"/>
      <c r="E391" s="426"/>
      <c r="F391" s="427"/>
      <c r="G391" s="427"/>
      <c r="H391" s="427"/>
      <c r="I391" s="428"/>
      <c r="K391" s="427"/>
      <c r="L391" s="428"/>
      <c r="M391" s="428"/>
      <c r="Q391" s="392"/>
      <c r="R391" s="392"/>
      <c r="T391" s="417"/>
      <c r="U391" s="46"/>
      <c r="V391" s="46"/>
      <c r="W391" s="392"/>
      <c r="X391" s="392"/>
      <c r="Y391" s="392"/>
    </row>
    <row r="392" spans="1:25" ht="13.5" customHeight="1">
      <c r="A392" s="411"/>
      <c r="B392" s="392"/>
      <c r="C392" s="404"/>
      <c r="D392" s="402"/>
      <c r="E392" s="426"/>
      <c r="F392" s="427"/>
      <c r="G392" s="427"/>
      <c r="H392" s="427"/>
      <c r="I392" s="428"/>
      <c r="K392" s="427"/>
      <c r="L392" s="428"/>
      <c r="M392" s="428"/>
      <c r="Q392" s="392"/>
      <c r="R392" s="392"/>
      <c r="T392" s="417"/>
      <c r="U392" s="46"/>
      <c r="V392" s="46"/>
      <c r="W392" s="392"/>
      <c r="X392" s="392"/>
      <c r="Y392" s="392"/>
    </row>
    <row r="393" spans="1:25" ht="13.5" customHeight="1">
      <c r="A393" s="411"/>
      <c r="B393" s="392"/>
      <c r="C393" s="404"/>
      <c r="D393" s="402"/>
      <c r="E393" s="426"/>
      <c r="F393" s="427"/>
      <c r="G393" s="427"/>
      <c r="H393" s="427"/>
      <c r="I393" s="428"/>
      <c r="K393" s="427"/>
      <c r="L393" s="428"/>
      <c r="M393" s="428"/>
      <c r="Q393" s="392"/>
      <c r="R393" s="392"/>
      <c r="T393" s="417"/>
      <c r="U393" s="46"/>
      <c r="V393" s="46"/>
      <c r="W393" s="392"/>
      <c r="X393" s="392"/>
      <c r="Y393" s="392"/>
    </row>
    <row r="394" spans="1:25" ht="13.5" customHeight="1">
      <c r="A394" s="411"/>
      <c r="B394" s="392"/>
      <c r="C394" s="404"/>
      <c r="D394" s="402"/>
      <c r="E394" s="426"/>
      <c r="F394" s="427"/>
      <c r="G394" s="427"/>
      <c r="H394" s="427"/>
      <c r="I394" s="428"/>
      <c r="K394" s="427"/>
      <c r="L394" s="428"/>
      <c r="M394" s="428"/>
      <c r="Q394" s="392"/>
      <c r="R394" s="392"/>
      <c r="T394" s="417"/>
      <c r="U394" s="46"/>
      <c r="V394" s="46"/>
      <c r="W394" s="392"/>
      <c r="X394" s="392"/>
      <c r="Y394" s="392"/>
    </row>
    <row r="395" spans="1:25" ht="13.5" customHeight="1">
      <c r="A395" s="411"/>
      <c r="B395" s="392"/>
      <c r="C395" s="404"/>
      <c r="D395" s="402"/>
      <c r="E395" s="426"/>
      <c r="F395" s="427"/>
      <c r="G395" s="427"/>
      <c r="H395" s="427"/>
      <c r="I395" s="428"/>
      <c r="K395" s="427"/>
      <c r="L395" s="428"/>
      <c r="M395" s="428"/>
      <c r="Q395" s="392"/>
      <c r="R395" s="392"/>
      <c r="T395" s="417"/>
      <c r="U395" s="46"/>
      <c r="V395" s="46"/>
      <c r="W395" s="392"/>
      <c r="X395" s="392"/>
      <c r="Y395" s="392"/>
    </row>
    <row r="396" spans="1:25" ht="13.5" customHeight="1">
      <c r="A396" s="411"/>
      <c r="B396" s="392"/>
      <c r="C396" s="404"/>
      <c r="D396" s="402"/>
      <c r="E396" s="426"/>
      <c r="F396" s="427"/>
      <c r="G396" s="427"/>
      <c r="H396" s="427"/>
      <c r="I396" s="428"/>
      <c r="K396" s="427"/>
      <c r="L396" s="428"/>
      <c r="M396" s="428"/>
      <c r="Q396" s="392"/>
      <c r="R396" s="392"/>
      <c r="T396" s="417"/>
      <c r="U396" s="46"/>
      <c r="V396" s="46"/>
      <c r="W396" s="392"/>
      <c r="X396" s="392"/>
      <c r="Y396" s="392"/>
    </row>
    <row r="397" spans="1:25" ht="13.5" customHeight="1">
      <c r="A397" s="411"/>
      <c r="B397" s="392"/>
      <c r="C397" s="404"/>
      <c r="D397" s="402"/>
      <c r="E397" s="426"/>
      <c r="F397" s="427"/>
      <c r="G397" s="427"/>
      <c r="H397" s="427"/>
      <c r="I397" s="428"/>
      <c r="K397" s="427"/>
      <c r="L397" s="428"/>
      <c r="M397" s="428"/>
      <c r="Q397" s="392"/>
      <c r="R397" s="392"/>
      <c r="T397" s="417"/>
      <c r="U397" s="46"/>
      <c r="V397" s="46"/>
      <c r="W397" s="392"/>
      <c r="X397" s="392"/>
      <c r="Y397" s="392"/>
    </row>
    <row r="398" spans="1:25" ht="13.5" customHeight="1">
      <c r="A398" s="411"/>
      <c r="B398" s="392"/>
      <c r="C398" s="404"/>
      <c r="D398" s="402"/>
      <c r="E398" s="426"/>
      <c r="F398" s="427"/>
      <c r="G398" s="427"/>
      <c r="H398" s="427"/>
      <c r="I398" s="428"/>
      <c r="K398" s="427"/>
      <c r="L398" s="428"/>
      <c r="M398" s="428"/>
      <c r="Q398" s="392"/>
      <c r="R398" s="392"/>
      <c r="T398" s="417"/>
      <c r="U398" s="46"/>
      <c r="V398" s="46"/>
      <c r="W398" s="392"/>
      <c r="X398" s="392"/>
      <c r="Y398" s="392"/>
    </row>
    <row r="399" spans="1:25" ht="13.5" customHeight="1">
      <c r="A399" s="411"/>
      <c r="B399" s="392"/>
      <c r="C399" s="404"/>
      <c r="D399" s="402"/>
      <c r="E399" s="426"/>
      <c r="F399" s="427"/>
      <c r="G399" s="427"/>
      <c r="H399" s="427"/>
      <c r="I399" s="428"/>
      <c r="K399" s="427"/>
      <c r="L399" s="428"/>
      <c r="M399" s="428"/>
      <c r="Q399" s="392"/>
      <c r="R399" s="392"/>
      <c r="T399" s="417"/>
      <c r="U399" s="46"/>
      <c r="V399" s="46"/>
      <c r="W399" s="392"/>
      <c r="X399" s="392"/>
      <c r="Y399" s="392"/>
    </row>
    <row r="400" spans="1:25" ht="13.5" customHeight="1">
      <c r="A400" s="411"/>
      <c r="B400" s="392"/>
      <c r="C400" s="404"/>
      <c r="D400" s="402"/>
      <c r="E400" s="426"/>
      <c r="F400" s="427"/>
      <c r="G400" s="427"/>
      <c r="H400" s="427"/>
      <c r="I400" s="428"/>
      <c r="K400" s="427"/>
      <c r="L400" s="428"/>
      <c r="M400" s="428"/>
      <c r="Q400" s="392"/>
      <c r="R400" s="392"/>
      <c r="T400" s="417"/>
      <c r="U400" s="46"/>
      <c r="V400" s="46"/>
      <c r="W400" s="392"/>
      <c r="X400" s="392"/>
      <c r="Y400" s="392"/>
    </row>
    <row r="401" spans="1:25" ht="13.5" customHeight="1">
      <c r="A401" s="411"/>
      <c r="B401" s="392"/>
      <c r="C401" s="404"/>
      <c r="D401" s="402"/>
      <c r="E401" s="426"/>
      <c r="F401" s="427"/>
      <c r="G401" s="427"/>
      <c r="H401" s="427"/>
      <c r="I401" s="428"/>
      <c r="K401" s="427"/>
      <c r="L401" s="428"/>
      <c r="M401" s="428"/>
      <c r="Q401" s="392"/>
      <c r="R401" s="392"/>
      <c r="T401" s="417"/>
      <c r="U401" s="46"/>
      <c r="V401" s="46"/>
      <c r="W401" s="392"/>
      <c r="X401" s="392"/>
      <c r="Y401" s="392"/>
    </row>
    <row r="402" spans="1:25" ht="13.5" customHeight="1">
      <c r="A402" s="411"/>
      <c r="B402" s="392"/>
      <c r="C402" s="404"/>
      <c r="D402" s="402"/>
      <c r="E402" s="426"/>
      <c r="F402" s="427"/>
      <c r="G402" s="427"/>
      <c r="H402" s="427"/>
      <c r="I402" s="428"/>
      <c r="K402" s="427"/>
      <c r="L402" s="428"/>
      <c r="M402" s="428"/>
      <c r="Q402" s="392"/>
      <c r="R402" s="392"/>
      <c r="T402" s="417"/>
      <c r="U402" s="46"/>
      <c r="V402" s="46"/>
      <c r="W402" s="392"/>
      <c r="X402" s="392"/>
      <c r="Y402" s="392"/>
    </row>
    <row r="403" spans="1:25" ht="13.5" customHeight="1">
      <c r="A403" s="411"/>
      <c r="B403" s="392"/>
      <c r="C403" s="404"/>
      <c r="D403" s="402"/>
      <c r="E403" s="426"/>
      <c r="F403" s="427"/>
      <c r="G403" s="427"/>
      <c r="H403" s="427"/>
      <c r="I403" s="428"/>
      <c r="K403" s="427"/>
      <c r="L403" s="428"/>
      <c r="M403" s="428"/>
      <c r="Q403" s="392"/>
      <c r="R403" s="392"/>
      <c r="T403" s="417"/>
      <c r="U403" s="46"/>
      <c r="V403" s="46"/>
      <c r="W403" s="392"/>
      <c r="X403" s="392"/>
      <c r="Y403" s="392"/>
    </row>
    <row r="404" spans="1:25" ht="13.5" customHeight="1">
      <c r="A404" s="411"/>
      <c r="B404" s="392"/>
      <c r="C404" s="404"/>
      <c r="D404" s="402"/>
      <c r="E404" s="426"/>
      <c r="F404" s="427"/>
      <c r="G404" s="427"/>
      <c r="H404" s="427"/>
      <c r="I404" s="428"/>
      <c r="K404" s="427"/>
      <c r="L404" s="428"/>
      <c r="M404" s="428"/>
      <c r="Q404" s="392"/>
      <c r="R404" s="392"/>
      <c r="T404" s="417"/>
      <c r="U404" s="46"/>
      <c r="V404" s="46"/>
      <c r="W404" s="392"/>
      <c r="X404" s="392"/>
      <c r="Y404" s="392"/>
    </row>
    <row r="405" spans="1:25" ht="13.5" customHeight="1">
      <c r="A405" s="411"/>
      <c r="B405" s="392"/>
      <c r="C405" s="404"/>
      <c r="D405" s="402"/>
      <c r="E405" s="426"/>
      <c r="F405" s="427"/>
      <c r="G405" s="427"/>
      <c r="H405" s="427"/>
      <c r="I405" s="428"/>
      <c r="K405" s="427"/>
      <c r="L405" s="428"/>
      <c r="M405" s="428"/>
      <c r="Q405" s="392"/>
      <c r="R405" s="392"/>
      <c r="T405" s="417"/>
      <c r="U405" s="46"/>
      <c r="V405" s="46"/>
      <c r="W405" s="392"/>
      <c r="X405" s="392"/>
      <c r="Y405" s="392"/>
    </row>
    <row r="406" spans="1:25" ht="13.5" customHeight="1">
      <c r="A406" s="411"/>
      <c r="B406" s="392"/>
      <c r="C406" s="404"/>
      <c r="D406" s="402"/>
      <c r="E406" s="426"/>
      <c r="F406" s="427"/>
      <c r="G406" s="427"/>
      <c r="H406" s="427"/>
      <c r="I406" s="428"/>
      <c r="K406" s="427"/>
      <c r="L406" s="428"/>
      <c r="M406" s="428"/>
      <c r="Q406" s="392"/>
      <c r="R406" s="392"/>
      <c r="T406" s="417"/>
      <c r="U406" s="46"/>
      <c r="V406" s="46"/>
      <c r="W406" s="392"/>
      <c r="X406" s="392"/>
      <c r="Y406" s="392"/>
    </row>
    <row r="407" spans="1:25" ht="13.5" customHeight="1">
      <c r="A407" s="411"/>
      <c r="B407" s="392"/>
      <c r="C407" s="404"/>
      <c r="D407" s="402"/>
      <c r="E407" s="426"/>
      <c r="F407" s="427"/>
      <c r="G407" s="427"/>
      <c r="H407" s="427"/>
      <c r="I407" s="428"/>
      <c r="K407" s="427"/>
      <c r="L407" s="428"/>
      <c r="M407" s="428"/>
      <c r="Q407" s="392"/>
      <c r="R407" s="392"/>
      <c r="T407" s="417"/>
      <c r="U407" s="46"/>
      <c r="V407" s="46"/>
      <c r="W407" s="392"/>
      <c r="X407" s="392"/>
      <c r="Y407" s="392"/>
    </row>
    <row r="408" spans="1:25" ht="13.5" customHeight="1">
      <c r="A408" s="411"/>
      <c r="B408" s="392"/>
      <c r="C408" s="404"/>
      <c r="D408" s="402"/>
      <c r="E408" s="426"/>
      <c r="F408" s="427"/>
      <c r="G408" s="427"/>
      <c r="H408" s="427"/>
      <c r="I408" s="428"/>
      <c r="K408" s="427"/>
      <c r="L408" s="428"/>
      <c r="M408" s="428"/>
      <c r="Q408" s="392"/>
      <c r="R408" s="392"/>
      <c r="T408" s="417"/>
      <c r="U408" s="46"/>
      <c r="V408" s="46"/>
      <c r="W408" s="392"/>
      <c r="X408" s="392"/>
      <c r="Y408" s="392"/>
    </row>
    <row r="409" spans="1:25" ht="13.5" customHeight="1">
      <c r="A409" s="411"/>
      <c r="B409" s="392"/>
      <c r="C409" s="404"/>
      <c r="D409" s="402"/>
      <c r="E409" s="426"/>
      <c r="F409" s="427"/>
      <c r="G409" s="427"/>
      <c r="H409" s="427"/>
      <c r="I409" s="428"/>
      <c r="K409" s="427"/>
      <c r="L409" s="428"/>
      <c r="M409" s="428"/>
      <c r="Q409" s="392"/>
      <c r="R409" s="392"/>
      <c r="T409" s="417"/>
      <c r="U409" s="46"/>
      <c r="V409" s="46"/>
      <c r="W409" s="392"/>
      <c r="X409" s="392"/>
      <c r="Y409" s="392"/>
    </row>
    <row r="410" spans="1:25" ht="13.5" customHeight="1">
      <c r="A410" s="411"/>
      <c r="B410" s="392"/>
      <c r="C410" s="404"/>
      <c r="D410" s="402"/>
      <c r="E410" s="426"/>
      <c r="F410" s="427"/>
      <c r="G410" s="427"/>
      <c r="H410" s="427"/>
      <c r="I410" s="428"/>
      <c r="K410" s="427"/>
      <c r="L410" s="428"/>
      <c r="M410" s="428"/>
      <c r="Q410" s="392"/>
      <c r="R410" s="392"/>
      <c r="T410" s="417"/>
      <c r="U410" s="46"/>
      <c r="V410" s="46"/>
      <c r="W410" s="392"/>
      <c r="X410" s="392"/>
      <c r="Y410" s="392"/>
    </row>
    <row r="411" spans="1:25" ht="13.5" customHeight="1">
      <c r="A411" s="411"/>
      <c r="B411" s="392"/>
      <c r="C411" s="404"/>
      <c r="D411" s="402"/>
      <c r="E411" s="426"/>
      <c r="F411" s="427"/>
      <c r="G411" s="427"/>
      <c r="H411" s="427"/>
      <c r="I411" s="428"/>
      <c r="K411" s="427"/>
      <c r="L411" s="428"/>
      <c r="M411" s="428"/>
      <c r="Q411" s="392"/>
      <c r="R411" s="392"/>
      <c r="T411" s="417"/>
      <c r="U411" s="46"/>
      <c r="V411" s="46"/>
      <c r="W411" s="392"/>
      <c r="X411" s="392"/>
      <c r="Y411" s="392"/>
    </row>
    <row r="412" spans="1:25" ht="13.5" customHeight="1">
      <c r="A412" s="411"/>
      <c r="B412" s="392"/>
      <c r="C412" s="404"/>
      <c r="D412" s="402"/>
      <c r="E412" s="426"/>
      <c r="F412" s="427"/>
      <c r="G412" s="427"/>
      <c r="H412" s="427"/>
      <c r="I412" s="428"/>
      <c r="K412" s="427"/>
      <c r="L412" s="428"/>
      <c r="M412" s="428"/>
      <c r="Q412" s="392"/>
      <c r="R412" s="392"/>
      <c r="T412" s="417"/>
      <c r="U412" s="46"/>
      <c r="V412" s="46"/>
      <c r="W412" s="392"/>
      <c r="X412" s="392"/>
      <c r="Y412" s="392"/>
    </row>
    <row r="413" spans="1:25" ht="13.5" customHeight="1">
      <c r="A413" s="411"/>
      <c r="B413" s="392"/>
      <c r="C413" s="404"/>
      <c r="D413" s="402"/>
      <c r="E413" s="426"/>
      <c r="F413" s="427"/>
      <c r="G413" s="427"/>
      <c r="H413" s="427"/>
      <c r="I413" s="428"/>
      <c r="K413" s="427"/>
      <c r="L413" s="428"/>
      <c r="M413" s="428"/>
      <c r="Q413" s="392"/>
      <c r="R413" s="392"/>
      <c r="T413" s="417"/>
      <c r="U413" s="46"/>
      <c r="V413" s="46"/>
      <c r="W413" s="392"/>
      <c r="X413" s="392"/>
      <c r="Y413" s="392"/>
    </row>
    <row r="414" spans="1:25" ht="13.5" customHeight="1">
      <c r="A414" s="411"/>
      <c r="B414" s="392"/>
      <c r="C414" s="404"/>
      <c r="D414" s="402"/>
      <c r="E414" s="426"/>
      <c r="F414" s="427"/>
      <c r="G414" s="427"/>
      <c r="H414" s="427"/>
      <c r="I414" s="428"/>
      <c r="K414" s="427"/>
      <c r="L414" s="428"/>
      <c r="M414" s="428"/>
      <c r="Q414" s="392"/>
      <c r="R414" s="392"/>
      <c r="T414" s="417"/>
      <c r="U414" s="46"/>
      <c r="V414" s="46"/>
      <c r="W414" s="392"/>
      <c r="X414" s="392"/>
      <c r="Y414" s="392"/>
    </row>
    <row r="415" spans="1:25" ht="13.5" customHeight="1">
      <c r="A415" s="411"/>
      <c r="B415" s="392"/>
      <c r="C415" s="404"/>
      <c r="D415" s="402"/>
      <c r="E415" s="426"/>
      <c r="F415" s="427"/>
      <c r="G415" s="427"/>
      <c r="H415" s="427"/>
      <c r="I415" s="428"/>
      <c r="K415" s="427"/>
      <c r="L415" s="428"/>
      <c r="M415" s="428"/>
      <c r="Q415" s="392"/>
      <c r="R415" s="392"/>
      <c r="T415" s="417"/>
      <c r="U415" s="46"/>
      <c r="V415" s="46"/>
      <c r="W415" s="392"/>
      <c r="X415" s="392"/>
      <c r="Y415" s="392"/>
    </row>
    <row r="416" spans="1:25" ht="13.5" customHeight="1">
      <c r="A416" s="411"/>
      <c r="B416" s="392"/>
      <c r="C416" s="404"/>
      <c r="D416" s="402"/>
      <c r="E416" s="426"/>
      <c r="F416" s="427"/>
      <c r="G416" s="427"/>
      <c r="H416" s="427"/>
      <c r="I416" s="428"/>
      <c r="K416" s="427"/>
      <c r="L416" s="428"/>
      <c r="M416" s="428"/>
      <c r="Q416" s="392"/>
      <c r="R416" s="392"/>
      <c r="T416" s="417"/>
      <c r="U416" s="46"/>
      <c r="V416" s="46"/>
      <c r="W416" s="392"/>
      <c r="X416" s="392"/>
      <c r="Y416" s="392"/>
    </row>
    <row r="417" spans="1:25" ht="13.5" customHeight="1">
      <c r="A417" s="411"/>
      <c r="B417" s="392"/>
      <c r="C417" s="404"/>
      <c r="D417" s="402"/>
      <c r="E417" s="426"/>
      <c r="F417" s="427"/>
      <c r="G417" s="427"/>
      <c r="H417" s="427"/>
      <c r="I417" s="428"/>
      <c r="K417" s="427"/>
      <c r="L417" s="428"/>
      <c r="M417" s="428"/>
      <c r="Q417" s="392"/>
      <c r="R417" s="392"/>
      <c r="T417" s="417"/>
      <c r="U417" s="46"/>
      <c r="V417" s="46"/>
      <c r="W417" s="392"/>
      <c r="X417" s="392"/>
      <c r="Y417" s="392"/>
    </row>
    <row r="418" spans="1:25" ht="13.5" customHeight="1">
      <c r="A418" s="411"/>
      <c r="B418" s="392"/>
      <c r="C418" s="404"/>
      <c r="D418" s="402"/>
      <c r="E418" s="426"/>
      <c r="F418" s="427"/>
      <c r="G418" s="427"/>
      <c r="H418" s="427"/>
      <c r="I418" s="428"/>
      <c r="K418" s="427"/>
      <c r="L418" s="428"/>
      <c r="M418" s="428"/>
      <c r="Q418" s="392"/>
      <c r="R418" s="392"/>
      <c r="T418" s="417"/>
      <c r="U418" s="46"/>
      <c r="V418" s="46"/>
      <c r="W418" s="392"/>
      <c r="X418" s="392"/>
      <c r="Y418" s="392"/>
    </row>
    <row r="419" spans="1:25" ht="13.5" customHeight="1">
      <c r="A419" s="411"/>
      <c r="B419" s="392"/>
      <c r="C419" s="404"/>
      <c r="D419" s="402"/>
      <c r="E419" s="426"/>
      <c r="F419" s="427"/>
      <c r="G419" s="427"/>
      <c r="H419" s="427"/>
      <c r="I419" s="428"/>
      <c r="K419" s="427"/>
      <c r="L419" s="428"/>
      <c r="M419" s="428"/>
      <c r="Q419" s="392"/>
      <c r="R419" s="392"/>
      <c r="T419" s="417"/>
      <c r="U419" s="46"/>
      <c r="V419" s="46"/>
      <c r="W419" s="392"/>
      <c r="X419" s="392"/>
      <c r="Y419" s="392"/>
    </row>
    <row r="420" spans="1:25" ht="13.5" customHeight="1">
      <c r="A420" s="411"/>
      <c r="B420" s="392"/>
      <c r="C420" s="404"/>
      <c r="D420" s="402"/>
      <c r="E420" s="426"/>
      <c r="F420" s="427"/>
      <c r="G420" s="427"/>
      <c r="H420" s="427"/>
      <c r="I420" s="428"/>
      <c r="K420" s="427"/>
      <c r="L420" s="428"/>
      <c r="M420" s="428"/>
      <c r="Q420" s="392"/>
      <c r="R420" s="392"/>
      <c r="T420" s="417"/>
      <c r="U420" s="46"/>
      <c r="V420" s="46"/>
      <c r="W420" s="392"/>
      <c r="X420" s="392"/>
      <c r="Y420" s="392"/>
    </row>
    <row r="421" spans="1:25" ht="13.5" customHeight="1">
      <c r="A421" s="411"/>
      <c r="B421" s="392"/>
      <c r="C421" s="404"/>
      <c r="D421" s="402"/>
      <c r="E421" s="426"/>
      <c r="F421" s="427"/>
      <c r="G421" s="427"/>
      <c r="H421" s="427"/>
      <c r="I421" s="428"/>
      <c r="K421" s="427"/>
      <c r="L421" s="428"/>
      <c r="M421" s="428"/>
      <c r="Q421" s="392"/>
      <c r="R421" s="392"/>
      <c r="T421" s="417"/>
      <c r="U421" s="46"/>
      <c r="V421" s="46"/>
      <c r="W421" s="392"/>
      <c r="X421" s="392"/>
      <c r="Y421" s="392"/>
    </row>
    <row r="422" spans="1:25" ht="13.5" customHeight="1">
      <c r="A422" s="411"/>
      <c r="B422" s="392"/>
      <c r="C422" s="404"/>
      <c r="D422" s="402"/>
      <c r="E422" s="426"/>
      <c r="F422" s="427"/>
      <c r="G422" s="427"/>
      <c r="H422" s="427"/>
      <c r="I422" s="428"/>
      <c r="K422" s="427"/>
      <c r="L422" s="428"/>
      <c r="M422" s="428"/>
      <c r="Q422" s="392"/>
      <c r="R422" s="392"/>
      <c r="T422" s="417"/>
      <c r="U422" s="46"/>
      <c r="V422" s="46"/>
      <c r="W422" s="392"/>
      <c r="X422" s="392"/>
      <c r="Y422" s="392"/>
    </row>
    <row r="423" spans="1:25" ht="13.5" customHeight="1">
      <c r="A423" s="411"/>
      <c r="B423" s="392"/>
      <c r="C423" s="404"/>
      <c r="D423" s="402"/>
      <c r="E423" s="426"/>
      <c r="F423" s="427"/>
      <c r="G423" s="427"/>
      <c r="H423" s="427"/>
      <c r="I423" s="428"/>
      <c r="K423" s="427"/>
      <c r="L423" s="428"/>
      <c r="M423" s="428"/>
      <c r="Q423" s="392"/>
      <c r="R423" s="392"/>
      <c r="T423" s="417"/>
      <c r="U423" s="46"/>
      <c r="V423" s="46"/>
      <c r="W423" s="392"/>
      <c r="X423" s="392"/>
      <c r="Y423" s="392"/>
    </row>
    <row r="424" spans="1:25" ht="13.5" customHeight="1">
      <c r="A424" s="411"/>
      <c r="B424" s="392"/>
      <c r="C424" s="404"/>
      <c r="D424" s="402"/>
      <c r="E424" s="426"/>
      <c r="F424" s="427"/>
      <c r="G424" s="427"/>
      <c r="H424" s="427"/>
      <c r="I424" s="428"/>
      <c r="K424" s="427"/>
      <c r="L424" s="428"/>
      <c r="M424" s="428"/>
      <c r="Q424" s="392"/>
      <c r="R424" s="392"/>
      <c r="T424" s="417"/>
      <c r="U424" s="46"/>
      <c r="V424" s="46"/>
      <c r="W424" s="392"/>
      <c r="X424" s="392"/>
      <c r="Y424" s="392"/>
    </row>
    <row r="425" spans="1:25" ht="13.5" customHeight="1">
      <c r="A425" s="411"/>
      <c r="B425" s="392"/>
      <c r="C425" s="404"/>
      <c r="D425" s="402"/>
      <c r="E425" s="426"/>
      <c r="F425" s="427"/>
      <c r="G425" s="427"/>
      <c r="H425" s="427"/>
      <c r="I425" s="428"/>
      <c r="K425" s="427"/>
      <c r="L425" s="428"/>
      <c r="M425" s="428"/>
      <c r="Q425" s="392"/>
      <c r="R425" s="392"/>
      <c r="T425" s="417"/>
      <c r="U425" s="46"/>
      <c r="V425" s="46"/>
      <c r="W425" s="392"/>
      <c r="X425" s="392"/>
      <c r="Y425" s="392"/>
    </row>
    <row r="426" spans="1:25" ht="13.5" customHeight="1">
      <c r="A426" s="411"/>
      <c r="B426" s="392"/>
      <c r="C426" s="404"/>
      <c r="D426" s="402"/>
      <c r="E426" s="426"/>
      <c r="F426" s="427"/>
      <c r="G426" s="427"/>
      <c r="H426" s="427"/>
      <c r="I426" s="428"/>
      <c r="K426" s="427"/>
      <c r="L426" s="428"/>
      <c r="M426" s="428"/>
      <c r="Q426" s="392"/>
      <c r="R426" s="392"/>
      <c r="T426" s="417"/>
      <c r="U426" s="46"/>
      <c r="V426" s="46"/>
      <c r="W426" s="392"/>
      <c r="X426" s="392"/>
      <c r="Y426" s="392"/>
    </row>
    <row r="427" spans="1:25" ht="13.5" customHeight="1">
      <c r="A427" s="411"/>
      <c r="B427" s="392"/>
      <c r="C427" s="404"/>
      <c r="D427" s="402"/>
      <c r="E427" s="426"/>
      <c r="F427" s="427"/>
      <c r="G427" s="427"/>
      <c r="H427" s="427"/>
      <c r="I427" s="428"/>
      <c r="K427" s="427"/>
      <c r="L427" s="428"/>
      <c r="M427" s="428"/>
      <c r="Q427" s="392"/>
      <c r="R427" s="392"/>
      <c r="T427" s="417"/>
      <c r="U427" s="46"/>
      <c r="V427" s="46"/>
      <c r="W427" s="392"/>
      <c r="X427" s="392"/>
      <c r="Y427" s="392"/>
    </row>
    <row r="428" spans="1:25" ht="13.5" customHeight="1">
      <c r="A428" s="411"/>
      <c r="B428" s="392"/>
      <c r="C428" s="404"/>
      <c r="D428" s="402"/>
      <c r="E428" s="426"/>
      <c r="F428" s="427"/>
      <c r="G428" s="427"/>
      <c r="H428" s="427"/>
      <c r="I428" s="428"/>
      <c r="K428" s="427"/>
      <c r="L428" s="428"/>
      <c r="M428" s="428"/>
      <c r="Q428" s="392"/>
      <c r="R428" s="392"/>
      <c r="T428" s="417"/>
      <c r="U428" s="46"/>
      <c r="V428" s="46"/>
      <c r="W428" s="392"/>
      <c r="X428" s="392"/>
      <c r="Y428" s="392"/>
    </row>
    <row r="429" spans="1:25" ht="13.5" customHeight="1">
      <c r="A429" s="411"/>
      <c r="B429" s="392"/>
      <c r="C429" s="404"/>
      <c r="D429" s="402"/>
      <c r="E429" s="426"/>
      <c r="F429" s="427"/>
      <c r="G429" s="427"/>
      <c r="H429" s="427"/>
      <c r="I429" s="428"/>
      <c r="K429" s="427"/>
      <c r="L429" s="428"/>
      <c r="M429" s="428"/>
      <c r="Q429" s="392"/>
      <c r="R429" s="392"/>
      <c r="T429" s="417"/>
      <c r="U429" s="46"/>
      <c r="V429" s="46"/>
      <c r="W429" s="392"/>
      <c r="X429" s="392"/>
      <c r="Y429" s="392"/>
    </row>
    <row r="430" spans="1:25" ht="13.5" customHeight="1">
      <c r="A430" s="411"/>
      <c r="B430" s="392"/>
      <c r="C430" s="404"/>
      <c r="D430" s="402"/>
      <c r="E430" s="426"/>
      <c r="F430" s="427"/>
      <c r="G430" s="427"/>
      <c r="H430" s="427"/>
      <c r="I430" s="428"/>
      <c r="K430" s="427"/>
      <c r="L430" s="428"/>
      <c r="M430" s="428"/>
      <c r="Q430" s="392"/>
      <c r="R430" s="392"/>
      <c r="T430" s="417"/>
      <c r="U430" s="46"/>
      <c r="V430" s="46"/>
      <c r="W430" s="392"/>
      <c r="X430" s="392"/>
      <c r="Y430" s="392"/>
    </row>
    <row r="431" spans="1:25" ht="13.5" customHeight="1">
      <c r="A431" s="411"/>
      <c r="B431" s="392"/>
      <c r="C431" s="404"/>
      <c r="D431" s="402"/>
      <c r="E431" s="426"/>
      <c r="F431" s="427"/>
      <c r="G431" s="427"/>
      <c r="H431" s="427"/>
      <c r="I431" s="428"/>
      <c r="K431" s="427"/>
      <c r="L431" s="428"/>
      <c r="M431" s="428"/>
      <c r="Q431" s="392"/>
      <c r="R431" s="392"/>
      <c r="T431" s="417"/>
      <c r="U431" s="46"/>
      <c r="V431" s="46"/>
      <c r="W431" s="392"/>
      <c r="X431" s="392"/>
      <c r="Y431" s="392"/>
    </row>
    <row r="432" spans="1:25" ht="13.5" customHeight="1">
      <c r="A432" s="411"/>
      <c r="B432" s="392"/>
      <c r="C432" s="404"/>
      <c r="D432" s="402"/>
      <c r="E432" s="426"/>
      <c r="F432" s="427"/>
      <c r="G432" s="427"/>
      <c r="H432" s="427"/>
      <c r="I432" s="428"/>
      <c r="K432" s="427"/>
      <c r="L432" s="428"/>
      <c r="M432" s="428"/>
      <c r="Q432" s="392"/>
      <c r="R432" s="392"/>
      <c r="T432" s="417"/>
      <c r="U432" s="46"/>
      <c r="V432" s="46"/>
      <c r="W432" s="392"/>
      <c r="X432" s="392"/>
      <c r="Y432" s="392"/>
    </row>
    <row r="433" spans="1:25" ht="13.5" customHeight="1">
      <c r="A433" s="411"/>
      <c r="B433" s="392"/>
      <c r="C433" s="404"/>
      <c r="D433" s="402"/>
      <c r="E433" s="426"/>
      <c r="F433" s="427"/>
      <c r="G433" s="427"/>
      <c r="H433" s="427"/>
      <c r="I433" s="428"/>
      <c r="K433" s="427"/>
      <c r="L433" s="428"/>
      <c r="M433" s="428"/>
      <c r="Q433" s="392"/>
      <c r="R433" s="392"/>
      <c r="T433" s="417"/>
      <c r="U433" s="46"/>
      <c r="V433" s="46"/>
      <c r="W433" s="392"/>
      <c r="X433" s="392"/>
      <c r="Y433" s="392"/>
    </row>
    <row r="434" spans="1:25" ht="13.5" customHeight="1">
      <c r="A434" s="411"/>
      <c r="B434" s="392"/>
      <c r="C434" s="404"/>
      <c r="D434" s="402"/>
      <c r="E434" s="426"/>
      <c r="F434" s="427"/>
      <c r="G434" s="427"/>
      <c r="H434" s="427"/>
      <c r="I434" s="428"/>
      <c r="K434" s="427"/>
      <c r="L434" s="428"/>
      <c r="M434" s="428"/>
      <c r="Q434" s="392"/>
      <c r="R434" s="392"/>
      <c r="T434" s="417"/>
      <c r="U434" s="46"/>
      <c r="V434" s="46"/>
      <c r="W434" s="392"/>
      <c r="X434" s="392"/>
      <c r="Y434" s="392"/>
    </row>
    <row r="435" spans="1:25" ht="13.5" customHeight="1">
      <c r="A435" s="411"/>
      <c r="B435" s="392"/>
      <c r="C435" s="404"/>
      <c r="D435" s="402"/>
      <c r="E435" s="426"/>
      <c r="F435" s="427"/>
      <c r="G435" s="427"/>
      <c r="H435" s="427"/>
      <c r="I435" s="428"/>
      <c r="K435" s="427"/>
      <c r="L435" s="428"/>
      <c r="M435" s="428"/>
      <c r="Q435" s="392"/>
      <c r="R435" s="392"/>
      <c r="T435" s="417"/>
      <c r="U435" s="46"/>
      <c r="V435" s="46"/>
      <c r="W435" s="392"/>
      <c r="X435" s="392"/>
      <c r="Y435" s="392"/>
    </row>
    <row r="436" spans="1:25" ht="13.5" customHeight="1">
      <c r="A436" s="411"/>
      <c r="B436" s="392"/>
      <c r="C436" s="404"/>
      <c r="D436" s="402"/>
      <c r="E436" s="426"/>
      <c r="F436" s="427"/>
      <c r="G436" s="427"/>
      <c r="H436" s="427"/>
      <c r="I436" s="428"/>
      <c r="K436" s="427"/>
      <c r="L436" s="428"/>
      <c r="M436" s="428"/>
      <c r="Q436" s="392"/>
      <c r="R436" s="392"/>
      <c r="T436" s="417"/>
      <c r="U436" s="46"/>
      <c r="V436" s="46"/>
      <c r="W436" s="392"/>
      <c r="X436" s="392"/>
      <c r="Y436" s="392"/>
    </row>
    <row r="437" spans="1:25" ht="13.5" customHeight="1">
      <c r="A437" s="411"/>
      <c r="B437" s="392"/>
      <c r="C437" s="404"/>
      <c r="D437" s="402"/>
      <c r="E437" s="426"/>
      <c r="F437" s="427"/>
      <c r="G437" s="427"/>
      <c r="H437" s="427"/>
      <c r="I437" s="428"/>
      <c r="K437" s="427"/>
      <c r="L437" s="428"/>
      <c r="M437" s="428"/>
      <c r="Q437" s="392"/>
      <c r="R437" s="392"/>
      <c r="T437" s="417"/>
      <c r="U437" s="46"/>
      <c r="V437" s="46"/>
      <c r="W437" s="392"/>
      <c r="X437" s="392"/>
      <c r="Y437" s="392"/>
    </row>
    <row r="438" spans="1:25" ht="13.5" customHeight="1">
      <c r="A438" s="411"/>
      <c r="B438" s="392"/>
      <c r="C438" s="404"/>
      <c r="D438" s="402"/>
      <c r="E438" s="426"/>
      <c r="F438" s="427"/>
      <c r="G438" s="427"/>
      <c r="H438" s="427"/>
      <c r="I438" s="428"/>
      <c r="K438" s="427"/>
      <c r="L438" s="428"/>
      <c r="M438" s="428"/>
      <c r="Q438" s="392"/>
      <c r="R438" s="392"/>
      <c r="T438" s="417"/>
      <c r="U438" s="46"/>
      <c r="V438" s="46"/>
      <c r="W438" s="392"/>
      <c r="X438" s="392"/>
      <c r="Y438" s="392"/>
    </row>
    <row r="439" spans="1:25" ht="13.5" customHeight="1">
      <c r="A439" s="411"/>
      <c r="B439" s="392"/>
      <c r="C439" s="404"/>
      <c r="D439" s="402"/>
      <c r="E439" s="426"/>
      <c r="F439" s="427"/>
      <c r="G439" s="427"/>
      <c r="H439" s="427"/>
      <c r="I439" s="428"/>
      <c r="K439" s="427"/>
      <c r="L439" s="428"/>
      <c r="M439" s="428"/>
      <c r="Q439" s="392"/>
      <c r="R439" s="392"/>
      <c r="T439" s="417"/>
      <c r="U439" s="46"/>
      <c r="V439" s="46"/>
      <c r="W439" s="392"/>
      <c r="X439" s="392"/>
      <c r="Y439" s="392"/>
    </row>
    <row r="440" spans="1:25" ht="13.5" customHeight="1">
      <c r="A440" s="411"/>
      <c r="B440" s="392"/>
      <c r="C440" s="404"/>
      <c r="D440" s="402"/>
      <c r="E440" s="426"/>
      <c r="F440" s="427"/>
      <c r="G440" s="427"/>
      <c r="H440" s="427"/>
      <c r="I440" s="428"/>
      <c r="K440" s="427"/>
      <c r="L440" s="428"/>
      <c r="M440" s="428"/>
      <c r="Q440" s="392"/>
      <c r="R440" s="392"/>
      <c r="T440" s="417"/>
      <c r="U440" s="46"/>
      <c r="V440" s="46"/>
      <c r="W440" s="392"/>
      <c r="X440" s="392"/>
      <c r="Y440" s="392"/>
    </row>
    <row r="441" spans="1:25" ht="13.5" customHeight="1">
      <c r="A441" s="411"/>
      <c r="B441" s="392"/>
      <c r="C441" s="404"/>
      <c r="D441" s="402"/>
      <c r="E441" s="426"/>
      <c r="F441" s="427"/>
      <c r="G441" s="427"/>
      <c r="H441" s="427"/>
      <c r="I441" s="428"/>
      <c r="K441" s="427"/>
      <c r="L441" s="428"/>
      <c r="M441" s="428"/>
      <c r="Q441" s="392"/>
      <c r="R441" s="392"/>
      <c r="T441" s="417"/>
      <c r="U441" s="46"/>
      <c r="V441" s="46"/>
      <c r="W441" s="392"/>
      <c r="X441" s="392"/>
      <c r="Y441" s="392"/>
    </row>
    <row r="442" spans="1:25" ht="13.5" customHeight="1">
      <c r="A442" s="411"/>
      <c r="B442" s="392"/>
      <c r="C442" s="404"/>
      <c r="D442" s="402"/>
      <c r="E442" s="426"/>
      <c r="F442" s="427"/>
      <c r="G442" s="427"/>
      <c r="H442" s="427"/>
      <c r="I442" s="428"/>
      <c r="K442" s="427"/>
      <c r="L442" s="428"/>
      <c r="M442" s="428"/>
      <c r="Q442" s="392"/>
      <c r="R442" s="392"/>
      <c r="T442" s="417"/>
      <c r="U442" s="46"/>
      <c r="V442" s="46"/>
      <c r="W442" s="392"/>
      <c r="X442" s="392"/>
      <c r="Y442" s="392"/>
    </row>
    <row r="443" spans="1:25" ht="13.5" customHeight="1">
      <c r="A443" s="411"/>
      <c r="B443" s="392"/>
      <c r="C443" s="404"/>
      <c r="D443" s="402"/>
      <c r="E443" s="426"/>
      <c r="F443" s="427"/>
      <c r="G443" s="427"/>
      <c r="H443" s="427"/>
      <c r="I443" s="428"/>
      <c r="K443" s="427"/>
      <c r="L443" s="428"/>
      <c r="M443" s="428"/>
      <c r="Q443" s="392"/>
      <c r="R443" s="392"/>
      <c r="T443" s="417"/>
      <c r="U443" s="46"/>
      <c r="V443" s="46"/>
      <c r="W443" s="392"/>
      <c r="X443" s="392"/>
      <c r="Y443" s="392"/>
    </row>
    <row r="444" spans="1:25" ht="13.5" customHeight="1">
      <c r="A444" s="411"/>
      <c r="B444" s="392"/>
      <c r="C444" s="404"/>
      <c r="D444" s="402"/>
      <c r="E444" s="426"/>
      <c r="F444" s="427"/>
      <c r="G444" s="427"/>
      <c r="H444" s="427"/>
      <c r="I444" s="428"/>
      <c r="K444" s="427"/>
      <c r="L444" s="428"/>
      <c r="M444" s="428"/>
      <c r="Q444" s="392"/>
      <c r="R444" s="392"/>
      <c r="T444" s="417"/>
      <c r="U444" s="46"/>
      <c r="V444" s="46"/>
      <c r="W444" s="392"/>
      <c r="X444" s="392"/>
      <c r="Y444" s="392"/>
    </row>
    <row r="445" spans="1:25" ht="13.5" customHeight="1">
      <c r="A445" s="411"/>
      <c r="B445" s="392"/>
      <c r="C445" s="404"/>
      <c r="D445" s="402"/>
      <c r="E445" s="426"/>
      <c r="F445" s="427"/>
      <c r="G445" s="427"/>
      <c r="H445" s="427"/>
      <c r="I445" s="428"/>
      <c r="K445" s="427"/>
      <c r="L445" s="428"/>
      <c r="M445" s="428"/>
      <c r="Q445" s="392"/>
      <c r="R445" s="392"/>
      <c r="T445" s="417"/>
      <c r="U445" s="46"/>
      <c r="V445" s="46"/>
      <c r="W445" s="392"/>
      <c r="X445" s="392"/>
      <c r="Y445" s="392"/>
    </row>
    <row r="446" spans="1:25" ht="13.5" customHeight="1">
      <c r="A446" s="411"/>
      <c r="B446" s="392"/>
      <c r="C446" s="404"/>
      <c r="D446" s="402"/>
      <c r="E446" s="426"/>
      <c r="F446" s="427"/>
      <c r="G446" s="427"/>
      <c r="H446" s="427"/>
      <c r="I446" s="428"/>
      <c r="K446" s="427"/>
      <c r="L446" s="428"/>
      <c r="M446" s="428"/>
      <c r="Q446" s="392"/>
      <c r="R446" s="392"/>
      <c r="T446" s="417"/>
      <c r="U446" s="46"/>
      <c r="V446" s="46"/>
      <c r="W446" s="392"/>
      <c r="X446" s="392"/>
      <c r="Y446" s="392"/>
    </row>
    <row r="447" spans="1:25" ht="13.5" customHeight="1">
      <c r="A447" s="411"/>
      <c r="B447" s="392"/>
      <c r="C447" s="404"/>
      <c r="D447" s="402"/>
      <c r="E447" s="426"/>
      <c r="F447" s="427"/>
      <c r="G447" s="427"/>
      <c r="H447" s="427"/>
      <c r="I447" s="428"/>
      <c r="K447" s="427"/>
      <c r="L447" s="428"/>
      <c r="M447" s="428"/>
      <c r="Q447" s="392"/>
      <c r="R447" s="392"/>
      <c r="T447" s="417"/>
      <c r="U447" s="46"/>
      <c r="V447" s="46"/>
      <c r="W447" s="392"/>
      <c r="X447" s="392"/>
      <c r="Y447" s="392"/>
    </row>
    <row r="448" spans="1:25" ht="13.5" customHeight="1">
      <c r="A448" s="411"/>
      <c r="B448" s="392"/>
      <c r="C448" s="404"/>
      <c r="D448" s="402"/>
      <c r="E448" s="426"/>
      <c r="F448" s="427"/>
      <c r="G448" s="427"/>
      <c r="H448" s="427"/>
      <c r="I448" s="428"/>
      <c r="K448" s="427"/>
      <c r="L448" s="428"/>
      <c r="M448" s="428"/>
      <c r="Q448" s="392"/>
      <c r="R448" s="392"/>
      <c r="T448" s="417"/>
      <c r="U448" s="46"/>
      <c r="V448" s="46"/>
      <c r="W448" s="392"/>
      <c r="X448" s="392"/>
      <c r="Y448" s="392"/>
    </row>
    <row r="449" spans="1:25" ht="13.5" customHeight="1">
      <c r="A449" s="411"/>
      <c r="B449" s="392"/>
      <c r="C449" s="404"/>
      <c r="D449" s="402"/>
      <c r="E449" s="426"/>
      <c r="F449" s="427"/>
      <c r="G449" s="427"/>
      <c r="H449" s="427"/>
      <c r="I449" s="428"/>
      <c r="K449" s="427"/>
      <c r="L449" s="428"/>
      <c r="M449" s="428"/>
      <c r="Q449" s="392"/>
      <c r="R449" s="392"/>
      <c r="T449" s="417"/>
      <c r="U449" s="46"/>
      <c r="V449" s="46"/>
      <c r="W449" s="392"/>
      <c r="X449" s="392"/>
      <c r="Y449" s="392"/>
    </row>
    <row r="450" spans="1:25" ht="13.5" customHeight="1">
      <c r="A450" s="411"/>
      <c r="B450" s="392"/>
      <c r="C450" s="404"/>
      <c r="D450" s="402"/>
      <c r="E450" s="426"/>
      <c r="F450" s="427"/>
      <c r="G450" s="427"/>
      <c r="H450" s="427"/>
      <c r="I450" s="428"/>
      <c r="K450" s="427"/>
      <c r="L450" s="428"/>
      <c r="M450" s="428"/>
      <c r="Q450" s="392"/>
      <c r="R450" s="392"/>
      <c r="T450" s="417"/>
      <c r="U450" s="46"/>
      <c r="V450" s="46"/>
      <c r="W450" s="392"/>
      <c r="X450" s="392"/>
      <c r="Y450" s="392"/>
    </row>
    <row r="451" spans="1:25" ht="13.5" customHeight="1">
      <c r="A451" s="411"/>
      <c r="B451" s="392"/>
      <c r="C451" s="404"/>
      <c r="D451" s="402"/>
      <c r="E451" s="426"/>
      <c r="F451" s="427"/>
      <c r="G451" s="427"/>
      <c r="H451" s="427"/>
      <c r="I451" s="428"/>
      <c r="K451" s="427"/>
      <c r="L451" s="428"/>
      <c r="M451" s="428"/>
      <c r="Q451" s="392"/>
      <c r="R451" s="392"/>
      <c r="T451" s="417"/>
      <c r="U451" s="46"/>
      <c r="V451" s="46"/>
      <c r="W451" s="392"/>
      <c r="X451" s="392"/>
      <c r="Y451" s="392"/>
    </row>
    <row r="452" spans="1:25" ht="13.5" customHeight="1">
      <c r="A452" s="411"/>
      <c r="B452" s="392"/>
      <c r="C452" s="404"/>
      <c r="D452" s="402"/>
      <c r="E452" s="426"/>
      <c r="F452" s="427"/>
      <c r="G452" s="427"/>
      <c r="H452" s="427"/>
      <c r="I452" s="428"/>
      <c r="K452" s="427"/>
      <c r="L452" s="428"/>
      <c r="M452" s="428"/>
      <c r="Q452" s="392"/>
      <c r="R452" s="392"/>
      <c r="T452" s="417"/>
      <c r="U452" s="46"/>
      <c r="V452" s="46"/>
      <c r="W452" s="392"/>
      <c r="X452" s="392"/>
      <c r="Y452" s="392"/>
    </row>
    <row r="453" spans="1:25" ht="13.5" customHeight="1">
      <c r="A453" s="411"/>
      <c r="B453" s="392"/>
      <c r="C453" s="404"/>
      <c r="D453" s="402"/>
      <c r="E453" s="426"/>
      <c r="F453" s="427"/>
      <c r="G453" s="427"/>
      <c r="H453" s="427"/>
      <c r="I453" s="428"/>
      <c r="K453" s="427"/>
      <c r="L453" s="428"/>
      <c r="M453" s="428"/>
      <c r="Q453" s="392"/>
      <c r="R453" s="392"/>
      <c r="T453" s="417"/>
      <c r="U453" s="46"/>
      <c r="V453" s="46"/>
      <c r="W453" s="392"/>
      <c r="X453" s="392"/>
      <c r="Y453" s="392"/>
    </row>
    <row r="454" spans="1:25" ht="13.5" customHeight="1">
      <c r="A454" s="411"/>
      <c r="B454" s="392"/>
      <c r="C454" s="404"/>
      <c r="D454" s="402"/>
      <c r="E454" s="426"/>
      <c r="F454" s="427"/>
      <c r="G454" s="427"/>
      <c r="H454" s="427"/>
      <c r="I454" s="428"/>
      <c r="K454" s="427"/>
      <c r="L454" s="428"/>
      <c r="M454" s="428"/>
      <c r="Q454" s="392"/>
      <c r="R454" s="392"/>
      <c r="T454" s="417"/>
      <c r="U454" s="46"/>
      <c r="V454" s="46"/>
      <c r="W454" s="392"/>
      <c r="X454" s="392"/>
      <c r="Y454" s="392"/>
    </row>
    <row r="455" spans="1:25" ht="13.5" customHeight="1">
      <c r="A455" s="411"/>
      <c r="B455" s="392"/>
      <c r="C455" s="404"/>
      <c r="D455" s="402"/>
      <c r="E455" s="426"/>
      <c r="F455" s="427"/>
      <c r="G455" s="427"/>
      <c r="H455" s="427"/>
      <c r="I455" s="428"/>
      <c r="K455" s="427"/>
      <c r="L455" s="428"/>
      <c r="M455" s="428"/>
      <c r="Q455" s="392"/>
      <c r="R455" s="392"/>
      <c r="T455" s="417"/>
      <c r="U455" s="46"/>
      <c r="V455" s="46"/>
      <c r="W455" s="392"/>
      <c r="X455" s="392"/>
      <c r="Y455" s="392"/>
    </row>
    <row r="456" spans="1:25" ht="13.5" customHeight="1">
      <c r="A456" s="411"/>
      <c r="B456" s="392"/>
      <c r="C456" s="404"/>
      <c r="D456" s="402"/>
      <c r="E456" s="426"/>
      <c r="F456" s="427"/>
      <c r="G456" s="427"/>
      <c r="H456" s="427"/>
      <c r="I456" s="428"/>
      <c r="K456" s="427"/>
      <c r="L456" s="428"/>
      <c r="M456" s="428"/>
      <c r="Q456" s="392"/>
      <c r="R456" s="392"/>
      <c r="T456" s="417"/>
      <c r="U456" s="46"/>
      <c r="V456" s="46"/>
      <c r="W456" s="392"/>
      <c r="X456" s="392"/>
      <c r="Y456" s="392"/>
    </row>
    <row r="457" spans="1:25" ht="13.5" customHeight="1">
      <c r="A457" s="411"/>
      <c r="B457" s="392"/>
      <c r="C457" s="404"/>
      <c r="D457" s="402"/>
      <c r="E457" s="426"/>
      <c r="F457" s="427"/>
      <c r="G457" s="427"/>
      <c r="H457" s="427"/>
      <c r="I457" s="428"/>
      <c r="K457" s="427"/>
      <c r="L457" s="428"/>
      <c r="M457" s="428"/>
      <c r="Q457" s="392"/>
      <c r="R457" s="392"/>
      <c r="T457" s="417"/>
      <c r="U457" s="46"/>
      <c r="V457" s="46"/>
      <c r="W457" s="392"/>
      <c r="X457" s="392"/>
      <c r="Y457" s="392"/>
    </row>
    <row r="458" spans="1:25" ht="13.5" customHeight="1">
      <c r="A458" s="411"/>
      <c r="B458" s="392"/>
      <c r="C458" s="404"/>
      <c r="D458" s="402"/>
      <c r="E458" s="426"/>
      <c r="F458" s="427"/>
      <c r="G458" s="427"/>
      <c r="H458" s="427"/>
      <c r="I458" s="428"/>
      <c r="K458" s="427"/>
      <c r="L458" s="428"/>
      <c r="M458" s="428"/>
      <c r="Q458" s="392"/>
      <c r="R458" s="392"/>
      <c r="T458" s="417"/>
      <c r="U458" s="46"/>
      <c r="V458" s="46"/>
      <c r="W458" s="392"/>
      <c r="X458" s="392"/>
      <c r="Y458" s="392"/>
    </row>
    <row r="459" spans="1:25" ht="13.5" customHeight="1">
      <c r="A459" s="411"/>
      <c r="B459" s="392"/>
      <c r="C459" s="404"/>
      <c r="D459" s="402"/>
      <c r="E459" s="426"/>
      <c r="F459" s="427"/>
      <c r="G459" s="427"/>
      <c r="H459" s="427"/>
      <c r="I459" s="428"/>
      <c r="K459" s="427"/>
      <c r="L459" s="428"/>
      <c r="M459" s="428"/>
      <c r="Q459" s="392"/>
      <c r="R459" s="392"/>
      <c r="T459" s="417"/>
      <c r="U459" s="46"/>
      <c r="V459" s="46"/>
      <c r="W459" s="392"/>
      <c r="X459" s="392"/>
      <c r="Y459" s="392"/>
    </row>
    <row r="460" spans="1:25" ht="13.5" customHeight="1">
      <c r="A460" s="411"/>
      <c r="B460" s="392"/>
      <c r="C460" s="404"/>
      <c r="D460" s="402"/>
      <c r="E460" s="426"/>
      <c r="F460" s="427"/>
      <c r="G460" s="427"/>
      <c r="H460" s="427"/>
      <c r="I460" s="428"/>
      <c r="K460" s="427"/>
      <c r="L460" s="428"/>
      <c r="M460" s="428"/>
      <c r="Q460" s="392"/>
      <c r="R460" s="392"/>
      <c r="T460" s="417"/>
      <c r="U460" s="46"/>
      <c r="V460" s="46"/>
      <c r="W460" s="392"/>
      <c r="X460" s="392"/>
      <c r="Y460" s="392"/>
    </row>
    <row r="461" spans="1:25" ht="13.5" customHeight="1">
      <c r="A461" s="411"/>
      <c r="B461" s="392"/>
      <c r="C461" s="404"/>
      <c r="D461" s="402"/>
      <c r="E461" s="426"/>
      <c r="F461" s="427"/>
      <c r="G461" s="427"/>
      <c r="H461" s="427"/>
      <c r="I461" s="428"/>
      <c r="K461" s="427"/>
      <c r="L461" s="428"/>
      <c r="M461" s="428"/>
      <c r="Q461" s="392"/>
      <c r="R461" s="392"/>
      <c r="T461" s="417"/>
      <c r="U461" s="46"/>
      <c r="V461" s="46"/>
      <c r="W461" s="392"/>
      <c r="X461" s="392"/>
      <c r="Y461" s="392"/>
    </row>
    <row r="462" spans="1:25" ht="13.5" customHeight="1">
      <c r="A462" s="411"/>
      <c r="B462" s="392"/>
      <c r="C462" s="404"/>
      <c r="D462" s="402"/>
      <c r="E462" s="426"/>
      <c r="F462" s="427"/>
      <c r="G462" s="427"/>
      <c r="H462" s="427"/>
      <c r="I462" s="428"/>
      <c r="K462" s="427"/>
      <c r="L462" s="428"/>
      <c r="M462" s="428"/>
      <c r="Q462" s="392"/>
      <c r="R462" s="392"/>
      <c r="T462" s="417"/>
      <c r="U462" s="46"/>
      <c r="V462" s="46"/>
      <c r="W462" s="392"/>
      <c r="X462" s="392"/>
      <c r="Y462" s="392"/>
    </row>
    <row r="463" spans="1:25" ht="13.5" customHeight="1">
      <c r="A463" s="411"/>
      <c r="B463" s="392"/>
      <c r="C463" s="404"/>
      <c r="D463" s="402"/>
      <c r="E463" s="426"/>
      <c r="F463" s="427"/>
      <c r="G463" s="427"/>
      <c r="H463" s="427"/>
      <c r="I463" s="428"/>
      <c r="K463" s="427"/>
      <c r="L463" s="428"/>
      <c r="M463" s="428"/>
      <c r="Q463" s="392"/>
      <c r="R463" s="392"/>
      <c r="T463" s="417"/>
      <c r="U463" s="46"/>
      <c r="V463" s="46"/>
      <c r="W463" s="392"/>
      <c r="X463" s="392"/>
      <c r="Y463" s="392"/>
    </row>
    <row r="464" spans="1:25" ht="13.5" customHeight="1">
      <c r="A464" s="411"/>
      <c r="B464" s="392"/>
      <c r="C464" s="404"/>
      <c r="D464" s="402"/>
      <c r="E464" s="426"/>
      <c r="F464" s="427"/>
      <c r="G464" s="427"/>
      <c r="H464" s="427"/>
      <c r="I464" s="428"/>
      <c r="K464" s="427"/>
      <c r="L464" s="428"/>
      <c r="M464" s="428"/>
      <c r="Q464" s="392"/>
      <c r="R464" s="392"/>
      <c r="T464" s="417"/>
      <c r="U464" s="46"/>
      <c r="V464" s="46"/>
      <c r="W464" s="392"/>
      <c r="X464" s="392"/>
      <c r="Y464" s="392"/>
    </row>
    <row r="465" spans="1:25" ht="13.5" customHeight="1">
      <c r="A465" s="411"/>
      <c r="B465" s="392"/>
      <c r="C465" s="404"/>
      <c r="D465" s="402"/>
      <c r="E465" s="426"/>
      <c r="F465" s="427"/>
      <c r="G465" s="427"/>
      <c r="H465" s="427"/>
      <c r="I465" s="428"/>
      <c r="K465" s="427"/>
      <c r="L465" s="428"/>
      <c r="M465" s="428"/>
      <c r="Q465" s="392"/>
      <c r="R465" s="392"/>
      <c r="T465" s="417"/>
      <c r="U465" s="46"/>
      <c r="V465" s="46"/>
      <c r="W465" s="392"/>
      <c r="X465" s="392"/>
      <c r="Y465" s="392"/>
    </row>
    <row r="466" spans="1:25" ht="13.5" customHeight="1">
      <c r="A466" s="411"/>
      <c r="B466" s="392"/>
      <c r="C466" s="404"/>
      <c r="D466" s="402"/>
      <c r="E466" s="426"/>
      <c r="F466" s="427"/>
      <c r="G466" s="427"/>
      <c r="H466" s="427"/>
      <c r="I466" s="428"/>
      <c r="K466" s="427"/>
      <c r="L466" s="428"/>
      <c r="M466" s="428"/>
      <c r="Q466" s="392"/>
      <c r="R466" s="392"/>
      <c r="T466" s="417"/>
      <c r="U466" s="46"/>
      <c r="V466" s="46"/>
      <c r="W466" s="392"/>
      <c r="X466" s="392"/>
      <c r="Y466" s="392"/>
    </row>
    <row r="467" spans="1:25" ht="13.5" customHeight="1">
      <c r="A467" s="411"/>
      <c r="B467" s="392"/>
      <c r="C467" s="404"/>
      <c r="D467" s="402"/>
      <c r="E467" s="426"/>
      <c r="F467" s="427"/>
      <c r="G467" s="427"/>
      <c r="H467" s="427"/>
      <c r="I467" s="428"/>
      <c r="K467" s="427"/>
      <c r="L467" s="428"/>
      <c r="M467" s="428"/>
      <c r="Q467" s="392"/>
      <c r="R467" s="392"/>
      <c r="T467" s="417"/>
      <c r="U467" s="46"/>
      <c r="V467" s="46"/>
      <c r="W467" s="392"/>
      <c r="X467" s="392"/>
      <c r="Y467" s="392"/>
    </row>
    <row r="468" spans="1:25" ht="13.5" customHeight="1">
      <c r="A468" s="411"/>
      <c r="B468" s="392"/>
      <c r="C468" s="404"/>
      <c r="D468" s="402"/>
      <c r="E468" s="426"/>
      <c r="F468" s="427"/>
      <c r="G468" s="427"/>
      <c r="H468" s="427"/>
      <c r="I468" s="428"/>
      <c r="K468" s="427"/>
      <c r="L468" s="428"/>
      <c r="M468" s="428"/>
      <c r="Q468" s="392"/>
      <c r="R468" s="392"/>
      <c r="T468" s="417"/>
      <c r="U468" s="46"/>
      <c r="V468" s="46"/>
      <c r="W468" s="392"/>
      <c r="X468" s="392"/>
      <c r="Y468" s="392"/>
    </row>
    <row r="469" spans="1:25" ht="13.5" customHeight="1">
      <c r="A469" s="411"/>
      <c r="B469" s="392"/>
      <c r="C469" s="404"/>
      <c r="D469" s="402"/>
      <c r="E469" s="426"/>
      <c r="F469" s="427"/>
      <c r="G469" s="427"/>
      <c r="H469" s="427"/>
      <c r="I469" s="428"/>
      <c r="K469" s="427"/>
      <c r="L469" s="428"/>
      <c r="M469" s="428"/>
      <c r="Q469" s="392"/>
      <c r="R469" s="392"/>
      <c r="T469" s="417"/>
      <c r="U469" s="46"/>
      <c r="V469" s="46"/>
      <c r="W469" s="392"/>
      <c r="X469" s="392"/>
      <c r="Y469" s="392"/>
    </row>
    <row r="470" spans="1:25" ht="13.5" customHeight="1">
      <c r="A470" s="411"/>
      <c r="B470" s="392"/>
      <c r="C470" s="404"/>
      <c r="D470" s="402"/>
      <c r="E470" s="426"/>
      <c r="F470" s="427"/>
      <c r="G470" s="427"/>
      <c r="H470" s="427"/>
      <c r="I470" s="428"/>
      <c r="K470" s="427"/>
      <c r="L470" s="428"/>
      <c r="M470" s="428"/>
      <c r="Q470" s="392"/>
      <c r="R470" s="392"/>
      <c r="T470" s="417"/>
      <c r="U470" s="46"/>
      <c r="V470" s="46"/>
      <c r="W470" s="392"/>
      <c r="X470" s="392"/>
      <c r="Y470" s="392"/>
    </row>
    <row r="471" spans="1:25" ht="13.5" customHeight="1">
      <c r="A471" s="411"/>
      <c r="B471" s="392"/>
      <c r="C471" s="404"/>
      <c r="D471" s="402"/>
      <c r="E471" s="426"/>
      <c r="F471" s="427"/>
      <c r="G471" s="427"/>
      <c r="H471" s="427"/>
      <c r="I471" s="428"/>
      <c r="K471" s="427"/>
      <c r="L471" s="428"/>
      <c r="M471" s="428"/>
      <c r="Q471" s="392"/>
      <c r="R471" s="392"/>
      <c r="T471" s="417"/>
      <c r="U471" s="46"/>
      <c r="V471" s="46"/>
      <c r="W471" s="392"/>
      <c r="X471" s="392"/>
      <c r="Y471" s="392"/>
    </row>
    <row r="472" spans="1:25" ht="13.5" customHeight="1">
      <c r="A472" s="411"/>
      <c r="B472" s="392"/>
      <c r="C472" s="404"/>
      <c r="D472" s="402"/>
      <c r="E472" s="426"/>
      <c r="F472" s="427"/>
      <c r="G472" s="427"/>
      <c r="H472" s="427"/>
      <c r="I472" s="428"/>
      <c r="K472" s="427"/>
      <c r="L472" s="428"/>
      <c r="M472" s="428"/>
      <c r="Q472" s="392"/>
      <c r="R472" s="392"/>
      <c r="T472" s="417"/>
      <c r="U472" s="46"/>
      <c r="V472" s="46"/>
      <c r="W472" s="392"/>
      <c r="X472" s="392"/>
      <c r="Y472" s="392"/>
    </row>
    <row r="473" spans="1:25" ht="13.5" customHeight="1">
      <c r="A473" s="411"/>
      <c r="B473" s="392"/>
      <c r="C473" s="404"/>
      <c r="D473" s="402"/>
      <c r="E473" s="426"/>
      <c r="F473" s="427"/>
      <c r="G473" s="427"/>
      <c r="H473" s="427"/>
      <c r="I473" s="428"/>
      <c r="K473" s="427"/>
      <c r="L473" s="428"/>
      <c r="M473" s="428"/>
      <c r="Q473" s="392"/>
      <c r="R473" s="392"/>
      <c r="T473" s="417"/>
      <c r="U473" s="46"/>
      <c r="V473" s="46"/>
      <c r="W473" s="392"/>
      <c r="X473" s="392"/>
      <c r="Y473" s="392"/>
    </row>
    <row r="474" spans="1:25" ht="13.5" customHeight="1">
      <c r="A474" s="411"/>
      <c r="B474" s="392"/>
      <c r="C474" s="404"/>
      <c r="D474" s="402"/>
      <c r="E474" s="426"/>
      <c r="F474" s="427"/>
      <c r="G474" s="427"/>
      <c r="H474" s="427"/>
      <c r="I474" s="428"/>
      <c r="K474" s="427"/>
      <c r="L474" s="428"/>
      <c r="M474" s="428"/>
      <c r="Q474" s="392"/>
      <c r="R474" s="392"/>
      <c r="T474" s="417"/>
      <c r="U474" s="46"/>
      <c r="V474" s="46"/>
      <c r="W474" s="392"/>
      <c r="X474" s="392"/>
      <c r="Y474" s="392"/>
    </row>
    <row r="475" spans="1:25" ht="13.5" customHeight="1">
      <c r="A475" s="411"/>
      <c r="B475" s="392"/>
      <c r="C475" s="404"/>
      <c r="D475" s="402"/>
      <c r="E475" s="426"/>
      <c r="F475" s="427"/>
      <c r="G475" s="427"/>
      <c r="H475" s="427"/>
      <c r="I475" s="428"/>
      <c r="K475" s="427"/>
      <c r="L475" s="428"/>
      <c r="M475" s="428"/>
      <c r="Q475" s="392"/>
      <c r="R475" s="392"/>
      <c r="T475" s="417"/>
      <c r="U475" s="46"/>
      <c r="V475" s="46"/>
      <c r="W475" s="392"/>
      <c r="X475" s="392"/>
      <c r="Y475" s="392"/>
    </row>
    <row r="476" spans="1:25" ht="13.5" customHeight="1">
      <c r="A476" s="411"/>
      <c r="B476" s="392"/>
      <c r="C476" s="404"/>
      <c r="D476" s="402"/>
      <c r="E476" s="426"/>
      <c r="F476" s="427"/>
      <c r="G476" s="427"/>
      <c r="H476" s="427"/>
      <c r="I476" s="428"/>
      <c r="K476" s="427"/>
      <c r="L476" s="428"/>
      <c r="M476" s="428"/>
      <c r="Q476" s="392"/>
      <c r="R476" s="392"/>
      <c r="T476" s="417"/>
      <c r="U476" s="46"/>
      <c r="V476" s="46"/>
      <c r="W476" s="392"/>
      <c r="X476" s="392"/>
      <c r="Y476" s="392"/>
    </row>
    <row r="477" spans="1:25" ht="13.5" customHeight="1">
      <c r="A477" s="411"/>
      <c r="B477" s="392"/>
      <c r="C477" s="404"/>
      <c r="D477" s="402"/>
      <c r="E477" s="426"/>
      <c r="F477" s="427"/>
      <c r="G477" s="427"/>
      <c r="H477" s="427"/>
      <c r="I477" s="428"/>
      <c r="K477" s="427"/>
      <c r="L477" s="428"/>
      <c r="M477" s="428"/>
      <c r="Q477" s="392"/>
      <c r="R477" s="392"/>
      <c r="T477" s="417"/>
      <c r="U477" s="46"/>
      <c r="V477" s="46"/>
      <c r="W477" s="392"/>
      <c r="X477" s="392"/>
      <c r="Y477" s="392"/>
    </row>
    <row r="478" spans="1:25" ht="13.5" customHeight="1">
      <c r="A478" s="411"/>
      <c r="B478" s="392"/>
      <c r="C478" s="404"/>
      <c r="D478" s="402"/>
      <c r="E478" s="426"/>
      <c r="F478" s="427"/>
      <c r="G478" s="427"/>
      <c r="H478" s="427"/>
      <c r="I478" s="428"/>
      <c r="K478" s="427"/>
      <c r="L478" s="428"/>
      <c r="M478" s="428"/>
      <c r="Q478" s="392"/>
      <c r="R478" s="392"/>
      <c r="T478" s="417"/>
      <c r="U478" s="46"/>
      <c r="V478" s="46"/>
      <c r="W478" s="392"/>
      <c r="X478" s="392"/>
      <c r="Y478" s="392"/>
    </row>
    <row r="479" spans="1:25" ht="13.5" customHeight="1">
      <c r="A479" s="411"/>
      <c r="B479" s="392"/>
      <c r="C479" s="404"/>
      <c r="D479" s="402"/>
      <c r="E479" s="426"/>
      <c r="F479" s="427"/>
      <c r="G479" s="427"/>
      <c r="H479" s="427"/>
      <c r="I479" s="428"/>
      <c r="K479" s="427"/>
      <c r="L479" s="428"/>
      <c r="M479" s="428"/>
      <c r="Q479" s="392"/>
      <c r="R479" s="392"/>
      <c r="T479" s="417"/>
      <c r="U479" s="46"/>
      <c r="V479" s="46"/>
      <c r="W479" s="392"/>
      <c r="X479" s="392"/>
      <c r="Y479" s="392"/>
    </row>
    <row r="480" spans="1:25" ht="13.5" customHeight="1">
      <c r="A480" s="411"/>
      <c r="B480" s="392"/>
      <c r="C480" s="404"/>
      <c r="D480" s="402"/>
      <c r="E480" s="426"/>
      <c r="F480" s="427"/>
      <c r="G480" s="427"/>
      <c r="H480" s="427"/>
      <c r="I480" s="428"/>
      <c r="K480" s="427"/>
      <c r="L480" s="428"/>
      <c r="M480" s="428"/>
      <c r="Q480" s="392"/>
      <c r="R480" s="392"/>
      <c r="T480" s="417"/>
      <c r="U480" s="46"/>
      <c r="V480" s="46"/>
      <c r="W480" s="392"/>
      <c r="X480" s="392"/>
      <c r="Y480" s="392"/>
    </row>
    <row r="481" spans="1:25" ht="13.5" customHeight="1">
      <c r="A481" s="411"/>
      <c r="B481" s="392"/>
      <c r="C481" s="404"/>
      <c r="D481" s="402"/>
      <c r="E481" s="426"/>
      <c r="F481" s="427"/>
      <c r="G481" s="427"/>
      <c r="H481" s="427"/>
      <c r="I481" s="428"/>
      <c r="K481" s="427"/>
      <c r="L481" s="428"/>
      <c r="M481" s="428"/>
      <c r="Q481" s="392"/>
      <c r="R481" s="392"/>
      <c r="T481" s="417"/>
      <c r="U481" s="46"/>
      <c r="V481" s="46"/>
      <c r="W481" s="392"/>
      <c r="X481" s="392"/>
      <c r="Y481" s="392"/>
    </row>
    <row r="482" spans="1:25" ht="13.5" customHeight="1">
      <c r="A482" s="411"/>
      <c r="B482" s="392"/>
      <c r="C482" s="404"/>
      <c r="D482" s="402"/>
      <c r="E482" s="426"/>
      <c r="F482" s="427"/>
      <c r="G482" s="427"/>
      <c r="H482" s="427"/>
      <c r="I482" s="428"/>
      <c r="K482" s="427"/>
      <c r="L482" s="428"/>
      <c r="M482" s="428"/>
      <c r="Q482" s="392"/>
      <c r="R482" s="392"/>
      <c r="T482" s="417"/>
      <c r="U482" s="46"/>
      <c r="V482" s="46"/>
      <c r="W482" s="392"/>
      <c r="X482" s="392"/>
      <c r="Y482" s="392"/>
    </row>
    <row r="483" spans="1:25" ht="13.5" customHeight="1">
      <c r="A483" s="411"/>
      <c r="B483" s="392"/>
      <c r="C483" s="404"/>
      <c r="D483" s="402"/>
      <c r="E483" s="426"/>
      <c r="F483" s="427"/>
      <c r="G483" s="427"/>
      <c r="H483" s="427"/>
      <c r="I483" s="428"/>
      <c r="K483" s="427"/>
      <c r="L483" s="428"/>
      <c r="M483" s="428"/>
      <c r="Q483" s="392"/>
      <c r="R483" s="392"/>
      <c r="T483" s="417"/>
      <c r="U483" s="46"/>
      <c r="V483" s="46"/>
      <c r="W483" s="392"/>
      <c r="X483" s="392"/>
      <c r="Y483" s="392"/>
    </row>
    <row r="484" spans="1:25" ht="13.5" customHeight="1">
      <c r="A484" s="411"/>
      <c r="B484" s="392"/>
      <c r="C484" s="404"/>
      <c r="D484" s="402"/>
      <c r="E484" s="426"/>
      <c r="F484" s="427"/>
      <c r="G484" s="427"/>
      <c r="H484" s="427"/>
      <c r="I484" s="428"/>
      <c r="K484" s="427"/>
      <c r="L484" s="428"/>
      <c r="M484" s="428"/>
      <c r="Q484" s="392"/>
      <c r="R484" s="392"/>
      <c r="T484" s="417"/>
      <c r="U484" s="46"/>
      <c r="V484" s="46"/>
      <c r="W484" s="392"/>
      <c r="X484" s="392"/>
      <c r="Y484" s="392"/>
    </row>
    <row r="485" spans="1:25" ht="13.5" customHeight="1">
      <c r="A485" s="411"/>
      <c r="B485" s="392"/>
      <c r="C485" s="404"/>
      <c r="D485" s="402"/>
      <c r="E485" s="426"/>
      <c r="F485" s="427"/>
      <c r="G485" s="427"/>
      <c r="H485" s="427"/>
      <c r="I485" s="428"/>
      <c r="K485" s="427"/>
      <c r="L485" s="428"/>
      <c r="M485" s="428"/>
      <c r="Q485" s="392"/>
      <c r="R485" s="392"/>
      <c r="T485" s="417"/>
      <c r="U485" s="46"/>
      <c r="V485" s="46"/>
      <c r="W485" s="392"/>
      <c r="X485" s="392"/>
      <c r="Y485" s="392"/>
    </row>
    <row r="486" spans="1:25" ht="13.5" customHeight="1">
      <c r="A486" s="411"/>
      <c r="B486" s="392"/>
      <c r="C486" s="404"/>
      <c r="D486" s="402"/>
      <c r="E486" s="426"/>
      <c r="F486" s="427"/>
      <c r="G486" s="427"/>
      <c r="H486" s="427"/>
      <c r="I486" s="428"/>
      <c r="K486" s="427"/>
      <c r="L486" s="428"/>
      <c r="M486" s="428"/>
      <c r="Q486" s="392"/>
      <c r="R486" s="392"/>
      <c r="T486" s="417"/>
      <c r="U486" s="46"/>
      <c r="V486" s="46"/>
      <c r="W486" s="392"/>
      <c r="X486" s="392"/>
      <c r="Y486" s="392"/>
    </row>
    <row r="487" spans="1:25" ht="13.5" customHeight="1">
      <c r="A487" s="411"/>
      <c r="B487" s="392"/>
      <c r="C487" s="404"/>
      <c r="D487" s="402"/>
      <c r="E487" s="426"/>
      <c r="F487" s="427"/>
      <c r="G487" s="427"/>
      <c r="H487" s="427"/>
      <c r="I487" s="428"/>
      <c r="K487" s="427"/>
      <c r="L487" s="428"/>
      <c r="M487" s="428"/>
      <c r="Q487" s="392"/>
      <c r="R487" s="392"/>
      <c r="T487" s="417"/>
      <c r="U487" s="46"/>
      <c r="V487" s="46"/>
      <c r="W487" s="392"/>
      <c r="X487" s="392"/>
      <c r="Y487" s="392"/>
    </row>
    <row r="488" spans="1:25" ht="13.5" customHeight="1">
      <c r="A488" s="411"/>
      <c r="B488" s="392"/>
      <c r="C488" s="404"/>
      <c r="D488" s="402"/>
      <c r="E488" s="426"/>
      <c r="F488" s="427"/>
      <c r="G488" s="427"/>
      <c r="H488" s="427"/>
      <c r="I488" s="428"/>
      <c r="K488" s="427"/>
      <c r="L488" s="428"/>
      <c r="M488" s="428"/>
      <c r="Q488" s="392"/>
      <c r="R488" s="392"/>
      <c r="T488" s="417"/>
      <c r="U488" s="46"/>
      <c r="V488" s="46"/>
      <c r="W488" s="392"/>
      <c r="X488" s="392"/>
      <c r="Y488" s="392"/>
    </row>
    <row r="489" spans="1:25" ht="13.5" customHeight="1">
      <c r="A489" s="411"/>
      <c r="B489" s="392"/>
      <c r="C489" s="404"/>
      <c r="D489" s="402"/>
      <c r="E489" s="426"/>
      <c r="F489" s="427"/>
      <c r="G489" s="427"/>
      <c r="H489" s="427"/>
      <c r="I489" s="428"/>
      <c r="K489" s="427"/>
      <c r="L489" s="428"/>
      <c r="M489" s="428"/>
      <c r="Q489" s="392"/>
      <c r="R489" s="392"/>
      <c r="T489" s="417"/>
      <c r="U489" s="46"/>
      <c r="V489" s="46"/>
      <c r="W489" s="392"/>
      <c r="X489" s="392"/>
      <c r="Y489" s="392"/>
    </row>
    <row r="490" spans="1:25" ht="13.5" customHeight="1">
      <c r="A490" s="411"/>
      <c r="B490" s="392"/>
      <c r="C490" s="404"/>
      <c r="D490" s="402"/>
      <c r="E490" s="426"/>
      <c r="F490" s="427"/>
      <c r="G490" s="427"/>
      <c r="H490" s="427"/>
      <c r="I490" s="428"/>
      <c r="K490" s="427"/>
      <c r="L490" s="428"/>
      <c r="M490" s="428"/>
      <c r="Q490" s="392"/>
      <c r="R490" s="392"/>
      <c r="T490" s="417"/>
      <c r="U490" s="46"/>
      <c r="V490" s="46"/>
      <c r="W490" s="392"/>
      <c r="X490" s="392"/>
      <c r="Y490" s="392"/>
    </row>
    <row r="491" spans="1:25" ht="13.5" customHeight="1">
      <c r="A491" s="411"/>
      <c r="B491" s="392"/>
      <c r="C491" s="404"/>
      <c r="D491" s="402"/>
      <c r="E491" s="426"/>
      <c r="F491" s="427"/>
      <c r="G491" s="427"/>
      <c r="H491" s="427"/>
      <c r="I491" s="428"/>
      <c r="K491" s="427"/>
      <c r="L491" s="428"/>
      <c r="M491" s="428"/>
      <c r="Q491" s="392"/>
      <c r="R491" s="392"/>
      <c r="T491" s="417"/>
      <c r="U491" s="46"/>
      <c r="V491" s="46"/>
      <c r="W491" s="392"/>
      <c r="X491" s="392"/>
      <c r="Y491" s="392"/>
    </row>
    <row r="492" spans="1:25" ht="13.5" customHeight="1">
      <c r="A492" s="411"/>
      <c r="B492" s="392"/>
      <c r="C492" s="404"/>
      <c r="D492" s="402"/>
      <c r="E492" s="426"/>
      <c r="F492" s="427"/>
      <c r="G492" s="427"/>
      <c r="H492" s="427"/>
      <c r="I492" s="428"/>
      <c r="K492" s="427"/>
      <c r="L492" s="428"/>
      <c r="M492" s="428"/>
      <c r="Q492" s="392"/>
      <c r="R492" s="392"/>
      <c r="T492" s="417"/>
      <c r="U492" s="46"/>
      <c r="V492" s="46"/>
      <c r="W492" s="392"/>
      <c r="X492" s="392"/>
      <c r="Y492" s="392"/>
    </row>
    <row r="493" spans="1:25" ht="13.5" customHeight="1">
      <c r="A493" s="411"/>
      <c r="B493" s="392"/>
      <c r="C493" s="404"/>
      <c r="D493" s="402"/>
      <c r="E493" s="426"/>
      <c r="F493" s="427"/>
      <c r="G493" s="427"/>
      <c r="H493" s="427"/>
      <c r="I493" s="428"/>
      <c r="K493" s="427"/>
      <c r="L493" s="428"/>
      <c r="M493" s="428"/>
      <c r="Q493" s="392"/>
      <c r="R493" s="392"/>
      <c r="T493" s="417"/>
      <c r="U493" s="46"/>
      <c r="V493" s="46"/>
      <c r="W493" s="392"/>
      <c r="X493" s="392"/>
      <c r="Y493" s="392"/>
    </row>
    <row r="494" spans="1:25" ht="13.5" customHeight="1">
      <c r="A494" s="411"/>
      <c r="B494" s="392"/>
      <c r="C494" s="404"/>
      <c r="D494" s="402"/>
      <c r="E494" s="426"/>
      <c r="F494" s="427"/>
      <c r="G494" s="427"/>
      <c r="H494" s="427"/>
      <c r="I494" s="428"/>
      <c r="K494" s="427"/>
      <c r="L494" s="428"/>
      <c r="M494" s="428"/>
      <c r="Q494" s="392"/>
      <c r="R494" s="392"/>
      <c r="T494" s="417"/>
      <c r="U494" s="46"/>
      <c r="V494" s="46"/>
      <c r="W494" s="392"/>
      <c r="X494" s="392"/>
      <c r="Y494" s="392"/>
    </row>
    <row r="495" spans="1:25" ht="13.5" customHeight="1">
      <c r="A495" s="411"/>
      <c r="B495" s="392"/>
      <c r="C495" s="404"/>
      <c r="D495" s="402"/>
      <c r="E495" s="426"/>
      <c r="F495" s="427"/>
      <c r="G495" s="427"/>
      <c r="H495" s="427"/>
      <c r="I495" s="428"/>
      <c r="K495" s="427"/>
      <c r="L495" s="428"/>
      <c r="M495" s="428"/>
      <c r="Q495" s="392"/>
      <c r="R495" s="392"/>
      <c r="T495" s="417"/>
      <c r="U495" s="46"/>
      <c r="V495" s="46"/>
      <c r="W495" s="392"/>
      <c r="X495" s="392"/>
      <c r="Y495" s="392"/>
    </row>
    <row r="496" spans="1:25" ht="13.5" customHeight="1">
      <c r="A496" s="411"/>
      <c r="B496" s="392"/>
      <c r="C496" s="404"/>
      <c r="D496" s="402"/>
      <c r="E496" s="426"/>
      <c r="F496" s="427"/>
      <c r="G496" s="427"/>
      <c r="H496" s="427"/>
      <c r="I496" s="428"/>
      <c r="K496" s="427"/>
      <c r="L496" s="428"/>
      <c r="M496" s="428"/>
      <c r="Q496" s="392"/>
      <c r="R496" s="392"/>
      <c r="T496" s="417"/>
      <c r="U496" s="46"/>
      <c r="V496" s="46"/>
      <c r="W496" s="392"/>
      <c r="X496" s="392"/>
      <c r="Y496" s="392"/>
    </row>
    <row r="497" spans="1:25" ht="13.5" customHeight="1">
      <c r="A497" s="411"/>
      <c r="B497" s="392"/>
      <c r="C497" s="404"/>
      <c r="D497" s="402"/>
      <c r="E497" s="426"/>
      <c r="F497" s="427"/>
      <c r="G497" s="427"/>
      <c r="H497" s="427"/>
      <c r="I497" s="428"/>
      <c r="K497" s="427"/>
      <c r="L497" s="428"/>
      <c r="M497" s="428"/>
      <c r="Q497" s="392"/>
      <c r="R497" s="392"/>
      <c r="T497" s="417"/>
      <c r="U497" s="46"/>
      <c r="V497" s="46"/>
      <c r="W497" s="392"/>
      <c r="X497" s="392"/>
      <c r="Y497" s="392"/>
    </row>
    <row r="498" spans="1:25" ht="13.5" customHeight="1">
      <c r="A498" s="411"/>
      <c r="B498" s="392"/>
      <c r="C498" s="404"/>
      <c r="D498" s="402"/>
      <c r="E498" s="426"/>
      <c r="F498" s="427"/>
      <c r="G498" s="427"/>
      <c r="H498" s="427"/>
      <c r="I498" s="428"/>
      <c r="K498" s="427"/>
      <c r="L498" s="428"/>
      <c r="M498" s="428"/>
      <c r="Q498" s="392"/>
      <c r="R498" s="392"/>
      <c r="T498" s="417"/>
      <c r="U498" s="46"/>
      <c r="V498" s="46"/>
      <c r="W498" s="392"/>
      <c r="X498" s="392"/>
      <c r="Y498" s="392"/>
    </row>
    <row r="499" spans="1:25" ht="13.5" customHeight="1">
      <c r="A499" s="411"/>
      <c r="B499" s="392"/>
      <c r="C499" s="404"/>
      <c r="D499" s="402"/>
      <c r="E499" s="426"/>
      <c r="F499" s="427"/>
      <c r="G499" s="427"/>
      <c r="H499" s="427"/>
      <c r="I499" s="428"/>
      <c r="K499" s="427"/>
      <c r="L499" s="428"/>
      <c r="M499" s="428"/>
      <c r="Q499" s="392"/>
      <c r="R499" s="392"/>
      <c r="T499" s="417"/>
      <c r="U499" s="46"/>
      <c r="V499" s="46"/>
      <c r="W499" s="392"/>
      <c r="X499" s="392"/>
      <c r="Y499" s="392"/>
    </row>
    <row r="500" spans="1:25" ht="13.5" customHeight="1">
      <c r="A500" s="411"/>
      <c r="B500" s="392"/>
      <c r="C500" s="404"/>
      <c r="D500" s="402"/>
      <c r="E500" s="426"/>
      <c r="F500" s="427"/>
      <c r="G500" s="427"/>
      <c r="H500" s="427"/>
      <c r="I500" s="428"/>
      <c r="K500" s="427"/>
      <c r="L500" s="428"/>
      <c r="M500" s="428"/>
      <c r="Q500" s="392"/>
      <c r="R500" s="392"/>
      <c r="T500" s="417"/>
      <c r="U500" s="46"/>
      <c r="V500" s="46"/>
      <c r="W500" s="392"/>
      <c r="X500" s="392"/>
      <c r="Y500" s="392"/>
    </row>
    <row r="501" spans="1:25" ht="13.5" customHeight="1">
      <c r="A501" s="411"/>
      <c r="B501" s="392"/>
      <c r="C501" s="404"/>
      <c r="D501" s="402"/>
      <c r="E501" s="426"/>
      <c r="F501" s="427"/>
      <c r="G501" s="427"/>
      <c r="H501" s="427"/>
      <c r="I501" s="428"/>
      <c r="K501" s="427"/>
      <c r="L501" s="428"/>
      <c r="M501" s="428"/>
      <c r="Q501" s="392"/>
      <c r="R501" s="392"/>
      <c r="T501" s="417"/>
      <c r="U501" s="46"/>
      <c r="V501" s="46"/>
      <c r="W501" s="392"/>
      <c r="X501" s="392"/>
      <c r="Y501" s="392"/>
    </row>
    <row r="502" spans="1:25" ht="13.5" customHeight="1">
      <c r="A502" s="411"/>
      <c r="B502" s="392"/>
      <c r="C502" s="404"/>
      <c r="D502" s="402"/>
      <c r="E502" s="426"/>
      <c r="F502" s="427"/>
      <c r="G502" s="427"/>
      <c r="H502" s="427"/>
      <c r="I502" s="428"/>
      <c r="K502" s="427"/>
      <c r="L502" s="428"/>
      <c r="M502" s="428"/>
      <c r="Q502" s="392"/>
      <c r="R502" s="392"/>
      <c r="T502" s="417"/>
      <c r="U502" s="46"/>
      <c r="V502" s="46"/>
      <c r="W502" s="392"/>
      <c r="X502" s="392"/>
      <c r="Y502" s="392"/>
    </row>
    <row r="503" spans="1:25" ht="13.5" customHeight="1">
      <c r="A503" s="411"/>
      <c r="B503" s="392"/>
      <c r="C503" s="404"/>
      <c r="D503" s="402"/>
      <c r="E503" s="426"/>
      <c r="F503" s="427"/>
      <c r="G503" s="427"/>
      <c r="H503" s="427"/>
      <c r="I503" s="428"/>
      <c r="K503" s="427"/>
      <c r="L503" s="428"/>
      <c r="M503" s="428"/>
      <c r="Q503" s="392"/>
      <c r="R503" s="392"/>
      <c r="T503" s="417"/>
      <c r="U503" s="46"/>
      <c r="V503" s="46"/>
      <c r="W503" s="392"/>
      <c r="X503" s="392"/>
      <c r="Y503" s="392"/>
    </row>
    <row r="504" spans="1:25" ht="13.5" customHeight="1">
      <c r="A504" s="411"/>
      <c r="B504" s="392"/>
      <c r="C504" s="404"/>
      <c r="D504" s="402"/>
      <c r="E504" s="426"/>
      <c r="F504" s="427"/>
      <c r="G504" s="427"/>
      <c r="H504" s="427"/>
      <c r="I504" s="428"/>
      <c r="K504" s="427"/>
      <c r="L504" s="428"/>
      <c r="M504" s="428"/>
      <c r="Q504" s="392"/>
      <c r="R504" s="392"/>
      <c r="T504" s="417"/>
      <c r="U504" s="46"/>
      <c r="V504" s="46"/>
      <c r="W504" s="392"/>
      <c r="X504" s="392"/>
      <c r="Y504" s="392"/>
    </row>
    <row r="505" spans="1:25" ht="13.5" customHeight="1">
      <c r="A505" s="411"/>
      <c r="B505" s="392"/>
      <c r="C505" s="404"/>
      <c r="D505" s="402"/>
      <c r="E505" s="426"/>
      <c r="F505" s="427"/>
      <c r="G505" s="427"/>
      <c r="H505" s="427"/>
      <c r="I505" s="428"/>
      <c r="K505" s="427"/>
      <c r="L505" s="428"/>
      <c r="M505" s="428"/>
      <c r="Q505" s="392"/>
      <c r="R505" s="392"/>
      <c r="T505" s="417"/>
      <c r="U505" s="46"/>
      <c r="V505" s="46"/>
      <c r="W505" s="392"/>
      <c r="X505" s="392"/>
      <c r="Y505" s="392"/>
    </row>
    <row r="506" spans="1:25" ht="13.5" customHeight="1">
      <c r="A506" s="411"/>
      <c r="B506" s="392"/>
      <c r="C506" s="404"/>
      <c r="D506" s="402"/>
      <c r="E506" s="426"/>
      <c r="F506" s="427"/>
      <c r="G506" s="427"/>
      <c r="H506" s="427"/>
      <c r="I506" s="428"/>
      <c r="K506" s="427"/>
      <c r="L506" s="428"/>
      <c r="M506" s="428"/>
      <c r="Q506" s="392"/>
      <c r="R506" s="392"/>
      <c r="T506" s="417"/>
      <c r="U506" s="46"/>
      <c r="V506" s="46"/>
      <c r="W506" s="392"/>
      <c r="X506" s="392"/>
      <c r="Y506" s="392"/>
    </row>
    <row r="507" spans="1:25" ht="13.5" customHeight="1">
      <c r="A507" s="411"/>
      <c r="B507" s="392"/>
      <c r="C507" s="404"/>
      <c r="D507" s="402"/>
      <c r="E507" s="426"/>
      <c r="F507" s="427"/>
      <c r="G507" s="427"/>
      <c r="H507" s="427"/>
      <c r="I507" s="428"/>
      <c r="K507" s="427"/>
      <c r="L507" s="428"/>
      <c r="M507" s="428"/>
      <c r="Q507" s="392"/>
      <c r="R507" s="392"/>
      <c r="T507" s="417"/>
      <c r="U507" s="46"/>
      <c r="V507" s="46"/>
      <c r="W507" s="392"/>
      <c r="X507" s="392"/>
      <c r="Y507" s="392"/>
    </row>
    <row r="508" spans="1:25" ht="13.5" customHeight="1">
      <c r="A508" s="411"/>
      <c r="B508" s="392"/>
      <c r="C508" s="404"/>
      <c r="D508" s="402"/>
      <c r="E508" s="426"/>
      <c r="F508" s="427"/>
      <c r="G508" s="427"/>
      <c r="H508" s="427"/>
      <c r="I508" s="428"/>
      <c r="K508" s="427"/>
      <c r="L508" s="428"/>
      <c r="M508" s="428"/>
      <c r="Q508" s="392"/>
      <c r="R508" s="392"/>
      <c r="T508" s="417"/>
      <c r="U508" s="46"/>
      <c r="V508" s="46"/>
      <c r="W508" s="392"/>
      <c r="X508" s="392"/>
      <c r="Y508" s="392"/>
    </row>
    <row r="509" spans="1:25" ht="13.5" customHeight="1">
      <c r="A509" s="411"/>
      <c r="B509" s="392"/>
      <c r="C509" s="404"/>
      <c r="D509" s="402"/>
      <c r="E509" s="426"/>
      <c r="F509" s="427"/>
      <c r="G509" s="427"/>
      <c r="H509" s="427"/>
      <c r="I509" s="428"/>
      <c r="K509" s="427"/>
      <c r="L509" s="428"/>
      <c r="M509" s="428"/>
      <c r="Q509" s="392"/>
      <c r="R509" s="392"/>
      <c r="T509" s="417"/>
      <c r="U509" s="46"/>
      <c r="V509" s="46"/>
      <c r="W509" s="392"/>
      <c r="X509" s="392"/>
      <c r="Y509" s="392"/>
    </row>
    <row r="510" spans="1:25" ht="13.5" customHeight="1">
      <c r="A510" s="411"/>
      <c r="B510" s="392"/>
      <c r="C510" s="404"/>
      <c r="D510" s="402"/>
      <c r="E510" s="426"/>
      <c r="F510" s="427"/>
      <c r="G510" s="427"/>
      <c r="H510" s="427"/>
      <c r="I510" s="428"/>
      <c r="K510" s="427"/>
      <c r="L510" s="428"/>
      <c r="M510" s="428"/>
      <c r="Q510" s="392"/>
      <c r="R510" s="392"/>
      <c r="T510" s="417"/>
      <c r="U510" s="46"/>
      <c r="V510" s="46"/>
      <c r="W510" s="392"/>
      <c r="X510" s="392"/>
      <c r="Y510" s="392"/>
    </row>
    <row r="511" spans="1:25" ht="13.5" customHeight="1">
      <c r="A511" s="411"/>
      <c r="B511" s="392"/>
      <c r="C511" s="404"/>
      <c r="D511" s="402"/>
      <c r="E511" s="426"/>
      <c r="F511" s="427"/>
      <c r="G511" s="427"/>
      <c r="H511" s="427"/>
      <c r="I511" s="428"/>
      <c r="K511" s="427"/>
      <c r="L511" s="428"/>
      <c r="M511" s="428"/>
      <c r="Q511" s="392"/>
      <c r="R511" s="392"/>
      <c r="T511" s="417"/>
      <c r="U511" s="46"/>
      <c r="V511" s="46"/>
      <c r="W511" s="392"/>
      <c r="X511" s="392"/>
      <c r="Y511" s="392"/>
    </row>
    <row r="512" spans="1:25" ht="13.5" customHeight="1">
      <c r="A512" s="411"/>
      <c r="B512" s="392"/>
      <c r="C512" s="404"/>
      <c r="D512" s="402"/>
      <c r="E512" s="426"/>
      <c r="F512" s="427"/>
      <c r="G512" s="427"/>
      <c r="H512" s="427"/>
      <c r="I512" s="428"/>
      <c r="K512" s="427"/>
      <c r="L512" s="428"/>
      <c r="M512" s="428"/>
      <c r="Q512" s="392"/>
      <c r="R512" s="392"/>
      <c r="T512" s="417"/>
      <c r="U512" s="46"/>
      <c r="V512" s="46"/>
      <c r="W512" s="392"/>
      <c r="X512" s="392"/>
      <c r="Y512" s="392"/>
    </row>
    <row r="513" spans="1:25" ht="13.5" customHeight="1">
      <c r="A513" s="411"/>
      <c r="B513" s="392"/>
      <c r="C513" s="404"/>
      <c r="D513" s="402"/>
      <c r="E513" s="426"/>
      <c r="F513" s="427"/>
      <c r="G513" s="427"/>
      <c r="H513" s="427"/>
      <c r="I513" s="428"/>
      <c r="K513" s="427"/>
      <c r="L513" s="428"/>
      <c r="M513" s="428"/>
      <c r="Q513" s="392"/>
      <c r="R513" s="392"/>
      <c r="T513" s="417"/>
      <c r="U513" s="46"/>
      <c r="V513" s="46"/>
      <c r="W513" s="392"/>
      <c r="X513" s="392"/>
      <c r="Y513" s="392"/>
    </row>
    <row r="514" spans="1:25" ht="13.5" customHeight="1">
      <c r="A514" s="411"/>
      <c r="B514" s="392"/>
      <c r="C514" s="404"/>
      <c r="D514" s="402"/>
      <c r="E514" s="426"/>
      <c r="F514" s="427"/>
      <c r="G514" s="427"/>
      <c r="H514" s="427"/>
      <c r="I514" s="428"/>
      <c r="K514" s="427"/>
      <c r="L514" s="428"/>
      <c r="M514" s="428"/>
      <c r="Q514" s="392"/>
      <c r="R514" s="392"/>
      <c r="T514" s="417"/>
      <c r="U514" s="46"/>
      <c r="V514" s="46"/>
      <c r="W514" s="392"/>
      <c r="X514" s="392"/>
      <c r="Y514" s="392"/>
    </row>
    <row r="515" spans="1:25" ht="13.5" customHeight="1">
      <c r="A515" s="411"/>
      <c r="B515" s="392"/>
      <c r="C515" s="404"/>
      <c r="D515" s="402"/>
      <c r="E515" s="426"/>
      <c r="F515" s="427"/>
      <c r="G515" s="427"/>
      <c r="H515" s="427"/>
      <c r="I515" s="428"/>
      <c r="K515" s="427"/>
      <c r="L515" s="428"/>
      <c r="M515" s="428"/>
      <c r="Q515" s="392"/>
      <c r="R515" s="392"/>
      <c r="T515" s="417"/>
      <c r="U515" s="46"/>
      <c r="V515" s="46"/>
      <c r="W515" s="392"/>
      <c r="X515" s="392"/>
      <c r="Y515" s="392"/>
    </row>
    <row r="516" spans="1:25" ht="13.5" customHeight="1">
      <c r="A516" s="411"/>
      <c r="B516" s="392"/>
      <c r="C516" s="404"/>
      <c r="D516" s="402"/>
      <c r="E516" s="426"/>
      <c r="F516" s="427"/>
      <c r="G516" s="427"/>
      <c r="H516" s="427"/>
      <c r="I516" s="428"/>
      <c r="K516" s="427"/>
      <c r="L516" s="428"/>
      <c r="M516" s="428"/>
      <c r="Q516" s="392"/>
      <c r="R516" s="392"/>
      <c r="T516" s="417"/>
      <c r="U516" s="46"/>
      <c r="V516" s="46"/>
      <c r="W516" s="392"/>
      <c r="X516" s="392"/>
      <c r="Y516" s="392"/>
    </row>
    <row r="517" spans="1:25" ht="13.5" customHeight="1">
      <c r="A517" s="411"/>
      <c r="B517" s="392"/>
      <c r="C517" s="404"/>
      <c r="D517" s="402"/>
      <c r="E517" s="426"/>
      <c r="F517" s="427"/>
      <c r="G517" s="427"/>
      <c r="H517" s="427"/>
      <c r="I517" s="428"/>
      <c r="K517" s="427"/>
      <c r="L517" s="428"/>
      <c r="M517" s="428"/>
      <c r="Q517" s="392"/>
      <c r="R517" s="392"/>
      <c r="T517" s="417"/>
      <c r="U517" s="46"/>
      <c r="V517" s="46"/>
      <c r="W517" s="392"/>
      <c r="X517" s="392"/>
      <c r="Y517" s="392"/>
    </row>
    <row r="518" spans="1:25" ht="13.5" customHeight="1">
      <c r="A518" s="411"/>
      <c r="B518" s="392"/>
      <c r="C518" s="404"/>
      <c r="D518" s="402"/>
      <c r="E518" s="426"/>
      <c r="F518" s="427"/>
      <c r="G518" s="427"/>
      <c r="H518" s="427"/>
      <c r="I518" s="428"/>
      <c r="K518" s="427"/>
      <c r="L518" s="428"/>
      <c r="M518" s="428"/>
      <c r="Q518" s="392"/>
      <c r="R518" s="392"/>
      <c r="T518" s="417"/>
      <c r="U518" s="46"/>
      <c r="V518" s="46"/>
      <c r="W518" s="392"/>
      <c r="X518" s="392"/>
      <c r="Y518" s="392"/>
    </row>
    <row r="519" spans="1:25" ht="13.5" customHeight="1">
      <c r="A519" s="411"/>
      <c r="B519" s="392"/>
      <c r="C519" s="404"/>
      <c r="D519" s="402"/>
      <c r="E519" s="426"/>
      <c r="F519" s="427"/>
      <c r="G519" s="427"/>
      <c r="H519" s="427"/>
      <c r="I519" s="428"/>
      <c r="K519" s="427"/>
      <c r="L519" s="428"/>
      <c r="M519" s="428"/>
      <c r="Q519" s="392"/>
      <c r="R519" s="392"/>
      <c r="T519" s="417"/>
      <c r="U519" s="46"/>
      <c r="V519" s="46"/>
      <c r="W519" s="392"/>
      <c r="X519" s="392"/>
      <c r="Y519" s="392"/>
    </row>
    <row r="520" spans="1:25" ht="13.5" customHeight="1">
      <c r="A520" s="411"/>
      <c r="B520" s="392"/>
      <c r="C520" s="404"/>
      <c r="D520" s="402"/>
      <c r="E520" s="426"/>
      <c r="F520" s="427"/>
      <c r="G520" s="427"/>
      <c r="H520" s="427"/>
      <c r="I520" s="428"/>
      <c r="K520" s="427"/>
      <c r="L520" s="428"/>
      <c r="M520" s="428"/>
      <c r="Q520" s="392"/>
      <c r="R520" s="392"/>
      <c r="T520" s="417"/>
      <c r="U520" s="46"/>
      <c r="V520" s="46"/>
      <c r="W520" s="392"/>
      <c r="X520" s="392"/>
      <c r="Y520" s="392"/>
    </row>
    <row r="521" spans="1:25" ht="13.5" customHeight="1">
      <c r="A521" s="411"/>
      <c r="B521" s="392"/>
      <c r="C521" s="404"/>
      <c r="D521" s="402"/>
      <c r="E521" s="426"/>
      <c r="F521" s="427"/>
      <c r="G521" s="427"/>
      <c r="H521" s="427"/>
      <c r="I521" s="428"/>
      <c r="K521" s="427"/>
      <c r="L521" s="428"/>
      <c r="M521" s="428"/>
      <c r="Q521" s="392"/>
      <c r="R521" s="392"/>
      <c r="T521" s="417"/>
      <c r="U521" s="46"/>
      <c r="V521" s="46"/>
      <c r="W521" s="392"/>
      <c r="X521" s="392"/>
      <c r="Y521" s="392"/>
    </row>
    <row r="522" spans="1:25" ht="13.5" customHeight="1">
      <c r="A522" s="411"/>
      <c r="B522" s="392"/>
      <c r="C522" s="404"/>
      <c r="D522" s="402"/>
      <c r="E522" s="426"/>
      <c r="F522" s="427"/>
      <c r="G522" s="427"/>
      <c r="H522" s="427"/>
      <c r="I522" s="428"/>
      <c r="K522" s="427"/>
      <c r="L522" s="428"/>
      <c r="M522" s="428"/>
      <c r="Q522" s="392"/>
      <c r="R522" s="392"/>
      <c r="T522" s="417"/>
      <c r="U522" s="46"/>
      <c r="V522" s="46"/>
      <c r="W522" s="392"/>
      <c r="X522" s="392"/>
      <c r="Y522" s="392"/>
    </row>
    <row r="523" spans="1:25" ht="13.5" customHeight="1">
      <c r="A523" s="411"/>
      <c r="B523" s="392"/>
      <c r="C523" s="404"/>
      <c r="D523" s="402"/>
      <c r="E523" s="426"/>
      <c r="F523" s="427"/>
      <c r="G523" s="427"/>
      <c r="H523" s="427"/>
      <c r="I523" s="428"/>
      <c r="K523" s="427"/>
      <c r="L523" s="428"/>
      <c r="M523" s="428"/>
      <c r="Q523" s="392"/>
      <c r="R523" s="392"/>
      <c r="T523" s="417"/>
      <c r="U523" s="46"/>
      <c r="V523" s="46"/>
      <c r="W523" s="392"/>
      <c r="X523" s="392"/>
      <c r="Y523" s="392"/>
    </row>
    <row r="524" spans="1:25" ht="13.5" customHeight="1">
      <c r="A524" s="411"/>
      <c r="B524" s="392"/>
      <c r="C524" s="404"/>
      <c r="D524" s="402"/>
      <c r="E524" s="426"/>
      <c r="F524" s="427"/>
      <c r="G524" s="427"/>
      <c r="H524" s="427"/>
      <c r="I524" s="428"/>
      <c r="K524" s="427"/>
      <c r="L524" s="428"/>
      <c r="M524" s="428"/>
      <c r="Q524" s="392"/>
      <c r="R524" s="392"/>
      <c r="T524" s="417"/>
      <c r="U524" s="46"/>
      <c r="V524" s="46"/>
      <c r="W524" s="392"/>
      <c r="X524" s="392"/>
      <c r="Y524" s="392"/>
    </row>
    <row r="525" spans="1:25" ht="13.5" customHeight="1">
      <c r="A525" s="411"/>
      <c r="B525" s="392"/>
      <c r="C525" s="404"/>
      <c r="D525" s="402"/>
      <c r="E525" s="426"/>
      <c r="F525" s="427"/>
      <c r="G525" s="427"/>
      <c r="H525" s="427"/>
      <c r="I525" s="428"/>
      <c r="K525" s="427"/>
      <c r="L525" s="428"/>
      <c r="M525" s="428"/>
      <c r="Q525" s="392"/>
      <c r="R525" s="392"/>
      <c r="T525" s="417"/>
      <c r="U525" s="46"/>
      <c r="V525" s="46"/>
      <c r="W525" s="392"/>
      <c r="X525" s="392"/>
      <c r="Y525" s="392"/>
    </row>
    <row r="526" spans="1:25" ht="13.5" customHeight="1">
      <c r="A526" s="411"/>
      <c r="B526" s="392"/>
      <c r="C526" s="404"/>
      <c r="D526" s="402"/>
      <c r="E526" s="426"/>
      <c r="F526" s="427"/>
      <c r="G526" s="427"/>
      <c r="H526" s="427"/>
      <c r="I526" s="428"/>
      <c r="K526" s="427"/>
      <c r="L526" s="428"/>
      <c r="M526" s="428"/>
      <c r="Q526" s="392"/>
      <c r="R526" s="392"/>
      <c r="T526" s="417"/>
      <c r="U526" s="46"/>
      <c r="V526" s="46"/>
      <c r="W526" s="392"/>
      <c r="X526" s="392"/>
      <c r="Y526" s="392"/>
    </row>
    <row r="527" spans="1:25" ht="13.5" customHeight="1">
      <c r="A527" s="411"/>
      <c r="B527" s="392"/>
      <c r="C527" s="404"/>
      <c r="D527" s="402"/>
      <c r="E527" s="426"/>
      <c r="F527" s="427"/>
      <c r="G527" s="427"/>
      <c r="H527" s="427"/>
      <c r="I527" s="428"/>
      <c r="K527" s="427"/>
      <c r="L527" s="428"/>
      <c r="M527" s="428"/>
      <c r="Q527" s="392"/>
      <c r="R527" s="392"/>
      <c r="T527" s="417"/>
      <c r="U527" s="46"/>
      <c r="V527" s="46"/>
      <c r="W527" s="392"/>
      <c r="X527" s="392"/>
      <c r="Y527" s="392"/>
    </row>
    <row r="528" spans="1:25" ht="13.5" customHeight="1">
      <c r="A528" s="411"/>
      <c r="B528" s="392"/>
      <c r="C528" s="404"/>
      <c r="D528" s="402"/>
      <c r="E528" s="426"/>
      <c r="F528" s="427"/>
      <c r="G528" s="427"/>
      <c r="H528" s="427"/>
      <c r="I528" s="428"/>
      <c r="K528" s="427"/>
      <c r="L528" s="428"/>
      <c r="M528" s="428"/>
      <c r="Q528" s="392"/>
      <c r="R528" s="392"/>
      <c r="T528" s="417"/>
      <c r="U528" s="46"/>
      <c r="V528" s="46"/>
      <c r="W528" s="392"/>
      <c r="X528" s="392"/>
      <c r="Y528" s="392"/>
    </row>
    <row r="529" spans="1:25" ht="13.5" customHeight="1">
      <c r="A529" s="411"/>
      <c r="B529" s="392"/>
      <c r="C529" s="404"/>
      <c r="D529" s="402"/>
      <c r="E529" s="426"/>
      <c r="F529" s="427"/>
      <c r="G529" s="427"/>
      <c r="H529" s="427"/>
      <c r="I529" s="428"/>
      <c r="K529" s="427"/>
      <c r="L529" s="428"/>
      <c r="M529" s="428"/>
      <c r="Q529" s="392"/>
      <c r="R529" s="392"/>
      <c r="T529" s="417"/>
      <c r="U529" s="46"/>
      <c r="V529" s="46"/>
      <c r="W529" s="392"/>
      <c r="X529" s="392"/>
      <c r="Y529" s="392"/>
    </row>
    <row r="530" spans="1:25" ht="13.5" customHeight="1">
      <c r="A530" s="411"/>
      <c r="B530" s="392"/>
      <c r="C530" s="404"/>
      <c r="D530" s="402"/>
      <c r="E530" s="426"/>
      <c r="F530" s="427"/>
      <c r="G530" s="427"/>
      <c r="H530" s="427"/>
      <c r="I530" s="428"/>
      <c r="K530" s="427"/>
      <c r="L530" s="428"/>
      <c r="M530" s="428"/>
      <c r="Q530" s="392"/>
      <c r="R530" s="392"/>
      <c r="T530" s="417"/>
      <c r="U530" s="46"/>
      <c r="V530" s="46"/>
      <c r="W530" s="392"/>
      <c r="X530" s="392"/>
      <c r="Y530" s="392"/>
    </row>
    <row r="531" spans="1:25" ht="13.5" customHeight="1">
      <c r="A531" s="411"/>
      <c r="B531" s="392"/>
      <c r="C531" s="404"/>
      <c r="D531" s="402"/>
      <c r="E531" s="426"/>
      <c r="F531" s="427"/>
      <c r="G531" s="427"/>
      <c r="H531" s="427"/>
      <c r="I531" s="428"/>
      <c r="K531" s="427"/>
      <c r="L531" s="428"/>
      <c r="M531" s="428"/>
      <c r="Q531" s="392"/>
      <c r="R531" s="392"/>
      <c r="T531" s="417"/>
      <c r="U531" s="46"/>
      <c r="V531" s="46"/>
      <c r="W531" s="392"/>
      <c r="X531" s="392"/>
      <c r="Y531" s="392"/>
    </row>
    <row r="532" spans="1:25" ht="13.5" customHeight="1">
      <c r="A532" s="411"/>
      <c r="B532" s="392"/>
      <c r="C532" s="404"/>
      <c r="D532" s="402"/>
      <c r="E532" s="426"/>
      <c r="F532" s="427"/>
      <c r="G532" s="427"/>
      <c r="H532" s="427"/>
      <c r="I532" s="428"/>
      <c r="K532" s="427"/>
      <c r="L532" s="428"/>
      <c r="M532" s="428"/>
      <c r="Q532" s="392"/>
      <c r="R532" s="392"/>
      <c r="T532" s="417"/>
      <c r="U532" s="46"/>
      <c r="V532" s="46"/>
      <c r="W532" s="392"/>
      <c r="X532" s="392"/>
      <c r="Y532" s="392"/>
    </row>
    <row r="533" spans="1:25" ht="13.5" customHeight="1">
      <c r="A533" s="411"/>
      <c r="B533" s="392"/>
      <c r="C533" s="404"/>
      <c r="D533" s="402"/>
      <c r="E533" s="426"/>
      <c r="F533" s="427"/>
      <c r="G533" s="427"/>
      <c r="H533" s="427"/>
      <c r="I533" s="428"/>
      <c r="K533" s="427"/>
      <c r="L533" s="428"/>
      <c r="M533" s="428"/>
      <c r="Q533" s="392"/>
      <c r="R533" s="392"/>
      <c r="T533" s="417"/>
      <c r="U533" s="46"/>
      <c r="V533" s="46"/>
      <c r="W533" s="392"/>
      <c r="X533" s="392"/>
      <c r="Y533" s="392"/>
    </row>
    <row r="534" spans="1:25" ht="13.5" customHeight="1">
      <c r="A534" s="411"/>
      <c r="B534" s="392"/>
      <c r="C534" s="404"/>
      <c r="D534" s="402"/>
      <c r="E534" s="426"/>
      <c r="F534" s="427"/>
      <c r="G534" s="427"/>
      <c r="H534" s="427"/>
      <c r="I534" s="428"/>
      <c r="K534" s="427"/>
      <c r="L534" s="428"/>
      <c r="M534" s="428"/>
      <c r="Q534" s="392"/>
      <c r="R534" s="392"/>
      <c r="T534" s="417"/>
      <c r="U534" s="46"/>
      <c r="V534" s="46"/>
      <c r="W534" s="392"/>
      <c r="X534" s="392"/>
      <c r="Y534" s="392"/>
    </row>
    <row r="535" spans="1:25" ht="13.5" customHeight="1">
      <c r="A535" s="411"/>
      <c r="B535" s="392"/>
      <c r="C535" s="404"/>
      <c r="D535" s="402"/>
      <c r="E535" s="426"/>
      <c r="F535" s="427"/>
      <c r="G535" s="427"/>
      <c r="H535" s="427"/>
      <c r="I535" s="428"/>
      <c r="K535" s="427"/>
      <c r="L535" s="428"/>
      <c r="M535" s="428"/>
      <c r="Q535" s="392"/>
      <c r="R535" s="392"/>
      <c r="T535" s="417"/>
      <c r="U535" s="46"/>
      <c r="V535" s="46"/>
      <c r="W535" s="392"/>
      <c r="X535" s="392"/>
      <c r="Y535" s="392"/>
    </row>
    <row r="536" spans="1:25" ht="13.5" customHeight="1">
      <c r="A536" s="411"/>
      <c r="B536" s="392"/>
      <c r="C536" s="404"/>
      <c r="D536" s="402"/>
      <c r="E536" s="426"/>
      <c r="F536" s="427"/>
      <c r="G536" s="427"/>
      <c r="H536" s="427"/>
      <c r="I536" s="428"/>
      <c r="K536" s="427"/>
      <c r="L536" s="428"/>
      <c r="M536" s="428"/>
      <c r="Q536" s="392"/>
      <c r="R536" s="392"/>
      <c r="T536" s="417"/>
      <c r="U536" s="46"/>
      <c r="V536" s="46"/>
      <c r="W536" s="392"/>
      <c r="X536" s="392"/>
      <c r="Y536" s="392"/>
    </row>
    <row r="537" spans="1:25" ht="13.5" customHeight="1">
      <c r="A537" s="411"/>
      <c r="B537" s="392"/>
      <c r="C537" s="404"/>
      <c r="D537" s="402"/>
      <c r="E537" s="426"/>
      <c r="F537" s="427"/>
      <c r="G537" s="427"/>
      <c r="H537" s="427"/>
      <c r="I537" s="428"/>
      <c r="K537" s="427"/>
      <c r="L537" s="428"/>
      <c r="M537" s="428"/>
      <c r="Q537" s="392"/>
      <c r="R537" s="392"/>
      <c r="T537" s="417"/>
      <c r="U537" s="46"/>
      <c r="V537" s="46"/>
      <c r="W537" s="392"/>
      <c r="X537" s="392"/>
      <c r="Y537" s="392"/>
    </row>
    <row r="538" spans="1:25" ht="13.5" customHeight="1">
      <c r="A538" s="411"/>
      <c r="B538" s="392"/>
      <c r="C538" s="404"/>
      <c r="D538" s="402"/>
      <c r="E538" s="426"/>
      <c r="F538" s="427"/>
      <c r="G538" s="427"/>
      <c r="H538" s="427"/>
      <c r="I538" s="428"/>
      <c r="K538" s="427"/>
      <c r="L538" s="428"/>
      <c r="M538" s="428"/>
      <c r="Q538" s="392"/>
      <c r="R538" s="392"/>
      <c r="T538" s="417"/>
      <c r="U538" s="46"/>
      <c r="V538" s="46"/>
      <c r="W538" s="392"/>
      <c r="X538" s="392"/>
      <c r="Y538" s="392"/>
    </row>
    <row r="539" spans="1:25" ht="13.5" customHeight="1">
      <c r="A539" s="411"/>
      <c r="B539" s="392"/>
      <c r="C539" s="404"/>
      <c r="D539" s="402"/>
      <c r="E539" s="426"/>
      <c r="F539" s="427"/>
      <c r="G539" s="427"/>
      <c r="H539" s="427"/>
      <c r="I539" s="428"/>
      <c r="K539" s="427"/>
      <c r="L539" s="428"/>
      <c r="M539" s="428"/>
      <c r="Q539" s="392"/>
      <c r="R539" s="392"/>
      <c r="T539" s="417"/>
      <c r="U539" s="46"/>
      <c r="V539" s="46"/>
      <c r="W539" s="392"/>
      <c r="X539" s="392"/>
      <c r="Y539" s="392"/>
    </row>
    <row r="540" spans="1:25" ht="13.5" customHeight="1">
      <c r="A540" s="411"/>
      <c r="B540" s="392"/>
      <c r="C540" s="404"/>
      <c r="D540" s="402"/>
      <c r="E540" s="426"/>
      <c r="F540" s="427"/>
      <c r="G540" s="427"/>
      <c r="H540" s="427"/>
      <c r="I540" s="428"/>
      <c r="K540" s="427"/>
      <c r="L540" s="428"/>
      <c r="M540" s="428"/>
      <c r="Q540" s="392"/>
      <c r="R540" s="392"/>
      <c r="T540" s="417"/>
      <c r="U540" s="46"/>
      <c r="V540" s="46"/>
      <c r="W540" s="392"/>
      <c r="X540" s="392"/>
      <c r="Y540" s="392"/>
    </row>
    <row r="541" spans="1:25" ht="13.5" customHeight="1">
      <c r="A541" s="411"/>
      <c r="B541" s="392"/>
      <c r="C541" s="404"/>
      <c r="D541" s="402"/>
      <c r="E541" s="426"/>
      <c r="F541" s="427"/>
      <c r="G541" s="427"/>
      <c r="H541" s="427"/>
      <c r="I541" s="428"/>
      <c r="K541" s="427"/>
      <c r="L541" s="428"/>
      <c r="M541" s="428"/>
      <c r="Q541" s="392"/>
      <c r="R541" s="392"/>
      <c r="T541" s="417"/>
      <c r="U541" s="46"/>
      <c r="V541" s="46"/>
      <c r="W541" s="392"/>
      <c r="X541" s="392"/>
      <c r="Y541" s="392"/>
    </row>
    <row r="542" spans="1:25" ht="13.5" customHeight="1">
      <c r="A542" s="411"/>
      <c r="B542" s="392"/>
      <c r="C542" s="404"/>
      <c r="D542" s="402"/>
      <c r="E542" s="426"/>
      <c r="F542" s="427"/>
      <c r="G542" s="427"/>
      <c r="H542" s="427"/>
      <c r="I542" s="428"/>
      <c r="K542" s="427"/>
      <c r="L542" s="428"/>
      <c r="M542" s="428"/>
      <c r="Q542" s="392"/>
      <c r="R542" s="392"/>
      <c r="T542" s="417"/>
      <c r="U542" s="46"/>
      <c r="V542" s="46"/>
      <c r="W542" s="392"/>
      <c r="X542" s="392"/>
      <c r="Y542" s="392"/>
    </row>
    <row r="543" spans="1:25" ht="13.5" customHeight="1">
      <c r="A543" s="411"/>
      <c r="B543" s="392"/>
      <c r="C543" s="404"/>
      <c r="D543" s="402"/>
      <c r="E543" s="426"/>
      <c r="F543" s="427"/>
      <c r="G543" s="427"/>
      <c r="H543" s="427"/>
      <c r="I543" s="428"/>
      <c r="K543" s="427"/>
      <c r="L543" s="428"/>
      <c r="M543" s="428"/>
      <c r="Q543" s="392"/>
      <c r="R543" s="392"/>
      <c r="T543" s="417"/>
      <c r="U543" s="46"/>
      <c r="V543" s="46"/>
      <c r="W543" s="392"/>
      <c r="X543" s="392"/>
      <c r="Y543" s="392"/>
    </row>
    <row r="544" spans="1:25" ht="13.5" customHeight="1">
      <c r="A544" s="411"/>
      <c r="B544" s="392"/>
      <c r="C544" s="404"/>
      <c r="D544" s="402"/>
      <c r="E544" s="426"/>
      <c r="F544" s="427"/>
      <c r="G544" s="427"/>
      <c r="H544" s="427"/>
      <c r="I544" s="428"/>
      <c r="K544" s="427"/>
      <c r="L544" s="428"/>
      <c r="M544" s="428"/>
      <c r="Q544" s="392"/>
      <c r="R544" s="392"/>
      <c r="T544" s="417"/>
      <c r="U544" s="46"/>
      <c r="V544" s="46"/>
      <c r="W544" s="392"/>
      <c r="X544" s="392"/>
      <c r="Y544" s="392"/>
    </row>
    <row r="545" spans="1:25" ht="13.5" customHeight="1">
      <c r="A545" s="411"/>
      <c r="B545" s="392"/>
      <c r="C545" s="404"/>
      <c r="D545" s="402"/>
      <c r="E545" s="426"/>
      <c r="F545" s="427"/>
      <c r="G545" s="427"/>
      <c r="H545" s="427"/>
      <c r="I545" s="428"/>
      <c r="K545" s="427"/>
      <c r="L545" s="428"/>
      <c r="M545" s="428"/>
      <c r="Q545" s="392"/>
      <c r="R545" s="392"/>
      <c r="T545" s="417"/>
      <c r="U545" s="46"/>
      <c r="V545" s="46"/>
      <c r="W545" s="392"/>
      <c r="X545" s="392"/>
      <c r="Y545" s="392"/>
    </row>
    <row r="546" spans="1:25" ht="13.5" customHeight="1">
      <c r="A546" s="411"/>
      <c r="B546" s="392"/>
      <c r="C546" s="404"/>
      <c r="D546" s="402"/>
      <c r="E546" s="426"/>
      <c r="F546" s="427"/>
      <c r="G546" s="427"/>
      <c r="H546" s="427"/>
      <c r="I546" s="428"/>
      <c r="K546" s="427"/>
      <c r="L546" s="428"/>
      <c r="M546" s="428"/>
      <c r="Q546" s="392"/>
      <c r="R546" s="392"/>
      <c r="T546" s="417"/>
      <c r="U546" s="46"/>
      <c r="V546" s="46"/>
      <c r="W546" s="392"/>
      <c r="X546" s="392"/>
      <c r="Y546" s="392"/>
    </row>
    <row r="547" spans="1:25" ht="13.5" customHeight="1">
      <c r="A547" s="411"/>
      <c r="B547" s="392"/>
      <c r="C547" s="404"/>
      <c r="D547" s="402"/>
      <c r="E547" s="426"/>
      <c r="F547" s="427"/>
      <c r="G547" s="427"/>
      <c r="H547" s="427"/>
      <c r="I547" s="428"/>
      <c r="K547" s="427"/>
      <c r="L547" s="428"/>
      <c r="M547" s="428"/>
      <c r="Q547" s="392"/>
      <c r="R547" s="392"/>
      <c r="T547" s="417"/>
      <c r="U547" s="46"/>
      <c r="V547" s="46"/>
      <c r="W547" s="392"/>
      <c r="X547" s="392"/>
      <c r="Y547" s="392"/>
    </row>
    <row r="548" spans="1:25" ht="13.5" customHeight="1">
      <c r="A548" s="411"/>
      <c r="B548" s="392"/>
      <c r="C548" s="404"/>
      <c r="D548" s="402"/>
      <c r="E548" s="426"/>
      <c r="F548" s="427"/>
      <c r="G548" s="427"/>
      <c r="H548" s="427"/>
      <c r="I548" s="428"/>
      <c r="K548" s="427"/>
      <c r="L548" s="428"/>
      <c r="M548" s="428"/>
      <c r="Q548" s="392"/>
      <c r="R548" s="392"/>
      <c r="T548" s="417"/>
      <c r="U548" s="46"/>
      <c r="V548" s="46"/>
      <c r="W548" s="392"/>
      <c r="X548" s="392"/>
      <c r="Y548" s="392"/>
    </row>
    <row r="549" spans="1:25" ht="13.5" customHeight="1">
      <c r="A549" s="411"/>
      <c r="B549" s="392"/>
      <c r="C549" s="404"/>
      <c r="D549" s="402"/>
      <c r="E549" s="426"/>
      <c r="F549" s="427"/>
      <c r="G549" s="427"/>
      <c r="H549" s="427"/>
      <c r="I549" s="428"/>
      <c r="K549" s="427"/>
      <c r="L549" s="428"/>
      <c r="M549" s="428"/>
      <c r="Q549" s="392"/>
      <c r="R549" s="392"/>
      <c r="T549" s="417"/>
      <c r="U549" s="46"/>
      <c r="V549" s="46"/>
      <c r="W549" s="392"/>
      <c r="X549" s="392"/>
      <c r="Y549" s="392"/>
    </row>
    <row r="550" spans="1:25" ht="13.5" customHeight="1">
      <c r="A550" s="411"/>
      <c r="B550" s="392"/>
      <c r="C550" s="404"/>
      <c r="D550" s="402"/>
      <c r="E550" s="426"/>
      <c r="F550" s="427"/>
      <c r="G550" s="427"/>
      <c r="H550" s="427"/>
      <c r="I550" s="428"/>
      <c r="K550" s="427"/>
      <c r="L550" s="428"/>
      <c r="M550" s="428"/>
      <c r="Q550" s="392"/>
      <c r="R550" s="392"/>
      <c r="T550" s="417"/>
      <c r="U550" s="46"/>
      <c r="V550" s="46"/>
      <c r="W550" s="392"/>
      <c r="X550" s="392"/>
      <c r="Y550" s="392"/>
    </row>
    <row r="551" spans="1:25" ht="13.5" customHeight="1">
      <c r="A551" s="411"/>
      <c r="B551" s="392"/>
      <c r="C551" s="404"/>
      <c r="D551" s="402"/>
      <c r="E551" s="426"/>
      <c r="F551" s="427"/>
      <c r="G551" s="427"/>
      <c r="H551" s="427"/>
      <c r="I551" s="428"/>
      <c r="K551" s="427"/>
      <c r="L551" s="428"/>
      <c r="M551" s="428"/>
      <c r="Q551" s="392"/>
      <c r="R551" s="392"/>
      <c r="T551" s="417"/>
      <c r="U551" s="46"/>
      <c r="V551" s="46"/>
      <c r="W551" s="392"/>
      <c r="X551" s="392"/>
      <c r="Y551" s="392"/>
    </row>
    <row r="552" spans="1:25" ht="13.5" customHeight="1">
      <c r="A552" s="411"/>
      <c r="B552" s="392"/>
      <c r="C552" s="404"/>
      <c r="D552" s="402"/>
      <c r="E552" s="426"/>
      <c r="F552" s="427"/>
      <c r="G552" s="427"/>
      <c r="H552" s="427"/>
      <c r="I552" s="428"/>
      <c r="K552" s="427"/>
      <c r="L552" s="428"/>
      <c r="M552" s="428"/>
      <c r="Q552" s="392"/>
      <c r="R552" s="392"/>
      <c r="T552" s="417"/>
      <c r="U552" s="46"/>
      <c r="V552" s="46"/>
      <c r="W552" s="392"/>
      <c r="X552" s="392"/>
      <c r="Y552" s="392"/>
    </row>
    <row r="553" spans="1:25" ht="13.5" customHeight="1">
      <c r="A553" s="411"/>
      <c r="B553" s="392"/>
      <c r="C553" s="404"/>
      <c r="D553" s="402"/>
      <c r="E553" s="426"/>
      <c r="F553" s="427"/>
      <c r="G553" s="427"/>
      <c r="H553" s="427"/>
      <c r="I553" s="428"/>
      <c r="K553" s="427"/>
      <c r="L553" s="428"/>
      <c r="M553" s="428"/>
      <c r="Q553" s="392"/>
      <c r="R553" s="392"/>
      <c r="T553" s="417"/>
      <c r="U553" s="46"/>
      <c r="V553" s="46"/>
      <c r="W553" s="392"/>
      <c r="X553" s="392"/>
      <c r="Y553" s="392"/>
    </row>
    <row r="554" spans="1:25" ht="13.5" customHeight="1">
      <c r="A554" s="411"/>
      <c r="B554" s="392"/>
      <c r="C554" s="404"/>
      <c r="D554" s="402"/>
      <c r="E554" s="426"/>
      <c r="F554" s="427"/>
      <c r="G554" s="427"/>
      <c r="H554" s="427"/>
      <c r="I554" s="428"/>
      <c r="K554" s="427"/>
      <c r="L554" s="428"/>
      <c r="M554" s="428"/>
      <c r="Q554" s="392"/>
      <c r="R554" s="392"/>
      <c r="T554" s="417"/>
      <c r="U554" s="46"/>
      <c r="V554" s="46"/>
      <c r="W554" s="392"/>
      <c r="X554" s="392"/>
      <c r="Y554" s="392"/>
    </row>
    <row r="555" spans="1:25" ht="13.5" customHeight="1">
      <c r="A555" s="411"/>
      <c r="B555" s="392"/>
      <c r="C555" s="404"/>
      <c r="D555" s="402"/>
      <c r="E555" s="426"/>
      <c r="F555" s="427"/>
      <c r="G555" s="427"/>
      <c r="H555" s="427"/>
      <c r="I555" s="428"/>
      <c r="K555" s="427"/>
      <c r="L555" s="428"/>
      <c r="M555" s="428"/>
      <c r="Q555" s="392"/>
      <c r="R555" s="392"/>
      <c r="T555" s="417"/>
      <c r="U555" s="46"/>
      <c r="V555" s="46"/>
      <c r="W555" s="392"/>
      <c r="X555" s="392"/>
      <c r="Y555" s="392"/>
    </row>
    <row r="556" spans="1:25" ht="13.5" customHeight="1">
      <c r="A556" s="411"/>
      <c r="B556" s="392"/>
      <c r="C556" s="404"/>
      <c r="D556" s="402"/>
      <c r="E556" s="426"/>
      <c r="F556" s="427"/>
      <c r="G556" s="427"/>
      <c r="H556" s="427"/>
      <c r="I556" s="428"/>
      <c r="K556" s="427"/>
      <c r="L556" s="428"/>
      <c r="M556" s="428"/>
      <c r="Q556" s="392"/>
      <c r="R556" s="392"/>
      <c r="T556" s="417"/>
      <c r="U556" s="46"/>
      <c r="V556" s="46"/>
      <c r="W556" s="392"/>
      <c r="X556" s="392"/>
      <c r="Y556" s="392"/>
    </row>
    <row r="557" spans="1:25" ht="13.5" customHeight="1">
      <c r="A557" s="411"/>
      <c r="B557" s="392"/>
      <c r="C557" s="404"/>
      <c r="D557" s="402"/>
      <c r="E557" s="426"/>
      <c r="F557" s="427"/>
      <c r="G557" s="427"/>
      <c r="H557" s="427"/>
      <c r="I557" s="428"/>
      <c r="K557" s="427"/>
      <c r="L557" s="428"/>
      <c r="M557" s="428"/>
      <c r="Q557" s="392"/>
      <c r="R557" s="392"/>
      <c r="T557" s="417"/>
      <c r="U557" s="46"/>
      <c r="V557" s="46"/>
      <c r="W557" s="392"/>
      <c r="X557" s="392"/>
      <c r="Y557" s="392"/>
    </row>
    <row r="558" spans="1:25" ht="13.5" customHeight="1">
      <c r="A558" s="411"/>
      <c r="B558" s="392"/>
      <c r="C558" s="404"/>
      <c r="D558" s="402"/>
      <c r="E558" s="426"/>
      <c r="F558" s="427"/>
      <c r="G558" s="427"/>
      <c r="H558" s="427"/>
      <c r="I558" s="428"/>
      <c r="K558" s="427"/>
      <c r="L558" s="428"/>
      <c r="M558" s="428"/>
      <c r="Q558" s="392"/>
      <c r="R558" s="392"/>
      <c r="T558" s="417"/>
      <c r="U558" s="46"/>
      <c r="V558" s="46"/>
      <c r="W558" s="392"/>
      <c r="X558" s="392"/>
      <c r="Y558" s="392"/>
    </row>
    <row r="559" spans="1:25" ht="13.5" customHeight="1">
      <c r="A559" s="411"/>
      <c r="B559" s="392"/>
      <c r="C559" s="404"/>
      <c r="D559" s="402"/>
      <c r="E559" s="426"/>
      <c r="F559" s="427"/>
      <c r="G559" s="427"/>
      <c r="H559" s="427"/>
      <c r="I559" s="428"/>
      <c r="K559" s="427"/>
      <c r="L559" s="428"/>
      <c r="M559" s="428"/>
      <c r="Q559" s="392"/>
      <c r="R559" s="392"/>
      <c r="T559" s="417"/>
      <c r="U559" s="46"/>
      <c r="V559" s="46"/>
      <c r="W559" s="392"/>
      <c r="X559" s="392"/>
      <c r="Y559" s="392"/>
    </row>
    <row r="560" spans="1:25" ht="13.5" customHeight="1">
      <c r="A560" s="411"/>
      <c r="B560" s="392"/>
      <c r="C560" s="404"/>
      <c r="D560" s="402"/>
      <c r="E560" s="426"/>
      <c r="F560" s="427"/>
      <c r="G560" s="427"/>
      <c r="H560" s="427"/>
      <c r="I560" s="428"/>
      <c r="K560" s="427"/>
      <c r="L560" s="428"/>
      <c r="M560" s="428"/>
      <c r="Q560" s="392"/>
      <c r="R560" s="392"/>
      <c r="T560" s="417"/>
      <c r="U560" s="46"/>
      <c r="V560" s="46"/>
      <c r="W560" s="392"/>
      <c r="X560" s="392"/>
      <c r="Y560" s="392"/>
    </row>
    <row r="561" spans="1:25" ht="13.5" customHeight="1">
      <c r="A561" s="411"/>
      <c r="B561" s="392"/>
      <c r="C561" s="404"/>
      <c r="D561" s="402"/>
      <c r="E561" s="426"/>
      <c r="F561" s="427"/>
      <c r="G561" s="427"/>
      <c r="H561" s="427"/>
      <c r="I561" s="428"/>
      <c r="K561" s="427"/>
      <c r="L561" s="428"/>
      <c r="M561" s="428"/>
      <c r="Q561" s="392"/>
      <c r="R561" s="392"/>
      <c r="T561" s="417"/>
      <c r="U561" s="46"/>
      <c r="V561" s="46"/>
      <c r="W561" s="392"/>
      <c r="X561" s="392"/>
      <c r="Y561" s="392"/>
    </row>
    <row r="562" spans="1:25" ht="13.5" customHeight="1">
      <c r="A562" s="411"/>
      <c r="B562" s="392"/>
      <c r="C562" s="404"/>
      <c r="D562" s="402"/>
      <c r="E562" s="426"/>
      <c r="F562" s="427"/>
      <c r="G562" s="427"/>
      <c r="H562" s="427"/>
      <c r="I562" s="428"/>
      <c r="K562" s="427"/>
      <c r="L562" s="428"/>
      <c r="M562" s="428"/>
      <c r="Q562" s="392"/>
      <c r="R562" s="392"/>
      <c r="T562" s="417"/>
      <c r="U562" s="46"/>
      <c r="V562" s="46"/>
      <c r="W562" s="392"/>
      <c r="X562" s="392"/>
      <c r="Y562" s="392"/>
    </row>
    <row r="563" spans="1:25" ht="13.5" customHeight="1">
      <c r="A563" s="411"/>
      <c r="B563" s="392"/>
      <c r="C563" s="404"/>
      <c r="D563" s="402"/>
      <c r="E563" s="426"/>
      <c r="F563" s="427"/>
      <c r="G563" s="427"/>
      <c r="H563" s="427"/>
      <c r="I563" s="428"/>
      <c r="K563" s="427"/>
      <c r="L563" s="428"/>
      <c r="M563" s="428"/>
      <c r="Q563" s="392"/>
      <c r="R563" s="392"/>
      <c r="T563" s="417"/>
      <c r="U563" s="46"/>
      <c r="V563" s="46"/>
      <c r="W563" s="392"/>
      <c r="X563" s="392"/>
      <c r="Y563" s="392"/>
    </row>
    <row r="564" spans="1:25" ht="13.5" customHeight="1">
      <c r="A564" s="411"/>
      <c r="B564" s="392"/>
      <c r="C564" s="404"/>
      <c r="D564" s="402"/>
      <c r="E564" s="426"/>
      <c r="F564" s="427"/>
      <c r="G564" s="427"/>
      <c r="H564" s="427"/>
      <c r="I564" s="428"/>
      <c r="K564" s="427"/>
      <c r="L564" s="428"/>
      <c r="M564" s="428"/>
      <c r="Q564" s="392"/>
      <c r="R564" s="392"/>
      <c r="T564" s="417"/>
      <c r="U564" s="46"/>
      <c r="V564" s="46"/>
      <c r="W564" s="392"/>
      <c r="X564" s="392"/>
      <c r="Y564" s="392"/>
    </row>
    <row r="565" spans="1:25" ht="13.5" customHeight="1">
      <c r="A565" s="411"/>
      <c r="B565" s="392"/>
      <c r="C565" s="404"/>
      <c r="D565" s="402"/>
      <c r="E565" s="426"/>
      <c r="F565" s="427"/>
      <c r="G565" s="427"/>
      <c r="H565" s="427"/>
      <c r="I565" s="428"/>
      <c r="K565" s="427"/>
      <c r="L565" s="428"/>
      <c r="M565" s="428"/>
      <c r="Q565" s="392"/>
      <c r="R565" s="392"/>
      <c r="T565" s="417"/>
      <c r="U565" s="46"/>
      <c r="V565" s="46"/>
      <c r="W565" s="392"/>
      <c r="X565" s="392"/>
      <c r="Y565" s="392"/>
    </row>
    <row r="566" spans="1:25" ht="13.5" customHeight="1">
      <c r="A566" s="411"/>
      <c r="B566" s="392"/>
      <c r="C566" s="404"/>
      <c r="D566" s="402"/>
      <c r="E566" s="426"/>
      <c r="F566" s="427"/>
      <c r="G566" s="427"/>
      <c r="H566" s="427"/>
      <c r="I566" s="428"/>
      <c r="K566" s="427"/>
      <c r="L566" s="428"/>
      <c r="M566" s="428"/>
      <c r="Q566" s="392"/>
      <c r="R566" s="392"/>
      <c r="T566" s="417"/>
      <c r="U566" s="46"/>
      <c r="V566" s="46"/>
      <c r="W566" s="392"/>
      <c r="X566" s="392"/>
      <c r="Y566" s="392"/>
    </row>
    <row r="567" spans="1:25" ht="13.5" customHeight="1">
      <c r="A567" s="411"/>
      <c r="B567" s="392"/>
      <c r="C567" s="404"/>
      <c r="D567" s="402"/>
      <c r="E567" s="426"/>
      <c r="F567" s="427"/>
      <c r="G567" s="427"/>
      <c r="H567" s="427"/>
      <c r="I567" s="428"/>
      <c r="K567" s="427"/>
      <c r="L567" s="428"/>
      <c r="M567" s="428"/>
      <c r="Q567" s="392"/>
      <c r="R567" s="392"/>
      <c r="T567" s="417"/>
      <c r="U567" s="46"/>
      <c r="V567" s="46"/>
      <c r="W567" s="392"/>
      <c r="X567" s="392"/>
      <c r="Y567" s="392"/>
    </row>
    <row r="568" spans="1:25" ht="13.5" customHeight="1">
      <c r="A568" s="411"/>
      <c r="B568" s="392"/>
      <c r="C568" s="404"/>
      <c r="D568" s="402"/>
      <c r="E568" s="426"/>
      <c r="F568" s="427"/>
      <c r="G568" s="427"/>
      <c r="H568" s="427"/>
      <c r="I568" s="428"/>
      <c r="K568" s="427"/>
      <c r="L568" s="428"/>
      <c r="M568" s="428"/>
      <c r="Q568" s="392"/>
      <c r="R568" s="392"/>
      <c r="T568" s="417"/>
      <c r="U568" s="46"/>
      <c r="V568" s="46"/>
      <c r="W568" s="392"/>
      <c r="X568" s="392"/>
      <c r="Y568" s="392"/>
    </row>
    <row r="569" spans="1:25" ht="13.5" customHeight="1">
      <c r="A569" s="411"/>
      <c r="B569" s="392"/>
      <c r="C569" s="404"/>
      <c r="D569" s="402"/>
      <c r="E569" s="426"/>
      <c r="F569" s="427"/>
      <c r="G569" s="427"/>
      <c r="H569" s="427"/>
      <c r="I569" s="428"/>
      <c r="K569" s="427"/>
      <c r="L569" s="428"/>
      <c r="M569" s="428"/>
      <c r="Q569" s="392"/>
      <c r="R569" s="392"/>
      <c r="T569" s="417"/>
      <c r="U569" s="46"/>
      <c r="V569" s="46"/>
      <c r="W569" s="392"/>
      <c r="X569" s="392"/>
      <c r="Y569" s="392"/>
    </row>
    <row r="570" spans="1:25" ht="13.5" customHeight="1">
      <c r="A570" s="411"/>
      <c r="B570" s="392"/>
      <c r="C570" s="404"/>
      <c r="D570" s="402"/>
      <c r="E570" s="426"/>
      <c r="F570" s="427"/>
      <c r="G570" s="427"/>
      <c r="H570" s="427"/>
      <c r="I570" s="428"/>
      <c r="K570" s="427"/>
      <c r="L570" s="428"/>
      <c r="M570" s="428"/>
      <c r="Q570" s="392"/>
      <c r="R570" s="392"/>
      <c r="T570" s="417"/>
      <c r="U570" s="46"/>
      <c r="V570" s="46"/>
      <c r="W570" s="392"/>
      <c r="X570" s="392"/>
      <c r="Y570" s="392"/>
    </row>
    <row r="571" spans="1:25" ht="13.5" customHeight="1">
      <c r="A571" s="411"/>
      <c r="B571" s="392"/>
      <c r="C571" s="404"/>
      <c r="D571" s="402"/>
      <c r="E571" s="426"/>
      <c r="F571" s="427"/>
      <c r="G571" s="427"/>
      <c r="H571" s="427"/>
      <c r="I571" s="428"/>
      <c r="K571" s="427"/>
      <c r="L571" s="428"/>
      <c r="M571" s="428"/>
      <c r="Q571" s="392"/>
      <c r="R571" s="392"/>
      <c r="T571" s="417"/>
      <c r="U571" s="46"/>
      <c r="V571" s="46"/>
      <c r="W571" s="392"/>
      <c r="X571" s="392"/>
      <c r="Y571" s="392"/>
    </row>
    <row r="572" spans="1:25" ht="13.5" customHeight="1">
      <c r="A572" s="411"/>
      <c r="B572" s="392"/>
      <c r="C572" s="404"/>
      <c r="D572" s="402"/>
      <c r="E572" s="426"/>
      <c r="F572" s="427"/>
      <c r="G572" s="427"/>
      <c r="H572" s="427"/>
      <c r="I572" s="428"/>
      <c r="K572" s="427"/>
      <c r="L572" s="428"/>
      <c r="M572" s="428"/>
      <c r="Q572" s="392"/>
      <c r="R572" s="392"/>
      <c r="T572" s="417"/>
      <c r="U572" s="46"/>
      <c r="V572" s="46"/>
      <c r="W572" s="392"/>
      <c r="X572" s="392"/>
      <c r="Y572" s="392"/>
    </row>
    <row r="573" spans="1:25" ht="13.5" customHeight="1">
      <c r="A573" s="411"/>
      <c r="B573" s="392"/>
      <c r="C573" s="404"/>
      <c r="D573" s="402"/>
      <c r="E573" s="426"/>
      <c r="F573" s="427"/>
      <c r="G573" s="427"/>
      <c r="H573" s="427"/>
      <c r="I573" s="428"/>
      <c r="K573" s="427"/>
      <c r="L573" s="428"/>
      <c r="M573" s="428"/>
      <c r="Q573" s="392"/>
      <c r="R573" s="392"/>
      <c r="T573" s="417"/>
      <c r="U573" s="46"/>
      <c r="V573" s="46"/>
      <c r="W573" s="392"/>
      <c r="X573" s="392"/>
      <c r="Y573" s="392"/>
    </row>
    <row r="574" spans="1:25" ht="13.5" customHeight="1">
      <c r="A574" s="411"/>
      <c r="B574" s="392"/>
      <c r="C574" s="404"/>
      <c r="D574" s="402"/>
      <c r="E574" s="426"/>
      <c r="F574" s="427"/>
      <c r="G574" s="427"/>
      <c r="H574" s="427"/>
      <c r="I574" s="428"/>
      <c r="K574" s="427"/>
      <c r="L574" s="428"/>
      <c r="M574" s="428"/>
      <c r="Q574" s="392"/>
      <c r="R574" s="392"/>
      <c r="T574" s="417"/>
      <c r="U574" s="46"/>
      <c r="V574" s="46"/>
      <c r="W574" s="392"/>
      <c r="X574" s="392"/>
      <c r="Y574" s="392"/>
    </row>
    <row r="575" spans="1:25" ht="13.5" customHeight="1">
      <c r="A575" s="411"/>
      <c r="B575" s="392"/>
      <c r="C575" s="404"/>
      <c r="D575" s="402"/>
      <c r="E575" s="426"/>
      <c r="F575" s="427"/>
      <c r="G575" s="427"/>
      <c r="H575" s="427"/>
      <c r="I575" s="428"/>
      <c r="K575" s="427"/>
      <c r="L575" s="428"/>
      <c r="M575" s="428"/>
      <c r="Q575" s="392"/>
      <c r="R575" s="392"/>
      <c r="T575" s="417"/>
      <c r="U575" s="46"/>
      <c r="V575" s="46"/>
      <c r="W575" s="392"/>
      <c r="X575" s="392"/>
      <c r="Y575" s="392"/>
    </row>
    <row r="576" spans="1:25" ht="13.5" customHeight="1">
      <c r="A576" s="411"/>
      <c r="B576" s="392"/>
      <c r="C576" s="404"/>
      <c r="D576" s="402"/>
      <c r="E576" s="426"/>
      <c r="F576" s="427"/>
      <c r="G576" s="427"/>
      <c r="H576" s="427"/>
      <c r="I576" s="428"/>
      <c r="K576" s="427"/>
      <c r="L576" s="428"/>
      <c r="M576" s="428"/>
      <c r="Q576" s="392"/>
      <c r="R576" s="392"/>
      <c r="T576" s="417"/>
      <c r="U576" s="46"/>
      <c r="V576" s="46"/>
      <c r="W576" s="392"/>
      <c r="X576" s="392"/>
      <c r="Y576" s="392"/>
    </row>
    <row r="577" spans="1:25" ht="13.5" customHeight="1">
      <c r="A577" s="411"/>
      <c r="B577" s="392"/>
      <c r="C577" s="404"/>
      <c r="D577" s="402"/>
      <c r="E577" s="426"/>
      <c r="F577" s="427"/>
      <c r="G577" s="427"/>
      <c r="H577" s="427"/>
      <c r="I577" s="428"/>
      <c r="K577" s="427"/>
      <c r="L577" s="428"/>
      <c r="M577" s="428"/>
      <c r="Q577" s="392"/>
      <c r="R577" s="392"/>
      <c r="T577" s="417"/>
      <c r="U577" s="46"/>
      <c r="V577" s="46"/>
      <c r="W577" s="392"/>
      <c r="X577" s="392"/>
      <c r="Y577" s="392"/>
    </row>
    <row r="578" spans="1:25" ht="13.5" customHeight="1">
      <c r="A578" s="411"/>
      <c r="B578" s="392"/>
      <c r="C578" s="404"/>
      <c r="D578" s="402"/>
      <c r="E578" s="426"/>
      <c r="F578" s="427"/>
      <c r="G578" s="427"/>
      <c r="H578" s="427"/>
      <c r="I578" s="428"/>
      <c r="K578" s="427"/>
      <c r="L578" s="428"/>
      <c r="M578" s="428"/>
      <c r="Q578" s="392"/>
      <c r="R578" s="392"/>
      <c r="T578" s="417"/>
      <c r="U578" s="46"/>
      <c r="V578" s="46"/>
      <c r="W578" s="392"/>
      <c r="X578" s="392"/>
      <c r="Y578" s="392"/>
    </row>
    <row r="579" spans="1:25" ht="13.5" customHeight="1">
      <c r="A579" s="411"/>
      <c r="B579" s="392"/>
      <c r="C579" s="404"/>
      <c r="D579" s="402"/>
      <c r="E579" s="426"/>
      <c r="F579" s="427"/>
      <c r="G579" s="427"/>
      <c r="H579" s="427"/>
      <c r="I579" s="428"/>
      <c r="K579" s="427"/>
      <c r="L579" s="428"/>
      <c r="M579" s="428"/>
      <c r="Q579" s="392"/>
      <c r="R579" s="392"/>
      <c r="T579" s="417"/>
      <c r="U579" s="46"/>
      <c r="V579" s="46"/>
      <c r="W579" s="392"/>
      <c r="X579" s="392"/>
      <c r="Y579" s="392"/>
    </row>
    <row r="580" spans="1:25" ht="13.5" customHeight="1">
      <c r="A580" s="411"/>
      <c r="B580" s="392"/>
      <c r="C580" s="404"/>
      <c r="D580" s="402"/>
      <c r="E580" s="426"/>
      <c r="F580" s="427"/>
      <c r="G580" s="427"/>
      <c r="H580" s="427"/>
      <c r="I580" s="428"/>
      <c r="K580" s="427"/>
      <c r="L580" s="428"/>
      <c r="M580" s="428"/>
      <c r="Q580" s="392"/>
      <c r="R580" s="392"/>
      <c r="T580" s="417"/>
      <c r="U580" s="46"/>
      <c r="V580" s="46"/>
      <c r="W580" s="392"/>
      <c r="X580" s="392"/>
      <c r="Y580" s="392"/>
    </row>
    <row r="581" spans="1:25" ht="13.5" customHeight="1">
      <c r="A581" s="411"/>
      <c r="B581" s="392"/>
      <c r="C581" s="404"/>
      <c r="D581" s="402"/>
      <c r="E581" s="426"/>
      <c r="F581" s="427"/>
      <c r="G581" s="427"/>
      <c r="H581" s="427"/>
      <c r="I581" s="428"/>
      <c r="K581" s="427"/>
      <c r="L581" s="428"/>
      <c r="M581" s="428"/>
      <c r="Q581" s="392"/>
      <c r="R581" s="392"/>
      <c r="T581" s="417"/>
      <c r="U581" s="46"/>
      <c r="V581" s="46"/>
      <c r="W581" s="392"/>
      <c r="X581" s="392"/>
      <c r="Y581" s="392"/>
    </row>
    <row r="582" spans="1:25" ht="13.5" customHeight="1">
      <c r="A582" s="411"/>
      <c r="B582" s="392"/>
      <c r="C582" s="404"/>
      <c r="D582" s="402"/>
      <c r="E582" s="426"/>
      <c r="F582" s="427"/>
      <c r="G582" s="427"/>
      <c r="H582" s="427"/>
      <c r="I582" s="428"/>
      <c r="K582" s="427"/>
      <c r="L582" s="428"/>
      <c r="M582" s="428"/>
      <c r="Q582" s="392"/>
      <c r="R582" s="392"/>
      <c r="T582" s="417"/>
      <c r="U582" s="46"/>
      <c r="V582" s="46"/>
      <c r="W582" s="392"/>
      <c r="X582" s="392"/>
      <c r="Y582" s="392"/>
    </row>
    <row r="583" spans="1:25" ht="13.5" customHeight="1">
      <c r="A583" s="411"/>
      <c r="B583" s="392"/>
      <c r="C583" s="404"/>
      <c r="D583" s="402"/>
      <c r="E583" s="426"/>
      <c r="F583" s="427"/>
      <c r="G583" s="427"/>
      <c r="H583" s="427"/>
      <c r="I583" s="428"/>
      <c r="K583" s="427"/>
      <c r="L583" s="428"/>
      <c r="M583" s="428"/>
      <c r="Q583" s="392"/>
      <c r="R583" s="392"/>
      <c r="T583" s="417"/>
      <c r="U583" s="46"/>
      <c r="V583" s="46"/>
      <c r="W583" s="392"/>
      <c r="X583" s="392"/>
      <c r="Y583" s="392"/>
    </row>
    <row r="584" spans="1:25" ht="13.5" customHeight="1">
      <c r="A584" s="411"/>
      <c r="B584" s="392"/>
      <c r="C584" s="404"/>
      <c r="D584" s="402"/>
      <c r="E584" s="426"/>
      <c r="F584" s="427"/>
      <c r="G584" s="427"/>
      <c r="H584" s="427"/>
      <c r="I584" s="428"/>
      <c r="K584" s="427"/>
      <c r="L584" s="428"/>
      <c r="M584" s="428"/>
      <c r="Q584" s="392"/>
      <c r="R584" s="392"/>
      <c r="T584" s="417"/>
      <c r="U584" s="46"/>
      <c r="V584" s="46"/>
      <c r="W584" s="392"/>
      <c r="X584" s="392"/>
      <c r="Y584" s="392"/>
    </row>
    <row r="585" spans="1:25" ht="13.5" customHeight="1">
      <c r="A585" s="411"/>
      <c r="B585" s="392"/>
      <c r="C585" s="404"/>
      <c r="D585" s="402"/>
      <c r="E585" s="426"/>
      <c r="F585" s="427"/>
      <c r="G585" s="427"/>
      <c r="H585" s="427"/>
      <c r="I585" s="428"/>
      <c r="K585" s="427"/>
      <c r="L585" s="428"/>
      <c r="M585" s="428"/>
      <c r="Q585" s="392"/>
      <c r="R585" s="392"/>
      <c r="T585" s="417"/>
      <c r="U585" s="46"/>
      <c r="V585" s="46"/>
      <c r="W585" s="392"/>
      <c r="X585" s="392"/>
      <c r="Y585" s="392"/>
    </row>
    <row r="586" spans="1:25" ht="13.5" customHeight="1">
      <c r="A586" s="411"/>
      <c r="B586" s="392"/>
      <c r="C586" s="404"/>
      <c r="D586" s="402"/>
      <c r="E586" s="426"/>
      <c r="F586" s="427"/>
      <c r="G586" s="427"/>
      <c r="H586" s="427"/>
      <c r="I586" s="428"/>
      <c r="K586" s="427"/>
      <c r="L586" s="428"/>
      <c r="M586" s="428"/>
      <c r="Q586" s="392"/>
      <c r="R586" s="392"/>
      <c r="T586" s="417"/>
      <c r="U586" s="46"/>
      <c r="V586" s="46"/>
      <c r="W586" s="392"/>
      <c r="X586" s="392"/>
      <c r="Y586" s="392"/>
    </row>
    <row r="587" spans="1:25" ht="13.5" customHeight="1">
      <c r="A587" s="411"/>
      <c r="B587" s="392"/>
      <c r="C587" s="404"/>
      <c r="D587" s="402"/>
      <c r="E587" s="426"/>
      <c r="F587" s="427"/>
      <c r="G587" s="427"/>
      <c r="H587" s="427"/>
      <c r="I587" s="428"/>
      <c r="K587" s="427"/>
      <c r="L587" s="428"/>
      <c r="M587" s="428"/>
      <c r="Q587" s="392"/>
      <c r="R587" s="392"/>
      <c r="T587" s="417"/>
      <c r="U587" s="46"/>
      <c r="V587" s="46"/>
      <c r="W587" s="392"/>
      <c r="X587" s="392"/>
      <c r="Y587" s="392"/>
    </row>
    <row r="588" spans="1:25" ht="13.5" customHeight="1">
      <c r="A588" s="411"/>
      <c r="B588" s="392"/>
      <c r="C588" s="404"/>
      <c r="D588" s="402"/>
      <c r="E588" s="426"/>
      <c r="F588" s="427"/>
      <c r="G588" s="427"/>
      <c r="H588" s="427"/>
      <c r="I588" s="428"/>
      <c r="K588" s="427"/>
      <c r="L588" s="428"/>
      <c r="M588" s="428"/>
      <c r="Q588" s="392"/>
      <c r="R588" s="392"/>
      <c r="T588" s="417"/>
      <c r="U588" s="46"/>
      <c r="V588" s="46"/>
      <c r="W588" s="392"/>
      <c r="X588" s="392"/>
      <c r="Y588" s="392"/>
    </row>
    <row r="589" spans="1:25" ht="13.5" customHeight="1">
      <c r="A589" s="411"/>
      <c r="B589" s="392"/>
      <c r="C589" s="404"/>
      <c r="D589" s="402"/>
      <c r="E589" s="426"/>
      <c r="F589" s="427"/>
      <c r="G589" s="427"/>
      <c r="H589" s="427"/>
      <c r="I589" s="428"/>
      <c r="K589" s="427"/>
      <c r="L589" s="428"/>
      <c r="M589" s="428"/>
      <c r="Q589" s="392"/>
      <c r="R589" s="392"/>
      <c r="T589" s="417"/>
      <c r="U589" s="46"/>
      <c r="V589" s="46"/>
      <c r="W589" s="392"/>
      <c r="X589" s="392"/>
      <c r="Y589" s="392"/>
    </row>
    <row r="590" spans="1:25" ht="13.5" customHeight="1">
      <c r="A590" s="411"/>
      <c r="B590" s="392"/>
      <c r="C590" s="404"/>
      <c r="D590" s="402"/>
      <c r="E590" s="426"/>
      <c r="F590" s="427"/>
      <c r="G590" s="427"/>
      <c r="H590" s="427"/>
      <c r="I590" s="428"/>
      <c r="K590" s="427"/>
      <c r="L590" s="428"/>
      <c r="M590" s="428"/>
      <c r="Q590" s="392"/>
      <c r="R590" s="392"/>
      <c r="T590" s="417"/>
      <c r="U590" s="46"/>
      <c r="V590" s="46"/>
      <c r="W590" s="392"/>
      <c r="X590" s="392"/>
      <c r="Y590" s="392"/>
    </row>
    <row r="591" spans="1:25" ht="13.5" customHeight="1">
      <c r="A591" s="411"/>
      <c r="B591" s="392"/>
      <c r="C591" s="404"/>
      <c r="D591" s="402"/>
      <c r="E591" s="426"/>
      <c r="F591" s="427"/>
      <c r="G591" s="427"/>
      <c r="H591" s="427"/>
      <c r="I591" s="428"/>
      <c r="K591" s="427"/>
      <c r="L591" s="428"/>
      <c r="M591" s="428"/>
      <c r="Q591" s="392"/>
      <c r="R591" s="392"/>
      <c r="T591" s="417"/>
      <c r="U591" s="46"/>
      <c r="V591" s="46"/>
      <c r="W591" s="392"/>
      <c r="X591" s="392"/>
      <c r="Y591" s="392"/>
    </row>
    <row r="592" spans="1:25" ht="13.5" customHeight="1">
      <c r="A592" s="411"/>
      <c r="B592" s="392"/>
      <c r="C592" s="404"/>
      <c r="D592" s="402"/>
      <c r="E592" s="426"/>
      <c r="F592" s="427"/>
      <c r="G592" s="427"/>
      <c r="H592" s="427"/>
      <c r="I592" s="428"/>
      <c r="K592" s="427"/>
      <c r="L592" s="428"/>
      <c r="M592" s="428"/>
      <c r="Q592" s="392"/>
      <c r="R592" s="392"/>
      <c r="T592" s="417"/>
      <c r="U592" s="46"/>
      <c r="V592" s="46"/>
      <c r="W592" s="392"/>
      <c r="X592" s="392"/>
      <c r="Y592" s="392"/>
    </row>
    <row r="593" spans="1:25" ht="13.5" customHeight="1">
      <c r="A593" s="411"/>
      <c r="B593" s="392"/>
      <c r="C593" s="404"/>
      <c r="D593" s="402"/>
      <c r="E593" s="426"/>
      <c r="F593" s="427"/>
      <c r="G593" s="427"/>
      <c r="H593" s="427"/>
      <c r="I593" s="428"/>
      <c r="K593" s="427"/>
      <c r="L593" s="428"/>
      <c r="M593" s="428"/>
      <c r="Q593" s="392"/>
      <c r="R593" s="392"/>
      <c r="T593" s="417"/>
      <c r="U593" s="46"/>
      <c r="V593" s="46"/>
      <c r="W593" s="392"/>
      <c r="X593" s="392"/>
      <c r="Y593" s="392"/>
    </row>
    <row r="594" spans="1:25" ht="13.5" customHeight="1">
      <c r="A594" s="411"/>
      <c r="B594" s="392"/>
      <c r="C594" s="404"/>
      <c r="D594" s="402"/>
      <c r="E594" s="426"/>
      <c r="F594" s="427"/>
      <c r="G594" s="427"/>
      <c r="H594" s="427"/>
      <c r="I594" s="428"/>
      <c r="K594" s="427"/>
      <c r="L594" s="428"/>
      <c r="M594" s="428"/>
      <c r="Q594" s="392"/>
      <c r="R594" s="392"/>
      <c r="T594" s="417"/>
      <c r="U594" s="46"/>
      <c r="V594" s="46"/>
      <c r="W594" s="392"/>
      <c r="X594" s="392"/>
      <c r="Y594" s="392"/>
    </row>
    <row r="595" spans="1:25" ht="13.5" customHeight="1">
      <c r="A595" s="411"/>
      <c r="B595" s="392"/>
      <c r="C595" s="404"/>
      <c r="D595" s="402"/>
      <c r="E595" s="426"/>
      <c r="F595" s="427"/>
      <c r="G595" s="427"/>
      <c r="H595" s="427"/>
      <c r="I595" s="428"/>
      <c r="K595" s="427"/>
      <c r="L595" s="428"/>
      <c r="M595" s="428"/>
      <c r="Q595" s="392"/>
      <c r="R595" s="392"/>
      <c r="T595" s="417"/>
      <c r="U595" s="46"/>
      <c r="V595" s="46"/>
      <c r="W595" s="392"/>
      <c r="X595" s="392"/>
      <c r="Y595" s="392"/>
    </row>
    <row r="596" spans="1:25" ht="13.5" customHeight="1">
      <c r="A596" s="411"/>
      <c r="B596" s="392"/>
      <c r="C596" s="404"/>
      <c r="D596" s="402"/>
      <c r="E596" s="426"/>
      <c r="F596" s="427"/>
      <c r="G596" s="427"/>
      <c r="H596" s="427"/>
      <c r="I596" s="428"/>
      <c r="K596" s="427"/>
      <c r="L596" s="428"/>
      <c r="M596" s="428"/>
      <c r="Q596" s="392"/>
      <c r="R596" s="392"/>
      <c r="T596" s="417"/>
      <c r="U596" s="46"/>
      <c r="V596" s="46"/>
      <c r="W596" s="392"/>
      <c r="X596" s="392"/>
      <c r="Y596" s="392"/>
    </row>
    <row r="597" spans="1:25" ht="13.5" customHeight="1">
      <c r="A597" s="411"/>
      <c r="B597" s="392"/>
      <c r="C597" s="404"/>
      <c r="D597" s="402"/>
      <c r="E597" s="426"/>
      <c r="F597" s="427"/>
      <c r="G597" s="427"/>
      <c r="H597" s="427"/>
      <c r="I597" s="428"/>
      <c r="K597" s="427"/>
      <c r="L597" s="428"/>
      <c r="M597" s="428"/>
      <c r="Q597" s="392"/>
      <c r="R597" s="392"/>
      <c r="T597" s="417"/>
      <c r="U597" s="46"/>
      <c r="V597" s="46"/>
      <c r="W597" s="392"/>
      <c r="X597" s="392"/>
      <c r="Y597" s="392"/>
    </row>
    <row r="598" spans="1:25" ht="13.5" customHeight="1">
      <c r="A598" s="411"/>
      <c r="B598" s="392"/>
      <c r="C598" s="404"/>
      <c r="D598" s="402"/>
      <c r="E598" s="426"/>
      <c r="F598" s="427"/>
      <c r="G598" s="427"/>
      <c r="H598" s="427"/>
      <c r="I598" s="428"/>
      <c r="K598" s="427"/>
      <c r="L598" s="428"/>
      <c r="M598" s="428"/>
      <c r="Q598" s="392"/>
      <c r="R598" s="392"/>
      <c r="T598" s="417"/>
      <c r="U598" s="46"/>
      <c r="V598" s="46"/>
      <c r="W598" s="392"/>
      <c r="X598" s="392"/>
      <c r="Y598" s="392"/>
    </row>
    <row r="599" spans="1:25" ht="13.5" customHeight="1">
      <c r="A599" s="411"/>
      <c r="B599" s="392"/>
      <c r="C599" s="404"/>
      <c r="D599" s="402"/>
      <c r="E599" s="426"/>
      <c r="F599" s="427"/>
      <c r="G599" s="427"/>
      <c r="H599" s="427"/>
      <c r="I599" s="428"/>
      <c r="K599" s="427"/>
      <c r="L599" s="428"/>
      <c r="M599" s="428"/>
      <c r="Q599" s="392"/>
      <c r="R599" s="392"/>
      <c r="T599" s="417"/>
      <c r="U599" s="46"/>
      <c r="V599" s="46"/>
      <c r="W599" s="392"/>
      <c r="X599" s="392"/>
      <c r="Y599" s="392"/>
    </row>
    <row r="600" spans="1:25" ht="13.5" customHeight="1">
      <c r="A600" s="411"/>
      <c r="B600" s="392"/>
      <c r="C600" s="404"/>
      <c r="D600" s="402"/>
      <c r="E600" s="426"/>
      <c r="F600" s="427"/>
      <c r="G600" s="427"/>
      <c r="H600" s="427"/>
      <c r="I600" s="428"/>
      <c r="K600" s="427"/>
      <c r="L600" s="428"/>
      <c r="M600" s="428"/>
      <c r="Q600" s="392"/>
      <c r="R600" s="392"/>
      <c r="T600" s="417"/>
      <c r="U600" s="46"/>
      <c r="V600" s="46"/>
      <c r="W600" s="392"/>
      <c r="X600" s="392"/>
      <c r="Y600" s="392"/>
    </row>
    <row r="601" spans="1:25" ht="13.5" customHeight="1">
      <c r="A601" s="411"/>
      <c r="B601" s="392"/>
      <c r="C601" s="404"/>
      <c r="D601" s="402"/>
      <c r="E601" s="426"/>
      <c r="F601" s="427"/>
      <c r="G601" s="427"/>
      <c r="H601" s="427"/>
      <c r="I601" s="428"/>
      <c r="K601" s="427"/>
      <c r="L601" s="428"/>
      <c r="M601" s="428"/>
      <c r="Q601" s="392"/>
      <c r="R601" s="392"/>
      <c r="T601" s="417"/>
      <c r="U601" s="46"/>
      <c r="V601" s="46"/>
      <c r="W601" s="392"/>
      <c r="X601" s="392"/>
      <c r="Y601" s="392"/>
    </row>
    <row r="602" spans="1:25" ht="13.5" customHeight="1">
      <c r="A602" s="411"/>
      <c r="B602" s="392"/>
      <c r="C602" s="404"/>
      <c r="D602" s="402"/>
      <c r="E602" s="426"/>
      <c r="F602" s="427"/>
      <c r="G602" s="427"/>
      <c r="H602" s="427"/>
      <c r="I602" s="428"/>
      <c r="K602" s="427"/>
      <c r="L602" s="428"/>
      <c r="M602" s="428"/>
      <c r="Q602" s="392"/>
      <c r="R602" s="392"/>
      <c r="T602" s="417"/>
      <c r="U602" s="46"/>
      <c r="V602" s="46"/>
      <c r="W602" s="392"/>
      <c r="X602" s="392"/>
      <c r="Y602" s="392"/>
    </row>
    <row r="603" spans="1:25" ht="13.5" customHeight="1">
      <c r="A603" s="411"/>
      <c r="B603" s="392"/>
      <c r="C603" s="404"/>
      <c r="D603" s="402"/>
      <c r="E603" s="426"/>
      <c r="F603" s="427"/>
      <c r="G603" s="427"/>
      <c r="H603" s="427"/>
      <c r="I603" s="428"/>
      <c r="K603" s="427"/>
      <c r="L603" s="428"/>
      <c r="M603" s="428"/>
      <c r="Q603" s="392"/>
      <c r="R603" s="392"/>
      <c r="T603" s="417"/>
      <c r="U603" s="46"/>
      <c r="V603" s="46"/>
      <c r="W603" s="392"/>
      <c r="X603" s="392"/>
      <c r="Y603" s="392"/>
    </row>
    <row r="604" spans="1:25" ht="13.5" customHeight="1">
      <c r="A604" s="411"/>
      <c r="B604" s="392"/>
      <c r="C604" s="404"/>
      <c r="D604" s="402"/>
      <c r="E604" s="426"/>
      <c r="F604" s="427"/>
      <c r="G604" s="427"/>
      <c r="H604" s="427"/>
      <c r="I604" s="428"/>
      <c r="K604" s="427"/>
      <c r="L604" s="428"/>
      <c r="M604" s="428"/>
      <c r="Q604" s="392"/>
      <c r="R604" s="392"/>
      <c r="T604" s="417"/>
      <c r="U604" s="46"/>
      <c r="V604" s="46"/>
      <c r="W604" s="392"/>
      <c r="X604" s="392"/>
      <c r="Y604" s="392"/>
    </row>
    <row r="605" spans="1:25" ht="13.5" customHeight="1">
      <c r="A605" s="411"/>
      <c r="B605" s="392"/>
      <c r="C605" s="404"/>
      <c r="D605" s="402"/>
      <c r="E605" s="426"/>
      <c r="F605" s="427"/>
      <c r="G605" s="427"/>
      <c r="H605" s="427"/>
      <c r="I605" s="428"/>
      <c r="K605" s="427"/>
      <c r="L605" s="428"/>
      <c r="M605" s="428"/>
      <c r="Q605" s="392"/>
      <c r="R605" s="392"/>
      <c r="T605" s="417"/>
      <c r="U605" s="46"/>
      <c r="V605" s="46"/>
      <c r="W605" s="392"/>
      <c r="X605" s="392"/>
      <c r="Y605" s="392"/>
    </row>
    <row r="606" spans="1:25" ht="13.5" customHeight="1">
      <c r="A606" s="411"/>
      <c r="B606" s="392"/>
      <c r="C606" s="404"/>
      <c r="D606" s="402"/>
      <c r="E606" s="426"/>
      <c r="F606" s="427"/>
      <c r="G606" s="427"/>
      <c r="H606" s="427"/>
      <c r="I606" s="428"/>
      <c r="K606" s="427"/>
      <c r="L606" s="428"/>
      <c r="M606" s="428"/>
      <c r="Q606" s="392"/>
      <c r="R606" s="392"/>
      <c r="T606" s="417"/>
      <c r="U606" s="46"/>
      <c r="V606" s="46"/>
      <c r="W606" s="392"/>
      <c r="X606" s="392"/>
      <c r="Y606" s="392"/>
    </row>
    <row r="607" spans="1:25" ht="13.5" customHeight="1">
      <c r="A607" s="411"/>
      <c r="B607" s="392"/>
      <c r="C607" s="404"/>
      <c r="D607" s="402"/>
      <c r="E607" s="426"/>
      <c r="F607" s="427"/>
      <c r="G607" s="427"/>
      <c r="H607" s="427"/>
      <c r="I607" s="428"/>
      <c r="K607" s="427"/>
      <c r="L607" s="428"/>
      <c r="M607" s="428"/>
      <c r="Q607" s="392"/>
      <c r="R607" s="392"/>
      <c r="T607" s="417"/>
      <c r="U607" s="46"/>
      <c r="V607" s="46"/>
      <c r="W607" s="392"/>
      <c r="X607" s="392"/>
      <c r="Y607" s="392"/>
    </row>
    <row r="608" spans="1:25" ht="13.5" customHeight="1">
      <c r="A608" s="411"/>
      <c r="B608" s="392"/>
      <c r="C608" s="404"/>
      <c r="D608" s="402"/>
      <c r="E608" s="426"/>
      <c r="F608" s="427"/>
      <c r="G608" s="427"/>
      <c r="H608" s="427"/>
      <c r="I608" s="428"/>
      <c r="K608" s="427"/>
      <c r="L608" s="428"/>
      <c r="M608" s="428"/>
      <c r="Q608" s="392"/>
      <c r="R608" s="392"/>
      <c r="T608" s="417"/>
      <c r="U608" s="46"/>
      <c r="V608" s="46"/>
      <c r="W608" s="392"/>
      <c r="X608" s="392"/>
      <c r="Y608" s="392"/>
    </row>
    <row r="609" spans="1:25" ht="13.5" customHeight="1">
      <c r="A609" s="411"/>
      <c r="B609" s="392"/>
      <c r="C609" s="404"/>
      <c r="D609" s="402"/>
      <c r="E609" s="426"/>
      <c r="F609" s="427"/>
      <c r="G609" s="427"/>
      <c r="H609" s="427"/>
      <c r="I609" s="428"/>
      <c r="K609" s="427"/>
      <c r="L609" s="428"/>
      <c r="M609" s="428"/>
      <c r="Q609" s="392"/>
      <c r="R609" s="392"/>
      <c r="T609" s="417"/>
      <c r="U609" s="46"/>
      <c r="V609" s="46"/>
      <c r="W609" s="392"/>
      <c r="X609" s="392"/>
      <c r="Y609" s="392"/>
    </row>
    <row r="610" spans="1:25" ht="13.5" customHeight="1">
      <c r="A610" s="411"/>
      <c r="B610" s="392"/>
      <c r="C610" s="404"/>
      <c r="D610" s="402"/>
      <c r="E610" s="426"/>
      <c r="F610" s="427"/>
      <c r="G610" s="427"/>
      <c r="H610" s="427"/>
      <c r="I610" s="428"/>
      <c r="K610" s="427"/>
      <c r="L610" s="428"/>
      <c r="M610" s="428"/>
      <c r="Q610" s="392"/>
      <c r="R610" s="392"/>
      <c r="T610" s="417"/>
      <c r="U610" s="46"/>
      <c r="V610" s="46"/>
      <c r="W610" s="392"/>
      <c r="X610" s="392"/>
      <c r="Y610" s="392"/>
    </row>
    <row r="611" spans="1:25" ht="13.5" customHeight="1">
      <c r="A611" s="411"/>
      <c r="B611" s="392"/>
      <c r="C611" s="404"/>
      <c r="D611" s="402"/>
      <c r="E611" s="426"/>
      <c r="F611" s="427"/>
      <c r="G611" s="427"/>
      <c r="H611" s="427"/>
      <c r="I611" s="428"/>
      <c r="K611" s="427"/>
      <c r="L611" s="428"/>
      <c r="M611" s="428"/>
      <c r="Q611" s="392"/>
      <c r="R611" s="392"/>
      <c r="T611" s="417"/>
      <c r="U611" s="46"/>
      <c r="V611" s="46"/>
      <c r="W611" s="392"/>
      <c r="X611" s="392"/>
      <c r="Y611" s="392"/>
    </row>
    <row r="612" spans="1:25" ht="13.5" customHeight="1">
      <c r="A612" s="411"/>
      <c r="B612" s="392"/>
      <c r="C612" s="404"/>
      <c r="D612" s="402"/>
      <c r="E612" s="426"/>
      <c r="F612" s="427"/>
      <c r="G612" s="427"/>
      <c r="H612" s="427"/>
      <c r="I612" s="428"/>
      <c r="K612" s="427"/>
      <c r="L612" s="428"/>
      <c r="M612" s="428"/>
      <c r="Q612" s="392"/>
      <c r="R612" s="392"/>
      <c r="T612" s="417"/>
      <c r="U612" s="46"/>
      <c r="V612" s="46"/>
      <c r="W612" s="392"/>
      <c r="X612" s="392"/>
      <c r="Y612" s="392"/>
    </row>
    <row r="613" spans="1:25" ht="13.5" customHeight="1">
      <c r="A613" s="411"/>
      <c r="B613" s="392"/>
      <c r="C613" s="404"/>
      <c r="D613" s="402"/>
      <c r="E613" s="426"/>
      <c r="F613" s="427"/>
      <c r="G613" s="427"/>
      <c r="H613" s="427"/>
      <c r="I613" s="428"/>
      <c r="K613" s="427"/>
      <c r="L613" s="428"/>
      <c r="M613" s="428"/>
      <c r="Q613" s="392"/>
      <c r="R613" s="392"/>
      <c r="T613" s="417"/>
      <c r="U613" s="46"/>
      <c r="V613" s="46"/>
      <c r="W613" s="392"/>
      <c r="X613" s="392"/>
      <c r="Y613" s="392"/>
    </row>
    <row r="614" spans="1:25" ht="13.5" customHeight="1">
      <c r="A614" s="411"/>
      <c r="B614" s="392"/>
      <c r="C614" s="404"/>
      <c r="D614" s="402"/>
      <c r="E614" s="426"/>
      <c r="F614" s="427"/>
      <c r="G614" s="427"/>
      <c r="H614" s="427"/>
      <c r="I614" s="428"/>
      <c r="K614" s="427"/>
      <c r="L614" s="428"/>
      <c r="M614" s="428"/>
      <c r="Q614" s="392"/>
      <c r="R614" s="392"/>
      <c r="T614" s="417"/>
      <c r="U614" s="46"/>
      <c r="V614" s="46"/>
      <c r="W614" s="392"/>
      <c r="X614" s="392"/>
      <c r="Y614" s="392"/>
    </row>
    <row r="615" spans="1:25" ht="13.5" customHeight="1">
      <c r="A615" s="411"/>
      <c r="B615" s="392"/>
      <c r="C615" s="404"/>
      <c r="D615" s="402"/>
      <c r="E615" s="426"/>
      <c r="F615" s="427"/>
      <c r="G615" s="427"/>
      <c r="H615" s="427"/>
      <c r="I615" s="428"/>
      <c r="K615" s="427"/>
      <c r="L615" s="428"/>
      <c r="M615" s="428"/>
      <c r="Q615" s="392"/>
      <c r="R615" s="392"/>
      <c r="T615" s="417"/>
      <c r="U615" s="46"/>
      <c r="V615" s="46"/>
      <c r="W615" s="392"/>
      <c r="X615" s="392"/>
      <c r="Y615" s="392"/>
    </row>
    <row r="616" spans="1:25" ht="13.5" customHeight="1">
      <c r="A616" s="411"/>
      <c r="B616" s="392"/>
      <c r="C616" s="404"/>
      <c r="D616" s="402"/>
      <c r="E616" s="426"/>
      <c r="F616" s="427"/>
      <c r="G616" s="427"/>
      <c r="H616" s="427"/>
      <c r="I616" s="428"/>
      <c r="K616" s="427"/>
      <c r="L616" s="428"/>
      <c r="M616" s="428"/>
      <c r="Q616" s="392"/>
      <c r="R616" s="392"/>
      <c r="T616" s="417"/>
      <c r="U616" s="46"/>
      <c r="V616" s="46"/>
      <c r="W616" s="392"/>
      <c r="X616" s="392"/>
      <c r="Y616" s="392"/>
    </row>
    <row r="617" spans="1:25" ht="13.5" customHeight="1">
      <c r="A617" s="411"/>
      <c r="B617" s="392"/>
      <c r="C617" s="404"/>
      <c r="D617" s="402"/>
      <c r="E617" s="426"/>
      <c r="F617" s="427"/>
      <c r="G617" s="427"/>
      <c r="H617" s="427"/>
      <c r="I617" s="428"/>
      <c r="K617" s="427"/>
      <c r="L617" s="428"/>
      <c r="M617" s="428"/>
      <c r="Q617" s="392"/>
      <c r="R617" s="392"/>
      <c r="T617" s="417"/>
      <c r="U617" s="46"/>
      <c r="V617" s="46"/>
      <c r="W617" s="392"/>
      <c r="X617" s="392"/>
      <c r="Y617" s="392"/>
    </row>
    <row r="618" spans="1:25" ht="13.5" customHeight="1">
      <c r="A618" s="411"/>
      <c r="B618" s="392"/>
      <c r="C618" s="404"/>
      <c r="D618" s="402"/>
      <c r="E618" s="426"/>
      <c r="F618" s="427"/>
      <c r="G618" s="427"/>
      <c r="H618" s="427"/>
      <c r="I618" s="428"/>
      <c r="K618" s="427"/>
      <c r="L618" s="428"/>
      <c r="M618" s="428"/>
      <c r="Q618" s="392"/>
      <c r="R618" s="392"/>
      <c r="T618" s="417"/>
      <c r="U618" s="46"/>
      <c r="V618" s="46"/>
      <c r="W618" s="392"/>
      <c r="X618" s="392"/>
      <c r="Y618" s="392"/>
    </row>
    <row r="619" spans="1:25" ht="13.5" customHeight="1">
      <c r="A619" s="411"/>
      <c r="B619" s="392"/>
      <c r="C619" s="404"/>
      <c r="D619" s="402"/>
      <c r="E619" s="426"/>
      <c r="F619" s="427"/>
      <c r="G619" s="427"/>
      <c r="H619" s="427"/>
      <c r="I619" s="428"/>
      <c r="K619" s="427"/>
      <c r="L619" s="428"/>
      <c r="M619" s="428"/>
      <c r="Q619" s="392"/>
      <c r="R619" s="392"/>
      <c r="T619" s="417"/>
      <c r="U619" s="46"/>
      <c r="V619" s="46"/>
      <c r="W619" s="392"/>
      <c r="X619" s="392"/>
      <c r="Y619" s="392"/>
    </row>
    <row r="620" spans="1:25" ht="13.5" customHeight="1">
      <c r="A620" s="411"/>
      <c r="B620" s="392"/>
      <c r="C620" s="404"/>
      <c r="D620" s="402"/>
      <c r="E620" s="426"/>
      <c r="F620" s="427"/>
      <c r="G620" s="427"/>
      <c r="H620" s="427"/>
      <c r="I620" s="428"/>
      <c r="K620" s="427"/>
      <c r="L620" s="428"/>
      <c r="M620" s="428"/>
      <c r="Q620" s="392"/>
      <c r="R620" s="392"/>
      <c r="T620" s="417"/>
      <c r="U620" s="46"/>
      <c r="V620" s="46"/>
      <c r="W620" s="392"/>
      <c r="X620" s="392"/>
      <c r="Y620" s="392"/>
    </row>
    <row r="621" spans="1:25" ht="13.5" customHeight="1">
      <c r="A621" s="411"/>
      <c r="B621" s="392"/>
      <c r="C621" s="404"/>
      <c r="D621" s="402"/>
      <c r="E621" s="426"/>
      <c r="F621" s="427"/>
      <c r="G621" s="427"/>
      <c r="H621" s="427"/>
      <c r="I621" s="428"/>
      <c r="K621" s="427"/>
      <c r="L621" s="428"/>
      <c r="M621" s="428"/>
      <c r="Q621" s="392"/>
      <c r="R621" s="392"/>
      <c r="T621" s="417"/>
      <c r="U621" s="46"/>
      <c r="V621" s="46"/>
      <c r="W621" s="392"/>
      <c r="X621" s="392"/>
      <c r="Y621" s="392"/>
    </row>
    <row r="622" spans="1:25" ht="13.5" customHeight="1">
      <c r="A622" s="411"/>
      <c r="B622" s="392"/>
      <c r="C622" s="404"/>
      <c r="D622" s="402"/>
      <c r="E622" s="426"/>
      <c r="F622" s="427"/>
      <c r="G622" s="427"/>
      <c r="H622" s="427"/>
      <c r="I622" s="428"/>
      <c r="K622" s="427"/>
      <c r="L622" s="428"/>
      <c r="M622" s="428"/>
      <c r="Q622" s="392"/>
      <c r="R622" s="392"/>
      <c r="T622" s="417"/>
      <c r="U622" s="46"/>
      <c r="V622" s="46"/>
      <c r="W622" s="392"/>
      <c r="X622" s="392"/>
      <c r="Y622" s="392"/>
    </row>
    <row r="623" spans="1:25" ht="13.5" customHeight="1">
      <c r="A623" s="411"/>
      <c r="B623" s="392"/>
      <c r="C623" s="404"/>
      <c r="D623" s="402"/>
      <c r="E623" s="426"/>
      <c r="F623" s="427"/>
      <c r="G623" s="427"/>
      <c r="H623" s="427"/>
      <c r="I623" s="428"/>
      <c r="K623" s="427"/>
      <c r="L623" s="428"/>
      <c r="M623" s="428"/>
      <c r="Q623" s="392"/>
      <c r="R623" s="392"/>
      <c r="T623" s="417"/>
      <c r="U623" s="46"/>
      <c r="V623" s="46"/>
      <c r="W623" s="392"/>
      <c r="X623" s="392"/>
      <c r="Y623" s="392"/>
    </row>
    <row r="624" spans="1:25" ht="13.5" customHeight="1">
      <c r="A624" s="411"/>
      <c r="B624" s="392"/>
      <c r="C624" s="404"/>
      <c r="D624" s="402"/>
      <c r="E624" s="426"/>
      <c r="F624" s="427"/>
      <c r="G624" s="427"/>
      <c r="H624" s="427"/>
      <c r="I624" s="428"/>
      <c r="K624" s="427"/>
      <c r="L624" s="428"/>
      <c r="M624" s="428"/>
      <c r="Q624" s="392"/>
      <c r="R624" s="392"/>
      <c r="T624" s="417"/>
      <c r="U624" s="46"/>
      <c r="V624" s="46"/>
      <c r="W624" s="392"/>
      <c r="X624" s="392"/>
      <c r="Y624" s="392"/>
    </row>
    <row r="625" spans="1:25" ht="13.5" customHeight="1">
      <c r="A625" s="411"/>
      <c r="B625" s="392"/>
      <c r="C625" s="404"/>
      <c r="D625" s="402"/>
      <c r="E625" s="426"/>
      <c r="F625" s="427"/>
      <c r="G625" s="427"/>
      <c r="H625" s="427"/>
      <c r="I625" s="428"/>
      <c r="K625" s="427"/>
      <c r="L625" s="428"/>
      <c r="M625" s="428"/>
      <c r="Q625" s="392"/>
      <c r="R625" s="392"/>
      <c r="T625" s="417"/>
      <c r="U625" s="46"/>
      <c r="V625" s="46"/>
      <c r="W625" s="392"/>
      <c r="X625" s="392"/>
      <c r="Y625" s="392"/>
    </row>
    <row r="626" spans="1:25" ht="13.5" customHeight="1">
      <c r="A626" s="411"/>
      <c r="B626" s="392"/>
      <c r="C626" s="404"/>
      <c r="D626" s="402"/>
      <c r="E626" s="426"/>
      <c r="F626" s="427"/>
      <c r="G626" s="427"/>
      <c r="H626" s="427"/>
      <c r="I626" s="428"/>
      <c r="K626" s="427"/>
      <c r="L626" s="428"/>
      <c r="M626" s="428"/>
      <c r="Q626" s="392"/>
      <c r="R626" s="392"/>
      <c r="T626" s="417"/>
      <c r="U626" s="46"/>
      <c r="V626" s="46"/>
      <c r="W626" s="392"/>
      <c r="X626" s="392"/>
      <c r="Y626" s="392"/>
    </row>
    <row r="627" spans="1:25" ht="13.5" customHeight="1">
      <c r="A627" s="411"/>
      <c r="B627" s="392"/>
      <c r="C627" s="404"/>
      <c r="D627" s="402"/>
      <c r="E627" s="426"/>
      <c r="F627" s="427"/>
      <c r="G627" s="427"/>
      <c r="H627" s="427"/>
      <c r="I627" s="428"/>
      <c r="K627" s="427"/>
      <c r="L627" s="428"/>
      <c r="M627" s="428"/>
      <c r="Q627" s="392"/>
      <c r="R627" s="392"/>
      <c r="T627" s="417"/>
      <c r="U627" s="46"/>
      <c r="V627" s="46"/>
      <c r="W627" s="392"/>
      <c r="X627" s="392"/>
      <c r="Y627" s="392"/>
    </row>
    <row r="628" spans="1:25" ht="13.5" customHeight="1">
      <c r="A628" s="411"/>
      <c r="B628" s="392"/>
      <c r="C628" s="404"/>
      <c r="D628" s="402"/>
      <c r="E628" s="426"/>
      <c r="F628" s="427"/>
      <c r="G628" s="427"/>
      <c r="H628" s="427"/>
      <c r="I628" s="428"/>
      <c r="K628" s="427"/>
      <c r="L628" s="428"/>
      <c r="M628" s="428"/>
      <c r="Q628" s="392"/>
      <c r="R628" s="392"/>
      <c r="T628" s="417"/>
      <c r="U628" s="46"/>
      <c r="V628" s="46"/>
      <c r="W628" s="392"/>
      <c r="X628" s="392"/>
      <c r="Y628" s="392"/>
    </row>
    <row r="629" spans="1:25" ht="13.5" customHeight="1">
      <c r="A629" s="411"/>
      <c r="B629" s="392"/>
      <c r="C629" s="404"/>
      <c r="D629" s="402"/>
      <c r="E629" s="426"/>
      <c r="F629" s="427"/>
      <c r="G629" s="427"/>
      <c r="H629" s="427"/>
      <c r="I629" s="428"/>
      <c r="K629" s="427"/>
      <c r="L629" s="428"/>
      <c r="M629" s="428"/>
      <c r="Q629" s="392"/>
      <c r="R629" s="392"/>
      <c r="T629" s="417"/>
      <c r="U629" s="46"/>
      <c r="V629" s="46"/>
      <c r="W629" s="392"/>
      <c r="X629" s="392"/>
      <c r="Y629" s="392"/>
    </row>
    <row r="630" spans="1:25" ht="13.5" customHeight="1">
      <c r="A630" s="411"/>
      <c r="B630" s="392"/>
      <c r="C630" s="404"/>
      <c r="D630" s="402"/>
      <c r="E630" s="426"/>
      <c r="F630" s="427"/>
      <c r="G630" s="427"/>
      <c r="H630" s="427"/>
      <c r="I630" s="428"/>
      <c r="K630" s="427"/>
      <c r="L630" s="428"/>
      <c r="M630" s="428"/>
      <c r="Q630" s="392"/>
      <c r="R630" s="392"/>
      <c r="T630" s="417"/>
      <c r="U630" s="46"/>
      <c r="V630" s="46"/>
      <c r="W630" s="392"/>
      <c r="X630" s="392"/>
      <c r="Y630" s="392"/>
    </row>
    <row r="631" spans="1:25" ht="13.5" customHeight="1">
      <c r="A631" s="411"/>
      <c r="B631" s="392"/>
      <c r="C631" s="404"/>
      <c r="D631" s="402"/>
      <c r="E631" s="426"/>
      <c r="F631" s="427"/>
      <c r="G631" s="427"/>
      <c r="H631" s="427"/>
      <c r="I631" s="428"/>
      <c r="K631" s="427"/>
      <c r="L631" s="428"/>
      <c r="M631" s="428"/>
      <c r="Q631" s="392"/>
      <c r="R631" s="392"/>
      <c r="T631" s="417"/>
      <c r="U631" s="46"/>
      <c r="V631" s="46"/>
      <c r="W631" s="392"/>
      <c r="X631" s="392"/>
      <c r="Y631" s="392"/>
    </row>
    <row r="632" spans="1:25" ht="13.5" customHeight="1">
      <c r="A632" s="411"/>
      <c r="B632" s="392"/>
      <c r="C632" s="404"/>
      <c r="D632" s="402"/>
      <c r="E632" s="426"/>
      <c r="F632" s="427"/>
      <c r="G632" s="427"/>
      <c r="H632" s="427"/>
      <c r="I632" s="428"/>
      <c r="K632" s="427"/>
      <c r="L632" s="428"/>
      <c r="M632" s="428"/>
      <c r="Q632" s="392"/>
      <c r="R632" s="392"/>
      <c r="T632" s="417"/>
      <c r="U632" s="46"/>
      <c r="V632" s="46"/>
      <c r="W632" s="392"/>
      <c r="X632" s="392"/>
      <c r="Y632" s="392"/>
    </row>
    <row r="633" spans="1:25" ht="13.5" customHeight="1">
      <c r="A633" s="411"/>
      <c r="B633" s="392"/>
      <c r="C633" s="404"/>
      <c r="D633" s="402"/>
      <c r="E633" s="426"/>
      <c r="F633" s="427"/>
      <c r="G633" s="427"/>
      <c r="H633" s="427"/>
      <c r="I633" s="428"/>
      <c r="K633" s="427"/>
      <c r="L633" s="428"/>
      <c r="M633" s="428"/>
      <c r="Q633" s="392"/>
      <c r="R633" s="392"/>
      <c r="T633" s="417"/>
      <c r="U633" s="46"/>
      <c r="V633" s="46"/>
      <c r="W633" s="392"/>
      <c r="X633" s="392"/>
      <c r="Y633" s="392"/>
    </row>
    <row r="634" spans="1:25" ht="13.5" customHeight="1">
      <c r="A634" s="411"/>
      <c r="B634" s="392"/>
      <c r="C634" s="404"/>
      <c r="D634" s="402"/>
      <c r="E634" s="426"/>
      <c r="F634" s="427"/>
      <c r="G634" s="427"/>
      <c r="H634" s="427"/>
      <c r="I634" s="428"/>
      <c r="K634" s="427"/>
      <c r="L634" s="428"/>
      <c r="M634" s="428"/>
      <c r="Q634" s="392"/>
      <c r="R634" s="392"/>
      <c r="T634" s="417"/>
      <c r="U634" s="46"/>
      <c r="V634" s="46"/>
      <c r="W634" s="392"/>
      <c r="X634" s="392"/>
      <c r="Y634" s="392"/>
    </row>
    <row r="635" spans="1:25" ht="13.5" customHeight="1">
      <c r="A635" s="411"/>
      <c r="B635" s="392"/>
      <c r="C635" s="404"/>
      <c r="D635" s="402"/>
      <c r="E635" s="426"/>
      <c r="F635" s="427"/>
      <c r="G635" s="427"/>
      <c r="H635" s="427"/>
      <c r="I635" s="428"/>
      <c r="K635" s="427"/>
      <c r="L635" s="428"/>
      <c r="M635" s="428"/>
      <c r="Q635" s="392"/>
      <c r="R635" s="392"/>
      <c r="T635" s="417"/>
      <c r="U635" s="46"/>
      <c r="V635" s="46"/>
      <c r="W635" s="392"/>
      <c r="X635" s="392"/>
      <c r="Y635" s="392"/>
    </row>
    <row r="636" spans="1:25" ht="13.5" customHeight="1">
      <c r="A636" s="411"/>
      <c r="B636" s="392"/>
      <c r="C636" s="404"/>
      <c r="D636" s="402"/>
      <c r="E636" s="426"/>
      <c r="F636" s="427"/>
      <c r="G636" s="427"/>
      <c r="H636" s="427"/>
      <c r="I636" s="428"/>
      <c r="K636" s="427"/>
      <c r="L636" s="428"/>
      <c r="M636" s="428"/>
      <c r="Q636" s="392"/>
      <c r="R636" s="392"/>
      <c r="T636" s="417"/>
      <c r="U636" s="46"/>
      <c r="V636" s="46"/>
      <c r="W636" s="392"/>
      <c r="X636" s="392"/>
      <c r="Y636" s="392"/>
    </row>
    <row r="637" spans="1:25" ht="13.5" customHeight="1">
      <c r="A637" s="411"/>
      <c r="B637" s="392"/>
      <c r="C637" s="404"/>
      <c r="D637" s="402"/>
      <c r="E637" s="426"/>
      <c r="F637" s="427"/>
      <c r="G637" s="427"/>
      <c r="H637" s="427"/>
      <c r="I637" s="428"/>
      <c r="K637" s="427"/>
      <c r="L637" s="428"/>
      <c r="M637" s="428"/>
      <c r="Q637" s="392"/>
      <c r="R637" s="392"/>
      <c r="T637" s="417"/>
      <c r="U637" s="46"/>
      <c r="V637" s="46"/>
      <c r="W637" s="392"/>
      <c r="X637" s="392"/>
      <c r="Y637" s="392"/>
    </row>
    <row r="638" spans="1:25" ht="13.5" customHeight="1">
      <c r="A638" s="411"/>
      <c r="B638" s="392"/>
      <c r="C638" s="404"/>
      <c r="D638" s="402"/>
      <c r="E638" s="426"/>
      <c r="F638" s="427"/>
      <c r="G638" s="427"/>
      <c r="H638" s="427"/>
      <c r="I638" s="428"/>
      <c r="K638" s="427"/>
      <c r="L638" s="428"/>
      <c r="M638" s="428"/>
      <c r="Q638" s="392"/>
      <c r="R638" s="392"/>
      <c r="T638" s="417"/>
      <c r="U638" s="46"/>
      <c r="V638" s="46"/>
      <c r="W638" s="392"/>
      <c r="X638" s="392"/>
      <c r="Y638" s="392"/>
    </row>
    <row r="639" spans="1:25" ht="13.5" customHeight="1">
      <c r="A639" s="411"/>
      <c r="B639" s="392"/>
      <c r="C639" s="404"/>
      <c r="D639" s="402"/>
      <c r="E639" s="426"/>
      <c r="F639" s="427"/>
      <c r="G639" s="427"/>
      <c r="H639" s="427"/>
      <c r="I639" s="428"/>
      <c r="K639" s="427"/>
      <c r="L639" s="428"/>
      <c r="M639" s="428"/>
      <c r="Q639" s="392"/>
      <c r="R639" s="392"/>
      <c r="T639" s="417"/>
      <c r="U639" s="46"/>
      <c r="V639" s="46"/>
      <c r="W639" s="392"/>
      <c r="X639" s="392"/>
      <c r="Y639" s="392"/>
    </row>
    <row r="640" spans="1:25" ht="13.5" customHeight="1">
      <c r="A640" s="411"/>
      <c r="B640" s="392"/>
      <c r="C640" s="404"/>
      <c r="D640" s="402"/>
      <c r="E640" s="426"/>
      <c r="F640" s="427"/>
      <c r="G640" s="427"/>
      <c r="H640" s="427"/>
      <c r="I640" s="428"/>
      <c r="K640" s="427"/>
      <c r="L640" s="428"/>
      <c r="M640" s="428"/>
      <c r="Q640" s="392"/>
      <c r="R640" s="392"/>
      <c r="T640" s="417"/>
      <c r="U640" s="46"/>
      <c r="V640" s="46"/>
      <c r="W640" s="392"/>
      <c r="X640" s="392"/>
      <c r="Y640" s="392"/>
    </row>
    <row r="641" spans="1:25" ht="13.5" customHeight="1">
      <c r="A641" s="411"/>
      <c r="B641" s="392"/>
      <c r="C641" s="404"/>
      <c r="D641" s="402"/>
      <c r="E641" s="426"/>
      <c r="F641" s="427"/>
      <c r="G641" s="427"/>
      <c r="H641" s="427"/>
      <c r="I641" s="428"/>
      <c r="K641" s="427"/>
      <c r="L641" s="428"/>
      <c r="M641" s="428"/>
      <c r="Q641" s="392"/>
      <c r="R641" s="392"/>
      <c r="T641" s="417"/>
      <c r="U641" s="46"/>
      <c r="V641" s="46"/>
      <c r="W641" s="392"/>
      <c r="X641" s="392"/>
      <c r="Y641" s="392"/>
    </row>
    <row r="642" spans="1:25" ht="13.5" customHeight="1">
      <c r="A642" s="411"/>
      <c r="B642" s="392"/>
      <c r="C642" s="404"/>
      <c r="D642" s="402"/>
      <c r="E642" s="426"/>
      <c r="F642" s="427"/>
      <c r="G642" s="427"/>
      <c r="H642" s="427"/>
      <c r="I642" s="428"/>
      <c r="K642" s="427"/>
      <c r="L642" s="428"/>
      <c r="M642" s="428"/>
      <c r="Q642" s="392"/>
      <c r="R642" s="392"/>
      <c r="T642" s="417"/>
      <c r="U642" s="46"/>
      <c r="V642" s="46"/>
      <c r="W642" s="392"/>
      <c r="X642" s="392"/>
      <c r="Y642" s="392"/>
    </row>
    <row r="643" spans="1:25" ht="13.5" customHeight="1">
      <c r="A643" s="411"/>
      <c r="B643" s="392"/>
      <c r="C643" s="404"/>
      <c r="D643" s="402"/>
      <c r="E643" s="426"/>
      <c r="F643" s="427"/>
      <c r="G643" s="427"/>
      <c r="H643" s="427"/>
      <c r="I643" s="428"/>
      <c r="K643" s="427"/>
      <c r="L643" s="428"/>
      <c r="M643" s="428"/>
      <c r="Q643" s="392"/>
      <c r="R643" s="392"/>
      <c r="T643" s="417"/>
      <c r="U643" s="46"/>
      <c r="V643" s="46"/>
      <c r="W643" s="392"/>
      <c r="X643" s="392"/>
      <c r="Y643" s="392"/>
    </row>
    <row r="644" spans="1:25" ht="13.5" customHeight="1">
      <c r="A644" s="411"/>
      <c r="B644" s="392"/>
      <c r="C644" s="404"/>
      <c r="D644" s="402"/>
      <c r="E644" s="426"/>
      <c r="F644" s="427"/>
      <c r="G644" s="427"/>
      <c r="H644" s="427"/>
      <c r="I644" s="428"/>
      <c r="K644" s="427"/>
      <c r="L644" s="428"/>
      <c r="M644" s="428"/>
      <c r="Q644" s="392"/>
      <c r="R644" s="392"/>
      <c r="T644" s="417"/>
      <c r="U644" s="46"/>
      <c r="V644" s="46"/>
      <c r="W644" s="392"/>
      <c r="X644" s="392"/>
      <c r="Y644" s="392"/>
    </row>
    <row r="645" spans="1:25" ht="13.5" customHeight="1">
      <c r="A645" s="411"/>
      <c r="B645" s="392"/>
      <c r="C645" s="404"/>
      <c r="D645" s="402"/>
      <c r="E645" s="426"/>
      <c r="F645" s="427"/>
      <c r="G645" s="427"/>
      <c r="H645" s="427"/>
      <c r="I645" s="428"/>
      <c r="K645" s="427"/>
      <c r="L645" s="428"/>
      <c r="M645" s="428"/>
      <c r="Q645" s="392"/>
      <c r="R645" s="392"/>
      <c r="T645" s="417"/>
      <c r="U645" s="46"/>
      <c r="V645" s="46"/>
      <c r="W645" s="392"/>
      <c r="X645" s="392"/>
      <c r="Y645" s="392"/>
    </row>
    <row r="646" spans="1:25" ht="13.5" customHeight="1">
      <c r="A646" s="411"/>
      <c r="B646" s="392"/>
      <c r="C646" s="404"/>
      <c r="D646" s="402"/>
      <c r="E646" s="426"/>
      <c r="F646" s="427"/>
      <c r="G646" s="427"/>
      <c r="H646" s="427"/>
      <c r="I646" s="428"/>
      <c r="K646" s="427"/>
      <c r="L646" s="428"/>
      <c r="M646" s="428"/>
      <c r="Q646" s="392"/>
      <c r="R646" s="392"/>
      <c r="T646" s="417"/>
      <c r="U646" s="46"/>
      <c r="V646" s="46"/>
      <c r="W646" s="392"/>
      <c r="X646" s="392"/>
      <c r="Y646" s="392"/>
    </row>
    <row r="647" spans="1:25" ht="13.5" customHeight="1">
      <c r="A647" s="411"/>
      <c r="B647" s="392"/>
      <c r="C647" s="404"/>
      <c r="D647" s="402"/>
      <c r="E647" s="426"/>
      <c r="F647" s="427"/>
      <c r="G647" s="427"/>
      <c r="H647" s="427"/>
      <c r="I647" s="428"/>
      <c r="K647" s="427"/>
      <c r="L647" s="428"/>
      <c r="M647" s="428"/>
      <c r="Q647" s="392"/>
      <c r="R647" s="392"/>
      <c r="T647" s="417"/>
      <c r="U647" s="46"/>
      <c r="V647" s="46"/>
      <c r="W647" s="392"/>
      <c r="X647" s="392"/>
      <c r="Y647" s="392"/>
    </row>
    <row r="648" spans="1:25" ht="13.5" customHeight="1">
      <c r="A648" s="411"/>
      <c r="B648" s="392"/>
      <c r="C648" s="404"/>
      <c r="D648" s="402"/>
      <c r="E648" s="426"/>
      <c r="F648" s="427"/>
      <c r="G648" s="427"/>
      <c r="H648" s="427"/>
      <c r="I648" s="428"/>
      <c r="K648" s="427"/>
      <c r="L648" s="428"/>
      <c r="M648" s="428"/>
      <c r="Q648" s="392"/>
      <c r="R648" s="392"/>
      <c r="T648" s="417"/>
      <c r="U648" s="46"/>
      <c r="V648" s="46"/>
      <c r="W648" s="392"/>
      <c r="X648" s="392"/>
      <c r="Y648" s="392"/>
    </row>
    <row r="649" spans="1:25" ht="13.5" customHeight="1">
      <c r="A649" s="411"/>
      <c r="B649" s="392"/>
      <c r="C649" s="404"/>
      <c r="D649" s="402"/>
      <c r="E649" s="426"/>
      <c r="F649" s="427"/>
      <c r="G649" s="427"/>
      <c r="H649" s="427"/>
      <c r="I649" s="428"/>
      <c r="K649" s="427"/>
      <c r="L649" s="428"/>
      <c r="M649" s="428"/>
      <c r="Q649" s="392"/>
      <c r="R649" s="392"/>
      <c r="T649" s="417"/>
      <c r="U649" s="46"/>
      <c r="V649" s="46"/>
      <c r="W649" s="392"/>
      <c r="X649" s="392"/>
      <c r="Y649" s="392"/>
    </row>
    <row r="650" spans="1:25" ht="13.5" customHeight="1">
      <c r="A650" s="411"/>
      <c r="B650" s="392"/>
      <c r="C650" s="404"/>
      <c r="D650" s="402"/>
      <c r="E650" s="426"/>
      <c r="F650" s="427"/>
      <c r="G650" s="427"/>
      <c r="H650" s="427"/>
      <c r="I650" s="428"/>
      <c r="K650" s="427"/>
      <c r="L650" s="428"/>
      <c r="M650" s="428"/>
      <c r="Q650" s="392"/>
      <c r="R650" s="392"/>
      <c r="T650" s="417"/>
      <c r="U650" s="46"/>
      <c r="V650" s="46"/>
      <c r="W650" s="392"/>
      <c r="Y650" s="392"/>
    </row>
    <row r="651" spans="1:25" ht="13.5" customHeight="1">
      <c r="A651" s="411"/>
      <c r="B651" s="392"/>
      <c r="C651" s="404"/>
      <c r="D651" s="402"/>
      <c r="E651" s="426"/>
      <c r="F651" s="427"/>
      <c r="G651" s="427"/>
      <c r="H651" s="427"/>
      <c r="I651" s="428"/>
      <c r="K651" s="427"/>
      <c r="L651" s="428"/>
      <c r="M651" s="428"/>
      <c r="Q651" s="392"/>
      <c r="R651" s="392"/>
      <c r="T651" s="417"/>
      <c r="U651" s="46"/>
      <c r="V651" s="46"/>
      <c r="W651" s="392"/>
    </row>
    <row r="652" spans="1:25" ht="13.5" customHeight="1">
      <c r="A652" s="411"/>
      <c r="B652" s="392"/>
      <c r="C652" s="404"/>
      <c r="D652" s="402"/>
      <c r="E652" s="426"/>
      <c r="F652" s="427"/>
      <c r="G652" s="427"/>
      <c r="H652" s="427"/>
      <c r="I652" s="428"/>
      <c r="K652" s="427"/>
      <c r="L652" s="428"/>
      <c r="M652" s="428"/>
      <c r="Q652" s="392"/>
      <c r="R652" s="392"/>
      <c r="T652" s="417"/>
      <c r="U652" s="46"/>
      <c r="V652" s="46"/>
    </row>
    <row r="653" spans="1:25" ht="13.5" customHeight="1">
      <c r="A653" s="411"/>
      <c r="B653" s="392"/>
      <c r="C653" s="404"/>
      <c r="D653" s="402"/>
      <c r="E653" s="426"/>
      <c r="F653" s="427"/>
      <c r="G653" s="427"/>
      <c r="H653" s="427"/>
      <c r="I653" s="428"/>
      <c r="K653" s="427"/>
      <c r="L653" s="428"/>
      <c r="M653" s="428"/>
      <c r="Q653" s="392"/>
      <c r="R653" s="392"/>
      <c r="T653" s="417"/>
      <c r="U653" s="46"/>
      <c r="V653" s="46"/>
    </row>
    <row r="654" spans="1:25" ht="13.5" customHeight="1">
      <c r="A654" s="411"/>
      <c r="B654" s="392"/>
      <c r="C654" s="404"/>
      <c r="D654" s="402"/>
      <c r="E654" s="426"/>
      <c r="F654" s="427"/>
      <c r="G654" s="427"/>
      <c r="H654" s="427"/>
      <c r="I654" s="428"/>
      <c r="K654" s="427"/>
      <c r="L654" s="428"/>
      <c r="M654" s="428"/>
      <c r="Q654" s="392"/>
      <c r="R654" s="392"/>
      <c r="T654" s="417"/>
      <c r="U654" s="46"/>
      <c r="V654" s="46"/>
    </row>
    <row r="655" spans="1:25" ht="13.5" customHeight="1">
      <c r="A655" s="411"/>
      <c r="B655" s="392"/>
      <c r="C655" s="404"/>
      <c r="D655" s="402"/>
      <c r="E655" s="426"/>
      <c r="F655" s="427"/>
      <c r="G655" s="427"/>
      <c r="H655" s="427"/>
      <c r="I655" s="428"/>
      <c r="K655" s="427"/>
      <c r="L655" s="428"/>
      <c r="M655" s="428"/>
      <c r="Q655" s="392"/>
      <c r="R655" s="392"/>
      <c r="T655" s="417"/>
      <c r="U655" s="46"/>
      <c r="V655" s="46"/>
    </row>
    <row r="656" spans="1:25" ht="13.5" customHeight="1">
      <c r="A656" s="411"/>
      <c r="B656" s="392"/>
      <c r="C656" s="404"/>
      <c r="D656" s="402"/>
      <c r="E656" s="426"/>
      <c r="F656" s="427"/>
      <c r="G656" s="427"/>
      <c r="H656" s="427"/>
      <c r="I656" s="428"/>
      <c r="K656" s="427"/>
      <c r="L656" s="428"/>
      <c r="M656" s="428"/>
      <c r="Q656" s="392"/>
      <c r="R656" s="392"/>
      <c r="T656" s="417"/>
      <c r="U656" s="46"/>
      <c r="V656" s="46"/>
    </row>
    <row r="657" spans="1:22" ht="13.5" customHeight="1">
      <c r="A657" s="411"/>
      <c r="B657" s="392"/>
      <c r="C657" s="404"/>
      <c r="D657" s="402"/>
      <c r="E657" s="426"/>
      <c r="F657" s="427"/>
      <c r="G657" s="427"/>
      <c r="H657" s="427"/>
      <c r="I657" s="428"/>
      <c r="K657" s="427"/>
      <c r="L657" s="428"/>
      <c r="M657" s="428"/>
      <c r="Q657" s="392"/>
      <c r="R657" s="392"/>
      <c r="T657" s="417"/>
      <c r="U657" s="46"/>
      <c r="V657" s="46"/>
    </row>
    <row r="658" spans="1:22" ht="13.5" customHeight="1">
      <c r="A658" s="411"/>
      <c r="B658" s="392"/>
      <c r="C658" s="404"/>
      <c r="D658" s="402"/>
      <c r="E658" s="426"/>
      <c r="F658" s="427"/>
      <c r="G658" s="427"/>
      <c r="H658" s="427"/>
      <c r="I658" s="428"/>
      <c r="K658" s="427"/>
      <c r="L658" s="428"/>
      <c r="M658" s="428"/>
      <c r="Q658" s="392"/>
      <c r="R658" s="392"/>
      <c r="T658" s="417"/>
      <c r="U658" s="46"/>
      <c r="V658" s="46"/>
    </row>
    <row r="659" spans="1:22" ht="13.5" customHeight="1">
      <c r="A659" s="411"/>
      <c r="B659" s="392"/>
      <c r="C659" s="404"/>
      <c r="D659" s="402"/>
      <c r="E659" s="426"/>
      <c r="F659" s="427"/>
      <c r="G659" s="427"/>
      <c r="H659" s="427"/>
      <c r="I659" s="428"/>
      <c r="K659" s="427"/>
      <c r="L659" s="428"/>
      <c r="M659" s="428"/>
      <c r="Q659" s="392"/>
      <c r="R659" s="392"/>
      <c r="T659" s="417"/>
      <c r="U659" s="46"/>
      <c r="V659" s="46"/>
    </row>
    <row r="660" spans="1:22" ht="13.5" customHeight="1">
      <c r="A660" s="411"/>
      <c r="B660" s="392"/>
      <c r="C660" s="404"/>
      <c r="D660" s="402"/>
      <c r="E660" s="426"/>
      <c r="F660" s="427"/>
      <c r="G660" s="427"/>
      <c r="H660" s="427"/>
      <c r="I660" s="428"/>
      <c r="K660" s="427"/>
      <c r="L660" s="428"/>
      <c r="M660" s="428"/>
      <c r="Q660" s="392"/>
      <c r="R660" s="392"/>
      <c r="T660" s="417"/>
      <c r="U660" s="46"/>
      <c r="V660" s="46"/>
    </row>
    <row r="661" spans="1:22" ht="13.5" customHeight="1">
      <c r="A661" s="411"/>
      <c r="B661" s="392"/>
      <c r="C661" s="404"/>
      <c r="D661" s="402"/>
      <c r="E661" s="426"/>
      <c r="F661" s="427"/>
      <c r="G661" s="427"/>
      <c r="H661" s="427"/>
      <c r="I661" s="428"/>
      <c r="K661" s="427"/>
      <c r="L661" s="428"/>
      <c r="M661" s="428"/>
      <c r="Q661" s="392"/>
      <c r="R661" s="392"/>
      <c r="T661" s="417"/>
      <c r="U661" s="46"/>
      <c r="V661" s="46"/>
    </row>
    <row r="662" spans="1:22" ht="13.5" customHeight="1">
      <c r="A662" s="411"/>
      <c r="B662" s="392"/>
      <c r="C662" s="404"/>
      <c r="D662" s="402"/>
      <c r="E662" s="426"/>
      <c r="F662" s="427"/>
      <c r="G662" s="427"/>
      <c r="H662" s="427"/>
      <c r="I662" s="428"/>
      <c r="K662" s="427"/>
      <c r="L662" s="428"/>
      <c r="M662" s="428"/>
      <c r="Q662" s="392"/>
      <c r="R662" s="392"/>
      <c r="T662" s="417"/>
      <c r="U662" s="46"/>
      <c r="V662" s="46"/>
    </row>
    <row r="663" spans="1:22" ht="13.5" customHeight="1">
      <c r="A663" s="411"/>
      <c r="B663" s="392"/>
      <c r="C663" s="404"/>
      <c r="D663" s="402"/>
      <c r="E663" s="426"/>
      <c r="F663" s="427"/>
      <c r="G663" s="427"/>
      <c r="H663" s="427"/>
      <c r="I663" s="428"/>
      <c r="K663" s="427"/>
      <c r="L663" s="428"/>
      <c r="M663" s="428"/>
      <c r="Q663" s="392"/>
      <c r="R663" s="392"/>
      <c r="T663" s="417"/>
      <c r="U663" s="46"/>
      <c r="V663" s="46"/>
    </row>
    <row r="664" spans="1:22" ht="13.5" customHeight="1">
      <c r="A664" s="411"/>
      <c r="B664" s="392"/>
      <c r="C664" s="404"/>
      <c r="D664" s="402"/>
      <c r="E664" s="426"/>
      <c r="F664" s="427"/>
      <c r="G664" s="427"/>
      <c r="H664" s="427"/>
      <c r="I664" s="428"/>
      <c r="K664" s="427"/>
      <c r="L664" s="428"/>
      <c r="M664" s="428"/>
      <c r="Q664" s="392"/>
      <c r="R664" s="392"/>
      <c r="T664" s="417"/>
      <c r="U664" s="46"/>
      <c r="V664" s="46"/>
    </row>
    <row r="665" spans="1:22" ht="13.5" customHeight="1">
      <c r="A665" s="411"/>
      <c r="B665" s="392"/>
      <c r="C665" s="404"/>
      <c r="D665" s="402"/>
      <c r="E665" s="426"/>
      <c r="F665" s="427"/>
      <c r="G665" s="427"/>
      <c r="H665" s="427"/>
      <c r="I665" s="428"/>
      <c r="K665" s="427"/>
      <c r="L665" s="428"/>
      <c r="M665" s="428"/>
      <c r="Q665" s="392"/>
      <c r="R665" s="392"/>
      <c r="T665" s="417"/>
      <c r="U665" s="46"/>
      <c r="V665" s="46"/>
    </row>
    <row r="666" spans="1:22" ht="13.5" customHeight="1">
      <c r="A666" s="411"/>
      <c r="B666" s="392"/>
      <c r="C666" s="404"/>
      <c r="D666" s="402"/>
      <c r="E666" s="426"/>
      <c r="F666" s="427"/>
      <c r="G666" s="427"/>
      <c r="H666" s="427"/>
      <c r="I666" s="428"/>
      <c r="K666" s="427"/>
      <c r="L666" s="428"/>
      <c r="M666" s="428"/>
      <c r="Q666" s="392"/>
      <c r="R666" s="392"/>
      <c r="T666" s="417"/>
      <c r="U666" s="46"/>
      <c r="V666" s="46"/>
    </row>
    <row r="667" spans="1:22" ht="13.5" customHeight="1">
      <c r="A667" s="411"/>
      <c r="B667" s="392"/>
      <c r="C667" s="404"/>
      <c r="D667" s="402"/>
      <c r="E667" s="426"/>
      <c r="F667" s="427"/>
      <c r="G667" s="427"/>
      <c r="H667" s="427"/>
      <c r="I667" s="428"/>
      <c r="K667" s="427"/>
      <c r="L667" s="428"/>
      <c r="M667" s="428"/>
      <c r="Q667" s="392"/>
      <c r="R667" s="392"/>
      <c r="T667" s="417"/>
      <c r="U667" s="46"/>
      <c r="V667" s="46"/>
    </row>
    <row r="668" spans="1:22" ht="13.5" customHeight="1">
      <c r="A668" s="411"/>
      <c r="B668" s="392"/>
      <c r="C668" s="404"/>
      <c r="D668" s="402"/>
      <c r="E668" s="426"/>
      <c r="F668" s="427"/>
      <c r="G668" s="427"/>
      <c r="H668" s="427"/>
      <c r="I668" s="428"/>
      <c r="K668" s="427"/>
      <c r="L668" s="428"/>
      <c r="M668" s="428"/>
      <c r="Q668" s="392"/>
      <c r="R668" s="392"/>
      <c r="T668" s="417"/>
      <c r="U668" s="46"/>
      <c r="V668" s="46"/>
    </row>
    <row r="669" spans="1:22" ht="13.5" customHeight="1">
      <c r="A669" s="411"/>
      <c r="B669" s="392"/>
      <c r="C669" s="404"/>
      <c r="D669" s="402"/>
      <c r="E669" s="426"/>
      <c r="F669" s="427"/>
      <c r="G669" s="427"/>
      <c r="H669" s="427"/>
      <c r="I669" s="428"/>
      <c r="K669" s="427"/>
      <c r="L669" s="428"/>
      <c r="M669" s="428"/>
      <c r="Q669" s="392"/>
      <c r="R669" s="392"/>
      <c r="T669" s="417"/>
      <c r="U669" s="46"/>
      <c r="V669" s="46"/>
    </row>
    <row r="670" spans="1:22" ht="13.5" customHeight="1">
      <c r="A670" s="411"/>
      <c r="B670" s="392"/>
      <c r="C670" s="404"/>
      <c r="D670" s="402"/>
      <c r="E670" s="426"/>
      <c r="F670" s="427"/>
      <c r="G670" s="427"/>
      <c r="H670" s="427"/>
      <c r="I670" s="428"/>
      <c r="K670" s="427"/>
      <c r="L670" s="428"/>
      <c r="M670" s="428"/>
      <c r="Q670" s="392"/>
      <c r="R670" s="392"/>
      <c r="T670" s="417"/>
      <c r="U670" s="46"/>
      <c r="V670" s="46"/>
    </row>
    <row r="671" spans="1:22" ht="13.5" customHeight="1">
      <c r="A671" s="411"/>
      <c r="B671" s="392"/>
      <c r="C671" s="404"/>
      <c r="D671" s="402"/>
      <c r="E671" s="426"/>
      <c r="F671" s="427"/>
      <c r="G671" s="427"/>
      <c r="H671" s="427"/>
      <c r="I671" s="428"/>
      <c r="K671" s="427"/>
      <c r="L671" s="428"/>
      <c r="M671" s="428"/>
      <c r="Q671" s="392"/>
      <c r="R671" s="392"/>
      <c r="T671" s="417"/>
      <c r="U671" s="46"/>
      <c r="V671" s="46"/>
    </row>
    <row r="672" spans="1:22" ht="13.5" customHeight="1">
      <c r="A672" s="411"/>
      <c r="B672" s="392"/>
      <c r="C672" s="404"/>
      <c r="D672" s="402"/>
      <c r="E672" s="426"/>
      <c r="F672" s="427"/>
      <c r="G672" s="427"/>
      <c r="H672" s="427"/>
      <c r="I672" s="428"/>
      <c r="K672" s="427"/>
      <c r="L672" s="428"/>
      <c r="M672" s="428"/>
      <c r="Q672" s="392"/>
      <c r="R672" s="392"/>
      <c r="T672" s="417"/>
      <c r="U672" s="46"/>
      <c r="V672" s="46"/>
    </row>
    <row r="673" spans="1:22" ht="13.5" customHeight="1">
      <c r="A673" s="411"/>
      <c r="B673" s="392"/>
      <c r="C673" s="404"/>
      <c r="D673" s="402"/>
      <c r="E673" s="426"/>
      <c r="F673" s="427"/>
      <c r="G673" s="427"/>
      <c r="H673" s="427"/>
      <c r="I673" s="428"/>
      <c r="K673" s="427"/>
      <c r="L673" s="428"/>
      <c r="M673" s="428"/>
      <c r="Q673" s="392"/>
      <c r="R673" s="392"/>
      <c r="T673" s="417"/>
      <c r="U673" s="46"/>
      <c r="V673" s="46"/>
    </row>
    <row r="674" spans="1:22" ht="13.5" customHeight="1">
      <c r="A674" s="411"/>
      <c r="B674" s="392"/>
      <c r="C674" s="404"/>
      <c r="D674" s="402"/>
      <c r="E674" s="426"/>
      <c r="F674" s="427"/>
      <c r="G674" s="427"/>
      <c r="H674" s="427"/>
      <c r="I674" s="428"/>
      <c r="K674" s="427"/>
      <c r="L674" s="428"/>
      <c r="M674" s="428"/>
      <c r="Q674" s="392"/>
      <c r="R674" s="392"/>
      <c r="T674" s="417"/>
      <c r="U674" s="46"/>
      <c r="V674" s="46"/>
    </row>
    <row r="675" spans="1:22" ht="13.5" customHeight="1">
      <c r="A675" s="411"/>
      <c r="B675" s="392"/>
      <c r="C675" s="404"/>
      <c r="D675" s="402"/>
      <c r="E675" s="426"/>
      <c r="F675" s="427"/>
      <c r="G675" s="427"/>
      <c r="H675" s="427"/>
      <c r="I675" s="428"/>
      <c r="K675" s="427"/>
      <c r="L675" s="428"/>
      <c r="M675" s="428"/>
      <c r="Q675" s="392"/>
      <c r="R675" s="392"/>
      <c r="T675" s="417"/>
      <c r="U675" s="46"/>
      <c r="V675" s="46"/>
    </row>
    <row r="676" spans="1:22" ht="13.5" customHeight="1">
      <c r="A676" s="411"/>
      <c r="B676" s="392"/>
      <c r="C676" s="404"/>
      <c r="D676" s="402"/>
      <c r="E676" s="426"/>
      <c r="F676" s="427"/>
      <c r="G676" s="427"/>
      <c r="H676" s="427"/>
      <c r="I676" s="428"/>
      <c r="K676" s="427"/>
      <c r="L676" s="428"/>
      <c r="M676" s="428"/>
      <c r="Q676" s="392"/>
      <c r="R676" s="392"/>
      <c r="T676" s="417"/>
      <c r="U676" s="46"/>
      <c r="V676" s="46"/>
    </row>
    <row r="677" spans="1:22" ht="13.5" customHeight="1">
      <c r="A677" s="411"/>
      <c r="B677" s="392"/>
      <c r="C677" s="404"/>
      <c r="D677" s="402"/>
      <c r="E677" s="426"/>
      <c r="F677" s="427"/>
      <c r="G677" s="427"/>
      <c r="H677" s="427"/>
      <c r="I677" s="428"/>
      <c r="K677" s="427"/>
      <c r="L677" s="428"/>
      <c r="M677" s="428"/>
      <c r="Q677" s="392"/>
      <c r="R677" s="392"/>
      <c r="T677" s="417"/>
      <c r="U677" s="46"/>
      <c r="V677" s="46"/>
    </row>
    <row r="678" spans="1:22" ht="13.5" customHeight="1">
      <c r="A678" s="411"/>
      <c r="B678" s="392"/>
      <c r="C678" s="404"/>
      <c r="D678" s="402"/>
      <c r="E678" s="426"/>
      <c r="F678" s="427"/>
      <c r="G678" s="427"/>
      <c r="H678" s="427"/>
      <c r="I678" s="428"/>
      <c r="K678" s="427"/>
      <c r="L678" s="428"/>
      <c r="M678" s="428"/>
      <c r="Q678" s="392"/>
      <c r="R678" s="392"/>
      <c r="T678" s="417"/>
      <c r="U678" s="46"/>
      <c r="V678" s="46"/>
    </row>
    <row r="679" spans="1:22" ht="13.5" customHeight="1">
      <c r="A679" s="411"/>
      <c r="B679" s="392"/>
      <c r="C679" s="404"/>
      <c r="D679" s="402"/>
      <c r="E679" s="426"/>
      <c r="F679" s="427"/>
      <c r="G679" s="427"/>
      <c r="H679" s="427"/>
      <c r="I679" s="428"/>
      <c r="K679" s="427"/>
      <c r="L679" s="428"/>
      <c r="M679" s="428"/>
      <c r="Q679" s="392"/>
      <c r="R679" s="392"/>
      <c r="T679" s="417"/>
      <c r="U679" s="46"/>
      <c r="V679" s="46"/>
    </row>
    <row r="680" spans="1:22" ht="13.5" customHeight="1">
      <c r="A680" s="411"/>
      <c r="B680" s="392"/>
      <c r="C680" s="404"/>
      <c r="D680" s="402"/>
      <c r="E680" s="426"/>
      <c r="F680" s="427"/>
      <c r="G680" s="427"/>
      <c r="H680" s="427"/>
      <c r="I680" s="428"/>
      <c r="K680" s="427"/>
      <c r="L680" s="428"/>
      <c r="M680" s="428"/>
      <c r="Q680" s="392"/>
      <c r="R680" s="392"/>
      <c r="T680" s="417"/>
      <c r="U680" s="46"/>
      <c r="V680" s="46"/>
    </row>
    <row r="681" spans="1:22" ht="13.5" customHeight="1">
      <c r="A681" s="411"/>
      <c r="B681" s="392"/>
      <c r="C681" s="404"/>
      <c r="D681" s="402"/>
      <c r="E681" s="426"/>
      <c r="F681" s="427"/>
      <c r="G681" s="427"/>
      <c r="H681" s="427"/>
      <c r="I681" s="428"/>
      <c r="K681" s="427"/>
      <c r="L681" s="428"/>
      <c r="M681" s="428"/>
      <c r="Q681" s="392"/>
      <c r="R681" s="392"/>
      <c r="T681" s="417"/>
      <c r="U681" s="46"/>
      <c r="V681" s="46"/>
    </row>
    <row r="682" spans="1:22" ht="13.5" customHeight="1">
      <c r="A682" s="411"/>
      <c r="B682" s="392"/>
      <c r="C682" s="404"/>
      <c r="D682" s="402"/>
      <c r="E682" s="426"/>
      <c r="F682" s="427"/>
      <c r="G682" s="427"/>
      <c r="H682" s="427"/>
      <c r="I682" s="428"/>
      <c r="K682" s="427"/>
      <c r="L682" s="428"/>
      <c r="M682" s="428"/>
      <c r="Q682" s="392"/>
      <c r="R682" s="392"/>
      <c r="T682" s="417"/>
      <c r="U682" s="46"/>
      <c r="V682" s="46"/>
    </row>
    <row r="683" spans="1:22" ht="13.5" customHeight="1">
      <c r="A683" s="411"/>
      <c r="B683" s="392"/>
      <c r="C683" s="404"/>
      <c r="D683" s="402"/>
      <c r="E683" s="426"/>
      <c r="F683" s="427"/>
      <c r="G683" s="427"/>
      <c r="H683" s="427"/>
      <c r="I683" s="428"/>
      <c r="K683" s="427"/>
      <c r="L683" s="428"/>
      <c r="M683" s="428"/>
      <c r="Q683" s="392"/>
      <c r="R683" s="392"/>
      <c r="T683" s="417"/>
      <c r="U683" s="46"/>
      <c r="V683" s="46"/>
    </row>
    <row r="684" spans="1:22" ht="13.5" customHeight="1">
      <c r="A684" s="411"/>
      <c r="B684" s="392"/>
      <c r="C684" s="404"/>
      <c r="D684" s="402"/>
      <c r="E684" s="426"/>
      <c r="F684" s="427"/>
      <c r="G684" s="427"/>
      <c r="H684" s="427"/>
      <c r="I684" s="428"/>
      <c r="K684" s="427"/>
      <c r="L684" s="428"/>
      <c r="M684" s="428"/>
      <c r="Q684" s="392"/>
      <c r="R684" s="392"/>
      <c r="T684" s="417"/>
      <c r="U684" s="46"/>
      <c r="V684" s="46"/>
    </row>
    <row r="685" spans="1:22" ht="13.5" customHeight="1">
      <c r="A685" s="411"/>
      <c r="B685" s="392"/>
      <c r="C685" s="404"/>
      <c r="D685" s="402"/>
      <c r="E685" s="426"/>
      <c r="F685" s="427"/>
      <c r="G685" s="427"/>
      <c r="H685" s="427"/>
      <c r="I685" s="428"/>
      <c r="K685" s="427"/>
      <c r="L685" s="428"/>
      <c r="M685" s="428"/>
      <c r="Q685" s="392"/>
      <c r="R685" s="392"/>
      <c r="T685" s="417"/>
      <c r="U685" s="46"/>
      <c r="V685" s="46"/>
    </row>
    <row r="686" spans="1:22" ht="13.5" customHeight="1">
      <c r="A686" s="411"/>
      <c r="B686" s="392"/>
      <c r="C686" s="404"/>
      <c r="D686" s="402"/>
      <c r="E686" s="426"/>
      <c r="F686" s="427"/>
      <c r="G686" s="427"/>
      <c r="H686" s="427"/>
      <c r="I686" s="428"/>
      <c r="K686" s="427"/>
      <c r="L686" s="428"/>
      <c r="M686" s="428"/>
      <c r="Q686" s="392"/>
      <c r="R686" s="392"/>
      <c r="T686" s="417"/>
      <c r="U686" s="46"/>
      <c r="V686" s="46"/>
    </row>
    <row r="687" spans="1:22" ht="13.5" customHeight="1">
      <c r="A687" s="411"/>
      <c r="B687" s="392"/>
      <c r="C687" s="404"/>
      <c r="D687" s="402"/>
      <c r="E687" s="426"/>
      <c r="F687" s="427"/>
      <c r="G687" s="427"/>
      <c r="H687" s="427"/>
      <c r="I687" s="428"/>
      <c r="K687" s="427"/>
      <c r="L687" s="428"/>
      <c r="M687" s="428"/>
      <c r="Q687" s="392"/>
      <c r="R687" s="392"/>
      <c r="T687" s="417"/>
      <c r="U687" s="46"/>
      <c r="V687" s="46"/>
    </row>
    <row r="688" spans="1:22" ht="13.5" customHeight="1">
      <c r="A688" s="411"/>
      <c r="B688" s="392"/>
      <c r="C688" s="404"/>
      <c r="D688" s="402"/>
      <c r="E688" s="426"/>
      <c r="F688" s="427"/>
      <c r="G688" s="427"/>
      <c r="H688" s="427"/>
      <c r="I688" s="428"/>
      <c r="K688" s="427"/>
      <c r="L688" s="428"/>
      <c r="M688" s="428"/>
      <c r="Q688" s="392"/>
      <c r="R688" s="392"/>
      <c r="T688" s="417"/>
      <c r="U688" s="46"/>
      <c r="V688" s="46"/>
    </row>
    <row r="689" spans="1:22" ht="13.5" customHeight="1">
      <c r="A689" s="411"/>
      <c r="B689" s="392"/>
      <c r="C689" s="404"/>
      <c r="D689" s="402"/>
      <c r="E689" s="426"/>
      <c r="F689" s="427"/>
      <c r="G689" s="427"/>
      <c r="H689" s="427"/>
      <c r="I689" s="428"/>
      <c r="K689" s="427"/>
      <c r="L689" s="428"/>
      <c r="M689" s="428"/>
      <c r="Q689" s="392"/>
      <c r="R689" s="392"/>
      <c r="T689" s="417"/>
      <c r="U689" s="46"/>
      <c r="V689" s="46"/>
    </row>
    <row r="690" spans="1:22" ht="13.5" customHeight="1">
      <c r="A690" s="411"/>
      <c r="B690" s="392"/>
      <c r="C690" s="404"/>
      <c r="D690" s="402"/>
      <c r="E690" s="426"/>
      <c r="F690" s="427"/>
      <c r="G690" s="427"/>
      <c r="H690" s="427"/>
      <c r="I690" s="428"/>
      <c r="K690" s="427"/>
      <c r="L690" s="428"/>
      <c r="M690" s="428"/>
      <c r="Q690" s="392"/>
      <c r="R690" s="392"/>
      <c r="T690" s="417"/>
      <c r="U690" s="46"/>
      <c r="V690" s="46"/>
    </row>
    <row r="691" spans="1:22" ht="13.5" customHeight="1">
      <c r="A691" s="411"/>
      <c r="B691" s="392"/>
      <c r="C691" s="404"/>
      <c r="D691" s="402"/>
      <c r="E691" s="426"/>
      <c r="F691" s="427"/>
      <c r="G691" s="427"/>
      <c r="H691" s="427"/>
      <c r="I691" s="428"/>
      <c r="K691" s="427"/>
      <c r="L691" s="428"/>
      <c r="M691" s="428"/>
      <c r="Q691" s="392"/>
      <c r="R691" s="392"/>
      <c r="T691" s="417"/>
      <c r="U691" s="46"/>
      <c r="V691" s="46"/>
    </row>
    <row r="692" spans="1:22" ht="13.5" customHeight="1">
      <c r="A692" s="411"/>
      <c r="B692" s="392"/>
      <c r="C692" s="404"/>
      <c r="D692" s="402"/>
      <c r="E692" s="426"/>
      <c r="F692" s="427"/>
      <c r="G692" s="427"/>
      <c r="H692" s="427"/>
      <c r="I692" s="428"/>
      <c r="K692" s="427"/>
      <c r="L692" s="428"/>
      <c r="M692" s="428"/>
      <c r="Q692" s="392"/>
      <c r="R692" s="392"/>
      <c r="T692" s="417"/>
      <c r="U692" s="46"/>
      <c r="V692" s="46"/>
    </row>
    <row r="693" spans="1:22" ht="13.5" customHeight="1">
      <c r="A693" s="411"/>
      <c r="B693" s="392"/>
      <c r="C693" s="404"/>
      <c r="D693" s="402"/>
      <c r="E693" s="426"/>
      <c r="F693" s="427"/>
      <c r="G693" s="427"/>
      <c r="H693" s="427"/>
      <c r="I693" s="428"/>
      <c r="K693" s="427"/>
      <c r="L693" s="428"/>
      <c r="M693" s="428"/>
      <c r="Q693" s="392"/>
      <c r="R693" s="392"/>
      <c r="T693" s="417"/>
      <c r="U693" s="46"/>
      <c r="V693" s="46"/>
    </row>
    <row r="694" spans="1:22" ht="13.5" customHeight="1">
      <c r="A694" s="411"/>
      <c r="B694" s="392"/>
      <c r="C694" s="404"/>
      <c r="D694" s="402"/>
      <c r="E694" s="426"/>
      <c r="F694" s="427"/>
      <c r="G694" s="427"/>
      <c r="H694" s="427"/>
      <c r="I694" s="428"/>
      <c r="K694" s="427"/>
      <c r="L694" s="428"/>
      <c r="M694" s="428"/>
      <c r="Q694" s="392"/>
      <c r="R694" s="392"/>
      <c r="T694" s="417"/>
      <c r="U694" s="46"/>
      <c r="V694" s="46"/>
    </row>
    <row r="695" spans="1:22" ht="13.5" customHeight="1">
      <c r="A695" s="411"/>
      <c r="B695" s="392"/>
      <c r="C695" s="404"/>
      <c r="D695" s="402"/>
      <c r="E695" s="426"/>
      <c r="F695" s="427"/>
      <c r="G695" s="427"/>
      <c r="H695" s="427"/>
      <c r="I695" s="428"/>
      <c r="K695" s="427"/>
      <c r="L695" s="428"/>
      <c r="M695" s="428"/>
      <c r="Q695" s="392"/>
      <c r="R695" s="392"/>
      <c r="T695" s="417"/>
      <c r="U695" s="46"/>
      <c r="V695" s="46"/>
    </row>
    <row r="696" spans="1:22" ht="13.5" customHeight="1">
      <c r="A696" s="411"/>
      <c r="B696" s="392"/>
      <c r="C696" s="404"/>
      <c r="D696" s="402"/>
      <c r="E696" s="426"/>
      <c r="F696" s="427"/>
      <c r="G696" s="427"/>
      <c r="H696" s="427"/>
      <c r="I696" s="428"/>
      <c r="K696" s="427"/>
      <c r="L696" s="428"/>
      <c r="M696" s="428"/>
      <c r="Q696" s="392"/>
      <c r="R696" s="392"/>
      <c r="T696" s="417"/>
      <c r="U696" s="46"/>
      <c r="V696" s="46"/>
    </row>
    <row r="697" spans="1:22" ht="13.5" customHeight="1">
      <c r="A697" s="411"/>
      <c r="B697" s="392"/>
      <c r="C697" s="404"/>
      <c r="D697" s="402"/>
      <c r="E697" s="426"/>
      <c r="F697" s="427"/>
      <c r="G697" s="427"/>
      <c r="H697" s="427"/>
      <c r="I697" s="428"/>
      <c r="K697" s="427"/>
      <c r="L697" s="428"/>
      <c r="M697" s="428"/>
      <c r="Q697" s="392"/>
      <c r="R697" s="392"/>
      <c r="T697" s="417"/>
      <c r="U697" s="46"/>
      <c r="V697" s="46"/>
    </row>
    <row r="698" spans="1:22" ht="13.5" customHeight="1">
      <c r="A698" s="411"/>
      <c r="B698" s="392"/>
      <c r="C698" s="404"/>
      <c r="D698" s="402"/>
      <c r="E698" s="426"/>
      <c r="F698" s="427"/>
      <c r="G698" s="427"/>
      <c r="H698" s="427"/>
      <c r="I698" s="428"/>
      <c r="K698" s="427"/>
      <c r="L698" s="428"/>
      <c r="M698" s="428"/>
      <c r="Q698" s="392"/>
      <c r="R698" s="392"/>
      <c r="T698" s="417"/>
      <c r="U698" s="46"/>
      <c r="V698" s="46"/>
    </row>
    <row r="699" spans="1:22" ht="13.5" customHeight="1">
      <c r="A699" s="411"/>
      <c r="B699" s="392"/>
      <c r="C699" s="404"/>
      <c r="D699" s="402"/>
      <c r="E699" s="426"/>
      <c r="F699" s="427"/>
      <c r="G699" s="427"/>
      <c r="H699" s="427"/>
      <c r="I699" s="428"/>
      <c r="K699" s="427"/>
      <c r="L699" s="428"/>
      <c r="M699" s="428"/>
      <c r="Q699" s="392"/>
      <c r="R699" s="392"/>
      <c r="T699" s="417"/>
      <c r="U699" s="46"/>
      <c r="V699" s="46"/>
    </row>
    <row r="700" spans="1:22" ht="13.5" customHeight="1">
      <c r="A700" s="411"/>
      <c r="B700" s="392"/>
      <c r="C700" s="404"/>
      <c r="D700" s="402"/>
      <c r="E700" s="426"/>
      <c r="F700" s="427"/>
      <c r="G700" s="427"/>
      <c r="H700" s="427"/>
      <c r="I700" s="428"/>
      <c r="K700" s="427"/>
      <c r="L700" s="428"/>
      <c r="M700" s="428"/>
      <c r="Q700" s="392"/>
      <c r="R700" s="392"/>
      <c r="T700" s="417"/>
      <c r="U700" s="46"/>
      <c r="V700" s="46"/>
    </row>
    <row r="701" spans="1:22" ht="13.5" customHeight="1">
      <c r="A701" s="411"/>
      <c r="B701" s="392"/>
      <c r="C701" s="404"/>
      <c r="D701" s="402"/>
      <c r="E701" s="426"/>
      <c r="F701" s="427"/>
      <c r="G701" s="427"/>
      <c r="H701" s="427"/>
      <c r="I701" s="428"/>
      <c r="K701" s="427"/>
      <c r="L701" s="428"/>
      <c r="M701" s="428"/>
      <c r="Q701" s="392"/>
      <c r="R701" s="392"/>
      <c r="T701" s="417"/>
      <c r="U701" s="46"/>
      <c r="V701" s="46"/>
    </row>
    <row r="702" spans="1:22" ht="13.5" customHeight="1">
      <c r="A702" s="411"/>
      <c r="B702" s="392"/>
      <c r="C702" s="404"/>
      <c r="D702" s="402"/>
      <c r="E702" s="426"/>
      <c r="F702" s="427"/>
      <c r="G702" s="427"/>
      <c r="H702" s="427"/>
      <c r="I702" s="428"/>
      <c r="K702" s="427"/>
      <c r="L702" s="428"/>
      <c r="M702" s="428"/>
      <c r="Q702" s="392"/>
      <c r="R702" s="392"/>
      <c r="T702" s="417"/>
      <c r="U702" s="46"/>
      <c r="V702" s="46"/>
    </row>
    <row r="703" spans="1:22" ht="13.5" customHeight="1">
      <c r="A703" s="411"/>
      <c r="B703" s="392"/>
      <c r="C703" s="404"/>
      <c r="D703" s="402"/>
      <c r="E703" s="426"/>
      <c r="F703" s="427"/>
      <c r="G703" s="427"/>
      <c r="H703" s="427"/>
      <c r="I703" s="428"/>
      <c r="K703" s="427"/>
      <c r="L703" s="428"/>
      <c r="M703" s="428"/>
      <c r="Q703" s="392"/>
      <c r="R703" s="392"/>
      <c r="T703" s="417"/>
      <c r="U703" s="46"/>
      <c r="V703" s="46"/>
    </row>
    <row r="704" spans="1:22" ht="13.5" customHeight="1">
      <c r="A704" s="411"/>
      <c r="B704" s="392"/>
      <c r="C704" s="404"/>
      <c r="D704" s="402"/>
      <c r="E704" s="426"/>
      <c r="F704" s="427"/>
      <c r="G704" s="427"/>
      <c r="H704" s="427"/>
      <c r="I704" s="428"/>
      <c r="K704" s="427"/>
      <c r="L704" s="428"/>
      <c r="M704" s="428"/>
      <c r="Q704" s="392"/>
      <c r="R704" s="392"/>
      <c r="T704" s="417"/>
      <c r="U704" s="46"/>
      <c r="V704" s="46"/>
    </row>
    <row r="705" spans="1:22" ht="13.5" customHeight="1">
      <c r="A705" s="411"/>
      <c r="B705" s="392"/>
      <c r="C705" s="404"/>
      <c r="D705" s="402"/>
      <c r="E705" s="426"/>
      <c r="F705" s="427"/>
      <c r="G705" s="427"/>
      <c r="H705" s="427"/>
      <c r="I705" s="428"/>
      <c r="K705" s="427"/>
      <c r="L705" s="428"/>
      <c r="M705" s="428"/>
      <c r="Q705" s="392"/>
      <c r="R705" s="392"/>
      <c r="T705" s="417"/>
      <c r="U705" s="46"/>
      <c r="V705" s="46"/>
    </row>
  </sheetData>
  <mergeCells count="4">
    <mergeCell ref="W1:AB1"/>
    <mergeCell ref="A1:N1"/>
    <mergeCell ref="C164:H164"/>
    <mergeCell ref="C178:E178"/>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3E6C9-0C93-4483-827F-337C7525C044}">
  <dimension ref="A2:H33"/>
  <sheetViews>
    <sheetView topLeftCell="A10" workbookViewId="0">
      <selection activeCell="F27" sqref="F27"/>
    </sheetView>
  </sheetViews>
  <sheetFormatPr defaultColWidth="8.88671875" defaultRowHeight="13.2"/>
  <cols>
    <col min="1" max="1" width="8.88671875" style="253"/>
    <col min="2" max="2" width="16.109375" style="253" bestFit="1" customWidth="1"/>
    <col min="3" max="4" width="8.88671875" style="253"/>
    <col min="5" max="5" width="11.6640625" style="253" customWidth="1"/>
    <col min="6" max="6" width="8.88671875" style="253"/>
    <col min="7" max="7" width="14.44140625" style="253" bestFit="1" customWidth="1"/>
    <col min="8" max="8" width="27" style="253" bestFit="1" customWidth="1"/>
    <col min="9" max="16384" width="8.88671875" style="253"/>
  </cols>
  <sheetData>
    <row r="2" spans="1:8">
      <c r="A2" s="1104" t="s">
        <v>847</v>
      </c>
      <c r="B2" s="1104"/>
      <c r="C2" s="1104"/>
      <c r="D2" s="1104"/>
      <c r="E2" s="1104"/>
      <c r="F2" s="1104"/>
      <c r="G2" s="432"/>
    </row>
    <row r="3" spans="1:8">
      <c r="A3" s="320" t="s">
        <v>197</v>
      </c>
      <c r="B3" s="320" t="s">
        <v>2</v>
      </c>
      <c r="C3" s="320" t="s">
        <v>848</v>
      </c>
      <c r="D3" s="320" t="s">
        <v>649</v>
      </c>
      <c r="E3" s="320" t="s">
        <v>316</v>
      </c>
      <c r="F3" s="320" t="s">
        <v>5</v>
      </c>
      <c r="G3" s="433"/>
    </row>
    <row r="4" spans="1:8">
      <c r="A4" s="262">
        <v>1</v>
      </c>
      <c r="B4" s="261" t="s">
        <v>387</v>
      </c>
      <c r="C4" s="261">
        <v>1.2</v>
      </c>
      <c r="D4" s="261">
        <v>2.1</v>
      </c>
      <c r="E4" s="261">
        <f>C4*D4</f>
        <v>2.52</v>
      </c>
      <c r="F4" s="261">
        <v>30000</v>
      </c>
      <c r="H4" s="253" t="s">
        <v>849</v>
      </c>
    </row>
    <row r="5" spans="1:8">
      <c r="A5" s="262">
        <v>2</v>
      </c>
      <c r="B5" s="261" t="s">
        <v>388</v>
      </c>
      <c r="C5" s="261">
        <v>0.9</v>
      </c>
      <c r="D5" s="261">
        <v>2.1</v>
      </c>
      <c r="E5" s="261">
        <f t="shared" ref="E5:E19" si="0">C5*D5</f>
        <v>1.8900000000000001</v>
      </c>
      <c r="F5" s="261">
        <v>18000</v>
      </c>
      <c r="H5" s="253" t="s">
        <v>850</v>
      </c>
    </row>
    <row r="6" spans="1:8">
      <c r="A6" s="262">
        <v>3</v>
      </c>
      <c r="B6" s="261" t="s">
        <v>389</v>
      </c>
      <c r="C6" s="261">
        <v>0.75</v>
      </c>
      <c r="D6" s="261">
        <v>2.1</v>
      </c>
      <c r="E6" s="261">
        <f t="shared" si="0"/>
        <v>1.5750000000000002</v>
      </c>
      <c r="F6" s="261">
        <v>10500</v>
      </c>
      <c r="H6" s="253" t="s">
        <v>851</v>
      </c>
    </row>
    <row r="7" spans="1:8">
      <c r="A7" s="262">
        <v>4</v>
      </c>
      <c r="B7" s="261" t="s">
        <v>390</v>
      </c>
      <c r="C7" s="261">
        <v>0.9</v>
      </c>
      <c r="D7" s="261">
        <v>2.1</v>
      </c>
      <c r="E7" s="261">
        <f t="shared" si="0"/>
        <v>1.8900000000000001</v>
      </c>
      <c r="F7" s="261">
        <v>25000</v>
      </c>
      <c r="H7" s="253" t="s">
        <v>852</v>
      </c>
    </row>
    <row r="8" spans="1:8">
      <c r="A8" s="262">
        <v>5</v>
      </c>
      <c r="B8" s="261" t="s">
        <v>392</v>
      </c>
      <c r="C8" s="261">
        <v>5.3</v>
      </c>
      <c r="D8" s="261">
        <v>2.15</v>
      </c>
      <c r="E8" s="261">
        <f t="shared" si="0"/>
        <v>11.395</v>
      </c>
      <c r="F8" s="261">
        <f>550*10.764</f>
        <v>5920.2</v>
      </c>
      <c r="H8" s="253" t="s">
        <v>480</v>
      </c>
    </row>
    <row r="9" spans="1:8">
      <c r="A9" s="262">
        <v>6</v>
      </c>
      <c r="B9" s="261" t="s">
        <v>399</v>
      </c>
      <c r="C9" s="261">
        <v>3.1</v>
      </c>
      <c r="D9" s="261">
        <v>2.15</v>
      </c>
      <c r="E9" s="261">
        <f t="shared" si="0"/>
        <v>6.665</v>
      </c>
      <c r="F9" s="261">
        <f t="shared" ref="F9:F18" si="1">550*10.764</f>
        <v>5920.2</v>
      </c>
      <c r="H9" s="253" t="s">
        <v>835</v>
      </c>
    </row>
    <row r="10" spans="1:8">
      <c r="A10" s="262">
        <v>7</v>
      </c>
      <c r="B10" s="261" t="s">
        <v>400</v>
      </c>
      <c r="C10" s="261">
        <v>2.77</v>
      </c>
      <c r="D10" s="261">
        <v>2.15</v>
      </c>
      <c r="E10" s="261">
        <f t="shared" si="0"/>
        <v>5.9554999999999998</v>
      </c>
      <c r="F10" s="261">
        <f t="shared" si="1"/>
        <v>5920.2</v>
      </c>
      <c r="H10" s="253" t="s">
        <v>836</v>
      </c>
    </row>
    <row r="11" spans="1:8">
      <c r="A11" s="262">
        <v>8</v>
      </c>
      <c r="B11" s="261" t="s">
        <v>394</v>
      </c>
      <c r="C11" s="261">
        <v>3.05</v>
      </c>
      <c r="D11" s="261">
        <v>2.15</v>
      </c>
      <c r="E11" s="261">
        <f t="shared" si="0"/>
        <v>6.5574999999999992</v>
      </c>
      <c r="F11" s="261">
        <f t="shared" si="1"/>
        <v>5920.2</v>
      </c>
      <c r="H11" s="253" t="s">
        <v>837</v>
      </c>
    </row>
    <row r="12" spans="1:8">
      <c r="A12" s="262">
        <v>9</v>
      </c>
      <c r="B12" s="261" t="s">
        <v>401</v>
      </c>
      <c r="C12" s="261">
        <v>1.03</v>
      </c>
      <c r="D12" s="261">
        <v>2.15</v>
      </c>
      <c r="E12" s="261">
        <f t="shared" si="0"/>
        <v>2.2145000000000001</v>
      </c>
      <c r="F12" s="261">
        <f t="shared" si="1"/>
        <v>5920.2</v>
      </c>
      <c r="H12" s="253" t="s">
        <v>838</v>
      </c>
    </row>
    <row r="13" spans="1:8">
      <c r="A13" s="262">
        <v>10</v>
      </c>
      <c r="B13" s="261" t="s">
        <v>839</v>
      </c>
      <c r="C13" s="261">
        <v>2.13</v>
      </c>
      <c r="D13" s="261">
        <v>2.15</v>
      </c>
      <c r="E13" s="261">
        <f t="shared" si="0"/>
        <v>4.5794999999999995</v>
      </c>
      <c r="F13" s="261">
        <f t="shared" si="1"/>
        <v>5920.2</v>
      </c>
      <c r="H13" s="253" t="s">
        <v>840</v>
      </c>
    </row>
    <row r="14" spans="1:8">
      <c r="A14" s="262">
        <v>11</v>
      </c>
      <c r="B14" s="261" t="s">
        <v>841</v>
      </c>
      <c r="C14" s="261">
        <v>2.2799999999999998</v>
      </c>
      <c r="D14" s="261">
        <v>2.15</v>
      </c>
      <c r="E14" s="261">
        <f t="shared" si="0"/>
        <v>4.9019999999999992</v>
      </c>
      <c r="F14" s="261">
        <f t="shared" si="1"/>
        <v>5920.2</v>
      </c>
      <c r="H14" s="253" t="s">
        <v>842</v>
      </c>
    </row>
    <row r="15" spans="1:8">
      <c r="A15" s="262">
        <v>12</v>
      </c>
      <c r="B15" s="261" t="s">
        <v>396</v>
      </c>
      <c r="C15" s="261">
        <v>1</v>
      </c>
      <c r="D15" s="261">
        <v>2.15</v>
      </c>
      <c r="E15" s="261">
        <f t="shared" si="0"/>
        <v>2.15</v>
      </c>
      <c r="F15" s="261">
        <f t="shared" si="1"/>
        <v>5920.2</v>
      </c>
      <c r="H15" s="253" t="s">
        <v>843</v>
      </c>
    </row>
    <row r="16" spans="1:8">
      <c r="A16" s="262">
        <v>13</v>
      </c>
      <c r="B16" s="261" t="s">
        <v>393</v>
      </c>
      <c r="C16" s="261">
        <v>0.97</v>
      </c>
      <c r="D16" s="261">
        <v>2.15</v>
      </c>
      <c r="E16" s="261">
        <f t="shared" si="0"/>
        <v>2.0854999999999997</v>
      </c>
      <c r="F16" s="261">
        <f t="shared" si="1"/>
        <v>5920.2</v>
      </c>
      <c r="H16" s="253" t="s">
        <v>844</v>
      </c>
    </row>
    <row r="17" spans="1:8">
      <c r="A17" s="262">
        <v>14</v>
      </c>
      <c r="B17" s="261" t="s">
        <v>403</v>
      </c>
      <c r="C17" s="261">
        <v>2</v>
      </c>
      <c r="D17" s="261">
        <v>2.15</v>
      </c>
      <c r="E17" s="261">
        <f t="shared" si="0"/>
        <v>4.3</v>
      </c>
      <c r="F17" s="261">
        <f t="shared" si="1"/>
        <v>5920.2</v>
      </c>
      <c r="H17" s="253" t="s">
        <v>476</v>
      </c>
    </row>
    <row r="18" spans="1:8">
      <c r="A18" s="262">
        <v>15</v>
      </c>
      <c r="B18" s="261" t="s">
        <v>402</v>
      </c>
      <c r="C18" s="261">
        <v>1.22</v>
      </c>
      <c r="D18" s="261">
        <v>2.15</v>
      </c>
      <c r="E18" s="261">
        <f t="shared" si="0"/>
        <v>2.6229999999999998</v>
      </c>
      <c r="F18" s="261">
        <f t="shared" si="1"/>
        <v>5920.2</v>
      </c>
      <c r="H18" s="253" t="s">
        <v>845</v>
      </c>
    </row>
    <row r="19" spans="1:8">
      <c r="A19" s="262">
        <v>16</v>
      </c>
      <c r="B19" s="261" t="s">
        <v>395</v>
      </c>
      <c r="C19" s="261">
        <v>0.6</v>
      </c>
      <c r="D19" s="261">
        <v>0.75</v>
      </c>
      <c r="E19" s="261">
        <f t="shared" si="0"/>
        <v>0.44999999999999996</v>
      </c>
      <c r="F19" s="261">
        <f>550*10.764</f>
        <v>5920.2</v>
      </c>
      <c r="H19" s="253" t="s">
        <v>709</v>
      </c>
    </row>
    <row r="20" spans="1:8">
      <c r="A20" s="262">
        <v>17</v>
      </c>
      <c r="B20" s="261" t="s">
        <v>853</v>
      </c>
      <c r="C20" s="261"/>
      <c r="D20" s="261"/>
      <c r="E20" s="261"/>
      <c r="F20" s="261">
        <v>9500</v>
      </c>
      <c r="H20" s="253" t="s">
        <v>854</v>
      </c>
    </row>
    <row r="21" spans="1:8">
      <c r="A21" s="262">
        <v>18</v>
      </c>
      <c r="B21" s="261"/>
      <c r="C21" s="261"/>
      <c r="D21" s="261"/>
      <c r="E21" s="261"/>
      <c r="F21" s="261"/>
    </row>
    <row r="22" spans="1:8">
      <c r="A22" s="262">
        <v>19</v>
      </c>
      <c r="B22" s="261" t="s">
        <v>446</v>
      </c>
      <c r="C22" s="261"/>
      <c r="D22" s="261"/>
      <c r="E22" s="261"/>
      <c r="F22" s="261"/>
      <c r="H22" s="253" t="s">
        <v>855</v>
      </c>
    </row>
    <row r="23" spans="1:8">
      <c r="A23" s="261"/>
      <c r="B23" s="926" t="s">
        <v>451</v>
      </c>
      <c r="C23" s="261">
        <v>5.75</v>
      </c>
      <c r="D23" s="261">
        <f>3.6-0.7</f>
        <v>2.9000000000000004</v>
      </c>
      <c r="E23" s="261">
        <f>C23*D23</f>
        <v>16.675000000000001</v>
      </c>
      <c r="F23" s="261">
        <f>650*10.764</f>
        <v>6996.5999999999995</v>
      </c>
    </row>
    <row r="24" spans="1:8">
      <c r="A24" s="261"/>
      <c r="B24" s="926" t="s">
        <v>452</v>
      </c>
      <c r="C24" s="261">
        <v>5.91</v>
      </c>
      <c r="D24" s="261">
        <f t="shared" ref="D24:D30" si="2">3.6-0.7</f>
        <v>2.9000000000000004</v>
      </c>
      <c r="E24" s="261">
        <f t="shared" ref="E24:E30" si="3">C24*D24</f>
        <v>17.139000000000003</v>
      </c>
      <c r="F24" s="261">
        <f t="shared" ref="F24:F30" si="4">650*10.764</f>
        <v>6996.5999999999995</v>
      </c>
    </row>
    <row r="25" spans="1:8">
      <c r="A25" s="261"/>
      <c r="B25" s="926" t="s">
        <v>453</v>
      </c>
      <c r="C25" s="261">
        <v>5.54</v>
      </c>
      <c r="D25" s="261">
        <f t="shared" si="2"/>
        <v>2.9000000000000004</v>
      </c>
      <c r="E25" s="261">
        <f t="shared" si="3"/>
        <v>16.066000000000003</v>
      </c>
      <c r="F25" s="261">
        <f t="shared" si="4"/>
        <v>6996.5999999999995</v>
      </c>
    </row>
    <row r="26" spans="1:8">
      <c r="A26" s="261"/>
      <c r="B26" s="926" t="s">
        <v>454</v>
      </c>
      <c r="C26" s="261">
        <v>10.07</v>
      </c>
      <c r="D26" s="261">
        <f t="shared" si="2"/>
        <v>2.9000000000000004</v>
      </c>
      <c r="E26" s="261">
        <f t="shared" si="3"/>
        <v>29.203000000000003</v>
      </c>
      <c r="F26" s="261">
        <f t="shared" si="4"/>
        <v>6996.5999999999995</v>
      </c>
    </row>
    <row r="27" spans="1:8">
      <c r="A27" s="261"/>
      <c r="B27" s="926" t="s">
        <v>455</v>
      </c>
      <c r="C27" s="261">
        <v>5.92</v>
      </c>
      <c r="D27" s="261">
        <f t="shared" si="2"/>
        <v>2.9000000000000004</v>
      </c>
      <c r="E27" s="261">
        <f t="shared" si="3"/>
        <v>17.168000000000003</v>
      </c>
      <c r="F27" s="261">
        <f t="shared" si="4"/>
        <v>6996.5999999999995</v>
      </c>
    </row>
    <row r="28" spans="1:8">
      <c r="A28" s="261"/>
      <c r="B28" s="926" t="s">
        <v>456</v>
      </c>
      <c r="C28" s="261">
        <v>5.79</v>
      </c>
      <c r="D28" s="261">
        <f t="shared" si="2"/>
        <v>2.9000000000000004</v>
      </c>
      <c r="E28" s="261">
        <f t="shared" si="3"/>
        <v>16.791000000000004</v>
      </c>
      <c r="F28" s="261">
        <f t="shared" si="4"/>
        <v>6996.5999999999995</v>
      </c>
    </row>
    <row r="29" spans="1:8">
      <c r="A29" s="261"/>
      <c r="B29" s="926" t="s">
        <v>457</v>
      </c>
      <c r="C29" s="261">
        <v>5.91</v>
      </c>
      <c r="D29" s="261">
        <f t="shared" si="2"/>
        <v>2.9000000000000004</v>
      </c>
      <c r="E29" s="261">
        <f t="shared" si="3"/>
        <v>17.139000000000003</v>
      </c>
      <c r="F29" s="261">
        <f t="shared" si="4"/>
        <v>6996.5999999999995</v>
      </c>
    </row>
    <row r="30" spans="1:8">
      <c r="A30" s="261"/>
      <c r="B30" s="926" t="s">
        <v>458</v>
      </c>
      <c r="C30" s="261">
        <v>6</v>
      </c>
      <c r="D30" s="261">
        <f t="shared" si="2"/>
        <v>2.9000000000000004</v>
      </c>
      <c r="E30" s="261">
        <f t="shared" si="3"/>
        <v>17.400000000000002</v>
      </c>
      <c r="F30" s="261">
        <f t="shared" si="4"/>
        <v>6996.5999999999995</v>
      </c>
    </row>
    <row r="31" spans="1:8">
      <c r="D31" s="253" t="s">
        <v>232</v>
      </c>
      <c r="E31" s="253">
        <f>SUM(E23:E30)</f>
        <v>147.58100000000005</v>
      </c>
    </row>
    <row r="32" spans="1:8">
      <c r="D32" s="253" t="s">
        <v>324</v>
      </c>
      <c r="E32" s="253">
        <v>32</v>
      </c>
    </row>
    <row r="33" spans="5:7">
      <c r="E33" s="253">
        <f>E31*E32</f>
        <v>4722.5920000000015</v>
      </c>
      <c r="F33" s="253">
        <f>AVERAGE(F23:F30)</f>
        <v>6996.5999999999995</v>
      </c>
      <c r="G33" s="384">
        <f>E33*F33</f>
        <v>33042087.187200006</v>
      </c>
    </row>
  </sheetData>
  <mergeCells count="1">
    <mergeCell ref="A2:F2"/>
  </mergeCells>
  <phoneticPr fontId="5"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06381-EC0C-4483-A810-D997926F167F}">
  <dimension ref="A1:I16"/>
  <sheetViews>
    <sheetView workbookViewId="0">
      <selection activeCell="C4" sqref="C4"/>
    </sheetView>
  </sheetViews>
  <sheetFormatPr defaultColWidth="8.88671875" defaultRowHeight="15"/>
  <cols>
    <col min="1" max="1" width="8.88671875" style="27"/>
    <col min="2" max="2" width="28.88671875" style="27" customWidth="1"/>
    <col min="3" max="3" width="18.44140625" style="27" customWidth="1"/>
    <col min="4" max="4" width="8.88671875" style="27"/>
    <col min="5" max="5" width="15.5546875" style="27" customWidth="1"/>
    <col min="6" max="6" width="18.88671875" style="27" customWidth="1"/>
    <col min="7" max="8" width="8.88671875" style="27"/>
    <col min="9" max="9" width="11.44140625" style="27" bestFit="1" customWidth="1"/>
    <col min="10" max="16384" width="8.88671875" style="27"/>
  </cols>
  <sheetData>
    <row r="1" spans="1:9">
      <c r="A1" s="1105" t="s">
        <v>856</v>
      </c>
      <c r="B1" s="1105"/>
      <c r="C1" s="1105"/>
    </row>
    <row r="2" spans="1:9">
      <c r="A2" s="39" t="s">
        <v>197</v>
      </c>
      <c r="B2" s="39" t="s">
        <v>2</v>
      </c>
      <c r="C2" s="39" t="s">
        <v>562</v>
      </c>
    </row>
    <row r="3" spans="1:9">
      <c r="A3" s="32">
        <v>1</v>
      </c>
      <c r="B3" s="33" t="s">
        <v>334</v>
      </c>
      <c r="C3" s="555">
        <f>'Measurement Sheet'!G46+'Measurement Sheet'!G93+'Measurement Sheet'!G139+'Measurement Sheet'!G186+'Measurement Sheet'!G287+'Measurement Sheet'!G298+'Measurement Sheet'!G306+'Measurement Sheet'!G318+'Measurement Sheet'!G327+'Measurement Sheet'!G356</f>
        <v>51310.247407246366</v>
      </c>
      <c r="E3" s="27">
        <v>900</v>
      </c>
      <c r="F3" s="886">
        <f>C3*E3</f>
        <v>46179222.666521728</v>
      </c>
    </row>
    <row r="4" spans="1:9">
      <c r="A4" s="32">
        <v>2</v>
      </c>
      <c r="B4" s="33" t="s">
        <v>857</v>
      </c>
      <c r="C4" s="555">
        <f>'Measurement Sheet'!G274+'Measurement Sheet'!G336+'Measurement Sheet'!G343</f>
        <v>119624.04345181159</v>
      </c>
      <c r="E4" s="27">
        <v>725</v>
      </c>
      <c r="F4" s="886">
        <f>C4*E4</f>
        <v>86727431.502563402</v>
      </c>
    </row>
    <row r="5" spans="1:9">
      <c r="A5" s="31"/>
      <c r="B5" s="34" t="s">
        <v>232</v>
      </c>
      <c r="C5" s="556">
        <f>SUM(C3:C4)</f>
        <v>170934.29085905798</v>
      </c>
      <c r="E5" s="35">
        <v>650726.7483600002</v>
      </c>
      <c r="F5" s="23" t="s">
        <v>559</v>
      </c>
      <c r="I5" s="28"/>
    </row>
    <row r="6" spans="1:9">
      <c r="B6" s="29"/>
      <c r="E6" s="28">
        <f>C5/E5</f>
        <v>0.26268213392158324</v>
      </c>
    </row>
    <row r="7" spans="1:9">
      <c r="B7" s="29"/>
    </row>
    <row r="8" spans="1:9">
      <c r="B8" s="29"/>
      <c r="C8" s="28">
        <v>50889.204073913032</v>
      </c>
      <c r="E8" s="28"/>
    </row>
    <row r="9" spans="1:9">
      <c r="B9" s="29"/>
      <c r="C9" s="28">
        <v>119624.04345181159</v>
      </c>
      <c r="E9" s="28"/>
    </row>
    <row r="10" spans="1:9">
      <c r="C10" s="880"/>
      <c r="E10" s="880">
        <f>C5/32048</f>
        <v>5.3336960452776454</v>
      </c>
    </row>
    <row r="12" spans="1:9">
      <c r="C12" s="27">
        <v>192125.3516750242</v>
      </c>
    </row>
    <row r="13" spans="1:9">
      <c r="C13" s="880"/>
    </row>
    <row r="16" spans="1:9">
      <c r="C16" s="880"/>
    </row>
  </sheetData>
  <mergeCells count="1">
    <mergeCell ref="A1:C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83E7E-F5A2-4C5A-8AFE-61A697E1C123}">
  <dimension ref="A1:N20"/>
  <sheetViews>
    <sheetView topLeftCell="A6" workbookViewId="0">
      <selection activeCell="H15" sqref="H15"/>
    </sheetView>
  </sheetViews>
  <sheetFormatPr defaultColWidth="8.88671875" defaultRowHeight="13.8"/>
  <cols>
    <col min="1" max="1" width="8.88671875" style="23"/>
    <col min="2" max="2" width="48.109375" style="23" customWidth="1"/>
    <col min="3" max="3" width="10.6640625" style="23" customWidth="1"/>
    <col min="4" max="8" width="9" style="23" bestFit="1" customWidth="1"/>
    <col min="9" max="9" width="10.6640625" style="23" bestFit="1" customWidth="1"/>
    <col min="10" max="10" width="10.6640625" style="23" customWidth="1"/>
    <col min="11" max="11" width="15.5546875" style="23" bestFit="1" customWidth="1"/>
    <col min="12" max="12" width="8.88671875" style="23"/>
    <col min="13" max="13" width="15.6640625" style="23" bestFit="1" customWidth="1"/>
    <col min="14" max="16384" width="8.88671875" style="23"/>
  </cols>
  <sheetData>
    <row r="1" spans="1:14">
      <c r="A1" s="1039" t="s">
        <v>196</v>
      </c>
      <c r="B1" s="1039"/>
      <c r="C1" s="1039"/>
      <c r="D1" s="1039"/>
      <c r="E1" s="1039"/>
      <c r="F1" s="1039"/>
      <c r="G1" s="1039"/>
      <c r="H1" s="1039"/>
      <c r="I1" s="1039"/>
      <c r="J1" s="1039"/>
      <c r="K1" s="1039"/>
    </row>
    <row r="2" spans="1:14" ht="26.4">
      <c r="A2" s="91" t="s">
        <v>197</v>
      </c>
      <c r="B2" s="91" t="s">
        <v>198</v>
      </c>
      <c r="C2" s="91" t="s">
        <v>199</v>
      </c>
      <c r="D2" s="91" t="s">
        <v>951</v>
      </c>
      <c r="E2" s="91" t="s">
        <v>200</v>
      </c>
      <c r="F2" s="91" t="s">
        <v>201</v>
      </c>
      <c r="G2" s="91" t="s">
        <v>202</v>
      </c>
      <c r="H2" s="91" t="s">
        <v>203</v>
      </c>
      <c r="I2" s="91" t="s">
        <v>204</v>
      </c>
      <c r="J2" s="91" t="s">
        <v>5</v>
      </c>
      <c r="K2" s="91" t="s">
        <v>205</v>
      </c>
    </row>
    <row r="3" spans="1:14">
      <c r="A3" s="92"/>
      <c r="B3" s="95" t="s">
        <v>207</v>
      </c>
      <c r="C3" s="92"/>
      <c r="D3" s="93"/>
      <c r="E3" s="92"/>
      <c r="F3" s="92"/>
      <c r="G3" s="94"/>
      <c r="H3" s="92"/>
      <c r="I3" s="94"/>
      <c r="J3" s="94"/>
      <c r="K3" s="94"/>
    </row>
    <row r="4" spans="1:14">
      <c r="A4" s="92"/>
      <c r="B4" s="92" t="s">
        <v>208</v>
      </c>
      <c r="C4" s="92"/>
      <c r="D4" s="93">
        <v>1</v>
      </c>
      <c r="E4" s="92"/>
      <c r="F4" s="92"/>
      <c r="G4" s="94">
        <v>7.5</v>
      </c>
      <c r="H4" s="92">
        <v>2077.2399999999998</v>
      </c>
      <c r="I4" s="94">
        <f t="shared" ref="I4:I9" si="0">PRODUCT(D4:H4)</f>
        <v>15579.3</v>
      </c>
      <c r="J4" s="94">
        <v>450</v>
      </c>
      <c r="K4" s="94">
        <f>I4*J4</f>
        <v>7010685</v>
      </c>
      <c r="M4" s="23" t="s">
        <v>952</v>
      </c>
      <c r="N4" s="23">
        <v>7</v>
      </c>
    </row>
    <row r="5" spans="1:14">
      <c r="A5" s="92"/>
      <c r="B5" s="92" t="s">
        <v>209</v>
      </c>
      <c r="C5" s="92"/>
      <c r="D5" s="93">
        <v>1</v>
      </c>
      <c r="E5" s="92"/>
      <c r="F5" s="92"/>
      <c r="G5" s="94">
        <f>5.9-1.8</f>
        <v>4.1000000000000005</v>
      </c>
      <c r="H5" s="92">
        <v>1340.75</v>
      </c>
      <c r="I5" s="94">
        <f t="shared" si="0"/>
        <v>5497.0750000000007</v>
      </c>
      <c r="J5" s="94">
        <v>450</v>
      </c>
      <c r="K5" s="94">
        <f t="shared" ref="K5:K9" si="1">I5*J5</f>
        <v>2473683.7500000005</v>
      </c>
    </row>
    <row r="6" spans="1:14">
      <c r="A6" s="92"/>
      <c r="B6" s="92" t="s">
        <v>953</v>
      </c>
      <c r="C6" s="92"/>
      <c r="D6" s="93">
        <v>1</v>
      </c>
      <c r="E6" s="92"/>
      <c r="F6" s="92"/>
      <c r="G6" s="94">
        <v>0.9</v>
      </c>
      <c r="H6" s="92">
        <v>281.75</v>
      </c>
      <c r="I6" s="94">
        <f t="shared" si="0"/>
        <v>253.57500000000002</v>
      </c>
      <c r="J6" s="94">
        <f>'Rate List - Flats'!G272</f>
        <v>1560</v>
      </c>
      <c r="K6" s="94">
        <f t="shared" si="1"/>
        <v>395577</v>
      </c>
    </row>
    <row r="7" spans="1:14">
      <c r="A7" s="92"/>
      <c r="B7" s="92" t="s">
        <v>954</v>
      </c>
      <c r="C7" s="92"/>
      <c r="D7" s="93">
        <v>1</v>
      </c>
      <c r="E7" s="92"/>
      <c r="F7" s="92"/>
      <c r="G7" s="94">
        <v>2</v>
      </c>
      <c r="H7" s="92">
        <f>40.08*2</f>
        <v>80.16</v>
      </c>
      <c r="I7" s="94">
        <f t="shared" si="0"/>
        <v>160.32</v>
      </c>
      <c r="J7" s="94">
        <f>'Rate List - Flats'!G272</f>
        <v>1560</v>
      </c>
      <c r="K7" s="94">
        <f t="shared" si="1"/>
        <v>250099.19999999998</v>
      </c>
    </row>
    <row r="8" spans="1:14">
      <c r="A8" s="95"/>
      <c r="B8" s="92" t="s">
        <v>212</v>
      </c>
      <c r="C8" s="92"/>
      <c r="D8" s="93"/>
      <c r="E8" s="92">
        <v>257.17</v>
      </c>
      <c r="F8" s="92">
        <v>1.5</v>
      </c>
      <c r="G8" s="94">
        <v>1.5</v>
      </c>
      <c r="H8" s="94"/>
      <c r="I8" s="94">
        <f t="shared" si="0"/>
        <v>578.63249999999994</v>
      </c>
      <c r="J8" s="94">
        <v>450</v>
      </c>
      <c r="K8" s="94">
        <f t="shared" si="1"/>
        <v>260384.62499999997</v>
      </c>
    </row>
    <row r="9" spans="1:14">
      <c r="A9" s="95"/>
      <c r="B9" s="92" t="s">
        <v>213</v>
      </c>
      <c r="C9" s="92"/>
      <c r="D9" s="93"/>
      <c r="E9" s="92">
        <v>257.17</v>
      </c>
      <c r="F9" s="92">
        <v>0.6</v>
      </c>
      <c r="G9" s="94">
        <v>1</v>
      </c>
      <c r="H9" s="94"/>
      <c r="I9" s="94">
        <f t="shared" si="0"/>
        <v>154.30199999999999</v>
      </c>
      <c r="J9" s="94">
        <v>450</v>
      </c>
      <c r="K9" s="94">
        <f t="shared" si="1"/>
        <v>69435.899999999994</v>
      </c>
    </row>
    <row r="10" spans="1:14">
      <c r="A10" s="95"/>
      <c r="B10" s="92"/>
      <c r="C10" s="92"/>
      <c r="D10" s="93"/>
      <c r="E10" s="92"/>
      <c r="F10" s="92"/>
      <c r="G10" s="94"/>
      <c r="H10" s="94"/>
      <c r="I10" s="94"/>
      <c r="J10" s="94"/>
      <c r="K10" s="94"/>
    </row>
    <row r="11" spans="1:14">
      <c r="A11" s="95"/>
      <c r="B11" s="95"/>
      <c r="C11" s="92"/>
      <c r="D11" s="93"/>
      <c r="E11" s="92"/>
      <c r="F11" s="92"/>
      <c r="G11" s="94"/>
      <c r="H11" s="94"/>
      <c r="I11" s="94"/>
      <c r="J11" s="94"/>
      <c r="K11" s="94"/>
    </row>
    <row r="12" spans="1:14">
      <c r="A12" s="95"/>
      <c r="B12" s="96" t="s">
        <v>214</v>
      </c>
      <c r="C12" s="96"/>
      <c r="D12" s="97"/>
      <c r="E12" s="96"/>
      <c r="F12" s="96"/>
      <c r="G12" s="98"/>
      <c r="H12" s="98"/>
      <c r="I12" s="98">
        <f>SUM(I4:I11)</f>
        <v>22223.2045</v>
      </c>
      <c r="J12" s="98"/>
      <c r="K12" s="98">
        <f>SUM(K4:K11)</f>
        <v>10459865.475</v>
      </c>
      <c r="M12" s="35"/>
    </row>
    <row r="13" spans="1:14">
      <c r="A13" s="95"/>
      <c r="B13" s="92" t="s">
        <v>218</v>
      </c>
      <c r="C13" s="92"/>
      <c r="D13" s="93"/>
      <c r="E13" s="92"/>
      <c r="F13" s="92"/>
      <c r="G13" s="94"/>
      <c r="H13" s="94"/>
      <c r="I13" s="94">
        <f>I12*0.3</f>
        <v>6666.9613499999996</v>
      </c>
      <c r="J13" s="94"/>
      <c r="K13" s="94"/>
    </row>
    <row r="14" spans="1:14">
      <c r="A14" s="95"/>
      <c r="B14" s="92" t="s">
        <v>326</v>
      </c>
      <c r="C14" s="92"/>
      <c r="D14" s="93"/>
      <c r="E14" s="92"/>
      <c r="F14" s="92"/>
      <c r="G14" s="94"/>
      <c r="H14" s="94"/>
      <c r="I14" s="94">
        <f>H4</f>
        <v>2077.2399999999998</v>
      </c>
      <c r="J14" s="94"/>
      <c r="K14" s="94"/>
    </row>
    <row r="15" spans="1:14">
      <c r="A15" s="95"/>
      <c r="B15" s="92" t="s">
        <v>328</v>
      </c>
      <c r="C15" s="92"/>
      <c r="D15" s="93"/>
      <c r="E15" s="92"/>
      <c r="F15" s="92"/>
      <c r="G15" s="94"/>
      <c r="H15" s="94">
        <f>'Concrete &amp; Steel Summary'!E10/0.2*0.23</f>
        <v>726.08635600000002</v>
      </c>
      <c r="I15" s="94"/>
      <c r="J15" s="94"/>
      <c r="K15" s="94"/>
    </row>
    <row r="20" spans="8:8">
      <c r="H20" s="23">
        <f>1902*7.5</f>
        <v>14265</v>
      </c>
    </row>
  </sheetData>
  <mergeCells count="1">
    <mergeCell ref="A1:K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B515E-EAE9-447A-8995-7953532C761B}">
  <dimension ref="A1:AB46"/>
  <sheetViews>
    <sheetView topLeftCell="A36" workbookViewId="0">
      <selection activeCell="M3" sqref="M3"/>
    </sheetView>
  </sheetViews>
  <sheetFormatPr defaultColWidth="8.88671875" defaultRowHeight="14.4"/>
  <cols>
    <col min="1" max="1" width="7.33203125" style="185" bestFit="1" customWidth="1"/>
    <col min="2" max="2" width="26.5546875" style="185" bestFit="1" customWidth="1"/>
    <col min="3" max="3" width="10.33203125" style="185" customWidth="1"/>
    <col min="4" max="4" width="10" style="185" bestFit="1" customWidth="1"/>
    <col min="5" max="5" width="10.33203125" style="185" bestFit="1" customWidth="1"/>
    <col min="6" max="6" width="16.6640625" style="185" bestFit="1" customWidth="1"/>
    <col min="7" max="10" width="8.88671875" style="185"/>
    <col min="11" max="11" width="20" style="185" customWidth="1"/>
    <col min="12" max="14" width="8.88671875" style="185"/>
    <col min="15" max="15" width="24.33203125" style="185" bestFit="1" customWidth="1"/>
    <col min="16" max="21" width="8.88671875" style="185"/>
    <col min="22" max="28" width="11.44140625" style="185" bestFit="1" customWidth="1"/>
    <col min="29" max="16384" width="8.88671875" style="185"/>
  </cols>
  <sheetData>
    <row r="1" spans="1:15">
      <c r="A1" s="1106" t="s">
        <v>955</v>
      </c>
      <c r="B1" s="1106"/>
      <c r="C1" s="1106"/>
      <c r="D1" s="1106"/>
      <c r="E1" s="1106"/>
      <c r="F1" s="1106"/>
      <c r="I1" s="1107" t="s">
        <v>956</v>
      </c>
      <c r="J1" s="1107"/>
      <c r="K1" s="1107"/>
      <c r="L1" s="1107"/>
      <c r="M1" s="1107"/>
    </row>
    <row r="2" spans="1:15" ht="27.6">
      <c r="A2" s="91" t="s">
        <v>197</v>
      </c>
      <c r="B2" s="91" t="s">
        <v>198</v>
      </c>
      <c r="C2" s="91" t="s">
        <v>315</v>
      </c>
      <c r="D2" s="91" t="s">
        <v>562</v>
      </c>
      <c r="E2" s="91" t="s">
        <v>5</v>
      </c>
      <c r="F2" s="91" t="s">
        <v>205</v>
      </c>
      <c r="I2" s="179" t="s">
        <v>448</v>
      </c>
      <c r="J2" s="180" t="s">
        <v>957</v>
      </c>
      <c r="K2" s="180" t="s">
        <v>958</v>
      </c>
      <c r="L2" s="180" t="s">
        <v>848</v>
      </c>
      <c r="M2" s="180" t="s">
        <v>959</v>
      </c>
    </row>
    <row r="3" spans="1:15" ht="26.4">
      <c r="A3" s="186">
        <v>1</v>
      </c>
      <c r="B3" s="187" t="s">
        <v>960</v>
      </c>
      <c r="C3" s="186"/>
      <c r="D3" s="186"/>
      <c r="E3" s="186"/>
      <c r="F3" s="186"/>
      <c r="I3" s="6">
        <v>1</v>
      </c>
      <c r="J3" s="6">
        <v>0.6</v>
      </c>
      <c r="K3" s="6">
        <f>6+(2*J3)</f>
        <v>7.2</v>
      </c>
      <c r="L3" s="6">
        <v>139.62</v>
      </c>
      <c r="M3" s="6">
        <f>ROUNDDOWN(L3/0.7+1,0)</f>
        <v>200</v>
      </c>
    </row>
    <row r="4" spans="1:15">
      <c r="A4" s="186">
        <v>2</v>
      </c>
      <c r="B4" s="187" t="s">
        <v>961</v>
      </c>
      <c r="C4" s="186" t="s">
        <v>324</v>
      </c>
      <c r="D4" s="186">
        <v>2</v>
      </c>
      <c r="E4" s="188">
        <v>35000</v>
      </c>
      <c r="F4" s="188">
        <f>D4*E4</f>
        <v>70000</v>
      </c>
    </row>
    <row r="5" spans="1:15">
      <c r="A5" s="186">
        <v>3</v>
      </c>
      <c r="B5" s="187" t="s">
        <v>962</v>
      </c>
      <c r="C5" s="186" t="s">
        <v>614</v>
      </c>
      <c r="D5" s="186">
        <f>M19</f>
        <v>1440</v>
      </c>
      <c r="E5" s="188">
        <v>3300</v>
      </c>
      <c r="F5" s="188">
        <f>D5*E5</f>
        <v>4752000</v>
      </c>
      <c r="I5" s="1107" t="s">
        <v>963</v>
      </c>
      <c r="J5" s="1107"/>
      <c r="K5" s="1107"/>
      <c r="L5" s="1107"/>
      <c r="M5" s="1107"/>
      <c r="N5" s="1107"/>
      <c r="O5" s="1107"/>
    </row>
    <row r="6" spans="1:15" ht="51.6" customHeight="1">
      <c r="A6" s="186">
        <v>4</v>
      </c>
      <c r="B6" s="187" t="s">
        <v>964</v>
      </c>
      <c r="C6" s="186" t="s">
        <v>11</v>
      </c>
      <c r="D6" s="189">
        <f>M8</f>
        <v>406.9439999999999</v>
      </c>
      <c r="E6" s="188">
        <f>'Rate List - Flats'!G241</f>
        <v>9347</v>
      </c>
      <c r="F6" s="188">
        <f t="shared" ref="F6:F11" si="0">+E6*D6</f>
        <v>3803705.567999999</v>
      </c>
      <c r="I6" s="5" t="s">
        <v>197</v>
      </c>
      <c r="J6" s="5" t="s">
        <v>965</v>
      </c>
      <c r="K6" s="5" t="s">
        <v>966</v>
      </c>
      <c r="L6" s="5" t="s">
        <v>967</v>
      </c>
      <c r="M6" s="5" t="s">
        <v>562</v>
      </c>
      <c r="N6" s="5" t="s">
        <v>315</v>
      </c>
      <c r="O6" s="5" t="s">
        <v>968</v>
      </c>
    </row>
    <row r="7" spans="1:15">
      <c r="A7" s="186">
        <v>5</v>
      </c>
      <c r="B7" s="187" t="s">
        <v>969</v>
      </c>
      <c r="C7" s="186" t="s">
        <v>11</v>
      </c>
      <c r="D7" s="189">
        <f>M29</f>
        <v>48.866999999999997</v>
      </c>
      <c r="E7" s="188">
        <f>'Rate List - Flats'!G241</f>
        <v>9347</v>
      </c>
      <c r="F7" s="188">
        <f t="shared" si="0"/>
        <v>456759.84899999999</v>
      </c>
      <c r="I7" s="6">
        <v>1</v>
      </c>
      <c r="J7" s="6">
        <f>J3</f>
        <v>0.6</v>
      </c>
      <c r="K7" s="6">
        <f>K3</f>
        <v>7.2</v>
      </c>
      <c r="L7" s="6">
        <f>M3</f>
        <v>200</v>
      </c>
      <c r="M7" s="181">
        <f>3.14*(J7/2)*(J7/2)*K7*L7</f>
        <v>406.9439999999999</v>
      </c>
      <c r="N7" s="7" t="s">
        <v>11</v>
      </c>
      <c r="O7" s="6"/>
    </row>
    <row r="8" spans="1:15">
      <c r="A8" s="186">
        <v>6</v>
      </c>
      <c r="B8" s="187" t="s">
        <v>970</v>
      </c>
      <c r="C8" s="186" t="s">
        <v>11</v>
      </c>
      <c r="D8" s="189">
        <f>M30</f>
        <v>14.660099999999998</v>
      </c>
      <c r="E8" s="188">
        <f>'Rate List - Flats'!G239</f>
        <v>8040</v>
      </c>
      <c r="F8" s="188">
        <f t="shared" si="0"/>
        <v>117867.20399999998</v>
      </c>
      <c r="I8" s="190"/>
      <c r="J8" s="190"/>
      <c r="K8" s="190"/>
      <c r="L8" s="191"/>
      <c r="M8" s="192">
        <f>SUM(M7:M7)</f>
        <v>406.9439999999999</v>
      </c>
      <c r="N8" s="193" t="s">
        <v>11</v>
      </c>
      <c r="O8" s="190"/>
    </row>
    <row r="9" spans="1:15">
      <c r="A9" s="186">
        <v>7</v>
      </c>
      <c r="B9" s="186" t="s">
        <v>83</v>
      </c>
      <c r="C9" s="186" t="s">
        <v>87</v>
      </c>
      <c r="D9" s="189">
        <f>V46</f>
        <v>25.797411728395062</v>
      </c>
      <c r="E9" s="188">
        <f>'Rate List - Flats'!G245</f>
        <v>79310</v>
      </c>
      <c r="F9" s="188">
        <f t="shared" si="0"/>
        <v>2045992.7241790125</v>
      </c>
    </row>
    <row r="10" spans="1:15">
      <c r="A10" s="186">
        <v>8</v>
      </c>
      <c r="B10" s="186" t="s">
        <v>971</v>
      </c>
      <c r="C10" s="186" t="s">
        <v>614</v>
      </c>
      <c r="D10" s="194">
        <f>M14</f>
        <v>400</v>
      </c>
      <c r="E10" s="188">
        <v>3600</v>
      </c>
      <c r="F10" s="188">
        <f t="shared" si="0"/>
        <v>1440000</v>
      </c>
    </row>
    <row r="11" spans="1:15">
      <c r="A11" s="186">
        <v>9</v>
      </c>
      <c r="B11" s="186" t="s">
        <v>972</v>
      </c>
      <c r="C11" s="186" t="s">
        <v>21</v>
      </c>
      <c r="D11" s="194">
        <f>M33</f>
        <v>139.62</v>
      </c>
      <c r="E11" s="188">
        <f>'Rate List - Flats'!G246</f>
        <v>1086</v>
      </c>
      <c r="F11" s="188">
        <f t="shared" si="0"/>
        <v>151627.32</v>
      </c>
      <c r="I11" s="1107" t="s">
        <v>973</v>
      </c>
      <c r="J11" s="1107"/>
      <c r="K11" s="1107"/>
      <c r="L11" s="1107"/>
      <c r="M11" s="1107"/>
      <c r="N11" s="1107"/>
      <c r="O11" s="1107"/>
    </row>
    <row r="12" spans="1:15" ht="41.4">
      <c r="A12" s="186"/>
      <c r="B12" s="186"/>
      <c r="C12" s="186"/>
      <c r="D12" s="186"/>
      <c r="E12" s="195" t="s">
        <v>442</v>
      </c>
      <c r="F12" s="195">
        <f>SUM(F4:F11)</f>
        <v>12837952.665179012</v>
      </c>
      <c r="I12" s="5" t="s">
        <v>197</v>
      </c>
      <c r="J12" s="5" t="s">
        <v>965</v>
      </c>
      <c r="K12" s="5" t="s">
        <v>974</v>
      </c>
      <c r="L12" s="5" t="s">
        <v>967</v>
      </c>
      <c r="M12" s="5" t="s">
        <v>562</v>
      </c>
      <c r="N12" s="5" t="s">
        <v>315</v>
      </c>
      <c r="O12" s="5" t="s">
        <v>968</v>
      </c>
    </row>
    <row r="13" spans="1:15">
      <c r="I13" s="6">
        <v>1</v>
      </c>
      <c r="J13" s="6">
        <f>J3</f>
        <v>0.6</v>
      </c>
      <c r="K13" s="6">
        <v>2</v>
      </c>
      <c r="L13" s="6">
        <f>L7</f>
        <v>200</v>
      </c>
      <c r="M13" s="181">
        <f>K13*L13</f>
        <v>400</v>
      </c>
      <c r="N13" s="7" t="s">
        <v>614</v>
      </c>
      <c r="O13" s="6"/>
    </row>
    <row r="14" spans="1:15">
      <c r="I14" s="190"/>
      <c r="J14" s="190"/>
      <c r="K14" s="190"/>
      <c r="L14" s="191"/>
      <c r="M14" s="192">
        <f>SUM(M13:M13)</f>
        <v>400</v>
      </c>
      <c r="N14" s="193" t="s">
        <v>614</v>
      </c>
      <c r="O14" s="190"/>
    </row>
    <row r="15" spans="1:15">
      <c r="F15" s="201"/>
    </row>
    <row r="16" spans="1:15">
      <c r="C16" s="185">
        <f>2*3.14*0.3*7850*0.003</f>
        <v>44.368200000000002</v>
      </c>
      <c r="I16" s="1107" t="s">
        <v>975</v>
      </c>
      <c r="J16" s="1107"/>
      <c r="K16" s="1107"/>
      <c r="L16" s="1107"/>
      <c r="M16" s="1107"/>
      <c r="N16" s="1107"/>
      <c r="O16" s="1107"/>
    </row>
    <row r="17" spans="3:15" ht="41.4">
      <c r="C17" s="185">
        <f>C16*80</f>
        <v>3549.4560000000001</v>
      </c>
      <c r="I17" s="5" t="s">
        <v>197</v>
      </c>
      <c r="J17" s="5" t="s">
        <v>965</v>
      </c>
      <c r="K17" s="5" t="s">
        <v>976</v>
      </c>
      <c r="L17" s="5" t="s">
        <v>967</v>
      </c>
      <c r="M17" s="5" t="s">
        <v>562</v>
      </c>
      <c r="N17" s="5" t="s">
        <v>315</v>
      </c>
      <c r="O17" s="5" t="s">
        <v>968</v>
      </c>
    </row>
    <row r="18" spans="3:15">
      <c r="I18" s="6">
        <v>1</v>
      </c>
      <c r="J18" s="6">
        <v>0.3</v>
      </c>
      <c r="K18" s="6">
        <f>K7</f>
        <v>7.2</v>
      </c>
      <c r="L18" s="6">
        <f>L13</f>
        <v>200</v>
      </c>
      <c r="M18" s="181">
        <f>K18*L18</f>
        <v>1440</v>
      </c>
      <c r="N18" s="7" t="s">
        <v>614</v>
      </c>
      <c r="O18" s="6"/>
    </row>
    <row r="19" spans="3:15">
      <c r="E19" s="185">
        <f>25*200/55</f>
        <v>90.909090909090907</v>
      </c>
      <c r="I19" s="190"/>
      <c r="J19" s="190"/>
      <c r="K19" s="190"/>
      <c r="L19" s="191"/>
      <c r="M19" s="191">
        <f>SUM(M18:M18)</f>
        <v>1440</v>
      </c>
      <c r="N19" s="193" t="s">
        <v>614</v>
      </c>
      <c r="O19" s="190"/>
    </row>
    <row r="21" spans="3:15">
      <c r="I21" s="1108" t="s">
        <v>977</v>
      </c>
      <c r="J21" s="1109"/>
      <c r="K21" s="1109"/>
      <c r="L21" s="1109"/>
      <c r="M21" s="1109"/>
      <c r="N21" s="1109"/>
      <c r="O21" s="1110"/>
    </row>
    <row r="22" spans="3:15" ht="41.4">
      <c r="I22" s="5" t="s">
        <v>197</v>
      </c>
      <c r="J22" s="5" t="s">
        <v>965</v>
      </c>
      <c r="K22" s="5" t="s">
        <v>966</v>
      </c>
      <c r="L22" s="5" t="s">
        <v>967</v>
      </c>
      <c r="M22" s="5" t="s">
        <v>562</v>
      </c>
      <c r="N22" s="5" t="s">
        <v>315</v>
      </c>
      <c r="O22" s="5" t="s">
        <v>968</v>
      </c>
    </row>
    <row r="23" spans="3:15">
      <c r="I23" s="6">
        <v>1</v>
      </c>
      <c r="J23" s="6">
        <v>0.3</v>
      </c>
      <c r="K23" s="6">
        <v>1</v>
      </c>
      <c r="L23" s="6">
        <f>L7</f>
        <v>200</v>
      </c>
      <c r="M23" s="181">
        <f>3.14*(J23/2)*(J23/2)*K23*L23</f>
        <v>14.129999999999999</v>
      </c>
      <c r="N23" s="7" t="s">
        <v>11</v>
      </c>
      <c r="O23" s="6"/>
    </row>
    <row r="24" spans="3:15">
      <c r="I24" s="190"/>
      <c r="J24" s="190"/>
      <c r="K24" s="190"/>
      <c r="L24" s="191"/>
      <c r="M24" s="192">
        <f>SUM(M23:M23)</f>
        <v>14.129999999999999</v>
      </c>
      <c r="N24" s="193" t="s">
        <v>11</v>
      </c>
      <c r="O24" s="190"/>
    </row>
    <row r="26" spans="3:15">
      <c r="I26" s="1108" t="s">
        <v>978</v>
      </c>
      <c r="J26" s="1109"/>
      <c r="K26" s="1109"/>
      <c r="L26" s="1109"/>
      <c r="M26" s="1109"/>
      <c r="N26" s="1109"/>
      <c r="O26" s="1110"/>
    </row>
    <row r="27" spans="3:15">
      <c r="I27" s="182" t="s">
        <v>332</v>
      </c>
      <c r="J27" s="183"/>
      <c r="K27" s="183"/>
      <c r="L27" s="183"/>
      <c r="M27" s="183"/>
      <c r="N27" s="183"/>
      <c r="O27" s="184"/>
    </row>
    <row r="28" spans="3:15">
      <c r="I28" s="5" t="s">
        <v>197</v>
      </c>
      <c r="J28" s="5" t="s">
        <v>848</v>
      </c>
      <c r="K28" s="5" t="s">
        <v>979</v>
      </c>
      <c r="L28" s="5" t="s">
        <v>649</v>
      </c>
      <c r="M28" s="5" t="s">
        <v>562</v>
      </c>
      <c r="N28" s="5" t="s">
        <v>315</v>
      </c>
      <c r="O28" s="5" t="s">
        <v>968</v>
      </c>
    </row>
    <row r="29" spans="3:15">
      <c r="I29" s="6">
        <v>1</v>
      </c>
      <c r="J29" s="6">
        <f>L3</f>
        <v>139.62</v>
      </c>
      <c r="K29" s="6">
        <v>0.7</v>
      </c>
      <c r="L29" s="6">
        <v>0.5</v>
      </c>
      <c r="M29" s="181">
        <f>J29*K29*L29</f>
        <v>48.866999999999997</v>
      </c>
      <c r="N29" s="7" t="s">
        <v>11</v>
      </c>
      <c r="O29" s="6"/>
    </row>
    <row r="30" spans="3:15">
      <c r="I30" s="6">
        <v>2</v>
      </c>
      <c r="J30" s="6">
        <f>J29</f>
        <v>139.62</v>
      </c>
      <c r="K30" s="6">
        <f>K29</f>
        <v>0.7</v>
      </c>
      <c r="L30" s="6">
        <v>0.15</v>
      </c>
      <c r="M30" s="181">
        <f>J30*K30*L30</f>
        <v>14.660099999999998</v>
      </c>
      <c r="N30" s="7" t="s">
        <v>11</v>
      </c>
      <c r="O30" s="6"/>
    </row>
    <row r="31" spans="3:15">
      <c r="I31" s="182" t="s">
        <v>980</v>
      </c>
      <c r="J31" s="183"/>
      <c r="K31" s="183"/>
      <c r="L31" s="183"/>
      <c r="M31" s="183"/>
      <c r="N31" s="183"/>
      <c r="O31" s="184"/>
    </row>
    <row r="32" spans="3:15">
      <c r="I32" s="5" t="s">
        <v>197</v>
      </c>
      <c r="J32" s="5" t="s">
        <v>848</v>
      </c>
      <c r="K32" s="5" t="s">
        <v>649</v>
      </c>
      <c r="L32" s="5" t="s">
        <v>91</v>
      </c>
      <c r="M32" s="5" t="s">
        <v>562</v>
      </c>
      <c r="N32" s="5" t="s">
        <v>315</v>
      </c>
      <c r="O32" s="5" t="s">
        <v>968</v>
      </c>
    </row>
    <row r="33" spans="9:28">
      <c r="I33" s="6">
        <v>1</v>
      </c>
      <c r="J33" s="6">
        <f>J29</f>
        <v>139.62</v>
      </c>
      <c r="K33" s="6">
        <v>0.5</v>
      </c>
      <c r="L33" s="6">
        <v>2</v>
      </c>
      <c r="M33" s="181">
        <f>J33*K33*L33</f>
        <v>139.62</v>
      </c>
      <c r="N33" s="7" t="s">
        <v>21</v>
      </c>
      <c r="O33" s="6"/>
    </row>
    <row r="34" spans="9:28">
      <c r="I34" s="6"/>
      <c r="J34" s="6"/>
      <c r="K34" s="6"/>
      <c r="L34" s="6"/>
      <c r="M34" s="181"/>
      <c r="N34" s="7"/>
      <c r="O34" s="6"/>
    </row>
    <row r="35" spans="9:28">
      <c r="I35" s="6"/>
      <c r="J35" s="6"/>
      <c r="K35" s="6"/>
      <c r="L35" s="6"/>
      <c r="M35" s="181"/>
      <c r="N35" s="7"/>
      <c r="O35" s="6"/>
    </row>
    <row r="36" spans="9:28">
      <c r="I36" s="6"/>
      <c r="J36" s="6"/>
      <c r="K36" s="6"/>
      <c r="L36" s="6"/>
      <c r="M36" s="181"/>
      <c r="N36" s="7"/>
      <c r="O36" s="6"/>
    </row>
    <row r="38" spans="9:28">
      <c r="I38" s="1096" t="s">
        <v>981</v>
      </c>
      <c r="J38" s="1096"/>
      <c r="K38" s="1096"/>
      <c r="L38" s="1096"/>
      <c r="M38" s="1096"/>
      <c r="N38" s="1096"/>
      <c r="O38" s="1096"/>
      <c r="P38" s="1096"/>
      <c r="Q38" s="1096"/>
      <c r="R38" s="1096"/>
      <c r="S38" s="1096"/>
      <c r="T38" s="1096"/>
      <c r="U38" s="1096"/>
      <c r="V38" s="1096"/>
      <c r="W38" s="1096"/>
      <c r="X38" s="1096"/>
      <c r="Y38" s="1096"/>
      <c r="Z38" s="1096"/>
      <c r="AA38" s="1096"/>
      <c r="AB38" s="1096"/>
    </row>
    <row r="39" spans="9:28">
      <c r="I39" s="1111" t="s">
        <v>288</v>
      </c>
      <c r="J39" s="1111" t="s">
        <v>965</v>
      </c>
      <c r="K39" s="1111" t="s">
        <v>966</v>
      </c>
      <c r="L39" s="1111" t="s">
        <v>982</v>
      </c>
      <c r="M39" s="1111" t="s">
        <v>983</v>
      </c>
      <c r="N39" s="1111" t="s">
        <v>984</v>
      </c>
      <c r="O39" s="1111"/>
      <c r="P39" s="1111"/>
      <c r="Q39" s="1111"/>
      <c r="R39" s="1111" t="s">
        <v>985</v>
      </c>
      <c r="S39" s="1111" t="s">
        <v>986</v>
      </c>
      <c r="T39" s="1111" t="s">
        <v>987</v>
      </c>
      <c r="U39" s="1111" t="s">
        <v>988</v>
      </c>
      <c r="V39" s="196">
        <v>8</v>
      </c>
      <c r="W39" s="196">
        <v>10</v>
      </c>
      <c r="X39" s="196">
        <v>12</v>
      </c>
      <c r="Y39" s="196">
        <v>16</v>
      </c>
      <c r="Z39" s="196">
        <v>20</v>
      </c>
      <c r="AA39" s="196">
        <v>25</v>
      </c>
      <c r="AB39" s="196">
        <v>32</v>
      </c>
    </row>
    <row r="40" spans="9:28" ht="29.4" customHeight="1">
      <c r="I40" s="1111"/>
      <c r="J40" s="1111"/>
      <c r="K40" s="1111"/>
      <c r="L40" s="1111"/>
      <c r="M40" s="1111"/>
      <c r="N40" s="1111"/>
      <c r="O40" s="1111"/>
      <c r="P40" s="1111"/>
      <c r="Q40" s="1111"/>
      <c r="R40" s="1111"/>
      <c r="S40" s="1111"/>
      <c r="T40" s="1111"/>
      <c r="U40" s="1111"/>
      <c r="V40" s="197">
        <f>V39*V39/162</f>
        <v>0.39506172839506171</v>
      </c>
      <c r="W40" s="197">
        <f t="shared" ref="W40:AB40" si="1">W39*W39/162</f>
        <v>0.61728395061728392</v>
      </c>
      <c r="X40" s="197">
        <f t="shared" si="1"/>
        <v>0.88888888888888884</v>
      </c>
      <c r="Y40" s="197">
        <f t="shared" si="1"/>
        <v>1.5802469135802468</v>
      </c>
      <c r="Z40" s="197">
        <f t="shared" si="1"/>
        <v>2.4691358024691357</v>
      </c>
      <c r="AA40" s="197">
        <f t="shared" si="1"/>
        <v>3.8580246913580245</v>
      </c>
      <c r="AB40" s="197">
        <f t="shared" si="1"/>
        <v>6.3209876543209873</v>
      </c>
    </row>
    <row r="41" spans="9:28" ht="27.6">
      <c r="I41" s="6">
        <v>1</v>
      </c>
      <c r="J41" s="6">
        <v>0.6</v>
      </c>
      <c r="K41" s="198">
        <v>7.2</v>
      </c>
      <c r="L41" s="6">
        <f>M3</f>
        <v>200</v>
      </c>
      <c r="M41" s="8" t="s">
        <v>989</v>
      </c>
      <c r="N41" s="7"/>
      <c r="O41" s="7">
        <v>7.2</v>
      </c>
      <c r="P41" s="7"/>
      <c r="Q41" s="7"/>
      <c r="R41" s="199">
        <v>20</v>
      </c>
      <c r="S41" s="6"/>
      <c r="T41" s="6">
        <v>6</v>
      </c>
      <c r="U41" s="7">
        <f t="shared" ref="U41:U42" si="2">SUM(N41:Q41)</f>
        <v>7.2</v>
      </c>
      <c r="V41" s="7" t="str">
        <f>IF($R41=8,$L41*$T41*$U41,"-")</f>
        <v>-</v>
      </c>
      <c r="W41" s="7" t="str">
        <f>IF($R41=10,$L41*$T41*$U41,"-")</f>
        <v>-</v>
      </c>
      <c r="X41" s="7" t="str">
        <f>IF($R41=12,$L41*$T41*$U41,"-")</f>
        <v>-</v>
      </c>
      <c r="Y41" s="7" t="str">
        <f>IF($R41=16,$L41*$T41*$U41,"-")</f>
        <v>-</v>
      </c>
      <c r="Z41" s="7">
        <f>IF($R41=20,$L41*$T41*$U41,"-")</f>
        <v>8640</v>
      </c>
      <c r="AA41" s="7" t="str">
        <f>IF($R41=25,$L41*$T41*$U41,"-")</f>
        <v>-</v>
      </c>
      <c r="AB41" s="7" t="str">
        <f>IF($R41=32,$L41*$T41*$U41,"-")</f>
        <v>-</v>
      </c>
    </row>
    <row r="42" spans="9:28" ht="27.6">
      <c r="I42" s="6"/>
      <c r="J42" s="6">
        <v>0.54999999999999993</v>
      </c>
      <c r="K42" s="198">
        <v>7.2</v>
      </c>
      <c r="L42" s="6">
        <f>M3</f>
        <v>200</v>
      </c>
      <c r="M42" s="8" t="s">
        <v>990</v>
      </c>
      <c r="N42" s="7">
        <v>0.78537500000000005</v>
      </c>
      <c r="O42" s="7">
        <v>0.2</v>
      </c>
      <c r="P42" s="7"/>
      <c r="Q42" s="7"/>
      <c r="R42" s="199">
        <v>10</v>
      </c>
      <c r="S42" s="6">
        <v>1</v>
      </c>
      <c r="T42" s="200">
        <f>K41/S42+1</f>
        <v>8.1999999999999993</v>
      </c>
      <c r="U42" s="7">
        <f t="shared" si="2"/>
        <v>0.98537500000000011</v>
      </c>
      <c r="V42" s="7" t="str">
        <f t="shared" ref="V42:V43" si="3">IF($R42=8,$L42*$T42*$U42,"-")</f>
        <v>-</v>
      </c>
      <c r="W42" s="7">
        <f t="shared" ref="W42:W43" si="4">IF($R42=10,$L42*$T42*$U42,"-")</f>
        <v>1616.0149999999999</v>
      </c>
      <c r="X42" s="7" t="str">
        <f t="shared" ref="X42:X43" si="5">IF($R42=12,$L42*$T42*$U42,"-")</f>
        <v>-</v>
      </c>
      <c r="Y42" s="7" t="str">
        <f t="shared" ref="Y42:Y43" si="6">IF($R42=16,$L42*$T42*$U42,"-")</f>
        <v>-</v>
      </c>
      <c r="Z42" s="7" t="str">
        <f t="shared" ref="Z42:Z43" si="7">IF($R42=20,$L42*$T42*$U42,"-")</f>
        <v>-</v>
      </c>
      <c r="AA42" s="7" t="str">
        <f t="shared" ref="AA42:AA43" si="8">IF($R42=25,$L42*$T42*$U42,"-")</f>
        <v>-</v>
      </c>
      <c r="AB42" s="7" t="str">
        <f t="shared" ref="AB42:AB43" si="9">IF($R42=32,$L42*$T42*$U42,"-")</f>
        <v>-</v>
      </c>
    </row>
    <row r="43" spans="9:28" ht="27.6">
      <c r="I43" s="6"/>
      <c r="J43" s="6">
        <v>0.54999999999999993</v>
      </c>
      <c r="K43" s="198">
        <v>7.2</v>
      </c>
      <c r="L43" s="6">
        <f>M3</f>
        <v>200</v>
      </c>
      <c r="M43" s="8" t="s">
        <v>991</v>
      </c>
      <c r="N43" s="7">
        <v>0.735375</v>
      </c>
      <c r="O43" s="7">
        <v>0.16</v>
      </c>
      <c r="P43" s="7"/>
      <c r="Q43" s="7"/>
      <c r="R43" s="199">
        <v>8</v>
      </c>
      <c r="S43" s="6">
        <v>0.15</v>
      </c>
      <c r="T43" s="200">
        <f>K43/S43+1</f>
        <v>49</v>
      </c>
      <c r="U43" s="7">
        <f>SUM(N43:Q43)</f>
        <v>0.89537500000000003</v>
      </c>
      <c r="V43" s="7">
        <f t="shared" si="3"/>
        <v>8774.6750000000011</v>
      </c>
      <c r="W43" s="7" t="str">
        <f t="shared" si="4"/>
        <v>-</v>
      </c>
      <c r="X43" s="7" t="str">
        <f t="shared" si="5"/>
        <v>-</v>
      </c>
      <c r="Y43" s="7" t="str">
        <f t="shared" si="6"/>
        <v>-</v>
      </c>
      <c r="Z43" s="7" t="str">
        <f t="shared" si="7"/>
        <v>-</v>
      </c>
      <c r="AA43" s="7" t="str">
        <f t="shared" si="8"/>
        <v>-</v>
      </c>
      <c r="AB43" s="7" t="str">
        <f t="shared" si="9"/>
        <v>-</v>
      </c>
    </row>
    <row r="44" spans="9:28">
      <c r="I44" s="1113" t="s">
        <v>992</v>
      </c>
      <c r="J44" s="1113"/>
      <c r="K44" s="1113"/>
      <c r="L44" s="1113"/>
      <c r="M44" s="1113"/>
      <c r="N44" s="1113"/>
      <c r="O44" s="1113"/>
      <c r="P44" s="1113"/>
      <c r="Q44" s="1113"/>
      <c r="R44" s="1113"/>
      <c r="S44" s="1113"/>
      <c r="T44" s="1113"/>
      <c r="U44" s="1113"/>
      <c r="V44" s="9">
        <f t="shared" ref="V44:AB44" si="10">SUM(V41:V43)</f>
        <v>8774.6750000000011</v>
      </c>
      <c r="W44" s="9">
        <f t="shared" si="10"/>
        <v>1616.0149999999999</v>
      </c>
      <c r="X44" s="9">
        <f t="shared" si="10"/>
        <v>0</v>
      </c>
      <c r="Y44" s="9">
        <f t="shared" si="10"/>
        <v>0</v>
      </c>
      <c r="Z44" s="9">
        <f t="shared" si="10"/>
        <v>8640</v>
      </c>
      <c r="AA44" s="9">
        <f t="shared" si="10"/>
        <v>0</v>
      </c>
      <c r="AB44" s="9">
        <f t="shared" si="10"/>
        <v>0</v>
      </c>
    </row>
    <row r="45" spans="9:28">
      <c r="I45" s="1113" t="s">
        <v>993</v>
      </c>
      <c r="J45" s="1113"/>
      <c r="K45" s="1113"/>
      <c r="L45" s="1113"/>
      <c r="M45" s="1113"/>
      <c r="N45" s="1113"/>
      <c r="O45" s="1113"/>
      <c r="P45" s="1113"/>
      <c r="Q45" s="1113"/>
      <c r="R45" s="1113"/>
      <c r="S45" s="1113"/>
      <c r="T45" s="1113"/>
      <c r="U45" s="1113"/>
      <c r="V45" s="9">
        <f t="shared" ref="V45:AB45" si="11">(V44*V40)/1000</f>
        <v>3.4665382716049384</v>
      </c>
      <c r="W45" s="9">
        <f t="shared" si="11"/>
        <v>0.99754012345679</v>
      </c>
      <c r="X45" s="9">
        <f t="shared" si="11"/>
        <v>0</v>
      </c>
      <c r="Y45" s="9">
        <f t="shared" si="11"/>
        <v>0</v>
      </c>
      <c r="Z45" s="9">
        <f t="shared" si="11"/>
        <v>21.333333333333332</v>
      </c>
      <c r="AA45" s="9">
        <f t="shared" si="11"/>
        <v>0</v>
      </c>
      <c r="AB45" s="9">
        <f t="shared" si="11"/>
        <v>0</v>
      </c>
    </row>
    <row r="46" spans="9:28" ht="15">
      <c r="I46" s="1114" t="s">
        <v>994</v>
      </c>
      <c r="J46" s="1114"/>
      <c r="K46" s="1114"/>
      <c r="L46" s="1114"/>
      <c r="M46" s="1114"/>
      <c r="N46" s="1114"/>
      <c r="O46" s="1114"/>
      <c r="P46" s="1114"/>
      <c r="Q46" s="1114"/>
      <c r="R46" s="1114"/>
      <c r="S46" s="1114"/>
      <c r="T46" s="1114"/>
      <c r="U46" s="1114"/>
      <c r="V46" s="1112">
        <f>SUM(V45:AB45)</f>
        <v>25.797411728395062</v>
      </c>
      <c r="W46" s="1112"/>
      <c r="X46" s="1112"/>
      <c r="Y46" s="1112"/>
      <c r="Z46" s="1112"/>
      <c r="AA46" s="1112"/>
      <c r="AB46" s="1112"/>
    </row>
  </sheetData>
  <mergeCells count="22">
    <mergeCell ref="V46:AB46"/>
    <mergeCell ref="S39:S40"/>
    <mergeCell ref="T39:T40"/>
    <mergeCell ref="U39:U40"/>
    <mergeCell ref="I44:U44"/>
    <mergeCell ref="I45:U45"/>
    <mergeCell ref="I46:U46"/>
    <mergeCell ref="I21:O21"/>
    <mergeCell ref="I26:O26"/>
    <mergeCell ref="I38:AB38"/>
    <mergeCell ref="I39:I40"/>
    <mergeCell ref="J39:J40"/>
    <mergeCell ref="K39:K40"/>
    <mergeCell ref="L39:L40"/>
    <mergeCell ref="M39:M40"/>
    <mergeCell ref="N39:Q40"/>
    <mergeCell ref="R39:R40"/>
    <mergeCell ref="A1:F1"/>
    <mergeCell ref="I1:M1"/>
    <mergeCell ref="I5:O5"/>
    <mergeCell ref="I11:O11"/>
    <mergeCell ref="I16:O16"/>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FFECA-6F14-46EA-9684-0365AAE2D8FC}">
  <dimension ref="A1:F7"/>
  <sheetViews>
    <sheetView workbookViewId="0">
      <selection activeCell="D4" sqref="D4"/>
    </sheetView>
  </sheetViews>
  <sheetFormatPr defaultColWidth="8.88671875" defaultRowHeight="13.8"/>
  <cols>
    <col min="1" max="1" width="8.88671875" style="1"/>
    <col min="2" max="2" width="19.109375" style="1" bestFit="1" customWidth="1"/>
    <col min="3" max="3" width="8.88671875" style="1"/>
    <col min="4" max="4" width="11.6640625" style="1" bestFit="1" customWidth="1"/>
    <col min="5" max="5" width="14.44140625" style="1" bestFit="1" customWidth="1"/>
    <col min="6" max="16384" width="8.88671875" style="1"/>
  </cols>
  <sheetData>
    <row r="1" spans="1:6">
      <c r="A1" s="1096" t="s">
        <v>995</v>
      </c>
      <c r="B1" s="1096"/>
      <c r="C1" s="1096"/>
      <c r="D1" s="1096"/>
      <c r="E1" s="1096"/>
      <c r="F1" s="1096"/>
    </row>
    <row r="2" spans="1:6">
      <c r="A2" s="202" t="s">
        <v>197</v>
      </c>
      <c r="B2" s="202" t="s">
        <v>996</v>
      </c>
      <c r="C2" s="202" t="s">
        <v>324</v>
      </c>
      <c r="D2" s="202" t="s">
        <v>567</v>
      </c>
      <c r="E2" s="202" t="s">
        <v>997</v>
      </c>
      <c r="F2" s="202" t="s">
        <v>315</v>
      </c>
    </row>
    <row r="3" spans="1:6">
      <c r="A3" s="6">
        <v>1</v>
      </c>
      <c r="B3" s="6" t="s">
        <v>248</v>
      </c>
      <c r="C3" s="6">
        <v>1</v>
      </c>
      <c r="D3" s="6">
        <f>3286.5-509.84</f>
        <v>2776.66</v>
      </c>
      <c r="E3" s="7">
        <f>PRODUCT(C3:D3)</f>
        <v>2776.66</v>
      </c>
      <c r="F3" s="6" t="s">
        <v>21</v>
      </c>
    </row>
    <row r="4" spans="1:6">
      <c r="A4" s="6">
        <v>2</v>
      </c>
      <c r="B4" s="6" t="s">
        <v>998</v>
      </c>
      <c r="C4" s="6">
        <v>3</v>
      </c>
      <c r="D4" s="6">
        <v>1086.5899999999999</v>
      </c>
      <c r="E4" s="7">
        <f t="shared" ref="E4:E6" si="0">PRODUCT(C4:D4)</f>
        <v>3259.7699999999995</v>
      </c>
      <c r="F4" s="6" t="s">
        <v>21</v>
      </c>
    </row>
    <row r="5" spans="1:6">
      <c r="A5" s="6">
        <v>3</v>
      </c>
      <c r="B5" s="6" t="s">
        <v>253</v>
      </c>
      <c r="C5" s="6">
        <v>1</v>
      </c>
      <c r="D5" s="6">
        <f>1086.59-191.2</f>
        <v>895.38999999999987</v>
      </c>
      <c r="E5" s="7">
        <f t="shared" si="0"/>
        <v>895.38999999999987</v>
      </c>
      <c r="F5" s="6" t="s">
        <v>21</v>
      </c>
    </row>
    <row r="6" spans="1:6">
      <c r="A6" s="6">
        <v>4</v>
      </c>
      <c r="B6" s="6" t="s">
        <v>999</v>
      </c>
      <c r="C6" s="6">
        <v>2</v>
      </c>
      <c r="D6" s="6">
        <f>1086.59-191.2</f>
        <v>895.38999999999987</v>
      </c>
      <c r="E6" s="7">
        <f t="shared" si="0"/>
        <v>1790.7799999999997</v>
      </c>
      <c r="F6" s="6" t="s">
        <v>21</v>
      </c>
    </row>
    <row r="7" spans="1:6">
      <c r="A7" s="6"/>
      <c r="B7" s="6"/>
      <c r="C7" s="6"/>
      <c r="D7" s="4" t="s">
        <v>232</v>
      </c>
      <c r="E7" s="9">
        <f>SUM(E3:E6)</f>
        <v>8722.5999999999985</v>
      </c>
      <c r="F7" s="4" t="s">
        <v>21</v>
      </c>
    </row>
  </sheetData>
  <mergeCells count="1">
    <mergeCell ref="A1:F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793E4-71B3-4E51-A4A8-583C7042207A}">
  <dimension ref="A1:L20"/>
  <sheetViews>
    <sheetView workbookViewId="0">
      <selection activeCell="F11" sqref="F11"/>
    </sheetView>
  </sheetViews>
  <sheetFormatPr defaultColWidth="8.88671875" defaultRowHeight="13.8"/>
  <cols>
    <col min="1" max="1" width="9.33203125" style="23" customWidth="1"/>
    <col min="2" max="2" width="19.109375" style="23" bestFit="1" customWidth="1"/>
    <col min="3" max="3" width="9" style="23" bestFit="1" customWidth="1"/>
    <col min="4" max="4" width="10.5546875" style="23" bestFit="1" customWidth="1"/>
    <col min="5" max="5" width="9" style="23" bestFit="1" customWidth="1"/>
    <col min="6" max="6" width="10.6640625" style="23" bestFit="1" customWidth="1"/>
    <col min="7" max="7" width="15.6640625" style="23" bestFit="1" customWidth="1"/>
    <col min="8" max="9" width="8.88671875" style="23"/>
    <col min="10" max="10" width="15.6640625" style="23" bestFit="1" customWidth="1"/>
    <col min="11" max="11" width="10.109375" style="23" bestFit="1" customWidth="1"/>
    <col min="12" max="12" width="11.33203125" style="23" bestFit="1" customWidth="1"/>
    <col min="13" max="16384" width="8.88671875" style="23"/>
  </cols>
  <sheetData>
    <row r="1" spans="1:12">
      <c r="A1" s="1116" t="s">
        <v>1000</v>
      </c>
      <c r="B1" s="1116"/>
      <c r="C1" s="1116"/>
      <c r="D1" s="1116"/>
      <c r="E1" s="1116"/>
      <c r="F1" s="1116"/>
      <c r="G1" s="1116"/>
    </row>
    <row r="2" spans="1:12">
      <c r="A2" s="254" t="s">
        <v>197</v>
      </c>
      <c r="B2" s="254" t="s">
        <v>1001</v>
      </c>
      <c r="C2" s="254" t="s">
        <v>324</v>
      </c>
      <c r="D2" s="254" t="s">
        <v>1002</v>
      </c>
      <c r="E2" s="254" t="s">
        <v>1003</v>
      </c>
      <c r="F2" s="254" t="s">
        <v>1004</v>
      </c>
      <c r="G2" s="254" t="s">
        <v>567</v>
      </c>
    </row>
    <row r="3" spans="1:12">
      <c r="A3" s="261">
        <v>1</v>
      </c>
      <c r="B3" s="261" t="s">
        <v>1005</v>
      </c>
      <c r="C3" s="295">
        <v>28</v>
      </c>
      <c r="D3" s="296">
        <v>29.38</v>
      </c>
      <c r="E3" s="24">
        <v>2.4</v>
      </c>
      <c r="F3" s="24">
        <f>E3*D3*C3</f>
        <v>1974.336</v>
      </c>
      <c r="G3" s="174">
        <f>F3/0.15</f>
        <v>13162.24</v>
      </c>
      <c r="J3" s="35">
        <v>29.38</v>
      </c>
      <c r="K3" s="36">
        <f>J3*2.4*28</f>
        <v>1974.336</v>
      </c>
      <c r="L3" s="36">
        <f>K3/0.15</f>
        <v>13162.24</v>
      </c>
    </row>
    <row r="4" spans="1:12">
      <c r="A4" s="253"/>
      <c r="B4" s="253"/>
      <c r="C4" s="301"/>
      <c r="D4" s="302"/>
      <c r="J4" s="36"/>
    </row>
    <row r="5" spans="1:12">
      <c r="A5" s="253"/>
      <c r="B5" s="253"/>
      <c r="C5" s="301"/>
      <c r="D5" s="302"/>
      <c r="J5" s="36"/>
    </row>
    <row r="6" spans="1:12">
      <c r="A6" s="1115" t="s">
        <v>1006</v>
      </c>
      <c r="B6" s="1115"/>
      <c r="C6" s="1115"/>
      <c r="D6" s="1115"/>
      <c r="E6" s="1115"/>
      <c r="F6" s="1115"/>
      <c r="J6" s="36"/>
    </row>
    <row r="7" spans="1:12">
      <c r="A7" s="254" t="s">
        <v>197</v>
      </c>
      <c r="B7" s="254" t="s">
        <v>336</v>
      </c>
      <c r="C7" s="254" t="s">
        <v>324</v>
      </c>
      <c r="D7" s="254" t="s">
        <v>569</v>
      </c>
      <c r="E7" s="254" t="s">
        <v>860</v>
      </c>
      <c r="F7" s="254" t="s">
        <v>567</v>
      </c>
      <c r="G7" s="35"/>
    </row>
    <row r="8" spans="1:12">
      <c r="A8" s="261">
        <v>1</v>
      </c>
      <c r="B8" s="261" t="s">
        <v>1007</v>
      </c>
      <c r="C8" s="295">
        <v>1</v>
      </c>
      <c r="D8" s="296">
        <v>101.5</v>
      </c>
      <c r="E8" s="297">
        <f>(5.02+4.74+20.13+20.13+4.74+4.98+9.96+12+12+9.95+5.34+5.34+12.09+12.09)-84.34</f>
        <v>54.169999999999987</v>
      </c>
      <c r="F8" s="297">
        <f>E8*D8*C8</f>
        <v>5498.2549999999983</v>
      </c>
      <c r="G8" s="35"/>
    </row>
    <row r="9" spans="1:12">
      <c r="A9" s="261"/>
      <c r="B9" s="261" t="s">
        <v>230</v>
      </c>
      <c r="C9" s="295">
        <v>-22</v>
      </c>
      <c r="D9" s="296">
        <v>1</v>
      </c>
      <c r="E9" s="297">
        <v>0.45</v>
      </c>
      <c r="F9" s="297">
        <f>E9*D9*C9</f>
        <v>-9.9</v>
      </c>
    </row>
    <row r="10" spans="1:12">
      <c r="A10" s="261"/>
      <c r="B10" s="261" t="s">
        <v>230</v>
      </c>
      <c r="C10" s="295">
        <v>-1</v>
      </c>
      <c r="D10" s="296">
        <f>D8</f>
        <v>101.5</v>
      </c>
      <c r="E10" s="297">
        <f>1.38+0.94+1.24+1.24+0.94+1.38+0.75+3.27+0.75+3.27+0.27+0.75</f>
        <v>16.18</v>
      </c>
      <c r="F10" s="297">
        <f>E10*D10*C10</f>
        <v>-1642.27</v>
      </c>
      <c r="H10" s="995"/>
    </row>
    <row r="11" spans="1:12">
      <c r="A11" s="294"/>
      <c r="B11" s="294"/>
      <c r="C11" s="298"/>
      <c r="D11" s="299"/>
      <c r="E11" s="300" t="s">
        <v>232</v>
      </c>
      <c r="F11" s="300">
        <f>SUM(F8:F10)</f>
        <v>3846.0849999999987</v>
      </c>
    </row>
    <row r="14" spans="1:12">
      <c r="A14" s="1115" t="s">
        <v>1008</v>
      </c>
      <c r="B14" s="1115"/>
      <c r="C14" s="1115"/>
      <c r="D14" s="1115"/>
      <c r="E14" s="1115"/>
      <c r="F14" s="1115"/>
    </row>
    <row r="15" spans="1:12">
      <c r="A15" s="254" t="s">
        <v>197</v>
      </c>
      <c r="B15" s="254" t="s">
        <v>336</v>
      </c>
      <c r="C15" s="254" t="s">
        <v>324</v>
      </c>
      <c r="D15" s="254" t="s">
        <v>569</v>
      </c>
      <c r="E15" s="254" t="s">
        <v>860</v>
      </c>
      <c r="F15" s="254" t="s">
        <v>567</v>
      </c>
    </row>
    <row r="16" spans="1:12">
      <c r="A16" s="261">
        <v>1</v>
      </c>
      <c r="B16" s="261" t="s">
        <v>1009</v>
      </c>
      <c r="C16" s="295">
        <v>1</v>
      </c>
      <c r="D16" s="296">
        <v>266.5</v>
      </c>
      <c r="E16" s="297">
        <f>SUM('Room Conf'!C10:C39)</f>
        <v>96.399999999999977</v>
      </c>
      <c r="F16" s="297">
        <f>E16*D16*C16</f>
        <v>25690.599999999995</v>
      </c>
    </row>
    <row r="17" spans="1:6">
      <c r="A17" s="261"/>
      <c r="B17" s="261" t="s">
        <v>1010</v>
      </c>
      <c r="C17" s="295">
        <v>1</v>
      </c>
      <c r="D17" s="296"/>
      <c r="E17" s="297"/>
      <c r="F17" s="297">
        <f>F16*10%</f>
        <v>2569.0599999999995</v>
      </c>
    </row>
    <row r="18" spans="1:6">
      <c r="A18" s="261"/>
      <c r="B18" s="261" t="s">
        <v>230</v>
      </c>
      <c r="C18" s="295">
        <v>-1</v>
      </c>
      <c r="D18" s="296">
        <f>D16</f>
        <v>266.5</v>
      </c>
      <c r="E18" s="297">
        <f>1.38+0.94+1.24+1.24+0.94+1.38+0.75+3.27+0.75+3.27+0.27+0.75</f>
        <v>16.18</v>
      </c>
      <c r="F18" s="297">
        <f>E18*D18*C18</f>
        <v>-4311.97</v>
      </c>
    </row>
    <row r="19" spans="1:6" ht="26.4">
      <c r="A19" s="261">
        <v>2</v>
      </c>
      <c r="B19" s="993" t="s">
        <v>1011</v>
      </c>
      <c r="C19" s="295">
        <v>1</v>
      </c>
      <c r="D19" s="296"/>
      <c r="E19" s="297"/>
      <c r="F19" s="297">
        <f>'Measurement Sheet'!G354+'Measurement Sheet'!G355</f>
        <v>6912.91</v>
      </c>
    </row>
    <row r="20" spans="1:6">
      <c r="A20" s="294"/>
      <c r="B20" s="294"/>
      <c r="C20" s="298"/>
      <c r="D20" s="299"/>
      <c r="E20" s="300" t="s">
        <v>232</v>
      </c>
      <c r="F20" s="300">
        <f>SUM(F16:F19)</f>
        <v>30860.599999999995</v>
      </c>
    </row>
  </sheetData>
  <mergeCells count="3">
    <mergeCell ref="A6:F6"/>
    <mergeCell ref="A14:F14"/>
    <mergeCell ref="A1:G1"/>
  </mergeCells>
  <pageMargins left="0.7" right="0.7" top="0.75" bottom="0.75" header="0.3" footer="0.3"/>
  <ignoredErrors>
    <ignoredError sqref="E16" formulaRange="1"/>
    <ignoredError sqref="F17" formula="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CABF2-6258-4B65-AE7E-CA0A8E9467A7}">
  <dimension ref="B1:O34"/>
  <sheetViews>
    <sheetView topLeftCell="A4" workbookViewId="0">
      <selection activeCell="F20" sqref="F20"/>
    </sheetView>
  </sheetViews>
  <sheetFormatPr defaultRowHeight="14.4"/>
  <cols>
    <col min="4" max="4" width="35.33203125" bestFit="1" customWidth="1"/>
    <col min="5" max="5" width="15.88671875" customWidth="1"/>
    <col min="6" max="6" width="15.6640625" customWidth="1"/>
    <col min="7" max="7" width="9" customWidth="1"/>
    <col min="8" max="8" width="13.6640625" bestFit="1" customWidth="1"/>
    <col min="9" max="9" width="12.33203125" bestFit="1" customWidth="1"/>
    <col min="10" max="11" width="13" bestFit="1" customWidth="1"/>
    <col min="12" max="15" width="11.88671875" bestFit="1" customWidth="1"/>
  </cols>
  <sheetData>
    <row r="1" spans="2:15">
      <c r="H1" s="700" t="s">
        <v>243</v>
      </c>
      <c r="I1" s="703">
        <v>413793</v>
      </c>
      <c r="J1" s="605"/>
    </row>
    <row r="2" spans="2:15">
      <c r="H2" s="701" t="s">
        <v>1012</v>
      </c>
      <c r="I2" s="704">
        <v>236936</v>
      </c>
      <c r="J2" s="605"/>
    </row>
    <row r="3" spans="2:15" ht="15" customHeight="1">
      <c r="B3" s="1117" t="s">
        <v>1013</v>
      </c>
      <c r="C3" s="1118"/>
      <c r="D3" s="1118"/>
      <c r="E3" s="1118"/>
      <c r="F3" s="1119"/>
      <c r="H3" s="702" t="s">
        <v>232</v>
      </c>
      <c r="I3" s="705">
        <f>I2+I1</f>
        <v>650729</v>
      </c>
      <c r="J3" s="605"/>
    </row>
    <row r="4" spans="2:15" ht="15" customHeight="1">
      <c r="B4" s="669"/>
      <c r="C4" s="670" t="s">
        <v>1014</v>
      </c>
      <c r="D4" s="671" t="s">
        <v>1015</v>
      </c>
      <c r="E4" s="672" t="s">
        <v>1016</v>
      </c>
      <c r="F4" s="673" t="s">
        <v>1017</v>
      </c>
    </row>
    <row r="5" spans="2:15">
      <c r="B5" s="1120" t="s">
        <v>1018</v>
      </c>
      <c r="C5" s="674">
        <v>1</v>
      </c>
      <c r="D5" s="675" t="s">
        <v>417</v>
      </c>
      <c r="E5" s="676">
        <f>Electrical!G8</f>
        <v>51232400</v>
      </c>
      <c r="F5" s="677">
        <f>E5/I1</f>
        <v>123.81166428624941</v>
      </c>
      <c r="G5" s="678"/>
      <c r="I5" s="707" t="s">
        <v>1019</v>
      </c>
      <c r="J5" s="706">
        <v>280</v>
      </c>
    </row>
    <row r="6" spans="2:15">
      <c r="B6" s="1121"/>
      <c r="C6" s="679">
        <v>2</v>
      </c>
      <c r="D6" s="680" t="s">
        <v>419</v>
      </c>
      <c r="E6" s="681">
        <f>Plumbing!C5</f>
        <v>33103440</v>
      </c>
      <c r="F6" s="682">
        <f>E6/I1</f>
        <v>80</v>
      </c>
      <c r="G6" s="678"/>
      <c r="I6" s="605"/>
      <c r="J6" s="605"/>
    </row>
    <row r="7" spans="2:15">
      <c r="B7" s="1121"/>
      <c r="C7" s="679">
        <v>3</v>
      </c>
      <c r="D7" s="680" t="s">
        <v>420</v>
      </c>
      <c r="E7" s="681">
        <f>Plumbing!C6</f>
        <v>18000000</v>
      </c>
      <c r="F7" s="682">
        <f>E7/I1</f>
        <v>43.500010875002715</v>
      </c>
      <c r="G7" s="678"/>
    </row>
    <row r="8" spans="2:15">
      <c r="B8" s="1121"/>
      <c r="C8" s="679">
        <v>4</v>
      </c>
      <c r="D8" s="680" t="s">
        <v>421</v>
      </c>
      <c r="E8" s="681">
        <f>'Fire Fighting'!C6</f>
        <v>28965510</v>
      </c>
      <c r="F8" s="682">
        <f>E8/I1</f>
        <v>70</v>
      </c>
      <c r="G8" s="678"/>
    </row>
    <row r="9" spans="2:15">
      <c r="B9" s="1121"/>
      <c r="C9" s="679">
        <v>5</v>
      </c>
      <c r="D9" s="680" t="s">
        <v>422</v>
      </c>
      <c r="E9" s="681">
        <f>'Fire Fighting'!C11</f>
        <v>7448274</v>
      </c>
      <c r="F9" s="683">
        <v>18</v>
      </c>
      <c r="H9" s="813"/>
      <c r="I9" s="605"/>
      <c r="J9" s="605"/>
    </row>
    <row r="10" spans="2:15">
      <c r="B10" s="1121"/>
      <c r="C10" s="679">
        <v>6</v>
      </c>
      <c r="D10" s="680" t="s">
        <v>423</v>
      </c>
      <c r="E10" s="681">
        <f>'Fire Fighting'!C13</f>
        <v>3253645</v>
      </c>
      <c r="F10" s="683">
        <v>5</v>
      </c>
    </row>
    <row r="11" spans="2:15">
      <c r="B11" s="1121"/>
      <c r="C11" s="679">
        <v>7</v>
      </c>
      <c r="D11" s="680" t="s">
        <v>424</v>
      </c>
      <c r="E11" s="684">
        <f>F11*I1</f>
        <v>16551720</v>
      </c>
      <c r="F11" s="683">
        <v>40</v>
      </c>
    </row>
    <row r="12" spans="2:15">
      <c r="B12" s="1121"/>
      <c r="C12" s="679">
        <v>8</v>
      </c>
      <c r="D12" s="680" t="s">
        <v>425</v>
      </c>
      <c r="E12" s="681">
        <f>J5*8000</f>
        <v>2240000</v>
      </c>
      <c r="F12" s="682">
        <f>E12/I1</f>
        <v>5.4133346866670049</v>
      </c>
      <c r="G12" s="678"/>
    </row>
    <row r="13" spans="2:15">
      <c r="B13" s="1121"/>
      <c r="C13" s="679">
        <v>9</v>
      </c>
      <c r="D13" s="680" t="s">
        <v>426</v>
      </c>
      <c r="E13" s="681">
        <f>Lifts!I21</f>
        <v>72600000</v>
      </c>
      <c r="F13" s="682">
        <f>E13/$I$1</f>
        <v>175.45004386251097</v>
      </c>
      <c r="G13" s="678"/>
    </row>
    <row r="14" spans="2:15">
      <c r="B14" s="1121"/>
      <c r="C14" s="679">
        <v>10</v>
      </c>
      <c r="D14" s="680" t="s">
        <v>427</v>
      </c>
      <c r="E14" s="681">
        <f>F14*I3</f>
        <v>2602916</v>
      </c>
      <c r="F14" s="683">
        <v>4</v>
      </c>
      <c r="J14" s="813">
        <f>SUM(E5:E32)</f>
        <v>338966353</v>
      </c>
      <c r="L14" s="813">
        <f>J14/I3</f>
        <v>520.90248475171688</v>
      </c>
    </row>
    <row r="15" spans="2:15">
      <c r="B15" s="1122"/>
      <c r="C15" s="685">
        <v>11</v>
      </c>
      <c r="D15" s="686" t="s">
        <v>1020</v>
      </c>
      <c r="E15" s="687">
        <f>J5*13000</f>
        <v>3640000</v>
      </c>
      <c r="F15" s="688">
        <f>E15/$I$1</f>
        <v>8.7966688658338832</v>
      </c>
      <c r="G15" s="678"/>
      <c r="K15" t="s">
        <v>1021</v>
      </c>
      <c r="L15" t="s">
        <v>1022</v>
      </c>
      <c r="M15" t="s">
        <v>422</v>
      </c>
      <c r="N15" t="s">
        <v>1023</v>
      </c>
      <c r="O15" t="s">
        <v>1024</v>
      </c>
    </row>
    <row r="16" spans="2:15">
      <c r="B16" s="1123" t="s">
        <v>299</v>
      </c>
      <c r="C16" s="689">
        <v>1</v>
      </c>
      <c r="D16" s="690" t="s">
        <v>417</v>
      </c>
      <c r="E16" s="691">
        <f>Electrical!G15-E25</f>
        <v>25898200</v>
      </c>
      <c r="F16" s="692">
        <f>E16/I2</f>
        <v>109.30462234527468</v>
      </c>
      <c r="G16" s="678"/>
      <c r="H16" s="626">
        <f>+(E5+E16)/I3</f>
        <v>118.52952611609442</v>
      </c>
      <c r="I16" s="813"/>
      <c r="J16" t="s">
        <v>517</v>
      </c>
      <c r="K16" s="813">
        <f>+E5</f>
        <v>51232400</v>
      </c>
      <c r="L16" s="813">
        <f>+E8</f>
        <v>28965510</v>
      </c>
      <c r="M16" s="813">
        <f>+E9</f>
        <v>7448274</v>
      </c>
      <c r="N16" s="813">
        <f>+E6+E7</f>
        <v>51103440</v>
      </c>
      <c r="O16" s="813">
        <f>+E11</f>
        <v>16551720</v>
      </c>
    </row>
    <row r="17" spans="2:15">
      <c r="B17" s="1123"/>
      <c r="C17" s="679">
        <v>2</v>
      </c>
      <c r="D17" s="680" t="s">
        <v>420</v>
      </c>
      <c r="E17" s="691">
        <f>Plumbing!C8</f>
        <v>0</v>
      </c>
      <c r="F17" s="682">
        <f>E17/$I$2</f>
        <v>0</v>
      </c>
      <c r="G17" s="678"/>
      <c r="J17" t="s">
        <v>1025</v>
      </c>
      <c r="K17" s="813">
        <f>+E16</f>
        <v>25898200</v>
      </c>
      <c r="L17" s="813">
        <f>+E19</f>
        <v>17245520</v>
      </c>
      <c r="M17" s="813">
        <f>+E21</f>
        <v>4264848</v>
      </c>
      <c r="N17" s="813">
        <f>+E18</f>
        <v>7108080</v>
      </c>
      <c r="O17" s="813">
        <f>+E20</f>
        <v>9477440</v>
      </c>
    </row>
    <row r="18" spans="2:15">
      <c r="B18" s="1124"/>
      <c r="C18" s="679">
        <v>3</v>
      </c>
      <c r="D18" s="680" t="s">
        <v>419</v>
      </c>
      <c r="E18" s="681">
        <f>Plumbing!C9</f>
        <v>7108080</v>
      </c>
      <c r="F18" s="682">
        <f>E18/$I$2</f>
        <v>30</v>
      </c>
      <c r="G18" s="678"/>
      <c r="J18" t="s">
        <v>1026</v>
      </c>
      <c r="K18" s="813">
        <f>+E24</f>
        <v>4800000</v>
      </c>
    </row>
    <row r="19" spans="2:15">
      <c r="B19" s="1124"/>
      <c r="C19" s="679">
        <v>4</v>
      </c>
      <c r="D19" s="680" t="s">
        <v>429</v>
      </c>
      <c r="E19" s="681">
        <f>'Fire Fighting'!C7+'Fire Fighting'!C8+'Fire Fighting'!C10</f>
        <v>17245520</v>
      </c>
      <c r="F19" s="682">
        <f>E19/$I$2</f>
        <v>72.785562345949955</v>
      </c>
      <c r="G19" s="678"/>
      <c r="J19" t="s">
        <v>1027</v>
      </c>
      <c r="K19" s="813">
        <f>+E25</f>
        <v>3000000</v>
      </c>
    </row>
    <row r="20" spans="2:15">
      <c r="B20" s="1124"/>
      <c r="C20" s="679">
        <v>5</v>
      </c>
      <c r="D20" s="680" t="s">
        <v>424</v>
      </c>
      <c r="E20" s="681">
        <f>+I2*40</f>
        <v>9477440</v>
      </c>
      <c r="F20" s="682">
        <f>E20/$I$2</f>
        <v>40</v>
      </c>
      <c r="G20" s="678"/>
      <c r="I20" s="813"/>
      <c r="J20" t="s">
        <v>1028</v>
      </c>
      <c r="K20" s="813">
        <f>+E26</f>
        <v>4000000</v>
      </c>
      <c r="L20" s="813">
        <f>+E28</f>
        <v>2369360</v>
      </c>
      <c r="N20" s="813">
        <f>+E27</f>
        <v>2000000</v>
      </c>
    </row>
    <row r="21" spans="2:15">
      <c r="B21" s="1124"/>
      <c r="C21" s="679">
        <v>6</v>
      </c>
      <c r="D21" s="680" t="s">
        <v>422</v>
      </c>
      <c r="E21" s="681">
        <f>'Fire Fighting'!C12</f>
        <v>4264848</v>
      </c>
      <c r="F21" s="683">
        <v>18</v>
      </c>
      <c r="J21" t="s">
        <v>1029</v>
      </c>
      <c r="K21" s="813">
        <f>+E32</f>
        <v>2400000</v>
      </c>
    </row>
    <row r="22" spans="2:15">
      <c r="B22" s="1124"/>
      <c r="C22" s="679">
        <v>7</v>
      </c>
      <c r="D22" s="680" t="s">
        <v>430</v>
      </c>
      <c r="E22" s="681">
        <f>Lifts!I22</f>
        <v>10620000</v>
      </c>
      <c r="F22" s="682">
        <f>E22/$I$2</f>
        <v>44.822230475740284</v>
      </c>
      <c r="G22" s="678"/>
      <c r="K22" s="813">
        <f>SUM(K16:K21)</f>
        <v>91330600</v>
      </c>
      <c r="L22" s="813">
        <f>SUM(L16:L20)</f>
        <v>48580390</v>
      </c>
      <c r="M22" s="813">
        <f>SUM(M16:M20)</f>
        <v>11713122</v>
      </c>
      <c r="N22" s="813">
        <f>SUM(N16:N20)</f>
        <v>60211520</v>
      </c>
      <c r="O22" s="813">
        <f>SUM(O16:O20)</f>
        <v>26029160</v>
      </c>
    </row>
    <row r="23" spans="2:15">
      <c r="B23" s="1125"/>
      <c r="C23" s="693">
        <v>8</v>
      </c>
      <c r="D23" s="694" t="s">
        <v>431</v>
      </c>
      <c r="E23" s="687">
        <v>1800000</v>
      </c>
      <c r="F23" s="688">
        <f>E23/$I$2</f>
        <v>7.5969882162271665</v>
      </c>
      <c r="G23" s="678"/>
      <c r="K23" s="678">
        <f>+K22/I3</f>
        <v>140.35120610884101</v>
      </c>
      <c r="L23" s="678">
        <f>+L22/I3</f>
        <v>74.655332711466684</v>
      </c>
      <c r="M23">
        <f>+M22/I3</f>
        <v>18</v>
      </c>
      <c r="N23" s="678">
        <f>+N22/I3</f>
        <v>92.52933248710292</v>
      </c>
      <c r="O23" s="678">
        <f>+O22/I3</f>
        <v>40</v>
      </c>
    </row>
    <row r="24" spans="2:15" ht="15" customHeight="1">
      <c r="B24" s="1126" t="s">
        <v>1030</v>
      </c>
      <c r="C24" s="689">
        <v>1</v>
      </c>
      <c r="D24" s="695" t="s">
        <v>432</v>
      </c>
      <c r="E24" s="696">
        <f>600*8000</f>
        <v>4800000</v>
      </c>
      <c r="F24" s="697"/>
    </row>
    <row r="25" spans="2:15">
      <c r="B25" s="1127"/>
      <c r="C25" s="679">
        <v>2</v>
      </c>
      <c r="D25" s="698" t="s">
        <v>433</v>
      </c>
      <c r="E25" s="684">
        <f>Electrical!G6</f>
        <v>3000000</v>
      </c>
      <c r="F25" s="683"/>
    </row>
    <row r="26" spans="2:15">
      <c r="B26" s="1127"/>
      <c r="C26" s="679">
        <v>3</v>
      </c>
      <c r="D26" s="698" t="s">
        <v>434</v>
      </c>
      <c r="E26" s="684">
        <f>Electrical!G17</f>
        <v>4000000</v>
      </c>
      <c r="F26" s="683"/>
    </row>
    <row r="27" spans="2:15">
      <c r="B27" s="1127"/>
      <c r="C27" s="679">
        <v>4</v>
      </c>
      <c r="D27" s="698" t="s">
        <v>435</v>
      </c>
      <c r="E27" s="681">
        <f>Plumbing!C10</f>
        <v>2000000</v>
      </c>
      <c r="F27" s="683"/>
    </row>
    <row r="28" spans="2:15">
      <c r="B28" s="1127"/>
      <c r="C28" s="679">
        <v>5</v>
      </c>
      <c r="D28" s="698" t="s">
        <v>436</v>
      </c>
      <c r="E28" s="681">
        <f>'Fire Fighting'!C9</f>
        <v>2369360</v>
      </c>
      <c r="F28" s="683"/>
    </row>
    <row r="29" spans="2:15">
      <c r="B29" s="1127"/>
      <c r="C29" s="805">
        <v>6</v>
      </c>
      <c r="D29" s="818" t="s">
        <v>437</v>
      </c>
      <c r="E29" s="819">
        <f>1250000</f>
        <v>1250000</v>
      </c>
      <c r="F29" s="799"/>
    </row>
    <row r="30" spans="2:15">
      <c r="B30" s="1127"/>
      <c r="C30" s="679">
        <v>7</v>
      </c>
      <c r="D30" s="816" t="s">
        <v>438</v>
      </c>
      <c r="E30" s="817">
        <f>Plumbing!C11</f>
        <v>1600000</v>
      </c>
      <c r="F30" s="597"/>
    </row>
    <row r="31" spans="2:15">
      <c r="B31" s="1127"/>
      <c r="C31" s="679">
        <v>8</v>
      </c>
      <c r="D31" s="816" t="s">
        <v>1031</v>
      </c>
      <c r="E31" s="817">
        <f>Plumbing!C12</f>
        <v>1495000</v>
      </c>
      <c r="F31" s="597"/>
    </row>
    <row r="32" spans="2:15" ht="16.5" customHeight="1">
      <c r="B32" s="1128"/>
      <c r="C32" s="693">
        <v>9</v>
      </c>
      <c r="D32" s="820" t="s">
        <v>440</v>
      </c>
      <c r="E32" s="821">
        <f>Electrical!C112</f>
        <v>2400000</v>
      </c>
      <c r="F32" s="822"/>
    </row>
    <row r="33" spans="5:6">
      <c r="E33" s="813">
        <f>SUM(E5:E32)</f>
        <v>338966353</v>
      </c>
    </row>
    <row r="34" spans="5:6">
      <c r="E34" s="813"/>
      <c r="F34" s="813"/>
    </row>
  </sheetData>
  <mergeCells count="4">
    <mergeCell ref="B3:F3"/>
    <mergeCell ref="B5:B15"/>
    <mergeCell ref="B16:B23"/>
    <mergeCell ref="B24:B3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C37FE-9E01-45EC-ABEF-261BB78BB011}">
  <dimension ref="A1:M112"/>
  <sheetViews>
    <sheetView workbookViewId="0">
      <selection activeCell="G5" sqref="G5"/>
    </sheetView>
  </sheetViews>
  <sheetFormatPr defaultColWidth="8.88671875" defaultRowHeight="13.8"/>
  <cols>
    <col min="1" max="1" width="6.88671875" style="23" customWidth="1"/>
    <col min="2" max="2" width="35.6640625" style="23" customWidth="1"/>
    <col min="3" max="3" width="16.5546875" style="23" customWidth="1"/>
    <col min="4" max="4" width="9" style="23" bestFit="1" customWidth="1"/>
    <col min="5" max="5" width="15.6640625" style="23" bestFit="1" customWidth="1"/>
    <col min="6" max="6" width="16.109375" style="23" customWidth="1"/>
    <col min="7" max="7" width="17.88671875" style="655" bestFit="1" customWidth="1"/>
    <col min="8" max="8" width="13.109375" style="23" bestFit="1" customWidth="1"/>
    <col min="9" max="9" width="13.109375" style="23" customWidth="1"/>
    <col min="10" max="10" width="17" style="23" customWidth="1"/>
    <col min="11" max="11" width="12.44140625" style="23" bestFit="1" customWidth="1"/>
    <col min="12" max="12" width="9.109375" style="23"/>
    <col min="13" max="13" width="14.88671875" style="23" customWidth="1"/>
    <col min="14" max="14" width="13.109375" style="23" bestFit="1" customWidth="1"/>
    <col min="15" max="15" width="13.88671875" style="23" bestFit="1" customWidth="1"/>
    <col min="16" max="16" width="15" style="23" bestFit="1" customWidth="1"/>
    <col min="17" max="16384" width="8.88671875" style="23"/>
  </cols>
  <sheetData>
    <row r="1" spans="1:13" ht="14.4">
      <c r="A1" s="1129" t="s">
        <v>1032</v>
      </c>
      <c r="B1" s="1130"/>
      <c r="C1" s="1130"/>
      <c r="D1" s="1130"/>
      <c r="E1" s="1130"/>
      <c r="F1" s="1130"/>
      <c r="G1" s="1131"/>
      <c r="I1" s="786" t="s">
        <v>243</v>
      </c>
      <c r="J1" s="787">
        <v>413793</v>
      </c>
      <c r="K1" s="23">
        <v>424306</v>
      </c>
      <c r="M1" s="23">
        <f>+J1*220</f>
        <v>91034460</v>
      </c>
    </row>
    <row r="2" spans="1:13" ht="14.4">
      <c r="A2" s="768" t="s">
        <v>1033</v>
      </c>
      <c r="B2" s="769" t="s">
        <v>243</v>
      </c>
      <c r="C2" s="769"/>
      <c r="D2" s="769"/>
      <c r="E2" s="769"/>
      <c r="F2" s="769"/>
      <c r="G2" s="770" t="s">
        <v>205</v>
      </c>
      <c r="I2" s="788" t="s">
        <v>1012</v>
      </c>
      <c r="J2" s="789">
        <v>236936</v>
      </c>
    </row>
    <row r="3" spans="1:13" ht="32.25" customHeight="1">
      <c r="A3" s="771">
        <v>1</v>
      </c>
      <c r="B3" s="772" t="s">
        <v>1034</v>
      </c>
      <c r="C3" s="721"/>
      <c r="D3" s="721"/>
      <c r="E3" s="721"/>
      <c r="F3" s="773"/>
      <c r="G3" s="722">
        <f>+G24+G27</f>
        <v>44720000</v>
      </c>
      <c r="K3" s="23">
        <f>+K1*200</f>
        <v>84861200</v>
      </c>
    </row>
    <row r="4" spans="1:13" ht="27.6">
      <c r="A4" s="759">
        <v>2</v>
      </c>
      <c r="B4" s="634" t="s">
        <v>1035</v>
      </c>
      <c r="C4" s="635"/>
      <c r="D4" s="635"/>
      <c r="E4" s="635"/>
      <c r="F4" s="636"/>
      <c r="G4" s="760">
        <f>G104*0</f>
        <v>0</v>
      </c>
    </row>
    <row r="5" spans="1:13">
      <c r="A5" s="759">
        <v>3</v>
      </c>
      <c r="B5" s="634" t="s">
        <v>1036</v>
      </c>
      <c r="C5" s="635"/>
      <c r="D5" s="635"/>
      <c r="E5" s="635"/>
      <c r="F5" s="636"/>
      <c r="G5" s="708">
        <f>+J36</f>
        <v>1889600</v>
      </c>
    </row>
    <row r="6" spans="1:13">
      <c r="A6" s="759">
        <v>4</v>
      </c>
      <c r="B6" s="634" t="s">
        <v>1037</v>
      </c>
      <c r="C6" s="635"/>
      <c r="D6" s="635"/>
      <c r="E6" s="635"/>
      <c r="F6" s="638"/>
      <c r="G6" s="761">
        <v>3000000</v>
      </c>
    </row>
    <row r="7" spans="1:13">
      <c r="A7" s="759">
        <v>5</v>
      </c>
      <c r="B7" s="639" t="s">
        <v>1038</v>
      </c>
      <c r="C7" s="640"/>
      <c r="D7" s="640"/>
      <c r="E7" s="640"/>
      <c r="F7" s="641"/>
      <c r="G7" s="708">
        <f>+G36</f>
        <v>1622800</v>
      </c>
    </row>
    <row r="8" spans="1:13">
      <c r="A8" s="762"/>
      <c r="B8" s="642"/>
      <c r="C8" s="640"/>
      <c r="D8" s="640"/>
      <c r="E8" s="640"/>
      <c r="F8" s="641"/>
      <c r="G8" s="763">
        <f>SUM(G3:G7)</f>
        <v>51232400</v>
      </c>
    </row>
    <row r="9" spans="1:13">
      <c r="A9" s="714"/>
      <c r="B9" s="643" t="s">
        <v>1012</v>
      </c>
      <c r="C9" s="638"/>
      <c r="D9" s="638"/>
      <c r="E9" s="638"/>
      <c r="F9" s="638"/>
      <c r="G9" s="760"/>
    </row>
    <row r="10" spans="1:13">
      <c r="A10" s="713">
        <v>1</v>
      </c>
      <c r="B10" s="634" t="s">
        <v>1039</v>
      </c>
      <c r="C10" s="638"/>
      <c r="D10" s="638"/>
      <c r="E10" s="638"/>
      <c r="F10" s="638"/>
      <c r="G10" s="764">
        <f>+J43</f>
        <v>1198800</v>
      </c>
    </row>
    <row r="11" spans="1:13">
      <c r="A11" s="713">
        <v>2</v>
      </c>
      <c r="B11" s="634" t="s">
        <v>1040</v>
      </c>
      <c r="C11" s="638"/>
      <c r="D11" s="638"/>
      <c r="E11" s="638"/>
      <c r="F11" s="638"/>
      <c r="G11" s="760">
        <v>3000000</v>
      </c>
    </row>
    <row r="12" spans="1:13">
      <c r="A12" s="723">
        <v>3</v>
      </c>
      <c r="B12" s="634" t="s">
        <v>1038</v>
      </c>
      <c r="C12" s="638"/>
      <c r="D12" s="638"/>
      <c r="E12" s="638"/>
      <c r="F12" s="638"/>
      <c r="G12" s="760">
        <f>+G43</f>
        <v>824400</v>
      </c>
    </row>
    <row r="13" spans="1:13">
      <c r="A13" s="723">
        <v>4</v>
      </c>
      <c r="B13" s="634" t="s">
        <v>1041</v>
      </c>
      <c r="C13" s="638"/>
      <c r="D13" s="638"/>
      <c r="E13" s="638"/>
      <c r="F13" s="638"/>
      <c r="G13" s="760">
        <v>4000000</v>
      </c>
    </row>
    <row r="14" spans="1:13">
      <c r="A14" s="723">
        <v>5</v>
      </c>
      <c r="B14" s="634" t="s">
        <v>1042</v>
      </c>
      <c r="C14" s="638"/>
      <c r="D14" s="638"/>
      <c r="E14" s="638"/>
      <c r="F14" s="638"/>
      <c r="G14" s="760">
        <f>+E57</f>
        <v>19875000</v>
      </c>
    </row>
    <row r="15" spans="1:13">
      <c r="A15" s="712"/>
      <c r="B15" s="647" t="s">
        <v>232</v>
      </c>
      <c r="C15" s="638"/>
      <c r="D15" s="638"/>
      <c r="E15" s="638"/>
      <c r="F15" s="638"/>
      <c r="G15" s="765">
        <f>SUM(G10:G14)</f>
        <v>28898200</v>
      </c>
      <c r="M15" s="648">
        <f>+G8+G15+G17</f>
        <v>84130600</v>
      </c>
    </row>
    <row r="16" spans="1:13">
      <c r="A16" s="712"/>
      <c r="B16" s="638"/>
      <c r="C16" s="638"/>
      <c r="D16" s="638"/>
      <c r="E16" s="638"/>
      <c r="F16" s="638"/>
      <c r="G16" s="760"/>
      <c r="M16" s="648"/>
    </row>
    <row r="17" spans="1:13">
      <c r="A17" s="766">
        <v>1</v>
      </c>
      <c r="B17" s="734" t="s">
        <v>1043</v>
      </c>
      <c r="C17" s="734"/>
      <c r="D17" s="734"/>
      <c r="E17" s="734"/>
      <c r="F17" s="734"/>
      <c r="G17" s="767">
        <v>4000000</v>
      </c>
      <c r="M17" s="23">
        <f>+M15/K1</f>
        <v>198.27812946317044</v>
      </c>
    </row>
    <row r="18" spans="1:13">
      <c r="A18" s="649"/>
      <c r="G18" s="650"/>
    </row>
    <row r="19" spans="1:13">
      <c r="A19" s="649"/>
      <c r="G19" s="650"/>
    </row>
    <row r="20" spans="1:13">
      <c r="A20" s="736"/>
      <c r="B20" s="774" t="s">
        <v>1044</v>
      </c>
      <c r="C20" s="727" t="s">
        <v>1019</v>
      </c>
      <c r="G20" s="777" t="s">
        <v>1045</v>
      </c>
    </row>
    <row r="21" spans="1:13">
      <c r="A21" s="740">
        <v>1</v>
      </c>
      <c r="B21" s="729" t="s">
        <v>1046</v>
      </c>
      <c r="C21" s="775">
        <v>36</v>
      </c>
      <c r="G21" s="778">
        <f>100000*C21</f>
        <v>3600000</v>
      </c>
    </row>
    <row r="22" spans="1:13">
      <c r="A22" s="735">
        <v>2</v>
      </c>
      <c r="B22" s="638" t="s">
        <v>1047</v>
      </c>
      <c r="C22" s="776">
        <v>140</v>
      </c>
      <c r="G22" s="779">
        <f>150000*C22</f>
        <v>21000000</v>
      </c>
    </row>
    <row r="23" spans="1:13">
      <c r="A23" s="747">
        <v>3</v>
      </c>
      <c r="B23" s="748" t="s">
        <v>1048</v>
      </c>
      <c r="C23" s="823">
        <v>104</v>
      </c>
      <c r="G23" s="779">
        <f>175000*C23</f>
        <v>18200000</v>
      </c>
    </row>
    <row r="24" spans="1:13">
      <c r="A24" s="736"/>
      <c r="B24" s="774" t="s">
        <v>1019</v>
      </c>
      <c r="C24" s="727">
        <f>SUM(C21:C23)</f>
        <v>280</v>
      </c>
      <c r="G24" s="780">
        <f>SUM(G21:G23)</f>
        <v>42800000</v>
      </c>
    </row>
    <row r="25" spans="1:13">
      <c r="A25" s="651"/>
      <c r="G25" s="650"/>
    </row>
    <row r="26" spans="1:13">
      <c r="A26" s="782"/>
      <c r="B26" s="718" t="s">
        <v>1044</v>
      </c>
      <c r="C26" s="727" t="s">
        <v>1049</v>
      </c>
      <c r="G26" s="784" t="s">
        <v>1050</v>
      </c>
    </row>
    <row r="27" spans="1:13">
      <c r="A27" s="783">
        <v>1</v>
      </c>
      <c r="B27" s="717" t="s">
        <v>1051</v>
      </c>
      <c r="C27" s="781">
        <v>32</v>
      </c>
      <c r="G27" s="785">
        <f>60000*C27</f>
        <v>1920000</v>
      </c>
    </row>
    <row r="28" spans="1:13">
      <c r="A28" s="651"/>
      <c r="G28" s="650"/>
    </row>
    <row r="29" spans="1:13">
      <c r="A29" s="651"/>
      <c r="G29" s="650"/>
    </row>
    <row r="30" spans="1:13" ht="14.25" customHeight="1">
      <c r="A30" s="736" t="s">
        <v>1033</v>
      </c>
      <c r="B30" s="737" t="s">
        <v>1052</v>
      </c>
      <c r="C30" s="737" t="s">
        <v>1053</v>
      </c>
      <c r="D30" s="737" t="s">
        <v>516</v>
      </c>
      <c r="E30" s="737" t="s">
        <v>562</v>
      </c>
      <c r="F30" s="737" t="s">
        <v>1054</v>
      </c>
      <c r="G30" s="738" t="s">
        <v>1055</v>
      </c>
      <c r="H30" s="737"/>
      <c r="I30" s="737" t="s">
        <v>1056</v>
      </c>
      <c r="J30" s="739" t="s">
        <v>1057</v>
      </c>
    </row>
    <row r="31" spans="1:13">
      <c r="A31" s="740">
        <v>1</v>
      </c>
      <c r="B31" s="729" t="s">
        <v>513</v>
      </c>
      <c r="C31" s="730">
        <f>6+6</f>
        <v>12</v>
      </c>
      <c r="D31" s="730">
        <v>27</v>
      </c>
      <c r="E31" s="730">
        <f>+C31*D31</f>
        <v>324</v>
      </c>
      <c r="F31" s="741">
        <v>2500</v>
      </c>
      <c r="G31" s="742">
        <f>+E31*F31</f>
        <v>810000</v>
      </c>
      <c r="H31" s="729"/>
      <c r="I31" s="729">
        <v>2000</v>
      </c>
      <c r="J31" s="743">
        <f>+E31*I31</f>
        <v>648000</v>
      </c>
    </row>
    <row r="32" spans="1:13">
      <c r="A32" s="735">
        <v>2</v>
      </c>
      <c r="B32" s="638" t="s">
        <v>1058</v>
      </c>
      <c r="C32" s="644">
        <v>8</v>
      </c>
      <c r="D32" s="644">
        <v>27</v>
      </c>
      <c r="E32" s="644">
        <f>+C32*D32</f>
        <v>216</v>
      </c>
      <c r="F32" s="638">
        <v>800</v>
      </c>
      <c r="G32" s="637">
        <f>+E32*F32</f>
        <v>172800</v>
      </c>
      <c r="H32" s="638"/>
      <c r="I32" s="638">
        <v>2000</v>
      </c>
      <c r="J32" s="733">
        <f>+E32*I32</f>
        <v>432000</v>
      </c>
    </row>
    <row r="33" spans="1:10">
      <c r="A33" s="735">
        <v>3</v>
      </c>
      <c r="B33" s="638" t="s">
        <v>476</v>
      </c>
      <c r="C33" s="644">
        <f>4+4</f>
        <v>8</v>
      </c>
      <c r="D33" s="644">
        <v>27</v>
      </c>
      <c r="E33" s="644">
        <f>+C33*D33</f>
        <v>216</v>
      </c>
      <c r="F33" s="638">
        <v>1600</v>
      </c>
      <c r="G33" s="637">
        <f>+E33*F33</f>
        <v>345600</v>
      </c>
      <c r="H33" s="638"/>
      <c r="I33" s="638">
        <v>2000</v>
      </c>
      <c r="J33" s="733">
        <f t="shared" ref="J33:J42" si="0">+E33*I33</f>
        <v>432000</v>
      </c>
    </row>
    <row r="34" spans="1:10">
      <c r="A34" s="735">
        <v>4</v>
      </c>
      <c r="B34" s="638" t="s">
        <v>245</v>
      </c>
      <c r="C34" s="644">
        <v>16</v>
      </c>
      <c r="D34" s="644">
        <v>1</v>
      </c>
      <c r="E34" s="644">
        <f>+C34*D34</f>
        <v>16</v>
      </c>
      <c r="F34" s="638">
        <v>2200</v>
      </c>
      <c r="G34" s="637">
        <f>+E34*F34</f>
        <v>35200</v>
      </c>
      <c r="H34" s="638"/>
      <c r="I34" s="638">
        <v>2000</v>
      </c>
      <c r="J34" s="733">
        <f t="shared" si="0"/>
        <v>32000</v>
      </c>
    </row>
    <row r="35" spans="1:10">
      <c r="A35" s="747">
        <v>5</v>
      </c>
      <c r="B35" s="748" t="s">
        <v>1059</v>
      </c>
      <c r="C35" s="754"/>
      <c r="D35" s="749"/>
      <c r="E35" s="754">
        <f>4*54</f>
        <v>216</v>
      </c>
      <c r="F35" s="748">
        <v>1200</v>
      </c>
      <c r="G35" s="750">
        <f>+E35*F35</f>
        <v>259200</v>
      </c>
      <c r="H35" s="748"/>
      <c r="I35" s="748">
        <v>1600</v>
      </c>
      <c r="J35" s="751">
        <f t="shared" si="0"/>
        <v>345600</v>
      </c>
    </row>
    <row r="36" spans="1:10">
      <c r="A36" s="736"/>
      <c r="B36" s="1132" t="s">
        <v>1060</v>
      </c>
      <c r="C36" s="1133"/>
      <c r="D36" s="1133"/>
      <c r="E36" s="1133"/>
      <c r="F36" s="1134"/>
      <c r="G36" s="744">
        <f>SUM(G31:G35)</f>
        <v>1622800</v>
      </c>
      <c r="H36" s="745"/>
      <c r="I36" s="745"/>
      <c r="J36" s="746">
        <f>SUM(J31:J35)</f>
        <v>1889600</v>
      </c>
    </row>
    <row r="37" spans="1:10">
      <c r="A37" s="756"/>
      <c r="B37" s="757" t="s">
        <v>1012</v>
      </c>
      <c r="C37" s="758"/>
      <c r="D37" s="758"/>
      <c r="E37" s="758"/>
      <c r="F37" s="729"/>
      <c r="G37" s="742"/>
      <c r="H37" s="729"/>
      <c r="I37" s="729"/>
      <c r="J37" s="743"/>
    </row>
    <row r="38" spans="1:10">
      <c r="A38" s="735">
        <v>1</v>
      </c>
      <c r="B38" s="638" t="s">
        <v>513</v>
      </c>
      <c r="C38" s="644">
        <f>8+6</f>
        <v>14</v>
      </c>
      <c r="D38" s="652">
        <v>6</v>
      </c>
      <c r="E38" s="652">
        <f t="shared" ref="E38:E40" si="1">+C38*D38</f>
        <v>84</v>
      </c>
      <c r="F38" s="638">
        <v>2500</v>
      </c>
      <c r="G38" s="637">
        <f t="shared" ref="G38:G40" si="2">+E38*F38</f>
        <v>210000</v>
      </c>
      <c r="H38" s="638"/>
      <c r="I38" s="638">
        <v>1800</v>
      </c>
      <c r="J38" s="733">
        <f t="shared" si="0"/>
        <v>151200</v>
      </c>
    </row>
    <row r="39" spans="1:10">
      <c r="A39" s="735">
        <v>2</v>
      </c>
      <c r="B39" s="638" t="s">
        <v>1058</v>
      </c>
      <c r="C39" s="644">
        <v>6</v>
      </c>
      <c r="D39" s="652">
        <v>6</v>
      </c>
      <c r="E39" s="652">
        <f t="shared" si="1"/>
        <v>36</v>
      </c>
      <c r="F39" s="638">
        <v>800</v>
      </c>
      <c r="G39" s="637">
        <f t="shared" si="2"/>
        <v>28800</v>
      </c>
      <c r="H39" s="638"/>
      <c r="I39" s="638">
        <v>1800</v>
      </c>
      <c r="J39" s="733">
        <f t="shared" si="0"/>
        <v>64800</v>
      </c>
    </row>
    <row r="40" spans="1:10">
      <c r="A40" s="735">
        <v>3</v>
      </c>
      <c r="B40" s="638" t="s">
        <v>1061</v>
      </c>
      <c r="C40" s="644">
        <v>16</v>
      </c>
      <c r="D40" s="652">
        <v>6</v>
      </c>
      <c r="E40" s="652">
        <f t="shared" si="1"/>
        <v>96</v>
      </c>
      <c r="F40" s="638">
        <v>1600</v>
      </c>
      <c r="G40" s="637">
        <f t="shared" si="2"/>
        <v>153600</v>
      </c>
      <c r="H40" s="638"/>
      <c r="I40" s="638">
        <v>1800</v>
      </c>
      <c r="J40" s="733">
        <f t="shared" si="0"/>
        <v>172800</v>
      </c>
    </row>
    <row r="41" spans="1:10">
      <c r="A41" s="735"/>
      <c r="B41" s="638"/>
      <c r="C41" s="644"/>
      <c r="D41" s="652"/>
      <c r="E41" s="652"/>
      <c r="F41" s="638"/>
      <c r="G41" s="637"/>
      <c r="H41" s="638"/>
      <c r="I41" s="638"/>
      <c r="J41" s="733"/>
    </row>
    <row r="42" spans="1:10">
      <c r="A42" s="747">
        <v>4</v>
      </c>
      <c r="B42" s="748" t="s">
        <v>1062</v>
      </c>
      <c r="C42" s="749">
        <v>90</v>
      </c>
      <c r="D42" s="749">
        <v>6</v>
      </c>
      <c r="E42" s="749">
        <f t="shared" ref="E42" si="3">+C42*D42</f>
        <v>540</v>
      </c>
      <c r="F42" s="748">
        <v>800</v>
      </c>
      <c r="G42" s="750">
        <f t="shared" ref="G42" si="4">+E42*F42</f>
        <v>432000</v>
      </c>
      <c r="H42" s="748"/>
      <c r="I42" s="748">
        <v>1500</v>
      </c>
      <c r="J42" s="751">
        <f t="shared" si="0"/>
        <v>810000</v>
      </c>
    </row>
    <row r="43" spans="1:10">
      <c r="A43" s="725"/>
      <c r="B43" s="1132" t="s">
        <v>232</v>
      </c>
      <c r="C43" s="1133"/>
      <c r="D43" s="1133"/>
      <c r="E43" s="1133"/>
      <c r="F43" s="1134"/>
      <c r="G43" s="744">
        <f>SUM(G38:G42)</f>
        <v>824400</v>
      </c>
      <c r="H43" s="745"/>
      <c r="I43" s="745"/>
      <c r="J43" s="746">
        <f>SUM(J38:J42)</f>
        <v>1198800</v>
      </c>
    </row>
    <row r="44" spans="1:10">
      <c r="A44" s="653"/>
      <c r="G44" s="650"/>
      <c r="H44" s="654"/>
    </row>
    <row r="45" spans="1:10">
      <c r="A45" s="725" t="s">
        <v>1033</v>
      </c>
      <c r="B45" s="726" t="s">
        <v>1063</v>
      </c>
      <c r="C45" s="726" t="s">
        <v>316</v>
      </c>
      <c r="D45" s="726" t="s">
        <v>5</v>
      </c>
      <c r="E45" s="727" t="s">
        <v>205</v>
      </c>
      <c r="H45" s="654"/>
    </row>
    <row r="46" spans="1:10">
      <c r="A46" s="728">
        <v>1</v>
      </c>
      <c r="B46" s="729" t="s">
        <v>1064</v>
      </c>
      <c r="C46" s="730">
        <v>2</v>
      </c>
      <c r="D46" s="731">
        <v>600000</v>
      </c>
      <c r="E46" s="732">
        <f>+C46*D46</f>
        <v>1200000</v>
      </c>
      <c r="H46" s="654"/>
    </row>
    <row r="47" spans="1:10">
      <c r="A47" s="723">
        <v>2</v>
      </c>
      <c r="B47" s="638" t="s">
        <v>1064</v>
      </c>
      <c r="C47" s="644">
        <v>2</v>
      </c>
      <c r="D47" s="638">
        <v>600000</v>
      </c>
      <c r="E47" s="724">
        <f>+C47*D47</f>
        <v>1200000</v>
      </c>
      <c r="H47" s="654"/>
    </row>
    <row r="48" spans="1:10" ht="14.25" customHeight="1">
      <c r="A48" s="723">
        <v>3</v>
      </c>
      <c r="B48" s="638" t="s">
        <v>1065</v>
      </c>
      <c r="C48" s="644">
        <v>2</v>
      </c>
      <c r="D48" s="638">
        <v>600000</v>
      </c>
      <c r="E48" s="724">
        <f t="shared" ref="E48:E55" si="5">+C48*D48</f>
        <v>1200000</v>
      </c>
      <c r="H48" s="654"/>
    </row>
    <row r="49" spans="1:7">
      <c r="A49" s="723">
        <v>4</v>
      </c>
      <c r="B49" s="638" t="s">
        <v>1065</v>
      </c>
      <c r="C49" s="644">
        <v>2</v>
      </c>
      <c r="D49" s="638">
        <v>600000</v>
      </c>
      <c r="E49" s="724">
        <f t="shared" si="5"/>
        <v>1200000</v>
      </c>
    </row>
    <row r="50" spans="1:7">
      <c r="A50" s="723">
        <v>5</v>
      </c>
      <c r="B50" s="638" t="s">
        <v>1065</v>
      </c>
      <c r="C50" s="644">
        <v>2</v>
      </c>
      <c r="D50" s="638">
        <v>400000</v>
      </c>
      <c r="E50" s="724">
        <f t="shared" si="5"/>
        <v>800000</v>
      </c>
    </row>
    <row r="51" spans="1:7">
      <c r="A51" s="723">
        <v>6</v>
      </c>
      <c r="B51" s="638" t="s">
        <v>1066</v>
      </c>
      <c r="C51" s="644">
        <f>2+2</f>
        <v>4</v>
      </c>
      <c r="D51" s="638">
        <v>400000</v>
      </c>
      <c r="E51" s="724">
        <f t="shared" si="5"/>
        <v>1600000</v>
      </c>
    </row>
    <row r="52" spans="1:7">
      <c r="A52" s="723">
        <v>7</v>
      </c>
      <c r="B52" s="638" t="s">
        <v>1067</v>
      </c>
      <c r="C52" s="644">
        <f>1+1</f>
        <v>2</v>
      </c>
      <c r="D52" s="638">
        <v>600000</v>
      </c>
      <c r="E52" s="724">
        <f t="shared" si="5"/>
        <v>1200000</v>
      </c>
    </row>
    <row r="53" spans="1:7">
      <c r="A53" s="723">
        <v>8</v>
      </c>
      <c r="B53" s="638" t="s">
        <v>1068</v>
      </c>
      <c r="C53" s="644">
        <v>10</v>
      </c>
      <c r="D53" s="638">
        <v>200000</v>
      </c>
      <c r="E53" s="724">
        <f t="shared" si="5"/>
        <v>2000000</v>
      </c>
    </row>
    <row r="54" spans="1:7">
      <c r="A54" s="723">
        <v>9</v>
      </c>
      <c r="B54" s="638" t="s">
        <v>1069</v>
      </c>
      <c r="C54" s="644">
        <v>30</v>
      </c>
      <c r="D54" s="638">
        <v>120000</v>
      </c>
      <c r="E54" s="724">
        <f t="shared" si="5"/>
        <v>3600000</v>
      </c>
    </row>
    <row r="55" spans="1:7">
      <c r="A55" s="723">
        <v>10</v>
      </c>
      <c r="B55" s="638" t="s">
        <v>1070</v>
      </c>
      <c r="C55" s="644">
        <v>15</v>
      </c>
      <c r="D55" s="638">
        <v>25000</v>
      </c>
      <c r="E55" s="724">
        <f t="shared" si="5"/>
        <v>375000</v>
      </c>
    </row>
    <row r="56" spans="1:7">
      <c r="A56" s="753">
        <v>11</v>
      </c>
      <c r="B56" s="748" t="s">
        <v>1071</v>
      </c>
      <c r="C56" s="754"/>
      <c r="D56" s="748"/>
      <c r="E56" s="755">
        <f>4000000+1500000</f>
        <v>5500000</v>
      </c>
    </row>
    <row r="57" spans="1:7">
      <c r="A57" s="736"/>
      <c r="B57" s="1135" t="s">
        <v>232</v>
      </c>
      <c r="C57" s="1136"/>
      <c r="D57" s="1137"/>
      <c r="E57" s="752">
        <f>SUM(E46:E56)</f>
        <v>19875000</v>
      </c>
    </row>
    <row r="58" spans="1:7">
      <c r="A58" s="651"/>
      <c r="G58" s="650"/>
    </row>
    <row r="60" spans="1:7">
      <c r="A60" s="718" t="s">
        <v>1033</v>
      </c>
      <c r="B60" s="719" t="s">
        <v>1072</v>
      </c>
      <c r="C60" s="719" t="s">
        <v>315</v>
      </c>
      <c r="D60" s="720" t="s">
        <v>562</v>
      </c>
      <c r="E60" s="719" t="s">
        <v>5</v>
      </c>
      <c r="F60" s="719" t="s">
        <v>1073</v>
      </c>
      <c r="G60" s="716" t="s">
        <v>205</v>
      </c>
    </row>
    <row r="61" spans="1:7" ht="14.25" customHeight="1">
      <c r="A61" s="1150" t="s">
        <v>206</v>
      </c>
      <c r="B61" s="1148" t="s">
        <v>1074</v>
      </c>
      <c r="C61" s="1144"/>
      <c r="D61" s="1145"/>
      <c r="E61" s="721"/>
      <c r="F61" s="721"/>
      <c r="G61" s="722"/>
    </row>
    <row r="62" spans="1:7">
      <c r="A62" s="1151"/>
      <c r="B62" s="1148"/>
      <c r="C62" s="1144"/>
      <c r="D62" s="1145"/>
      <c r="E62" s="635"/>
      <c r="F62" s="635"/>
      <c r="G62" s="708"/>
    </row>
    <row r="63" spans="1:7">
      <c r="A63" s="1151"/>
      <c r="B63" s="1148"/>
      <c r="C63" s="1144"/>
      <c r="D63" s="1145"/>
      <c r="E63" s="635"/>
      <c r="F63" s="635"/>
      <c r="G63" s="708"/>
    </row>
    <row r="64" spans="1:7">
      <c r="A64" s="1151"/>
      <c r="B64" s="1148"/>
      <c r="C64" s="1144"/>
      <c r="D64" s="1145"/>
      <c r="E64" s="635"/>
      <c r="F64" s="635"/>
      <c r="G64" s="708"/>
    </row>
    <row r="65" spans="1:7" ht="32.25" customHeight="1">
      <c r="A65" s="1151"/>
      <c r="B65" s="1149"/>
      <c r="C65" s="1146"/>
      <c r="D65" s="1147"/>
      <c r="E65" s="635"/>
      <c r="F65" s="635"/>
      <c r="G65" s="708"/>
    </row>
    <row r="66" spans="1:7">
      <c r="A66" s="713">
        <v>1</v>
      </c>
      <c r="B66" s="635" t="s">
        <v>1075</v>
      </c>
      <c r="C66" s="657" t="s">
        <v>1076</v>
      </c>
      <c r="D66" s="645">
        <f>82*2</f>
        <v>164</v>
      </c>
      <c r="E66" s="658">
        <v>31890</v>
      </c>
      <c r="F66" s="658">
        <v>3000</v>
      </c>
      <c r="G66" s="709">
        <f t="shared" ref="G66:G75" si="6">(E66+F66)*D66</f>
        <v>5721960</v>
      </c>
    </row>
    <row r="67" spans="1:7">
      <c r="A67" s="713">
        <v>2</v>
      </c>
      <c r="B67" s="635" t="s">
        <v>1077</v>
      </c>
      <c r="C67" s="657" t="s">
        <v>91</v>
      </c>
      <c r="D67" s="645">
        <v>1</v>
      </c>
      <c r="E67" s="658">
        <v>24535</v>
      </c>
      <c r="F67" s="658">
        <v>2600</v>
      </c>
      <c r="G67" s="709">
        <f t="shared" si="6"/>
        <v>27135</v>
      </c>
    </row>
    <row r="68" spans="1:7">
      <c r="A68" s="713">
        <v>3</v>
      </c>
      <c r="B68" s="656" t="s">
        <v>1078</v>
      </c>
      <c r="C68" s="657" t="s">
        <v>91</v>
      </c>
      <c r="D68" s="645">
        <v>1</v>
      </c>
      <c r="E68" s="658">
        <v>18110</v>
      </c>
      <c r="F68" s="658">
        <v>2600</v>
      </c>
      <c r="G68" s="709">
        <f t="shared" si="6"/>
        <v>20710</v>
      </c>
    </row>
    <row r="69" spans="1:7" ht="27.6">
      <c r="A69" s="713">
        <v>4</v>
      </c>
      <c r="B69" s="656" t="s">
        <v>1079</v>
      </c>
      <c r="C69" s="657" t="s">
        <v>91</v>
      </c>
      <c r="D69" s="645">
        <v>1</v>
      </c>
      <c r="E69" s="658">
        <v>21450</v>
      </c>
      <c r="F69" s="658">
        <v>2000</v>
      </c>
      <c r="G69" s="709">
        <f t="shared" si="6"/>
        <v>23450</v>
      </c>
    </row>
    <row r="70" spans="1:7">
      <c r="A70" s="713">
        <v>5</v>
      </c>
      <c r="B70" s="635" t="s">
        <v>1080</v>
      </c>
      <c r="C70" s="657" t="s">
        <v>1076</v>
      </c>
      <c r="D70" s="645">
        <f>25*2</f>
        <v>50</v>
      </c>
      <c r="E70" s="658">
        <v>24400</v>
      </c>
      <c r="F70" s="659">
        <v>1700</v>
      </c>
      <c r="G70" s="709">
        <f t="shared" si="6"/>
        <v>1305000</v>
      </c>
    </row>
    <row r="71" spans="1:7" ht="27.6">
      <c r="A71" s="713">
        <v>6</v>
      </c>
      <c r="B71" s="656" t="s">
        <v>1081</v>
      </c>
      <c r="C71" s="657" t="s">
        <v>91</v>
      </c>
      <c r="D71" s="645">
        <v>1</v>
      </c>
      <c r="E71" s="658">
        <v>19880</v>
      </c>
      <c r="F71" s="658">
        <v>1650</v>
      </c>
      <c r="G71" s="709">
        <f t="shared" si="6"/>
        <v>21530</v>
      </c>
    </row>
    <row r="72" spans="1:7">
      <c r="A72" s="713">
        <v>7</v>
      </c>
      <c r="B72" s="635" t="s">
        <v>1082</v>
      </c>
      <c r="C72" s="657" t="s">
        <v>1076</v>
      </c>
      <c r="D72" s="645">
        <f>15*2</f>
        <v>30</v>
      </c>
      <c r="E72" s="658">
        <v>21555</v>
      </c>
      <c r="F72" s="659">
        <v>1450</v>
      </c>
      <c r="G72" s="709">
        <f t="shared" si="6"/>
        <v>690150</v>
      </c>
    </row>
    <row r="73" spans="1:7" ht="27.6">
      <c r="A73" s="713">
        <v>8</v>
      </c>
      <c r="B73" s="656" t="s">
        <v>1083</v>
      </c>
      <c r="C73" s="657" t="s">
        <v>91</v>
      </c>
      <c r="D73" s="645">
        <v>1</v>
      </c>
      <c r="E73" s="658">
        <v>14175</v>
      </c>
      <c r="F73" s="658">
        <v>1100</v>
      </c>
      <c r="G73" s="709">
        <f t="shared" si="6"/>
        <v>15275</v>
      </c>
    </row>
    <row r="74" spans="1:7">
      <c r="A74" s="713">
        <v>9</v>
      </c>
      <c r="B74" s="635" t="s">
        <v>1084</v>
      </c>
      <c r="C74" s="657" t="s">
        <v>1076</v>
      </c>
      <c r="D74" s="645">
        <f>15*2</f>
        <v>30</v>
      </c>
      <c r="E74" s="658">
        <v>19300</v>
      </c>
      <c r="F74" s="659">
        <v>1300</v>
      </c>
      <c r="G74" s="709">
        <f t="shared" si="6"/>
        <v>618000</v>
      </c>
    </row>
    <row r="75" spans="1:7">
      <c r="A75" s="713">
        <v>10</v>
      </c>
      <c r="B75" s="656" t="s">
        <v>1085</v>
      </c>
      <c r="C75" s="657" t="s">
        <v>91</v>
      </c>
      <c r="D75" s="660">
        <f>1*2</f>
        <v>2</v>
      </c>
      <c r="E75" s="658">
        <v>3500</v>
      </c>
      <c r="F75" s="659">
        <v>350</v>
      </c>
      <c r="G75" s="709">
        <f t="shared" si="6"/>
        <v>7700</v>
      </c>
    </row>
    <row r="76" spans="1:7">
      <c r="A76" s="713">
        <v>11</v>
      </c>
      <c r="B76" s="656" t="s">
        <v>1086</v>
      </c>
      <c r="C76" s="657" t="s">
        <v>91</v>
      </c>
      <c r="D76" s="660" t="s">
        <v>1087</v>
      </c>
      <c r="E76" s="658">
        <v>3500</v>
      </c>
      <c r="F76" s="659">
        <v>350</v>
      </c>
      <c r="G76" s="709"/>
    </row>
    <row r="77" spans="1:7">
      <c r="A77" s="713">
        <v>12</v>
      </c>
      <c r="B77" s="656" t="s">
        <v>1088</v>
      </c>
      <c r="C77" s="657" t="s">
        <v>91</v>
      </c>
      <c r="D77" s="660" t="s">
        <v>1087</v>
      </c>
      <c r="E77" s="658">
        <v>10000</v>
      </c>
      <c r="F77" s="659">
        <v>500</v>
      </c>
      <c r="G77" s="709"/>
    </row>
    <row r="78" spans="1:7">
      <c r="A78" s="713">
        <v>13</v>
      </c>
      <c r="B78" s="656" t="s">
        <v>1089</v>
      </c>
      <c r="C78" s="657" t="s">
        <v>1090</v>
      </c>
      <c r="D78" s="645">
        <f>34*2</f>
        <v>68</v>
      </c>
      <c r="E78" s="658">
        <v>1500</v>
      </c>
      <c r="F78" s="659">
        <v>725</v>
      </c>
      <c r="G78" s="709">
        <f t="shared" ref="G78:G83" si="7">(E78+F78)*D78</f>
        <v>151300</v>
      </c>
    </row>
    <row r="79" spans="1:7">
      <c r="A79" s="713">
        <v>14</v>
      </c>
      <c r="B79" s="656" t="s">
        <v>1091</v>
      </c>
      <c r="C79" s="657" t="s">
        <v>91</v>
      </c>
      <c r="D79" s="645">
        <f>1*2</f>
        <v>2</v>
      </c>
      <c r="E79" s="658">
        <v>97500</v>
      </c>
      <c r="F79" s="659">
        <v>2100</v>
      </c>
      <c r="G79" s="709">
        <f t="shared" si="7"/>
        <v>199200</v>
      </c>
    </row>
    <row r="80" spans="1:7">
      <c r="A80" s="713">
        <v>15</v>
      </c>
      <c r="B80" s="656" t="s">
        <v>1092</v>
      </c>
      <c r="C80" s="657" t="s">
        <v>91</v>
      </c>
      <c r="D80" s="645">
        <f>1*2</f>
        <v>2</v>
      </c>
      <c r="E80" s="658">
        <v>50000</v>
      </c>
      <c r="F80" s="658">
        <v>3250</v>
      </c>
      <c r="G80" s="709">
        <f t="shared" si="7"/>
        <v>106500</v>
      </c>
    </row>
    <row r="81" spans="1:7">
      <c r="A81" s="713">
        <v>16</v>
      </c>
      <c r="B81" s="656" t="s">
        <v>1093</v>
      </c>
      <c r="C81" s="657" t="s">
        <v>91</v>
      </c>
      <c r="D81" s="645">
        <f>1*2</f>
        <v>2</v>
      </c>
      <c r="E81" s="658">
        <v>18500</v>
      </c>
      <c r="F81" s="658">
        <v>1700</v>
      </c>
      <c r="G81" s="709">
        <f t="shared" si="7"/>
        <v>40400</v>
      </c>
    </row>
    <row r="82" spans="1:7">
      <c r="A82" s="713">
        <v>17</v>
      </c>
      <c r="B82" s="656" t="s">
        <v>1094</v>
      </c>
      <c r="C82" s="657" t="s">
        <v>1090</v>
      </c>
      <c r="D82" s="645">
        <f>34*2</f>
        <v>68</v>
      </c>
      <c r="E82" s="658">
        <v>2400</v>
      </c>
      <c r="F82" s="658">
        <v>200</v>
      </c>
      <c r="G82" s="709">
        <f t="shared" si="7"/>
        <v>176800</v>
      </c>
    </row>
    <row r="83" spans="1:7">
      <c r="A83" s="713">
        <v>18</v>
      </c>
      <c r="B83" s="656" t="s">
        <v>1095</v>
      </c>
      <c r="C83" s="657" t="s">
        <v>1076</v>
      </c>
      <c r="D83" s="645">
        <f>200*2</f>
        <v>400</v>
      </c>
      <c r="E83" s="658">
        <v>355</v>
      </c>
      <c r="F83" s="658">
        <v>80</v>
      </c>
      <c r="G83" s="709">
        <f t="shared" si="7"/>
        <v>174000</v>
      </c>
    </row>
    <row r="84" spans="1:7">
      <c r="A84" s="714"/>
      <c r="B84" s="656"/>
      <c r="C84" s="657"/>
      <c r="D84" s="645"/>
      <c r="E84" s="645"/>
      <c r="F84" s="645"/>
      <c r="G84" s="708"/>
    </row>
    <row r="85" spans="1:7" ht="41.4">
      <c r="A85" s="713" t="s">
        <v>217</v>
      </c>
      <c r="B85" s="661" t="s">
        <v>1096</v>
      </c>
      <c r="C85" s="657"/>
      <c r="D85" s="645"/>
      <c r="E85" s="645"/>
      <c r="F85" s="645"/>
      <c r="G85" s="708"/>
    </row>
    <row r="86" spans="1:7" ht="41.4">
      <c r="A86" s="713">
        <v>1</v>
      </c>
      <c r="B86" s="662" t="s">
        <v>1097</v>
      </c>
      <c r="C86" s="663" t="s">
        <v>91</v>
      </c>
      <c r="D86" s="645">
        <f>34*2</f>
        <v>68</v>
      </c>
      <c r="E86" s="658">
        <v>76000</v>
      </c>
      <c r="F86" s="658">
        <v>1000</v>
      </c>
      <c r="G86" s="710">
        <f>(E86+F86)*D86</f>
        <v>5236000</v>
      </c>
    </row>
    <row r="87" spans="1:7">
      <c r="A87" s="714"/>
      <c r="B87" s="662"/>
      <c r="C87" s="663"/>
      <c r="D87" s="645"/>
      <c r="E87" s="645"/>
      <c r="F87" s="660"/>
      <c r="G87" s="711"/>
    </row>
    <row r="88" spans="1:7" ht="220.8">
      <c r="A88" s="713" t="s">
        <v>222</v>
      </c>
      <c r="B88" s="664" t="s">
        <v>1098</v>
      </c>
      <c r="C88" s="663"/>
      <c r="D88" s="645"/>
      <c r="E88" s="645"/>
      <c r="F88" s="660"/>
      <c r="G88" s="708"/>
    </row>
    <row r="89" spans="1:7">
      <c r="A89" s="713">
        <v>1</v>
      </c>
      <c r="B89" s="646" t="s">
        <v>1099</v>
      </c>
      <c r="C89" s="663" t="s">
        <v>91</v>
      </c>
      <c r="D89" s="645">
        <v>2</v>
      </c>
      <c r="E89" s="658">
        <v>565500</v>
      </c>
      <c r="F89" s="658">
        <v>9750</v>
      </c>
      <c r="G89" s="709">
        <f>(E89+F89)*D89</f>
        <v>1150500</v>
      </c>
    </row>
    <row r="90" spans="1:7">
      <c r="A90" s="714"/>
      <c r="B90" s="662"/>
      <c r="C90" s="657"/>
      <c r="D90" s="645"/>
      <c r="E90" s="645"/>
      <c r="F90" s="660"/>
      <c r="G90" s="708"/>
    </row>
    <row r="91" spans="1:7" ht="59.25" customHeight="1">
      <c r="A91" s="713" t="s">
        <v>1100</v>
      </c>
      <c r="B91" s="665" t="s">
        <v>1101</v>
      </c>
      <c r="C91" s="663"/>
      <c r="D91" s="645"/>
      <c r="E91" s="645"/>
      <c r="F91" s="660"/>
      <c r="G91" s="711"/>
    </row>
    <row r="92" spans="1:7">
      <c r="A92" s="713" t="s">
        <v>1102</v>
      </c>
      <c r="B92" s="646" t="s">
        <v>1103</v>
      </c>
      <c r="C92" s="657" t="s">
        <v>1076</v>
      </c>
      <c r="D92" s="645" t="s">
        <v>1087</v>
      </c>
      <c r="E92" s="666">
        <v>1057</v>
      </c>
      <c r="F92" s="660"/>
      <c r="G92" s="709"/>
    </row>
    <row r="93" spans="1:7">
      <c r="A93" s="713" t="s">
        <v>1104</v>
      </c>
      <c r="B93" s="646" t="s">
        <v>1105</v>
      </c>
      <c r="C93" s="657" t="s">
        <v>1076</v>
      </c>
      <c r="D93" s="645">
        <v>340</v>
      </c>
      <c r="E93" s="645">
        <v>664</v>
      </c>
      <c r="F93" s="660"/>
      <c r="G93" s="709">
        <f>(E93+F93)*D93</f>
        <v>225760</v>
      </c>
    </row>
    <row r="94" spans="1:7">
      <c r="A94" s="714"/>
      <c r="B94" s="646"/>
      <c r="C94" s="657"/>
      <c r="D94" s="645"/>
      <c r="E94" s="645"/>
      <c r="F94" s="660"/>
      <c r="G94" s="708"/>
    </row>
    <row r="95" spans="1:7" ht="110.4">
      <c r="A95" s="713" t="s">
        <v>537</v>
      </c>
      <c r="B95" s="667" t="s">
        <v>1106</v>
      </c>
      <c r="C95" s="663"/>
      <c r="D95" s="645"/>
      <c r="E95" s="645"/>
      <c r="F95" s="660"/>
      <c r="G95" s="711"/>
    </row>
    <row r="96" spans="1:7">
      <c r="A96" s="713">
        <v>1</v>
      </c>
      <c r="B96" s="646" t="s">
        <v>1103</v>
      </c>
      <c r="C96" s="663" t="s">
        <v>91</v>
      </c>
      <c r="D96" s="645" t="s">
        <v>1087</v>
      </c>
      <c r="E96" s="668">
        <v>515</v>
      </c>
      <c r="F96" s="660">
        <v>130</v>
      </c>
      <c r="G96" s="709"/>
    </row>
    <row r="97" spans="1:7">
      <c r="A97" s="713">
        <v>2</v>
      </c>
      <c r="B97" s="646" t="s">
        <v>1107</v>
      </c>
      <c r="C97" s="663" t="s">
        <v>91</v>
      </c>
      <c r="D97" s="645">
        <f>34*4</f>
        <v>136</v>
      </c>
      <c r="E97" s="668">
        <v>905</v>
      </c>
      <c r="F97" s="660">
        <v>225</v>
      </c>
      <c r="G97" s="709">
        <f>(E97+F97)*D97</f>
        <v>153680</v>
      </c>
    </row>
    <row r="98" spans="1:7">
      <c r="A98" s="714"/>
      <c r="B98" s="646"/>
      <c r="C98" s="663"/>
      <c r="D98" s="645"/>
      <c r="E98" s="645"/>
      <c r="F98" s="660"/>
      <c r="G98" s="708"/>
    </row>
    <row r="99" spans="1:7" ht="41.4">
      <c r="A99" s="713" t="s">
        <v>539</v>
      </c>
      <c r="B99" s="661" t="s">
        <v>1108</v>
      </c>
      <c r="C99" s="657"/>
      <c r="D99" s="645"/>
      <c r="E99" s="645"/>
      <c r="F99" s="645"/>
      <c r="G99" s="708"/>
    </row>
    <row r="100" spans="1:7" ht="32.25" customHeight="1">
      <c r="A100" s="713">
        <v>1</v>
      </c>
      <c r="B100" s="662" t="s">
        <v>1109</v>
      </c>
      <c r="C100" s="663" t="s">
        <v>91</v>
      </c>
      <c r="D100" s="645">
        <f>34*2</f>
        <v>68</v>
      </c>
      <c r="E100" s="658">
        <v>25500</v>
      </c>
      <c r="F100" s="658">
        <v>3250</v>
      </c>
      <c r="G100" s="709">
        <f>(E100+F100)*D100</f>
        <v>1955000</v>
      </c>
    </row>
    <row r="101" spans="1:7">
      <c r="A101" s="714"/>
      <c r="B101" s="662"/>
      <c r="C101" s="663"/>
      <c r="D101" s="645"/>
      <c r="E101" s="646"/>
      <c r="F101" s="646"/>
      <c r="G101" s="711"/>
    </row>
    <row r="102" spans="1:7">
      <c r="A102" s="714"/>
      <c r="B102" s="656"/>
      <c r="C102" s="657"/>
      <c r="D102" s="645"/>
      <c r="E102" s="635"/>
      <c r="F102" s="635"/>
      <c r="G102" s="708"/>
    </row>
    <row r="103" spans="1:7">
      <c r="A103" s="714"/>
      <c r="B103" s="1141" t="s">
        <v>1110</v>
      </c>
      <c r="C103" s="1142"/>
      <c r="D103" s="1142"/>
      <c r="E103" s="1143"/>
      <c r="F103" s="814"/>
      <c r="G103" s="826">
        <f>SUM(G66:G100)</f>
        <v>18020050</v>
      </c>
    </row>
    <row r="104" spans="1:7">
      <c r="A104" s="714"/>
      <c r="B104" s="1138" t="s">
        <v>1111</v>
      </c>
      <c r="C104" s="1139"/>
      <c r="D104" s="1139"/>
      <c r="E104" s="1140"/>
      <c r="F104" s="815" t="s">
        <v>1112</v>
      </c>
      <c r="G104" s="827">
        <f>G103*1.1</f>
        <v>19822055</v>
      </c>
    </row>
    <row r="105" spans="1:7">
      <c r="A105" s="812"/>
      <c r="B105" s="828"/>
      <c r="C105" s="828"/>
      <c r="D105" s="828"/>
      <c r="E105" s="828"/>
      <c r="F105" s="828"/>
      <c r="G105" s="829"/>
    </row>
    <row r="108" spans="1:7">
      <c r="B108" s="833" t="s">
        <v>1113</v>
      </c>
      <c r="C108" s="727" t="s">
        <v>205</v>
      </c>
    </row>
    <row r="109" spans="1:7" ht="15">
      <c r="B109" s="811" t="s">
        <v>1114</v>
      </c>
      <c r="C109" s="834">
        <v>1500000</v>
      </c>
    </row>
    <row r="110" spans="1:7" ht="15">
      <c r="B110" s="714" t="s">
        <v>1115</v>
      </c>
      <c r="C110" s="830">
        <v>500000</v>
      </c>
    </row>
    <row r="111" spans="1:7" ht="15">
      <c r="B111" s="715" t="s">
        <v>1116</v>
      </c>
      <c r="C111" s="832">
        <v>400000</v>
      </c>
    </row>
    <row r="112" spans="1:7">
      <c r="B112" s="718" t="s">
        <v>232</v>
      </c>
      <c r="C112" s="831">
        <f>SUM(C109:C111)</f>
        <v>2400000</v>
      </c>
    </row>
  </sheetData>
  <mergeCells count="9">
    <mergeCell ref="A1:G1"/>
    <mergeCell ref="B36:F36"/>
    <mergeCell ref="B43:F43"/>
    <mergeCell ref="B57:D57"/>
    <mergeCell ref="B104:E104"/>
    <mergeCell ref="B103:E103"/>
    <mergeCell ref="C61:D65"/>
    <mergeCell ref="B61:B65"/>
    <mergeCell ref="A61:A6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D4799-CB43-4625-B169-BA03135C8AEF}">
  <dimension ref="A1:H28"/>
  <sheetViews>
    <sheetView workbookViewId="0">
      <selection activeCell="C16" sqref="C16"/>
    </sheetView>
  </sheetViews>
  <sheetFormatPr defaultRowHeight="14.4"/>
  <cols>
    <col min="2" max="2" width="28.5546875" customWidth="1"/>
    <col min="3" max="3" width="19" bestFit="1" customWidth="1"/>
    <col min="4" max="4" width="30.5546875" bestFit="1" customWidth="1"/>
    <col min="5" max="5" width="8.33203125" customWidth="1"/>
    <col min="6" max="6" width="13.88671875" bestFit="1" customWidth="1"/>
    <col min="8" max="8" width="12.33203125" bestFit="1" customWidth="1"/>
  </cols>
  <sheetData>
    <row r="1" spans="1:7" ht="23.4">
      <c r="A1" s="1154" t="s">
        <v>1117</v>
      </c>
      <c r="B1" s="1155"/>
      <c r="C1" s="1156"/>
      <c r="F1" s="699" t="s">
        <v>243</v>
      </c>
      <c r="G1" s="787">
        <v>413793</v>
      </c>
    </row>
    <row r="2" spans="1:7">
      <c r="A2" s="1157"/>
      <c r="B2" s="1159" t="s">
        <v>1118</v>
      </c>
      <c r="C2" s="1161" t="s">
        <v>205</v>
      </c>
      <c r="F2" s="803" t="s">
        <v>1012</v>
      </c>
      <c r="G2" s="789">
        <v>236936</v>
      </c>
    </row>
    <row r="3" spans="1:7">
      <c r="A3" s="1158"/>
      <c r="B3" s="1160"/>
      <c r="C3" s="1162"/>
      <c r="E3" s="605"/>
    </row>
    <row r="4" spans="1:7">
      <c r="A4" s="790" t="s">
        <v>206</v>
      </c>
      <c r="B4" s="624" t="s">
        <v>517</v>
      </c>
      <c r="C4" s="791"/>
      <c r="F4" s="614" t="s">
        <v>486</v>
      </c>
      <c r="G4" s="615">
        <f>G1+G2</f>
        <v>650729</v>
      </c>
    </row>
    <row r="5" spans="1:7">
      <c r="A5" s="792" t="s">
        <v>217</v>
      </c>
      <c r="B5" s="625" t="s">
        <v>419</v>
      </c>
      <c r="C5" s="791">
        <f>+G1*80</f>
        <v>33103440</v>
      </c>
      <c r="D5" s="626">
        <f>C5/664</f>
        <v>49854.578313253012</v>
      </c>
    </row>
    <row r="6" spans="1:7">
      <c r="A6" s="792" t="s">
        <v>222</v>
      </c>
      <c r="B6" s="625" t="s">
        <v>420</v>
      </c>
      <c r="C6" s="791">
        <f>+C26</f>
        <v>18000000</v>
      </c>
      <c r="D6" s="626">
        <f>C6/664</f>
        <v>27108.433734939757</v>
      </c>
      <c r="E6" s="605"/>
      <c r="G6">
        <f>+G4*120</f>
        <v>78087480</v>
      </c>
    </row>
    <row r="7" spans="1:7">
      <c r="A7" s="792" t="s">
        <v>537</v>
      </c>
      <c r="B7" s="624" t="s">
        <v>1012</v>
      </c>
      <c r="C7" s="791"/>
      <c r="E7" s="605"/>
    </row>
    <row r="8" spans="1:7">
      <c r="A8" s="792" t="s">
        <v>539</v>
      </c>
      <c r="B8" s="625" t="s">
        <v>420</v>
      </c>
      <c r="C8" s="791">
        <f>+C28</f>
        <v>0</v>
      </c>
      <c r="D8" t="s">
        <v>1119</v>
      </c>
      <c r="E8" s="605"/>
    </row>
    <row r="9" spans="1:7">
      <c r="A9" s="792" t="s">
        <v>541</v>
      </c>
      <c r="B9" s="625" t="s">
        <v>419</v>
      </c>
      <c r="C9" s="791">
        <f>+G2*30</f>
        <v>7108080</v>
      </c>
    </row>
    <row r="10" spans="1:7">
      <c r="A10" s="792" t="s">
        <v>543</v>
      </c>
      <c r="B10" s="624" t="s">
        <v>435</v>
      </c>
      <c r="C10" s="791">
        <v>2000000</v>
      </c>
    </row>
    <row r="11" spans="1:7">
      <c r="A11" s="792" t="s">
        <v>545</v>
      </c>
      <c r="B11" s="624" t="s">
        <v>438</v>
      </c>
      <c r="C11" s="791">
        <f>200000*8</f>
        <v>1600000</v>
      </c>
    </row>
    <row r="12" spans="1:7">
      <c r="A12" s="792" t="s">
        <v>547</v>
      </c>
      <c r="B12" s="624" t="s">
        <v>1120</v>
      </c>
      <c r="C12" s="791">
        <f>13000*115</f>
        <v>1495000</v>
      </c>
    </row>
    <row r="13" spans="1:7">
      <c r="A13" s="1163" t="s">
        <v>1121</v>
      </c>
      <c r="B13" s="1164"/>
      <c r="C13" s="793">
        <f>SUM(C5:C12)</f>
        <v>63306520</v>
      </c>
      <c r="D13" s="626"/>
      <c r="E13" s="626"/>
      <c r="F13" s="626"/>
    </row>
    <row r="14" spans="1:7" ht="15" thickBot="1">
      <c r="A14" s="627"/>
      <c r="B14" s="628"/>
      <c r="C14" s="629"/>
      <c r="E14" s="626"/>
    </row>
    <row r="15" spans="1:7">
      <c r="A15" s="627"/>
      <c r="B15" s="699" t="s">
        <v>1122</v>
      </c>
      <c r="C15" s="888">
        <v>664</v>
      </c>
      <c r="D15" s="626">
        <f>C15*45000</f>
        <v>29880000</v>
      </c>
      <c r="E15" s="626"/>
      <c r="F15" s="626">
        <f>D15+C26</f>
        <v>47880000</v>
      </c>
    </row>
    <row r="16" spans="1:7" ht="15" thickBot="1">
      <c r="A16" s="627"/>
      <c r="B16" s="803" t="s">
        <v>1123</v>
      </c>
      <c r="C16" s="889">
        <v>32</v>
      </c>
      <c r="E16" s="626"/>
    </row>
    <row r="17" spans="1:8" ht="15" thickBot="1">
      <c r="A17" s="627"/>
      <c r="C17" s="605"/>
      <c r="E17" s="626"/>
    </row>
    <row r="18" spans="1:8">
      <c r="A18" s="627"/>
      <c r="B18" s="699" t="s">
        <v>1124</v>
      </c>
      <c r="C18" s="888">
        <v>280</v>
      </c>
      <c r="D18" s="996">
        <f>C9/C16</f>
        <v>222127.5</v>
      </c>
      <c r="E18" s="626"/>
    </row>
    <row r="19" spans="1:8" ht="15" thickBot="1">
      <c r="A19" s="627"/>
      <c r="B19" s="803" t="s">
        <v>1125</v>
      </c>
      <c r="C19" s="889">
        <v>32</v>
      </c>
      <c r="E19" s="626"/>
    </row>
    <row r="20" spans="1:8" ht="15" thickBot="1">
      <c r="A20" s="627"/>
      <c r="B20" s="628"/>
      <c r="C20" s="629"/>
      <c r="E20" s="626"/>
    </row>
    <row r="21" spans="1:8">
      <c r="A21" s="800"/>
      <c r="B21" s="801"/>
      <c r="C21" s="802" t="s">
        <v>205</v>
      </c>
      <c r="H21" s="626"/>
    </row>
    <row r="22" spans="1:8">
      <c r="A22" s="794" t="s">
        <v>1126</v>
      </c>
      <c r="B22" s="795"/>
      <c r="C22" s="796">
        <f>C15*25000</f>
        <v>16600000</v>
      </c>
    </row>
    <row r="23" spans="1:8">
      <c r="A23" s="797" t="s">
        <v>1127</v>
      </c>
      <c r="B23" s="571"/>
      <c r="C23" s="683"/>
    </row>
    <row r="24" spans="1:8">
      <c r="A24" s="797" t="s">
        <v>1128</v>
      </c>
      <c r="B24" s="571"/>
      <c r="C24" s="683">
        <f>C18*5000</f>
        <v>1400000</v>
      </c>
    </row>
    <row r="25" spans="1:8">
      <c r="A25" s="798" t="s">
        <v>1129</v>
      </c>
      <c r="B25" s="630"/>
      <c r="C25" s="799"/>
    </row>
    <row r="26" spans="1:8">
      <c r="A26" s="1152" t="s">
        <v>1130</v>
      </c>
      <c r="B26" s="1153"/>
      <c r="C26" s="631">
        <f>SUM(C22:C25)</f>
        <v>18000000</v>
      </c>
      <c r="D26">
        <f>C26/994</f>
        <v>18108.651911468813</v>
      </c>
    </row>
    <row r="28" spans="1:8">
      <c r="A28" s="632" t="s">
        <v>1131</v>
      </c>
      <c r="B28" s="633"/>
      <c r="C28" s="571"/>
    </row>
  </sheetData>
  <mergeCells count="6">
    <mergeCell ref="A26:B26"/>
    <mergeCell ref="A1:C1"/>
    <mergeCell ref="A2:A3"/>
    <mergeCell ref="B2:B3"/>
    <mergeCell ref="C2:C3"/>
    <mergeCell ref="A13:B13"/>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696C9-C772-4DF1-92D4-3B70304BCB75}">
  <dimension ref="A1:F14"/>
  <sheetViews>
    <sheetView workbookViewId="0">
      <selection activeCell="C6" sqref="C6"/>
    </sheetView>
  </sheetViews>
  <sheetFormatPr defaultRowHeight="14.4"/>
  <cols>
    <col min="2" max="2" width="32.109375" customWidth="1"/>
    <col min="3" max="3" width="24.33203125" customWidth="1"/>
    <col min="5" max="5" width="10.44140625" bestFit="1" customWidth="1"/>
    <col min="7" max="7" width="11.109375" bestFit="1" customWidth="1"/>
    <col min="9" max="9" width="10" bestFit="1" customWidth="1"/>
  </cols>
  <sheetData>
    <row r="1" spans="1:6" ht="16.2" thickBot="1">
      <c r="A1" s="609"/>
      <c r="B1" s="610"/>
      <c r="C1" s="610"/>
    </row>
    <row r="2" spans="1:6" ht="16.2" thickBot="1">
      <c r="A2" s="1165" t="s">
        <v>1132</v>
      </c>
      <c r="B2" s="1166"/>
      <c r="C2" s="804" t="s">
        <v>1133</v>
      </c>
      <c r="E2" s="699" t="s">
        <v>243</v>
      </c>
      <c r="F2" s="890">
        <v>413793</v>
      </c>
    </row>
    <row r="3" spans="1:6" ht="15" thickBot="1">
      <c r="A3" s="1167" t="s">
        <v>228</v>
      </c>
      <c r="B3" s="1169" t="s">
        <v>2</v>
      </c>
      <c r="C3" s="1171" t="s">
        <v>232</v>
      </c>
      <c r="E3" s="803" t="s">
        <v>1012</v>
      </c>
      <c r="F3" s="891">
        <v>236936</v>
      </c>
    </row>
    <row r="4" spans="1:6" ht="15" thickBot="1">
      <c r="A4" s="1168"/>
      <c r="B4" s="1170"/>
      <c r="C4" s="1172"/>
    </row>
    <row r="5" spans="1:6" ht="16.2" thickBot="1">
      <c r="A5" s="611"/>
      <c r="B5" s="612"/>
      <c r="C5" s="613"/>
      <c r="E5" s="707" t="s">
        <v>486</v>
      </c>
      <c r="F5" s="892">
        <f>F2+F3</f>
        <v>650729</v>
      </c>
    </row>
    <row r="6" spans="1:6" ht="15.6">
      <c r="A6" s="616" t="s">
        <v>1134</v>
      </c>
      <c r="B6" s="617" t="s">
        <v>243</v>
      </c>
      <c r="C6" s="618">
        <f>+F2*70</f>
        <v>28965510</v>
      </c>
    </row>
    <row r="7" spans="1:6" ht="15.6">
      <c r="A7" s="619" t="s">
        <v>1135</v>
      </c>
      <c r="B7" s="617" t="s">
        <v>1136</v>
      </c>
      <c r="C7" s="618">
        <v>4500000</v>
      </c>
    </row>
    <row r="8" spans="1:6" ht="15.6">
      <c r="A8" s="616" t="s">
        <v>1137</v>
      </c>
      <c r="B8" s="617" t="s">
        <v>1012</v>
      </c>
      <c r="C8" s="618">
        <f>(+F3*70)-C7</f>
        <v>12085520</v>
      </c>
    </row>
    <row r="9" spans="1:6" ht="15.75" customHeight="1">
      <c r="A9" s="616" t="s">
        <v>1138</v>
      </c>
      <c r="B9" s="617" t="s">
        <v>1139</v>
      </c>
      <c r="C9" s="618">
        <f>+F3*10</f>
        <v>2369360</v>
      </c>
    </row>
    <row r="10" spans="1:6" ht="15.6">
      <c r="A10" s="616" t="s">
        <v>1140</v>
      </c>
      <c r="B10" s="617" t="s">
        <v>1141</v>
      </c>
      <c r="C10" s="618">
        <f>55*12000</f>
        <v>660000</v>
      </c>
    </row>
    <row r="11" spans="1:6" ht="15.6">
      <c r="A11" s="616" t="s">
        <v>541</v>
      </c>
      <c r="B11" s="617" t="s">
        <v>1142</v>
      </c>
      <c r="C11" s="618">
        <f>+F2*18</f>
        <v>7448274</v>
      </c>
    </row>
    <row r="12" spans="1:6" ht="15.6">
      <c r="A12" s="616" t="s">
        <v>543</v>
      </c>
      <c r="B12" s="617" t="s">
        <v>1143</v>
      </c>
      <c r="C12" s="618">
        <f>+F3*18</f>
        <v>4264848</v>
      </c>
    </row>
    <row r="13" spans="1:6" ht="15.6">
      <c r="A13" s="616" t="s">
        <v>545</v>
      </c>
      <c r="B13" s="617" t="s">
        <v>423</v>
      </c>
      <c r="C13" s="620">
        <f>+F5*5</f>
        <v>3253645</v>
      </c>
    </row>
    <row r="14" spans="1:6" ht="15.6">
      <c r="A14" s="621"/>
      <c r="B14" s="622" t="s">
        <v>1144</v>
      </c>
      <c r="C14" s="623">
        <f>SUM(C6:C13)</f>
        <v>63547157</v>
      </c>
    </row>
  </sheetData>
  <mergeCells count="4">
    <mergeCell ref="A2:B2"/>
    <mergeCell ref="A3:A4"/>
    <mergeCell ref="B3:B4"/>
    <mergeCell ref="C3:C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BF883-3169-49D3-9AAF-11245515AA97}">
  <dimension ref="A1:AA50"/>
  <sheetViews>
    <sheetView workbookViewId="0">
      <selection activeCell="I24" sqref="I24"/>
    </sheetView>
  </sheetViews>
  <sheetFormatPr defaultRowHeight="14.4"/>
  <cols>
    <col min="2" max="2" width="22.88671875" bestFit="1" customWidth="1"/>
    <col min="3" max="3" width="19.33203125" customWidth="1"/>
    <col min="4" max="4" width="13.33203125" customWidth="1"/>
    <col min="5" max="5" width="9.44140625" bestFit="1" customWidth="1"/>
    <col min="6" max="6" width="10.109375" customWidth="1"/>
    <col min="7" max="7" width="15.6640625" style="557" customWidth="1"/>
    <col min="8" max="8" width="14.5546875" style="557" customWidth="1"/>
    <col min="9" max="9" width="22" style="557" customWidth="1"/>
    <col min="10" max="10" width="9.109375" style="557" customWidth="1"/>
    <col min="11" max="11" width="15.44140625" customWidth="1"/>
    <col min="12" max="14" width="5.33203125" bestFit="1" customWidth="1"/>
    <col min="15" max="19" width="5.33203125" customWidth="1"/>
    <col min="20" max="25" width="4.33203125" customWidth="1"/>
    <col min="27" max="27" width="7" bestFit="1" customWidth="1"/>
  </cols>
  <sheetData>
    <row r="1" spans="1:27">
      <c r="A1" s="1176" t="s">
        <v>1145</v>
      </c>
      <c r="B1" s="1177"/>
      <c r="C1" s="1177"/>
      <c r="D1" s="1177"/>
      <c r="E1" s="1177"/>
      <c r="F1" s="1177"/>
      <c r="G1" s="1177"/>
      <c r="H1" s="1177"/>
      <c r="I1" s="1178"/>
      <c r="K1" s="1179" t="s">
        <v>1146</v>
      </c>
      <c r="L1" s="1180"/>
      <c r="M1" s="1180"/>
      <c r="N1" s="1180"/>
      <c r="O1" s="1180"/>
      <c r="P1" s="1180"/>
      <c r="Q1" s="1180"/>
      <c r="R1" s="1180"/>
      <c r="S1" s="1180"/>
      <c r="T1" s="1180"/>
      <c r="U1" s="1180"/>
      <c r="V1" s="1180"/>
      <c r="W1" s="1180"/>
      <c r="X1" s="1180"/>
      <c r="Y1" s="1180"/>
      <c r="AA1" s="558" t="s">
        <v>649</v>
      </c>
    </row>
    <row r="2" spans="1:27" ht="28.8">
      <c r="A2" s="559" t="s">
        <v>565</v>
      </c>
      <c r="B2" s="560" t="s">
        <v>1147</v>
      </c>
      <c r="C2" s="560" t="s">
        <v>1058</v>
      </c>
      <c r="D2" s="561" t="s">
        <v>1148</v>
      </c>
      <c r="E2" s="561" t="s">
        <v>1149</v>
      </c>
      <c r="F2" s="560" t="s">
        <v>1150</v>
      </c>
      <c r="G2" s="561" t="s">
        <v>1151</v>
      </c>
      <c r="H2" s="560" t="s">
        <v>1152</v>
      </c>
      <c r="I2" s="562" t="s">
        <v>205</v>
      </c>
      <c r="K2" s="563" t="s">
        <v>516</v>
      </c>
      <c r="L2" s="563" t="s">
        <v>1153</v>
      </c>
      <c r="M2" s="563" t="s">
        <v>1154</v>
      </c>
      <c r="N2" s="563" t="s">
        <v>1155</v>
      </c>
      <c r="O2" s="563" t="s">
        <v>1156</v>
      </c>
      <c r="P2" s="563" t="s">
        <v>1157</v>
      </c>
      <c r="Q2" s="563" t="s">
        <v>1158</v>
      </c>
      <c r="R2" s="564" t="s">
        <v>1159</v>
      </c>
      <c r="S2" s="564" t="s">
        <v>1160</v>
      </c>
      <c r="T2" s="564" t="s">
        <v>1159</v>
      </c>
      <c r="U2" s="564" t="s">
        <v>1160</v>
      </c>
      <c r="V2" s="564" t="s">
        <v>1161</v>
      </c>
      <c r="W2" s="564" t="s">
        <v>1162</v>
      </c>
      <c r="X2" s="564" t="s">
        <v>1159</v>
      </c>
      <c r="Y2" s="564" t="s">
        <v>1160</v>
      </c>
      <c r="AA2" s="563" t="s">
        <v>1163</v>
      </c>
    </row>
    <row r="3" spans="1:27">
      <c r="A3" s="565">
        <v>1</v>
      </c>
      <c r="B3" s="566" t="s">
        <v>1164</v>
      </c>
      <c r="C3" s="567" t="s">
        <v>1165</v>
      </c>
      <c r="D3" s="567"/>
      <c r="E3" s="567">
        <v>37</v>
      </c>
      <c r="F3" s="567" t="s">
        <v>1166</v>
      </c>
      <c r="G3" s="567" t="s">
        <v>1167</v>
      </c>
      <c r="H3" s="567">
        <v>150000</v>
      </c>
      <c r="I3" s="568">
        <f>H3*E3</f>
        <v>5550000</v>
      </c>
      <c r="K3" s="569" t="s">
        <v>245</v>
      </c>
      <c r="L3" s="574">
        <v>1</v>
      </c>
      <c r="M3" s="574">
        <v>1</v>
      </c>
      <c r="N3" s="574">
        <v>1</v>
      </c>
      <c r="O3" s="574">
        <v>1</v>
      </c>
      <c r="P3" s="574">
        <v>1</v>
      </c>
      <c r="Q3" s="574">
        <v>1</v>
      </c>
      <c r="R3" s="574">
        <v>1</v>
      </c>
      <c r="S3" s="574">
        <v>1</v>
      </c>
      <c r="T3" s="574"/>
      <c r="U3" s="574"/>
      <c r="V3" s="574"/>
      <c r="W3" s="574"/>
      <c r="X3" s="574">
        <v>1</v>
      </c>
      <c r="Y3" s="574">
        <v>1</v>
      </c>
      <c r="AA3" s="569">
        <v>6.5</v>
      </c>
    </row>
    <row r="4" spans="1:27">
      <c r="A4" s="572">
        <v>2</v>
      </c>
      <c r="B4" s="571" t="s">
        <v>1168</v>
      </c>
      <c r="C4" s="569" t="s">
        <v>1169</v>
      </c>
      <c r="D4" s="569"/>
      <c r="E4" s="569">
        <v>37</v>
      </c>
      <c r="F4" s="569" t="s">
        <v>1166</v>
      </c>
      <c r="G4" s="569" t="s">
        <v>1167</v>
      </c>
      <c r="H4" s="567">
        <v>150000</v>
      </c>
      <c r="I4" s="573">
        <f t="shared" ref="I4:I19" si="0">H4*E4</f>
        <v>5550000</v>
      </c>
      <c r="K4" s="569">
        <v>34</v>
      </c>
      <c r="L4" s="574">
        <v>1</v>
      </c>
      <c r="M4" s="574">
        <v>1</v>
      </c>
      <c r="N4" s="574">
        <v>1</v>
      </c>
      <c r="O4" s="574">
        <v>1</v>
      </c>
      <c r="P4" s="574">
        <v>1</v>
      </c>
      <c r="Q4" s="574">
        <v>1</v>
      </c>
      <c r="R4" s="574">
        <v>1</v>
      </c>
      <c r="S4" s="574">
        <v>1</v>
      </c>
      <c r="T4" s="574"/>
      <c r="U4" s="574"/>
      <c r="V4" s="574"/>
      <c r="W4" s="574"/>
      <c r="X4" s="574">
        <v>1</v>
      </c>
      <c r="Y4" s="574">
        <v>1</v>
      </c>
      <c r="AA4" s="569">
        <v>3.1</v>
      </c>
    </row>
    <row r="5" spans="1:27">
      <c r="A5" s="565">
        <v>3</v>
      </c>
      <c r="B5" s="571" t="s">
        <v>1170</v>
      </c>
      <c r="C5" s="569" t="s">
        <v>1171</v>
      </c>
      <c r="D5" s="569"/>
      <c r="E5" s="569">
        <v>37</v>
      </c>
      <c r="F5" s="569" t="s">
        <v>1166</v>
      </c>
      <c r="G5" s="569" t="s">
        <v>1167</v>
      </c>
      <c r="H5" s="567">
        <v>150000</v>
      </c>
      <c r="I5" s="573">
        <f t="shared" si="0"/>
        <v>5550000</v>
      </c>
      <c r="K5" s="569">
        <v>33</v>
      </c>
      <c r="L5" s="574">
        <v>1</v>
      </c>
      <c r="M5" s="574">
        <v>1</v>
      </c>
      <c r="N5" s="574">
        <v>1</v>
      </c>
      <c r="O5" s="574">
        <v>1</v>
      </c>
      <c r="P5" s="574">
        <v>1</v>
      </c>
      <c r="Q5" s="574">
        <v>1</v>
      </c>
      <c r="R5" s="574">
        <v>1</v>
      </c>
      <c r="S5" s="574">
        <v>1</v>
      </c>
      <c r="T5" s="574"/>
      <c r="U5" s="574"/>
      <c r="V5" s="574"/>
      <c r="W5" s="574"/>
      <c r="X5" s="574">
        <v>1</v>
      </c>
      <c r="Y5" s="574">
        <v>1</v>
      </c>
      <c r="AA5" s="569">
        <v>3.1</v>
      </c>
    </row>
    <row r="6" spans="1:27">
      <c r="A6" s="572">
        <v>4</v>
      </c>
      <c r="B6" s="571" t="s">
        <v>1172</v>
      </c>
      <c r="C6" s="569" t="s">
        <v>1173</v>
      </c>
      <c r="D6" s="569"/>
      <c r="E6" s="569">
        <v>37</v>
      </c>
      <c r="F6" s="569" t="s">
        <v>1166</v>
      </c>
      <c r="G6" s="569" t="s">
        <v>1167</v>
      </c>
      <c r="H6" s="567">
        <v>150000</v>
      </c>
      <c r="I6" s="573">
        <f t="shared" si="0"/>
        <v>5550000</v>
      </c>
      <c r="K6" s="569">
        <v>32</v>
      </c>
      <c r="L6" s="574">
        <v>1</v>
      </c>
      <c r="M6" s="574">
        <v>1</v>
      </c>
      <c r="N6" s="574">
        <v>1</v>
      </c>
      <c r="O6" s="574">
        <v>1</v>
      </c>
      <c r="P6" s="574">
        <v>1</v>
      </c>
      <c r="Q6" s="574">
        <v>1</v>
      </c>
      <c r="R6" s="574">
        <v>1</v>
      </c>
      <c r="S6" s="574">
        <v>1</v>
      </c>
      <c r="T6" s="574"/>
      <c r="U6" s="574"/>
      <c r="V6" s="574"/>
      <c r="W6" s="574"/>
      <c r="X6" s="574">
        <v>1</v>
      </c>
      <c r="Y6" s="574">
        <v>1</v>
      </c>
      <c r="AA6" s="569">
        <v>3.1</v>
      </c>
    </row>
    <row r="7" spans="1:27">
      <c r="A7" s="565">
        <v>5</v>
      </c>
      <c r="B7" s="571" t="s">
        <v>1174</v>
      </c>
      <c r="C7" s="569" t="s">
        <v>1173</v>
      </c>
      <c r="D7" s="569"/>
      <c r="E7" s="569">
        <v>37</v>
      </c>
      <c r="F7" s="569" t="s">
        <v>1166</v>
      </c>
      <c r="G7" s="569" t="s">
        <v>1167</v>
      </c>
      <c r="H7" s="567">
        <v>150000</v>
      </c>
      <c r="I7" s="573">
        <f t="shared" si="0"/>
        <v>5550000</v>
      </c>
      <c r="K7" s="569">
        <v>31</v>
      </c>
      <c r="L7" s="574">
        <v>1</v>
      </c>
      <c r="M7" s="574">
        <v>1</v>
      </c>
      <c r="N7" s="574">
        <v>1</v>
      </c>
      <c r="O7" s="574">
        <v>1</v>
      </c>
      <c r="P7" s="574">
        <v>1</v>
      </c>
      <c r="Q7" s="574">
        <v>1</v>
      </c>
      <c r="R7" s="574">
        <v>1</v>
      </c>
      <c r="S7" s="574">
        <v>1</v>
      </c>
      <c r="T7" s="574"/>
      <c r="U7" s="574"/>
      <c r="V7" s="574"/>
      <c r="W7" s="574"/>
      <c r="X7" s="574">
        <v>1</v>
      </c>
      <c r="Y7" s="574">
        <v>1</v>
      </c>
      <c r="AA7" s="569">
        <v>3.1</v>
      </c>
    </row>
    <row r="8" spans="1:27">
      <c r="A8" s="572">
        <v>6</v>
      </c>
      <c r="B8" s="571" t="s">
        <v>1175</v>
      </c>
      <c r="C8" s="569" t="s">
        <v>1176</v>
      </c>
      <c r="D8" s="569"/>
      <c r="E8" s="569">
        <v>37</v>
      </c>
      <c r="F8" s="569" t="s">
        <v>1166</v>
      </c>
      <c r="G8" s="569" t="s">
        <v>1167</v>
      </c>
      <c r="H8" s="567">
        <v>150000</v>
      </c>
      <c r="I8" s="573">
        <f t="shared" si="0"/>
        <v>5550000</v>
      </c>
      <c r="K8" s="569">
        <v>30</v>
      </c>
      <c r="L8" s="574">
        <v>1</v>
      </c>
      <c r="M8" s="574">
        <v>1</v>
      </c>
      <c r="N8" s="574">
        <v>1</v>
      </c>
      <c r="O8" s="574">
        <v>1</v>
      </c>
      <c r="P8" s="574">
        <v>1</v>
      </c>
      <c r="Q8" s="574">
        <v>1</v>
      </c>
      <c r="R8" s="574">
        <v>1</v>
      </c>
      <c r="S8" s="574">
        <v>1</v>
      </c>
      <c r="T8" s="574"/>
      <c r="U8" s="574"/>
      <c r="V8" s="574"/>
      <c r="W8" s="574"/>
      <c r="X8" s="574">
        <v>1</v>
      </c>
      <c r="Y8" s="574">
        <v>1</v>
      </c>
      <c r="AA8" s="569">
        <v>3.1</v>
      </c>
    </row>
    <row r="9" spans="1:27">
      <c r="A9" s="565">
        <v>7</v>
      </c>
      <c r="B9" s="570" t="s">
        <v>1177</v>
      </c>
      <c r="C9" s="574" t="s">
        <v>1169</v>
      </c>
      <c r="D9" s="574"/>
      <c r="E9" s="574">
        <v>37</v>
      </c>
      <c r="F9" s="574" t="s">
        <v>1166</v>
      </c>
      <c r="G9" s="574" t="s">
        <v>1167</v>
      </c>
      <c r="H9" s="567">
        <v>150000</v>
      </c>
      <c r="I9" s="575">
        <f t="shared" si="0"/>
        <v>5550000</v>
      </c>
      <c r="K9" s="569">
        <v>29</v>
      </c>
      <c r="L9" s="574">
        <v>1</v>
      </c>
      <c r="M9" s="574">
        <v>1</v>
      </c>
      <c r="N9" s="574">
        <v>1</v>
      </c>
      <c r="O9" s="574">
        <v>1</v>
      </c>
      <c r="P9" s="574">
        <v>1</v>
      </c>
      <c r="Q9" s="574">
        <v>1</v>
      </c>
      <c r="R9" s="574">
        <v>1</v>
      </c>
      <c r="S9" s="574">
        <v>1</v>
      </c>
      <c r="T9" s="574"/>
      <c r="U9" s="574"/>
      <c r="V9" s="574"/>
      <c r="W9" s="574"/>
      <c r="X9" s="574">
        <v>1</v>
      </c>
      <c r="Y9" s="574">
        <v>1</v>
      </c>
      <c r="AA9" s="569">
        <v>3.1</v>
      </c>
    </row>
    <row r="10" spans="1:27">
      <c r="A10" s="572">
        <v>8</v>
      </c>
      <c r="B10" s="570" t="s">
        <v>1178</v>
      </c>
      <c r="C10" s="574" t="s">
        <v>1165</v>
      </c>
      <c r="D10" s="574"/>
      <c r="E10" s="574">
        <v>37</v>
      </c>
      <c r="F10" s="574" t="s">
        <v>1166</v>
      </c>
      <c r="G10" s="574" t="s">
        <v>1167</v>
      </c>
      <c r="H10" s="567">
        <v>150000</v>
      </c>
      <c r="I10" s="575">
        <f t="shared" si="0"/>
        <v>5550000</v>
      </c>
      <c r="K10" s="569" t="s">
        <v>1179</v>
      </c>
      <c r="L10" s="574">
        <v>1</v>
      </c>
      <c r="M10" s="574">
        <v>1</v>
      </c>
      <c r="N10" s="574">
        <v>1</v>
      </c>
      <c r="O10" s="574">
        <v>1</v>
      </c>
      <c r="P10" s="574">
        <v>1</v>
      </c>
      <c r="Q10" s="574">
        <v>1</v>
      </c>
      <c r="R10" s="574">
        <v>1</v>
      </c>
      <c r="S10" s="574">
        <v>1</v>
      </c>
      <c r="T10" s="574"/>
      <c r="U10" s="574"/>
      <c r="V10" s="574"/>
      <c r="W10" s="574"/>
      <c r="X10" s="574">
        <v>1</v>
      </c>
      <c r="Y10" s="574">
        <v>1</v>
      </c>
      <c r="AA10" s="569">
        <v>3.1</v>
      </c>
    </row>
    <row r="11" spans="1:27">
      <c r="A11" s="565">
        <v>9</v>
      </c>
      <c r="B11" s="570" t="s">
        <v>1177</v>
      </c>
      <c r="C11" s="574" t="s">
        <v>1180</v>
      </c>
      <c r="D11" s="574"/>
      <c r="E11" s="574">
        <v>5</v>
      </c>
      <c r="F11" s="574" t="s">
        <v>1166</v>
      </c>
      <c r="G11" s="574" t="s">
        <v>1167</v>
      </c>
      <c r="H11" s="567">
        <v>150000</v>
      </c>
      <c r="I11" s="575">
        <f t="shared" si="0"/>
        <v>750000</v>
      </c>
      <c r="K11" s="569">
        <v>21</v>
      </c>
      <c r="L11" s="574">
        <v>1</v>
      </c>
      <c r="M11" s="574">
        <v>1</v>
      </c>
      <c r="N11" s="574">
        <v>1</v>
      </c>
      <c r="O11" s="574">
        <v>1</v>
      </c>
      <c r="P11" s="574">
        <v>1</v>
      </c>
      <c r="Q11" s="574">
        <v>1</v>
      </c>
      <c r="R11" s="574">
        <v>1</v>
      </c>
      <c r="S11" s="574">
        <v>1</v>
      </c>
      <c r="T11" s="574"/>
      <c r="U11" s="574"/>
      <c r="V11" s="574"/>
      <c r="W11" s="574"/>
      <c r="X11" s="574">
        <v>1</v>
      </c>
      <c r="Y11" s="574">
        <v>1</v>
      </c>
      <c r="AA11" s="569">
        <v>3.1</v>
      </c>
    </row>
    <row r="12" spans="1:27">
      <c r="A12" s="572">
        <v>10</v>
      </c>
      <c r="B12" s="570" t="s">
        <v>1178</v>
      </c>
      <c r="C12" s="574" t="s">
        <v>1180</v>
      </c>
      <c r="D12" s="574"/>
      <c r="E12" s="574">
        <v>5</v>
      </c>
      <c r="F12" s="574" t="s">
        <v>1166</v>
      </c>
      <c r="G12" s="574" t="s">
        <v>1167</v>
      </c>
      <c r="H12" s="567">
        <v>150000</v>
      </c>
      <c r="I12" s="575">
        <f t="shared" si="0"/>
        <v>750000</v>
      </c>
      <c r="K12" s="569">
        <v>27</v>
      </c>
      <c r="L12" s="574">
        <v>1</v>
      </c>
      <c r="M12" s="574">
        <v>1</v>
      </c>
      <c r="N12" s="574">
        <v>1</v>
      </c>
      <c r="O12" s="574">
        <v>1</v>
      </c>
      <c r="P12" s="574">
        <v>1</v>
      </c>
      <c r="Q12" s="574">
        <v>1</v>
      </c>
      <c r="R12" s="574">
        <v>1</v>
      </c>
      <c r="S12" s="574">
        <v>1</v>
      </c>
      <c r="T12" s="574"/>
      <c r="U12" s="574"/>
      <c r="V12" s="574"/>
      <c r="W12" s="574"/>
      <c r="X12" s="574">
        <v>1</v>
      </c>
      <c r="Y12" s="574">
        <v>1</v>
      </c>
      <c r="AA12" s="569">
        <v>3.1</v>
      </c>
    </row>
    <row r="13" spans="1:27">
      <c r="A13" s="565">
        <v>11</v>
      </c>
      <c r="B13" s="570" t="s">
        <v>1181</v>
      </c>
      <c r="C13" s="574" t="s">
        <v>1180</v>
      </c>
      <c r="D13" s="574"/>
      <c r="E13" s="574">
        <v>5</v>
      </c>
      <c r="F13" s="574" t="s">
        <v>1166</v>
      </c>
      <c r="G13" s="574" t="s">
        <v>1167</v>
      </c>
      <c r="H13" s="567">
        <v>150000</v>
      </c>
      <c r="I13" s="575">
        <f t="shared" si="0"/>
        <v>750000</v>
      </c>
      <c r="K13" s="569">
        <v>26</v>
      </c>
      <c r="L13" s="574">
        <v>1</v>
      </c>
      <c r="M13" s="574">
        <v>1</v>
      </c>
      <c r="N13" s="574">
        <v>1</v>
      </c>
      <c r="O13" s="574">
        <v>1</v>
      </c>
      <c r="P13" s="574">
        <v>1</v>
      </c>
      <c r="Q13" s="574">
        <v>1</v>
      </c>
      <c r="R13" s="574">
        <v>1</v>
      </c>
      <c r="S13" s="574">
        <v>1</v>
      </c>
      <c r="T13" s="574"/>
      <c r="U13" s="574"/>
      <c r="V13" s="574"/>
      <c r="W13" s="574"/>
      <c r="X13" s="574">
        <v>1</v>
      </c>
      <c r="Y13" s="574">
        <v>1</v>
      </c>
      <c r="AA13" s="569">
        <v>3.1</v>
      </c>
    </row>
    <row r="14" spans="1:27">
      <c r="A14" s="572">
        <v>12</v>
      </c>
      <c r="B14" s="570" t="s">
        <v>1182</v>
      </c>
      <c r="C14" s="574" t="s">
        <v>1180</v>
      </c>
      <c r="D14" s="574"/>
      <c r="E14" s="574">
        <v>5</v>
      </c>
      <c r="F14" s="574" t="s">
        <v>1166</v>
      </c>
      <c r="G14" s="574" t="s">
        <v>1167</v>
      </c>
      <c r="H14" s="567">
        <v>150000</v>
      </c>
      <c r="I14" s="575">
        <f t="shared" si="0"/>
        <v>750000</v>
      </c>
      <c r="K14" s="569">
        <v>25</v>
      </c>
      <c r="L14" s="574">
        <v>1</v>
      </c>
      <c r="M14" s="574">
        <v>1</v>
      </c>
      <c r="N14" s="574">
        <v>1</v>
      </c>
      <c r="O14" s="574">
        <v>1</v>
      </c>
      <c r="P14" s="574">
        <v>1</v>
      </c>
      <c r="Q14" s="574">
        <v>1</v>
      </c>
      <c r="R14" s="574">
        <v>1</v>
      </c>
      <c r="S14" s="574">
        <v>1</v>
      </c>
      <c r="T14" s="574"/>
      <c r="U14" s="574"/>
      <c r="V14" s="574"/>
      <c r="W14" s="574"/>
      <c r="X14" s="574">
        <v>1</v>
      </c>
      <c r="Y14" s="574">
        <v>1</v>
      </c>
      <c r="AA14" s="569">
        <v>3.1</v>
      </c>
    </row>
    <row r="15" spans="1:27">
      <c r="A15" s="565">
        <v>13</v>
      </c>
      <c r="B15" s="570" t="s">
        <v>1183</v>
      </c>
      <c r="C15" s="574" t="s">
        <v>1184</v>
      </c>
      <c r="D15" s="574"/>
      <c r="E15" s="574">
        <v>36</v>
      </c>
      <c r="F15" s="574" t="s">
        <v>1166</v>
      </c>
      <c r="G15" s="574" t="s">
        <v>1167</v>
      </c>
      <c r="H15" s="574">
        <v>350000</v>
      </c>
      <c r="I15" s="575">
        <f t="shared" si="0"/>
        <v>12600000</v>
      </c>
      <c r="K15" s="569">
        <v>24</v>
      </c>
      <c r="L15" s="574">
        <v>1</v>
      </c>
      <c r="M15" s="574">
        <v>1</v>
      </c>
      <c r="N15" s="574">
        <v>1</v>
      </c>
      <c r="O15" s="574">
        <v>1</v>
      </c>
      <c r="P15" s="574">
        <v>1</v>
      </c>
      <c r="Q15" s="574">
        <v>1</v>
      </c>
      <c r="R15" s="574">
        <v>1</v>
      </c>
      <c r="S15" s="574">
        <v>1</v>
      </c>
      <c r="T15" s="574"/>
      <c r="U15" s="574"/>
      <c r="V15" s="574"/>
      <c r="W15" s="574"/>
      <c r="X15" s="574">
        <v>1</v>
      </c>
      <c r="Y15" s="574">
        <v>1</v>
      </c>
      <c r="AA15" s="569">
        <v>3.1</v>
      </c>
    </row>
    <row r="16" spans="1:27">
      <c r="A16" s="572">
        <v>14</v>
      </c>
      <c r="B16" s="570" t="s">
        <v>1183</v>
      </c>
      <c r="C16" s="574" t="s">
        <v>1184</v>
      </c>
      <c r="D16" s="574"/>
      <c r="E16" s="574">
        <v>36</v>
      </c>
      <c r="F16" s="574" t="s">
        <v>1166</v>
      </c>
      <c r="G16" s="574" t="s">
        <v>1167</v>
      </c>
      <c r="H16" s="574">
        <v>350000</v>
      </c>
      <c r="I16" s="575">
        <f t="shared" si="0"/>
        <v>12600000</v>
      </c>
      <c r="K16" s="569">
        <v>23</v>
      </c>
      <c r="L16" s="574">
        <v>1</v>
      </c>
      <c r="M16" s="574">
        <v>1</v>
      </c>
      <c r="N16" s="574">
        <v>1</v>
      </c>
      <c r="O16" s="574">
        <v>1</v>
      </c>
      <c r="P16" s="574">
        <v>1</v>
      </c>
      <c r="Q16" s="574">
        <v>1</v>
      </c>
      <c r="R16" s="574">
        <v>1</v>
      </c>
      <c r="S16" s="574">
        <v>1</v>
      </c>
      <c r="T16" s="574"/>
      <c r="U16" s="574"/>
      <c r="V16" s="574"/>
      <c r="W16" s="574"/>
      <c r="X16" s="574">
        <v>1</v>
      </c>
      <c r="Y16" s="574">
        <v>1</v>
      </c>
      <c r="AA16" s="569">
        <v>3.1</v>
      </c>
    </row>
    <row r="17" spans="1:27">
      <c r="A17" s="572"/>
      <c r="B17" s="576"/>
      <c r="C17" s="577"/>
      <c r="D17" s="577"/>
      <c r="E17" s="577"/>
      <c r="F17" s="577"/>
      <c r="G17" s="577"/>
      <c r="H17" s="569"/>
      <c r="I17" s="573">
        <f t="shared" si="0"/>
        <v>0</v>
      </c>
      <c r="K17" s="569">
        <v>22</v>
      </c>
      <c r="L17" s="574">
        <v>1</v>
      </c>
      <c r="M17" s="574">
        <v>1</v>
      </c>
      <c r="N17" s="574">
        <v>1</v>
      </c>
      <c r="O17" s="574">
        <v>1</v>
      </c>
      <c r="P17" s="574">
        <v>1</v>
      </c>
      <c r="Q17" s="574">
        <v>1</v>
      </c>
      <c r="R17" s="574">
        <v>1</v>
      </c>
      <c r="S17" s="574">
        <v>1</v>
      </c>
      <c r="T17" s="574"/>
      <c r="U17" s="574"/>
      <c r="V17" s="574"/>
      <c r="W17" s="574"/>
      <c r="X17" s="574">
        <v>1</v>
      </c>
      <c r="Y17" s="574">
        <v>1</v>
      </c>
      <c r="AA17" s="569">
        <v>3.1</v>
      </c>
    </row>
    <row r="18" spans="1:27">
      <c r="A18" s="572"/>
      <c r="B18" s="571"/>
      <c r="C18" s="569"/>
      <c r="D18" s="569"/>
      <c r="E18" s="569"/>
      <c r="F18" s="569"/>
      <c r="G18" s="569"/>
      <c r="H18" s="569"/>
      <c r="I18" s="573">
        <f t="shared" si="0"/>
        <v>0</v>
      </c>
      <c r="K18" s="569" t="s">
        <v>1185</v>
      </c>
      <c r="L18" s="574">
        <v>1</v>
      </c>
      <c r="M18" s="574">
        <v>1</v>
      </c>
      <c r="N18" s="574">
        <v>1</v>
      </c>
      <c r="O18" s="574">
        <v>1</v>
      </c>
      <c r="P18" s="574">
        <v>1</v>
      </c>
      <c r="Q18" s="574">
        <v>1</v>
      </c>
      <c r="R18" s="574">
        <v>1</v>
      </c>
      <c r="S18" s="574">
        <v>1</v>
      </c>
      <c r="T18" s="574"/>
      <c r="U18" s="574"/>
      <c r="V18" s="574"/>
      <c r="W18" s="574"/>
      <c r="X18" s="574">
        <v>1</v>
      </c>
      <c r="Y18" s="574">
        <v>1</v>
      </c>
      <c r="AA18" s="569">
        <v>3.1</v>
      </c>
    </row>
    <row r="19" spans="1:27">
      <c r="A19" s="578"/>
      <c r="B19" s="579"/>
      <c r="C19" s="580"/>
      <c r="D19" s="580"/>
      <c r="E19" s="580"/>
      <c r="F19" s="580"/>
      <c r="G19" s="580"/>
      <c r="H19" s="580"/>
      <c r="I19" s="581">
        <f t="shared" si="0"/>
        <v>0</v>
      </c>
      <c r="K19" s="569">
        <v>20</v>
      </c>
      <c r="L19" s="574">
        <v>1</v>
      </c>
      <c r="M19" s="574">
        <v>1</v>
      </c>
      <c r="N19" s="574">
        <v>1</v>
      </c>
      <c r="O19" s="574">
        <v>1</v>
      </c>
      <c r="P19" s="574">
        <v>1</v>
      </c>
      <c r="Q19" s="574">
        <v>1</v>
      </c>
      <c r="R19" s="574">
        <v>1</v>
      </c>
      <c r="S19" s="574">
        <v>1</v>
      </c>
      <c r="T19" s="574"/>
      <c r="U19" s="574"/>
      <c r="V19" s="574"/>
      <c r="W19" s="574"/>
      <c r="X19" s="574">
        <v>1</v>
      </c>
      <c r="Y19" s="574">
        <v>1</v>
      </c>
      <c r="AA19" s="569">
        <v>3.1</v>
      </c>
    </row>
    <row r="20" spans="1:27">
      <c r="D20" s="557"/>
      <c r="E20" s="557"/>
      <c r="F20" s="557"/>
      <c r="K20" s="569">
        <v>19</v>
      </c>
      <c r="L20" s="574">
        <v>1</v>
      </c>
      <c r="M20" s="574">
        <v>1</v>
      </c>
      <c r="N20" s="574">
        <v>1</v>
      </c>
      <c r="O20" s="574">
        <v>1</v>
      </c>
      <c r="P20" s="574">
        <v>1</v>
      </c>
      <c r="Q20" s="574">
        <v>1</v>
      </c>
      <c r="R20" s="574">
        <v>1</v>
      </c>
      <c r="S20" s="574">
        <v>1</v>
      </c>
      <c r="T20" s="574"/>
      <c r="U20" s="574"/>
      <c r="V20" s="574"/>
      <c r="W20" s="574"/>
      <c r="X20" s="574">
        <v>1</v>
      </c>
      <c r="Y20" s="574">
        <v>1</v>
      </c>
      <c r="AA20" s="569">
        <v>3.1</v>
      </c>
    </row>
    <row r="21" spans="1:27">
      <c r="A21" s="1173" t="s">
        <v>1186</v>
      </c>
      <c r="B21" s="1174"/>
      <c r="C21" s="1174"/>
      <c r="D21" s="1175"/>
      <c r="E21" s="557"/>
      <c r="F21" s="557"/>
      <c r="H21" s="582" t="s">
        <v>517</v>
      </c>
      <c r="I21" s="583">
        <f>SUM(I3:I17)</f>
        <v>72600000</v>
      </c>
      <c r="K21" s="569">
        <v>18</v>
      </c>
      <c r="L21" s="574">
        <v>1</v>
      </c>
      <c r="M21" s="574">
        <v>1</v>
      </c>
      <c r="N21" s="574">
        <v>1</v>
      </c>
      <c r="O21" s="574">
        <v>1</v>
      </c>
      <c r="P21" s="574">
        <v>1</v>
      </c>
      <c r="Q21" s="574">
        <v>1</v>
      </c>
      <c r="R21" s="574">
        <v>1</v>
      </c>
      <c r="S21" s="574">
        <v>1</v>
      </c>
      <c r="T21" s="574"/>
      <c r="U21" s="574"/>
      <c r="V21" s="574"/>
      <c r="W21" s="574"/>
      <c r="X21" s="574">
        <v>1</v>
      </c>
      <c r="Y21" s="574">
        <v>1</v>
      </c>
      <c r="AA21" s="569">
        <v>3.1</v>
      </c>
    </row>
    <row r="22" spans="1:27">
      <c r="A22" s="807" t="s">
        <v>565</v>
      </c>
      <c r="B22" s="808" t="s">
        <v>1187</v>
      </c>
      <c r="C22" s="1181" t="s">
        <v>1188</v>
      </c>
      <c r="D22" s="1182"/>
      <c r="E22" s="557"/>
      <c r="F22" s="557"/>
      <c r="H22" s="584" t="s">
        <v>1012</v>
      </c>
      <c r="I22" s="585">
        <f>F38</f>
        <v>10620000</v>
      </c>
      <c r="K22" s="569">
        <v>17</v>
      </c>
      <c r="L22" s="574">
        <v>1</v>
      </c>
      <c r="M22" s="574">
        <v>1</v>
      </c>
      <c r="N22" s="574">
        <v>1</v>
      </c>
      <c r="O22" s="574">
        <v>1</v>
      </c>
      <c r="P22" s="574">
        <v>1</v>
      </c>
      <c r="Q22" s="574">
        <v>1</v>
      </c>
      <c r="R22" s="574">
        <v>1</v>
      </c>
      <c r="S22" s="574">
        <v>1</v>
      </c>
      <c r="T22" s="574"/>
      <c r="U22" s="574"/>
      <c r="V22" s="574"/>
      <c r="W22" s="574"/>
      <c r="X22" s="574">
        <v>1</v>
      </c>
      <c r="Y22" s="574">
        <v>1</v>
      </c>
      <c r="AA22" s="569">
        <v>3.1</v>
      </c>
    </row>
    <row r="23" spans="1:27">
      <c r="A23" s="565">
        <v>1</v>
      </c>
      <c r="B23" s="809" t="s">
        <v>756</v>
      </c>
      <c r="C23" s="1183" t="s">
        <v>1189</v>
      </c>
      <c r="D23" s="1184"/>
      <c r="E23" s="557"/>
      <c r="F23" s="557"/>
      <c r="K23" s="569">
        <v>16</v>
      </c>
      <c r="L23" s="574">
        <v>1</v>
      </c>
      <c r="M23" s="574">
        <v>1</v>
      </c>
      <c r="N23" s="574">
        <v>1</v>
      </c>
      <c r="O23" s="574">
        <v>1</v>
      </c>
      <c r="P23" s="574">
        <v>1</v>
      </c>
      <c r="Q23" s="574">
        <v>1</v>
      </c>
      <c r="R23" s="574">
        <v>1</v>
      </c>
      <c r="S23" s="574">
        <v>1</v>
      </c>
      <c r="T23" s="574"/>
      <c r="U23" s="574"/>
      <c r="V23" s="574"/>
      <c r="W23" s="574"/>
      <c r="X23" s="574">
        <v>1</v>
      </c>
      <c r="Y23" s="574">
        <v>1</v>
      </c>
      <c r="AA23" s="569">
        <v>3.1</v>
      </c>
    </row>
    <row r="24" spans="1:27">
      <c r="A24" s="572">
        <v>2</v>
      </c>
      <c r="B24" s="586" t="s">
        <v>1190</v>
      </c>
      <c r="C24" s="1185" t="s">
        <v>1191</v>
      </c>
      <c r="D24" s="1186"/>
      <c r="E24" s="557"/>
      <c r="F24" s="557"/>
      <c r="G24" s="557">
        <f>2100000/18</f>
        <v>116666.66666666667</v>
      </c>
      <c r="K24" s="569">
        <v>15</v>
      </c>
      <c r="L24" s="574">
        <v>1</v>
      </c>
      <c r="M24" s="574">
        <v>1</v>
      </c>
      <c r="N24" s="574">
        <v>1</v>
      </c>
      <c r="O24" s="574">
        <v>1</v>
      </c>
      <c r="P24" s="574">
        <v>1</v>
      </c>
      <c r="Q24" s="574">
        <v>1</v>
      </c>
      <c r="R24" s="574">
        <v>1</v>
      </c>
      <c r="S24" s="574">
        <v>1</v>
      </c>
      <c r="T24" s="574"/>
      <c r="U24" s="574"/>
      <c r="V24" s="574"/>
      <c r="W24" s="574"/>
      <c r="X24" s="574">
        <v>1</v>
      </c>
      <c r="Y24" s="574">
        <v>1</v>
      </c>
      <c r="AA24" s="569">
        <v>3.1</v>
      </c>
    </row>
    <row r="25" spans="1:27">
      <c r="A25" s="572">
        <v>3</v>
      </c>
      <c r="B25" s="586" t="s">
        <v>1192</v>
      </c>
      <c r="C25" s="1185" t="s">
        <v>1189</v>
      </c>
      <c r="D25" s="1186"/>
      <c r="E25" s="557"/>
      <c r="F25" s="557"/>
      <c r="G25" s="557">
        <f>6500000/20</f>
        <v>325000</v>
      </c>
      <c r="K25" s="569" t="s">
        <v>1193</v>
      </c>
      <c r="L25" s="574">
        <v>1</v>
      </c>
      <c r="M25" s="574">
        <v>1</v>
      </c>
      <c r="N25" s="574">
        <v>1</v>
      </c>
      <c r="O25" s="574">
        <v>1</v>
      </c>
      <c r="P25" s="574">
        <v>1</v>
      </c>
      <c r="Q25" s="574">
        <v>1</v>
      </c>
      <c r="R25" s="574">
        <v>1</v>
      </c>
      <c r="S25" s="574">
        <v>1</v>
      </c>
      <c r="T25" s="574"/>
      <c r="U25" s="574"/>
      <c r="V25" s="574"/>
      <c r="W25" s="574"/>
      <c r="X25" s="574">
        <v>1</v>
      </c>
      <c r="Y25" s="574">
        <v>1</v>
      </c>
      <c r="AA25" s="569">
        <v>3.1</v>
      </c>
    </row>
    <row r="26" spans="1:27">
      <c r="A26" s="572">
        <v>4</v>
      </c>
      <c r="B26" s="586" t="s">
        <v>1194</v>
      </c>
      <c r="C26" s="1185" t="s">
        <v>1189</v>
      </c>
      <c r="D26" s="1186"/>
      <c r="E26" s="557"/>
      <c r="F26" s="557"/>
      <c r="K26" s="569">
        <v>13</v>
      </c>
      <c r="L26" s="574">
        <v>1</v>
      </c>
      <c r="M26" s="574">
        <v>1</v>
      </c>
      <c r="N26" s="574">
        <v>1</v>
      </c>
      <c r="O26" s="574">
        <v>1</v>
      </c>
      <c r="P26" s="574">
        <v>1</v>
      </c>
      <c r="Q26" s="574">
        <v>1</v>
      </c>
      <c r="R26" s="574">
        <v>1</v>
      </c>
      <c r="S26" s="574">
        <v>1</v>
      </c>
      <c r="T26" s="574"/>
      <c r="U26" s="574"/>
      <c r="V26" s="574"/>
      <c r="W26" s="574"/>
      <c r="X26" s="574">
        <v>1</v>
      </c>
      <c r="Y26" s="574">
        <v>1</v>
      </c>
      <c r="AA26" s="569">
        <v>3.1</v>
      </c>
    </row>
    <row r="27" spans="1:27">
      <c r="A27" s="572">
        <v>5</v>
      </c>
      <c r="B27" s="586" t="s">
        <v>516</v>
      </c>
      <c r="C27" s="1187" t="s">
        <v>1195</v>
      </c>
      <c r="D27" s="1188"/>
      <c r="E27" s="557"/>
      <c r="F27" s="557"/>
      <c r="K27" s="569">
        <v>12</v>
      </c>
      <c r="L27" s="574">
        <v>1</v>
      </c>
      <c r="M27" s="574">
        <v>1</v>
      </c>
      <c r="N27" s="574">
        <v>1</v>
      </c>
      <c r="O27" s="574">
        <v>1</v>
      </c>
      <c r="P27" s="574">
        <v>1</v>
      </c>
      <c r="Q27" s="574">
        <v>1</v>
      </c>
      <c r="R27" s="574">
        <v>1</v>
      </c>
      <c r="S27" s="574">
        <v>1</v>
      </c>
      <c r="T27" s="574"/>
      <c r="U27" s="574"/>
      <c r="V27" s="574"/>
      <c r="W27" s="574"/>
      <c r="X27" s="574">
        <v>1</v>
      </c>
      <c r="Y27" s="574">
        <v>1</v>
      </c>
      <c r="AA27" s="569">
        <v>3.1</v>
      </c>
    </row>
    <row r="28" spans="1:27">
      <c r="A28" s="572">
        <v>6</v>
      </c>
      <c r="B28" s="586" t="s">
        <v>1196</v>
      </c>
      <c r="C28" s="1187" t="s">
        <v>1197</v>
      </c>
      <c r="D28" s="1188"/>
      <c r="E28" s="557"/>
      <c r="F28" s="557" t="s">
        <v>1198</v>
      </c>
      <c r="K28" s="569">
        <v>11</v>
      </c>
      <c r="L28" s="574">
        <v>1</v>
      </c>
      <c r="M28" s="574">
        <v>1</v>
      </c>
      <c r="N28" s="574">
        <v>1</v>
      </c>
      <c r="O28" s="574">
        <v>1</v>
      </c>
      <c r="P28" s="574">
        <v>1</v>
      </c>
      <c r="Q28" s="574">
        <v>1</v>
      </c>
      <c r="R28" s="574">
        <v>1</v>
      </c>
      <c r="S28" s="574">
        <v>1</v>
      </c>
      <c r="T28" s="574"/>
      <c r="U28" s="574"/>
      <c r="V28" s="574"/>
      <c r="W28" s="574"/>
      <c r="X28" s="574">
        <v>1</v>
      </c>
      <c r="Y28" s="574">
        <v>1</v>
      </c>
      <c r="AA28" s="569">
        <v>3.1</v>
      </c>
    </row>
    <row r="29" spans="1:27">
      <c r="A29" s="578">
        <v>7</v>
      </c>
      <c r="B29" s="587" t="s">
        <v>1199</v>
      </c>
      <c r="C29" s="1189" t="s">
        <v>1200</v>
      </c>
      <c r="D29" s="1190"/>
      <c r="E29" s="557"/>
      <c r="F29" s="557"/>
      <c r="K29" s="569">
        <v>10</v>
      </c>
      <c r="L29" s="574">
        <v>1</v>
      </c>
      <c r="M29" s="574">
        <v>1</v>
      </c>
      <c r="N29" s="574">
        <v>1</v>
      </c>
      <c r="O29" s="574">
        <v>1</v>
      </c>
      <c r="P29" s="574">
        <v>1</v>
      </c>
      <c r="Q29" s="574">
        <v>1</v>
      </c>
      <c r="R29" s="574">
        <v>1</v>
      </c>
      <c r="S29" s="574">
        <v>1</v>
      </c>
      <c r="T29" s="574"/>
      <c r="U29" s="574"/>
      <c r="V29" s="574"/>
      <c r="W29" s="574"/>
      <c r="X29" s="574">
        <v>1</v>
      </c>
      <c r="Y29" s="574">
        <v>1</v>
      </c>
      <c r="AA29" s="569">
        <v>3.1</v>
      </c>
    </row>
    <row r="30" spans="1:27">
      <c r="D30" s="557"/>
      <c r="E30" s="557"/>
      <c r="K30" s="569">
        <v>9</v>
      </c>
      <c r="L30" s="574">
        <v>1</v>
      </c>
      <c r="M30" s="574">
        <v>1</v>
      </c>
      <c r="N30" s="574">
        <v>1</v>
      </c>
      <c r="O30" s="574">
        <v>1</v>
      </c>
      <c r="P30" s="574">
        <v>1</v>
      </c>
      <c r="Q30" s="574">
        <v>1</v>
      </c>
      <c r="R30" s="574">
        <v>1</v>
      </c>
      <c r="S30" s="574">
        <v>1</v>
      </c>
      <c r="T30" s="574"/>
      <c r="U30" s="574"/>
      <c r="V30" s="574"/>
      <c r="W30" s="574"/>
      <c r="X30" s="574">
        <v>1</v>
      </c>
      <c r="Y30" s="574">
        <v>1</v>
      </c>
      <c r="AA30" s="569">
        <v>3.1</v>
      </c>
    </row>
    <row r="31" spans="1:27">
      <c r="D31" s="557"/>
      <c r="E31" s="557"/>
      <c r="F31" s="557"/>
      <c r="K31" s="569">
        <v>8</v>
      </c>
      <c r="L31" s="574">
        <v>1</v>
      </c>
      <c r="M31" s="574">
        <v>1</v>
      </c>
      <c r="N31" s="574">
        <v>1</v>
      </c>
      <c r="O31" s="574">
        <v>1</v>
      </c>
      <c r="P31" s="574">
        <v>1</v>
      </c>
      <c r="Q31" s="574">
        <v>1</v>
      </c>
      <c r="R31" s="574">
        <v>1</v>
      </c>
      <c r="S31" s="574">
        <v>1</v>
      </c>
      <c r="T31" s="574"/>
      <c r="U31" s="574"/>
      <c r="V31" s="574"/>
      <c r="W31" s="574"/>
      <c r="X31" s="574">
        <v>1</v>
      </c>
      <c r="Y31" s="574">
        <v>1</v>
      </c>
      <c r="AA31" s="569">
        <v>3.1</v>
      </c>
    </row>
    <row r="32" spans="1:27">
      <c r="D32" s="557"/>
      <c r="E32" s="557"/>
      <c r="F32" s="557"/>
      <c r="K32" s="569" t="s">
        <v>1201</v>
      </c>
      <c r="L32" s="574">
        <v>1</v>
      </c>
      <c r="M32" s="574">
        <v>1</v>
      </c>
      <c r="N32" s="574">
        <v>1</v>
      </c>
      <c r="O32" s="574">
        <v>1</v>
      </c>
      <c r="P32" s="574">
        <v>1</v>
      </c>
      <c r="Q32" s="574">
        <v>1</v>
      </c>
      <c r="R32" s="574">
        <v>1</v>
      </c>
      <c r="S32" s="574">
        <v>1</v>
      </c>
      <c r="T32" s="574"/>
      <c r="U32" s="574"/>
      <c r="V32" s="574"/>
      <c r="W32" s="574"/>
      <c r="X32" s="574">
        <v>1</v>
      </c>
      <c r="Y32" s="574">
        <v>1</v>
      </c>
      <c r="AA32" s="569">
        <v>3.1</v>
      </c>
    </row>
    <row r="33" spans="1:27">
      <c r="A33" s="1173" t="s">
        <v>1202</v>
      </c>
      <c r="B33" s="1174"/>
      <c r="C33" s="1174"/>
      <c r="D33" s="1174"/>
      <c r="E33" s="1174"/>
      <c r="F33" s="1175"/>
      <c r="K33" s="569" t="s">
        <v>1203</v>
      </c>
      <c r="L33" s="574">
        <v>1</v>
      </c>
      <c r="M33" s="574">
        <v>1</v>
      </c>
      <c r="N33" s="574">
        <v>1</v>
      </c>
      <c r="O33" s="574">
        <v>1</v>
      </c>
      <c r="P33" s="574">
        <v>1</v>
      </c>
      <c r="Q33" s="574">
        <v>1</v>
      </c>
      <c r="R33" s="574">
        <v>1</v>
      </c>
      <c r="S33" s="574">
        <v>1</v>
      </c>
      <c r="T33" s="574"/>
      <c r="U33" s="574"/>
      <c r="V33" s="574"/>
      <c r="W33" s="574"/>
      <c r="X33" s="574">
        <v>1</v>
      </c>
      <c r="Y33" s="574">
        <v>1</v>
      </c>
      <c r="AA33" s="569">
        <v>3.1</v>
      </c>
    </row>
    <row r="34" spans="1:27">
      <c r="A34" s="588"/>
      <c r="C34" s="589" t="s">
        <v>1204</v>
      </c>
      <c r="D34" s="590" t="s">
        <v>1205</v>
      </c>
      <c r="E34" s="590" t="s">
        <v>1206</v>
      </c>
      <c r="F34" s="591" t="s">
        <v>205</v>
      </c>
      <c r="K34" s="569" t="s">
        <v>1207</v>
      </c>
      <c r="L34" s="574">
        <v>1</v>
      </c>
      <c r="M34" s="574">
        <v>1</v>
      </c>
      <c r="N34" s="574">
        <v>1</v>
      </c>
      <c r="O34" s="574">
        <v>1</v>
      </c>
      <c r="P34" s="574">
        <v>1</v>
      </c>
      <c r="Q34" s="574">
        <v>1</v>
      </c>
      <c r="R34" s="574">
        <v>1</v>
      </c>
      <c r="S34" s="574">
        <v>1</v>
      </c>
      <c r="T34" s="574"/>
      <c r="U34" s="574"/>
      <c r="V34" s="574"/>
      <c r="W34" s="574"/>
      <c r="X34" s="574">
        <v>1</v>
      </c>
      <c r="Y34" s="574">
        <v>1</v>
      </c>
      <c r="AA34" s="569">
        <v>3.5</v>
      </c>
    </row>
    <row r="35" spans="1:27">
      <c r="A35" s="588"/>
      <c r="C35" s="592" t="s">
        <v>248</v>
      </c>
      <c r="D35" s="689">
        <v>22</v>
      </c>
      <c r="E35" s="593">
        <v>180000</v>
      </c>
      <c r="F35" s="594">
        <f>+D35*E35</f>
        <v>3960000</v>
      </c>
      <c r="K35" s="569" t="s">
        <v>1208</v>
      </c>
      <c r="L35" s="574">
        <v>1</v>
      </c>
      <c r="M35" s="574">
        <v>1</v>
      </c>
      <c r="N35" s="574">
        <v>1</v>
      </c>
      <c r="O35" s="574">
        <v>1</v>
      </c>
      <c r="P35" s="574">
        <v>1</v>
      </c>
      <c r="Q35" s="574">
        <v>1</v>
      </c>
      <c r="R35" s="574">
        <v>1</v>
      </c>
      <c r="S35" s="574">
        <v>1</v>
      </c>
      <c r="T35" s="574"/>
      <c r="U35" s="574"/>
      <c r="V35" s="574"/>
      <c r="W35" s="574"/>
      <c r="X35" s="574">
        <v>1</v>
      </c>
      <c r="Y35" s="574">
        <v>1</v>
      </c>
      <c r="AA35" s="569">
        <v>2.9</v>
      </c>
    </row>
    <row r="36" spans="1:27">
      <c r="A36" s="588"/>
      <c r="C36" s="595" t="s">
        <v>249</v>
      </c>
      <c r="D36" s="679">
        <v>16</v>
      </c>
      <c r="E36" s="596">
        <v>180000</v>
      </c>
      <c r="F36" s="597">
        <f>+D36*E36</f>
        <v>2880000</v>
      </c>
      <c r="K36" s="569" t="s">
        <v>1209</v>
      </c>
      <c r="L36" s="574">
        <v>1</v>
      </c>
      <c r="M36" s="574">
        <v>1</v>
      </c>
      <c r="N36" s="574">
        <v>1</v>
      </c>
      <c r="O36" s="574">
        <v>1</v>
      </c>
      <c r="P36" s="574">
        <v>1</v>
      </c>
      <c r="Q36" s="574">
        <v>1</v>
      </c>
      <c r="R36" s="574">
        <v>1</v>
      </c>
      <c r="S36" s="574">
        <v>1</v>
      </c>
      <c r="T36" s="574">
        <v>1</v>
      </c>
      <c r="U36" s="574">
        <v>1</v>
      </c>
      <c r="V36" s="574">
        <v>1</v>
      </c>
      <c r="W36" s="574">
        <v>1</v>
      </c>
      <c r="X36" s="574">
        <v>1</v>
      </c>
      <c r="Y36" s="574">
        <v>1</v>
      </c>
      <c r="AA36" s="569">
        <v>2.9</v>
      </c>
    </row>
    <row r="37" spans="1:27">
      <c r="A37" s="588"/>
      <c r="C37" s="598" t="s">
        <v>250</v>
      </c>
      <c r="D37" s="805">
        <v>21</v>
      </c>
      <c r="E37" s="596">
        <v>180000</v>
      </c>
      <c r="F37" s="597">
        <f>+D37*E37</f>
        <v>3780000</v>
      </c>
      <c r="K37" s="569" t="s">
        <v>1210</v>
      </c>
      <c r="L37" s="574">
        <v>1</v>
      </c>
      <c r="M37" s="574">
        <v>1</v>
      </c>
      <c r="N37" s="574">
        <v>1</v>
      </c>
      <c r="O37" s="574">
        <v>1</v>
      </c>
      <c r="P37" s="574">
        <v>1</v>
      </c>
      <c r="Q37" s="574">
        <v>1</v>
      </c>
      <c r="R37" s="574">
        <v>1</v>
      </c>
      <c r="S37" s="574">
        <v>1</v>
      </c>
      <c r="T37" s="574">
        <v>1</v>
      </c>
      <c r="U37" s="574">
        <v>1</v>
      </c>
      <c r="V37" s="574">
        <v>1</v>
      </c>
      <c r="W37" s="574">
        <v>1</v>
      </c>
      <c r="X37" s="574">
        <v>1</v>
      </c>
      <c r="Y37" s="574">
        <v>1</v>
      </c>
      <c r="AA37" s="569">
        <v>2.9</v>
      </c>
    </row>
    <row r="38" spans="1:27">
      <c r="A38" s="588"/>
      <c r="C38" s="599" t="s">
        <v>1211</v>
      </c>
      <c r="D38" s="806">
        <f>D35+D36</f>
        <v>38</v>
      </c>
      <c r="E38" s="600"/>
      <c r="F38" s="601">
        <f>SUM(F35+F36+F37)</f>
        <v>10620000</v>
      </c>
      <c r="K38" s="569" t="s">
        <v>1212</v>
      </c>
      <c r="L38" s="574">
        <v>1</v>
      </c>
      <c r="M38" s="574">
        <v>1</v>
      </c>
      <c r="N38" s="574">
        <v>1</v>
      </c>
      <c r="O38" s="574">
        <v>1</v>
      </c>
      <c r="P38" s="574">
        <v>1</v>
      </c>
      <c r="Q38" s="574">
        <v>1</v>
      </c>
      <c r="R38" s="574">
        <v>1</v>
      </c>
      <c r="S38" s="574">
        <v>1</v>
      </c>
      <c r="T38" s="574">
        <v>1</v>
      </c>
      <c r="U38" s="574">
        <v>1</v>
      </c>
      <c r="V38" s="574">
        <v>1</v>
      </c>
      <c r="W38" s="574">
        <v>1</v>
      </c>
      <c r="X38" s="574">
        <v>1</v>
      </c>
      <c r="Y38" s="574">
        <v>1</v>
      </c>
      <c r="AA38" s="569">
        <v>4.2</v>
      </c>
    </row>
    <row r="39" spans="1:27">
      <c r="A39" s="588"/>
      <c r="F39" s="602"/>
      <c r="K39" s="569" t="s">
        <v>1213</v>
      </c>
      <c r="L39" s="574">
        <v>1</v>
      </c>
      <c r="M39" s="574">
        <v>1</v>
      </c>
      <c r="N39" s="574">
        <v>1</v>
      </c>
      <c r="O39" s="574">
        <v>1</v>
      </c>
      <c r="P39" s="574">
        <v>1</v>
      </c>
      <c r="Q39" s="574">
        <v>1</v>
      </c>
      <c r="R39" s="574">
        <v>1</v>
      </c>
      <c r="S39" s="574">
        <v>1</v>
      </c>
      <c r="T39" s="574">
        <v>1</v>
      </c>
      <c r="U39" s="574">
        <v>1</v>
      </c>
      <c r="V39" s="574">
        <v>1</v>
      </c>
      <c r="W39" s="574">
        <v>1</v>
      </c>
      <c r="X39" s="574">
        <v>1</v>
      </c>
      <c r="Y39" s="574">
        <v>1</v>
      </c>
      <c r="AA39" s="569">
        <v>4.2</v>
      </c>
    </row>
    <row r="40" spans="1:27">
      <c r="A40" s="588"/>
      <c r="F40" s="602"/>
      <c r="K40" s="569" t="s">
        <v>1214</v>
      </c>
      <c r="L40" s="574">
        <v>1</v>
      </c>
      <c r="M40" s="574">
        <v>1</v>
      </c>
      <c r="N40" s="574">
        <v>1</v>
      </c>
      <c r="O40" s="574">
        <v>1</v>
      </c>
      <c r="P40" s="574">
        <v>1</v>
      </c>
      <c r="Q40" s="574">
        <v>1</v>
      </c>
      <c r="R40" s="574">
        <v>1</v>
      </c>
      <c r="S40" s="574">
        <v>1</v>
      </c>
      <c r="T40" s="574">
        <v>1</v>
      </c>
      <c r="U40" s="574">
        <v>1</v>
      </c>
      <c r="V40" s="574">
        <v>1</v>
      </c>
      <c r="W40" s="574">
        <v>1</v>
      </c>
      <c r="X40" s="574"/>
      <c r="Y40" s="574"/>
      <c r="AA40" s="569">
        <v>4.4000000000000004</v>
      </c>
    </row>
    <row r="41" spans="1:27">
      <c r="A41" s="588"/>
      <c r="F41" s="602"/>
      <c r="K41" s="569"/>
      <c r="L41" s="571"/>
      <c r="M41" s="571"/>
      <c r="N41" s="571"/>
      <c r="O41" s="571"/>
      <c r="P41" s="571"/>
      <c r="Q41" s="571"/>
      <c r="R41" s="571"/>
      <c r="S41" s="571"/>
      <c r="T41" s="571"/>
      <c r="U41" s="571"/>
      <c r="V41" s="571"/>
      <c r="W41" s="571"/>
      <c r="X41" s="571"/>
      <c r="Y41" s="571"/>
      <c r="AA41" s="569"/>
    </row>
    <row r="42" spans="1:27">
      <c r="A42" s="588"/>
      <c r="F42" s="602"/>
      <c r="K42" s="603" t="s">
        <v>1215</v>
      </c>
      <c r="L42" s="604">
        <f t="shared" ref="L42:Y42" si="1">SUM(L4:L40)</f>
        <v>37</v>
      </c>
      <c r="M42" s="604">
        <f t="shared" si="1"/>
        <v>37</v>
      </c>
      <c r="N42" s="604">
        <f t="shared" si="1"/>
        <v>37</v>
      </c>
      <c r="O42" s="604">
        <f t="shared" si="1"/>
        <v>37</v>
      </c>
      <c r="P42" s="604">
        <f t="shared" si="1"/>
        <v>37</v>
      </c>
      <c r="Q42" s="604">
        <f t="shared" si="1"/>
        <v>37</v>
      </c>
      <c r="R42" s="604">
        <f t="shared" si="1"/>
        <v>37</v>
      </c>
      <c r="S42" s="604">
        <f t="shared" si="1"/>
        <v>37</v>
      </c>
      <c r="T42" s="604">
        <f t="shared" si="1"/>
        <v>5</v>
      </c>
      <c r="U42" s="604">
        <f t="shared" si="1"/>
        <v>5</v>
      </c>
      <c r="V42" s="604">
        <f t="shared" si="1"/>
        <v>5</v>
      </c>
      <c r="W42" s="604">
        <f t="shared" si="1"/>
        <v>5</v>
      </c>
      <c r="X42" s="604">
        <f t="shared" si="1"/>
        <v>36</v>
      </c>
      <c r="Y42" s="604">
        <f t="shared" si="1"/>
        <v>36</v>
      </c>
      <c r="Z42" s="605" t="s">
        <v>1216</v>
      </c>
      <c r="AA42" s="603">
        <f>SUM(AA4:AA40)</f>
        <v>118</v>
      </c>
    </row>
    <row r="43" spans="1:27" ht="15" customHeight="1">
      <c r="A43" s="588"/>
      <c r="F43" s="602"/>
    </row>
    <row r="44" spans="1:27" ht="15" customHeight="1">
      <c r="A44" s="588"/>
      <c r="F44" s="602"/>
    </row>
    <row r="45" spans="1:27" ht="15" customHeight="1">
      <c r="A45" s="588"/>
      <c r="F45" s="602"/>
    </row>
    <row r="46" spans="1:27" ht="15" customHeight="1">
      <c r="A46" s="588"/>
      <c r="F46" s="602"/>
    </row>
    <row r="47" spans="1:27" ht="15" customHeight="1">
      <c r="A47" s="588"/>
      <c r="F47" s="602"/>
    </row>
    <row r="48" spans="1:27" ht="15" customHeight="1">
      <c r="A48" s="588"/>
      <c r="F48" s="602"/>
    </row>
    <row r="49" spans="1:6" ht="15" customHeight="1">
      <c r="A49" s="588"/>
      <c r="F49" s="602"/>
    </row>
    <row r="50" spans="1:6" ht="15" customHeight="1">
      <c r="A50" s="606"/>
      <c r="B50" s="607"/>
      <c r="C50" s="607"/>
      <c r="D50" s="607"/>
      <c r="E50" s="607"/>
      <c r="F50" s="608"/>
    </row>
  </sheetData>
  <mergeCells count="12">
    <mergeCell ref="A33:F33"/>
    <mergeCell ref="A1:I1"/>
    <mergeCell ref="K1:Y1"/>
    <mergeCell ref="A21:D21"/>
    <mergeCell ref="C22:D22"/>
    <mergeCell ref="C23:D23"/>
    <mergeCell ref="C24:D24"/>
    <mergeCell ref="C25:D25"/>
    <mergeCell ref="C26:D26"/>
    <mergeCell ref="C27:D27"/>
    <mergeCell ref="C28:D28"/>
    <mergeCell ref="C29:D29"/>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0C542-3CC7-4FFE-BE03-F39992126725}">
  <dimension ref="A1:N370"/>
  <sheetViews>
    <sheetView topLeftCell="B274" zoomScale="85" zoomScaleNormal="85" workbookViewId="0">
      <selection activeCell="A289" sqref="A289:G289"/>
    </sheetView>
  </sheetViews>
  <sheetFormatPr defaultColWidth="9.109375" defaultRowHeight="13.8"/>
  <cols>
    <col min="1" max="1" width="9.109375" style="1"/>
    <col min="2" max="2" width="40.33203125" style="1" bestFit="1" customWidth="1"/>
    <col min="3" max="3" width="11.88671875" style="1" customWidth="1"/>
    <col min="4" max="4" width="9.109375" style="1"/>
    <col min="5" max="5" width="7.6640625" style="1" customWidth="1"/>
    <col min="6" max="6" width="13.109375" style="1" customWidth="1"/>
    <col min="7" max="7" width="13.88671875" style="1" customWidth="1"/>
    <col min="8" max="8" width="10.5546875" style="1" bestFit="1" customWidth="1"/>
    <col min="9" max="9" width="14.6640625" style="1" customWidth="1"/>
    <col min="10" max="10" width="9.88671875" style="1" bestFit="1" customWidth="1"/>
    <col min="11" max="11" width="13.109375" style="1" bestFit="1" customWidth="1"/>
    <col min="12" max="12" width="14.109375" style="1" bestFit="1" customWidth="1"/>
    <col min="13" max="13" width="9.109375" style="1"/>
    <col min="14" max="14" width="9.6640625" style="1" bestFit="1" customWidth="1"/>
    <col min="15" max="16384" width="9.109375" style="1"/>
  </cols>
  <sheetData>
    <row r="1" spans="1:9">
      <c r="A1" s="1194" t="s">
        <v>858</v>
      </c>
      <c r="B1" s="1194"/>
      <c r="C1" s="1194"/>
      <c r="D1" s="1194"/>
      <c r="E1" s="1194"/>
      <c r="F1" s="1194"/>
      <c r="G1" s="3">
        <v>4.4000000000000004</v>
      </c>
    </row>
    <row r="2" spans="1:9" ht="27.6">
      <c r="A2" s="4" t="s">
        <v>197</v>
      </c>
      <c r="B2" s="4" t="s">
        <v>859</v>
      </c>
      <c r="C2" s="4" t="s">
        <v>324</v>
      </c>
      <c r="D2" s="4" t="s">
        <v>860</v>
      </c>
      <c r="E2" s="4" t="s">
        <v>861</v>
      </c>
      <c r="F2" s="5" t="s">
        <v>862</v>
      </c>
      <c r="G2" s="5" t="s">
        <v>863</v>
      </c>
      <c r="I2" s="20" t="s">
        <v>864</v>
      </c>
    </row>
    <row r="3" spans="1:9">
      <c r="A3" s="6">
        <v>1</v>
      </c>
      <c r="B3" s="6" t="s">
        <v>865</v>
      </c>
      <c r="C3" s="6">
        <v>2</v>
      </c>
      <c r="D3" s="6">
        <v>0.3</v>
      </c>
      <c r="E3" s="6">
        <v>0.75</v>
      </c>
      <c r="F3" s="7">
        <f>C3*D3*E3*$G$1</f>
        <v>1.98</v>
      </c>
      <c r="G3" s="7">
        <f>(D3+E3)*2*C3*$G$1</f>
        <v>18.480000000000004</v>
      </c>
      <c r="I3" s="2">
        <f>C3*D3*E3</f>
        <v>0.44999999999999996</v>
      </c>
    </row>
    <row r="4" spans="1:9">
      <c r="A4" s="6">
        <v>2</v>
      </c>
      <c r="B4" s="6" t="s">
        <v>866</v>
      </c>
      <c r="C4" s="6">
        <v>1</v>
      </c>
      <c r="D4" s="6">
        <v>0.4</v>
      </c>
      <c r="E4" s="6">
        <v>3.19</v>
      </c>
      <c r="F4" s="7">
        <f t="shared" ref="F4:F39" si="0">C4*D4*E4*$G$1</f>
        <v>5.6144000000000007</v>
      </c>
      <c r="G4" s="7">
        <f t="shared" ref="G4:G39" si="1">(D4+E4)*2*C4*$G$1</f>
        <v>31.592000000000002</v>
      </c>
      <c r="I4" s="2">
        <f t="shared" ref="I4:I45" si="2">C4*D4*E4</f>
        <v>1.276</v>
      </c>
    </row>
    <row r="5" spans="1:9">
      <c r="A5" s="6">
        <v>3</v>
      </c>
      <c r="B5" s="6" t="s">
        <v>867</v>
      </c>
      <c r="C5" s="6">
        <v>4</v>
      </c>
      <c r="D5" s="6">
        <v>0.4</v>
      </c>
      <c r="E5" s="6">
        <v>1.05</v>
      </c>
      <c r="F5" s="7">
        <f t="shared" si="0"/>
        <v>7.3920000000000012</v>
      </c>
      <c r="G5" s="7">
        <f t="shared" si="1"/>
        <v>51.040000000000013</v>
      </c>
      <c r="I5" s="2">
        <f t="shared" si="2"/>
        <v>1.6800000000000002</v>
      </c>
    </row>
    <row r="6" spans="1:9">
      <c r="A6" s="6">
        <v>4</v>
      </c>
      <c r="B6" s="6" t="s">
        <v>868</v>
      </c>
      <c r="C6" s="6">
        <v>10</v>
      </c>
      <c r="D6" s="6">
        <v>0.4</v>
      </c>
      <c r="E6" s="6">
        <v>1.5</v>
      </c>
      <c r="F6" s="7">
        <f t="shared" si="0"/>
        <v>26.400000000000002</v>
      </c>
      <c r="G6" s="7">
        <f t="shared" si="1"/>
        <v>167.20000000000002</v>
      </c>
      <c r="I6" s="2">
        <f t="shared" si="2"/>
        <v>6</v>
      </c>
    </row>
    <row r="7" spans="1:9">
      <c r="A7" s="6">
        <v>5</v>
      </c>
      <c r="B7" s="6" t="s">
        <v>869</v>
      </c>
      <c r="C7" s="6">
        <v>1</v>
      </c>
      <c r="D7" s="6">
        <v>0.6</v>
      </c>
      <c r="E7" s="6">
        <v>0.6</v>
      </c>
      <c r="F7" s="7">
        <f t="shared" si="0"/>
        <v>1.5840000000000001</v>
      </c>
      <c r="G7" s="7">
        <f t="shared" si="1"/>
        <v>10.56</v>
      </c>
      <c r="I7" s="2">
        <f t="shared" si="2"/>
        <v>0.36</v>
      </c>
    </row>
    <row r="8" spans="1:9" ht="27.6">
      <c r="A8" s="6">
        <v>6</v>
      </c>
      <c r="B8" s="8" t="s">
        <v>870</v>
      </c>
      <c r="C8" s="6">
        <v>20</v>
      </c>
      <c r="D8" s="6">
        <v>0.6</v>
      </c>
      <c r="E8" s="6">
        <v>0.6</v>
      </c>
      <c r="F8" s="7">
        <f t="shared" si="0"/>
        <v>31.68</v>
      </c>
      <c r="G8" s="7">
        <f t="shared" si="1"/>
        <v>211.20000000000002</v>
      </c>
      <c r="I8" s="2">
        <f t="shared" si="2"/>
        <v>7.1999999999999993</v>
      </c>
    </row>
    <row r="9" spans="1:9">
      <c r="A9" s="6">
        <v>7</v>
      </c>
      <c r="B9" s="6" t="s">
        <v>871</v>
      </c>
      <c r="C9" s="6">
        <v>1</v>
      </c>
      <c r="D9" s="6">
        <v>0.4</v>
      </c>
      <c r="E9" s="6">
        <v>2.4</v>
      </c>
      <c r="F9" s="1010">
        <f>C9*D9*E9*$G$1</f>
        <v>4.2240000000000002</v>
      </c>
      <c r="G9" s="7">
        <f t="shared" si="1"/>
        <v>24.64</v>
      </c>
      <c r="I9" s="2">
        <f t="shared" si="2"/>
        <v>0.96</v>
      </c>
    </row>
    <row r="10" spans="1:9">
      <c r="A10" s="6">
        <v>8</v>
      </c>
      <c r="B10" s="6" t="s">
        <v>872</v>
      </c>
      <c r="C10" s="6">
        <v>1</v>
      </c>
      <c r="D10" s="6">
        <v>0.4</v>
      </c>
      <c r="E10" s="6">
        <v>3.77</v>
      </c>
      <c r="F10" s="1010">
        <f t="shared" si="0"/>
        <v>6.6352000000000002</v>
      </c>
      <c r="G10" s="7">
        <f t="shared" si="1"/>
        <v>36.696000000000005</v>
      </c>
      <c r="I10" s="2">
        <f t="shared" si="2"/>
        <v>1.508</v>
      </c>
    </row>
    <row r="11" spans="1:9">
      <c r="A11" s="6">
        <v>9</v>
      </c>
      <c r="B11" s="6" t="s">
        <v>873</v>
      </c>
      <c r="C11" s="6">
        <v>1</v>
      </c>
      <c r="D11" s="6">
        <v>0.4</v>
      </c>
      <c r="E11" s="6">
        <v>1.3</v>
      </c>
      <c r="F11" s="1010">
        <f t="shared" si="0"/>
        <v>2.2880000000000003</v>
      </c>
      <c r="G11" s="7">
        <f t="shared" si="1"/>
        <v>14.960000000000003</v>
      </c>
      <c r="I11" s="2">
        <f t="shared" si="2"/>
        <v>0.52</v>
      </c>
    </row>
    <row r="12" spans="1:9">
      <c r="A12" s="6">
        <v>10</v>
      </c>
      <c r="B12" s="6" t="s">
        <v>874</v>
      </c>
      <c r="C12" s="6">
        <v>1</v>
      </c>
      <c r="D12" s="6">
        <v>0.4</v>
      </c>
      <c r="E12" s="6">
        <v>3.35</v>
      </c>
      <c r="F12" s="1010">
        <f t="shared" si="0"/>
        <v>5.8960000000000008</v>
      </c>
      <c r="G12" s="7">
        <f t="shared" si="1"/>
        <v>33</v>
      </c>
      <c r="I12" s="2">
        <f t="shared" si="2"/>
        <v>1.34</v>
      </c>
    </row>
    <row r="13" spans="1:9">
      <c r="A13" s="6">
        <v>11</v>
      </c>
      <c r="B13" s="6" t="s">
        <v>875</v>
      </c>
      <c r="C13" s="6">
        <v>1</v>
      </c>
      <c r="D13" s="6">
        <v>0.4</v>
      </c>
      <c r="E13" s="6">
        <v>2.1</v>
      </c>
      <c r="F13" s="1010">
        <f t="shared" si="0"/>
        <v>3.6960000000000006</v>
      </c>
      <c r="G13" s="7">
        <f t="shared" si="1"/>
        <v>22</v>
      </c>
      <c r="I13" s="2">
        <f t="shared" si="2"/>
        <v>0.84000000000000008</v>
      </c>
    </row>
    <row r="14" spans="1:9">
      <c r="A14" s="6">
        <v>12</v>
      </c>
      <c r="B14" s="6" t="s">
        <v>876</v>
      </c>
      <c r="C14" s="6">
        <v>2</v>
      </c>
      <c r="D14" s="6">
        <v>0.4</v>
      </c>
      <c r="E14" s="6">
        <v>2.6</v>
      </c>
      <c r="F14" s="1010">
        <f t="shared" si="0"/>
        <v>9.152000000000001</v>
      </c>
      <c r="G14" s="7">
        <f t="shared" si="1"/>
        <v>52.800000000000004</v>
      </c>
      <c r="I14" s="2">
        <f t="shared" si="2"/>
        <v>2.08</v>
      </c>
    </row>
    <row r="15" spans="1:9">
      <c r="A15" s="6">
        <v>13</v>
      </c>
      <c r="B15" s="6" t="s">
        <v>877</v>
      </c>
      <c r="C15" s="6">
        <v>1</v>
      </c>
      <c r="D15" s="6">
        <v>0.4</v>
      </c>
      <c r="E15" s="6">
        <v>3.2</v>
      </c>
      <c r="F15" s="1010">
        <f t="shared" si="0"/>
        <v>5.6320000000000014</v>
      </c>
      <c r="G15" s="7">
        <f t="shared" si="1"/>
        <v>31.680000000000003</v>
      </c>
      <c r="I15" s="2">
        <f t="shared" si="2"/>
        <v>1.2800000000000002</v>
      </c>
    </row>
    <row r="16" spans="1:9">
      <c r="A16" s="6">
        <v>14</v>
      </c>
      <c r="B16" s="6" t="s">
        <v>878</v>
      </c>
      <c r="C16" s="6">
        <v>2</v>
      </c>
      <c r="D16" s="6">
        <v>0.4</v>
      </c>
      <c r="E16" s="6">
        <v>2.67</v>
      </c>
      <c r="F16" s="1010">
        <f t="shared" si="0"/>
        <v>9.3984000000000005</v>
      </c>
      <c r="G16" s="7">
        <f t="shared" si="1"/>
        <v>54.032000000000004</v>
      </c>
      <c r="I16" s="2">
        <f t="shared" si="2"/>
        <v>2.1360000000000001</v>
      </c>
    </row>
    <row r="17" spans="1:9">
      <c r="A17" s="6">
        <v>15</v>
      </c>
      <c r="B17" s="6" t="s">
        <v>879</v>
      </c>
      <c r="C17" s="6">
        <v>1</v>
      </c>
      <c r="D17" s="6">
        <v>0.4</v>
      </c>
      <c r="E17" s="6">
        <v>1.85</v>
      </c>
      <c r="F17" s="1010">
        <f t="shared" si="0"/>
        <v>3.2560000000000007</v>
      </c>
      <c r="G17" s="7">
        <f t="shared" si="1"/>
        <v>19.8</v>
      </c>
      <c r="I17" s="2">
        <f t="shared" si="2"/>
        <v>0.7400000000000001</v>
      </c>
    </row>
    <row r="18" spans="1:9">
      <c r="A18" s="6">
        <v>16</v>
      </c>
      <c r="B18" s="6" t="s">
        <v>880</v>
      </c>
      <c r="C18" s="6">
        <v>1</v>
      </c>
      <c r="D18" s="6">
        <v>0.4</v>
      </c>
      <c r="E18" s="6">
        <v>1</v>
      </c>
      <c r="F18" s="1010">
        <f t="shared" si="0"/>
        <v>1.7600000000000002</v>
      </c>
      <c r="G18" s="7">
        <f t="shared" si="1"/>
        <v>12.32</v>
      </c>
      <c r="I18" s="2">
        <f t="shared" si="2"/>
        <v>0.4</v>
      </c>
    </row>
    <row r="19" spans="1:9">
      <c r="A19" s="6">
        <v>17</v>
      </c>
      <c r="B19" s="6" t="s">
        <v>881</v>
      </c>
      <c r="C19" s="6">
        <v>1</v>
      </c>
      <c r="D19" s="6">
        <v>0.4</v>
      </c>
      <c r="E19" s="6">
        <v>3.58</v>
      </c>
      <c r="F19" s="1010">
        <f t="shared" si="0"/>
        <v>6.3008000000000015</v>
      </c>
      <c r="G19" s="7">
        <f t="shared" si="1"/>
        <v>35.024000000000001</v>
      </c>
      <c r="I19" s="2">
        <f t="shared" si="2"/>
        <v>1.4320000000000002</v>
      </c>
    </row>
    <row r="20" spans="1:9">
      <c r="A20" s="6">
        <v>18</v>
      </c>
      <c r="B20" s="6" t="s">
        <v>882</v>
      </c>
      <c r="C20" s="6">
        <v>1</v>
      </c>
      <c r="D20" s="6">
        <v>0.4</v>
      </c>
      <c r="E20" s="6">
        <v>2.2999999999999998</v>
      </c>
      <c r="F20" s="1010">
        <f t="shared" si="0"/>
        <v>4.048</v>
      </c>
      <c r="G20" s="7">
        <f t="shared" si="1"/>
        <v>23.759999999999998</v>
      </c>
      <c r="I20" s="2">
        <f t="shared" si="2"/>
        <v>0.91999999999999993</v>
      </c>
    </row>
    <row r="21" spans="1:9">
      <c r="A21" s="6">
        <v>19</v>
      </c>
      <c r="B21" s="6" t="s">
        <v>883</v>
      </c>
      <c r="C21" s="6">
        <v>1</v>
      </c>
      <c r="D21" s="6">
        <v>0.4</v>
      </c>
      <c r="E21" s="6">
        <v>2</v>
      </c>
      <c r="F21" s="1010">
        <f t="shared" si="0"/>
        <v>3.5200000000000005</v>
      </c>
      <c r="G21" s="7">
        <f t="shared" si="1"/>
        <v>21.12</v>
      </c>
      <c r="I21" s="2">
        <f t="shared" si="2"/>
        <v>0.8</v>
      </c>
    </row>
    <row r="22" spans="1:9">
      <c r="A22" s="6">
        <v>20</v>
      </c>
      <c r="B22" s="6" t="s">
        <v>884</v>
      </c>
      <c r="C22" s="6">
        <v>4</v>
      </c>
      <c r="D22" s="6">
        <v>0.4</v>
      </c>
      <c r="E22" s="6">
        <v>1.68</v>
      </c>
      <c r="F22" s="1010">
        <f t="shared" si="0"/>
        <v>11.827200000000001</v>
      </c>
      <c r="G22" s="7">
        <f t="shared" si="1"/>
        <v>73.216000000000008</v>
      </c>
      <c r="I22" s="2">
        <f t="shared" si="2"/>
        <v>2.6880000000000002</v>
      </c>
    </row>
    <row r="23" spans="1:9">
      <c r="A23" s="6">
        <v>21</v>
      </c>
      <c r="B23" s="6" t="s">
        <v>885</v>
      </c>
      <c r="C23" s="6">
        <v>1</v>
      </c>
      <c r="D23" s="6">
        <v>0.4</v>
      </c>
      <c r="E23" s="6">
        <v>1.34</v>
      </c>
      <c r="F23" s="1010">
        <f t="shared" si="0"/>
        <v>2.3584000000000005</v>
      </c>
      <c r="G23" s="7">
        <f t="shared" si="1"/>
        <v>15.312000000000003</v>
      </c>
      <c r="I23" s="2">
        <f t="shared" si="2"/>
        <v>0.53600000000000003</v>
      </c>
    </row>
    <row r="24" spans="1:9">
      <c r="A24" s="6">
        <v>22</v>
      </c>
      <c r="B24" s="6" t="s">
        <v>886</v>
      </c>
      <c r="C24" s="6">
        <v>3</v>
      </c>
      <c r="D24" s="6">
        <v>0.4</v>
      </c>
      <c r="E24" s="6">
        <v>1.2</v>
      </c>
      <c r="F24" s="1010">
        <f t="shared" si="0"/>
        <v>6.3360000000000012</v>
      </c>
      <c r="G24" s="7">
        <f t="shared" si="1"/>
        <v>42.240000000000009</v>
      </c>
      <c r="I24" s="2">
        <f t="shared" si="2"/>
        <v>1.4400000000000002</v>
      </c>
    </row>
    <row r="25" spans="1:9">
      <c r="A25" s="6">
        <v>23</v>
      </c>
      <c r="B25" s="6" t="s">
        <v>887</v>
      </c>
      <c r="C25" s="6">
        <v>2</v>
      </c>
      <c r="D25" s="6">
        <v>0.4</v>
      </c>
      <c r="E25" s="6">
        <v>4.8499999999999996</v>
      </c>
      <c r="F25" s="1010">
        <f t="shared" si="0"/>
        <v>17.071999999999999</v>
      </c>
      <c r="G25" s="7">
        <f t="shared" si="1"/>
        <v>92.4</v>
      </c>
      <c r="I25" s="2">
        <f t="shared" si="2"/>
        <v>3.88</v>
      </c>
    </row>
    <row r="26" spans="1:9">
      <c r="A26" s="6">
        <v>24</v>
      </c>
      <c r="B26" s="6" t="s">
        <v>888</v>
      </c>
      <c r="C26" s="6">
        <v>6</v>
      </c>
      <c r="D26" s="6">
        <v>0.4</v>
      </c>
      <c r="E26" s="6">
        <v>1.8</v>
      </c>
      <c r="F26" s="1010">
        <f t="shared" si="0"/>
        <v>19.008000000000006</v>
      </c>
      <c r="G26" s="7">
        <f t="shared" si="1"/>
        <v>116.16000000000003</v>
      </c>
      <c r="I26" s="2">
        <f t="shared" si="2"/>
        <v>4.3200000000000012</v>
      </c>
    </row>
    <row r="27" spans="1:9">
      <c r="A27" s="6">
        <v>25</v>
      </c>
      <c r="B27" s="6" t="s">
        <v>889</v>
      </c>
      <c r="C27" s="6">
        <v>2</v>
      </c>
      <c r="D27" s="6">
        <v>0.23</v>
      </c>
      <c r="E27" s="6">
        <v>0.8</v>
      </c>
      <c r="F27" s="1010">
        <f t="shared" si="0"/>
        <v>1.6192000000000004</v>
      </c>
      <c r="G27" s="7">
        <f t="shared" si="1"/>
        <v>18.128000000000004</v>
      </c>
      <c r="I27" s="2">
        <f t="shared" si="2"/>
        <v>0.36800000000000005</v>
      </c>
    </row>
    <row r="28" spans="1:9">
      <c r="A28" s="6">
        <v>26</v>
      </c>
      <c r="B28" s="6" t="s">
        <v>890</v>
      </c>
      <c r="C28" s="6">
        <v>2</v>
      </c>
      <c r="D28" s="6">
        <v>0.3</v>
      </c>
      <c r="E28" s="6">
        <v>2.5</v>
      </c>
      <c r="F28" s="1010">
        <f t="shared" si="0"/>
        <v>6.6000000000000005</v>
      </c>
      <c r="G28" s="7">
        <f t="shared" si="1"/>
        <v>49.28</v>
      </c>
      <c r="I28" s="2">
        <f t="shared" si="2"/>
        <v>1.5</v>
      </c>
    </row>
    <row r="29" spans="1:9">
      <c r="A29" s="6">
        <v>27</v>
      </c>
      <c r="B29" s="6" t="s">
        <v>891</v>
      </c>
      <c r="C29" s="6">
        <v>6</v>
      </c>
      <c r="D29" s="6">
        <v>0.3</v>
      </c>
      <c r="E29" s="6">
        <v>2.5</v>
      </c>
      <c r="F29" s="1010">
        <f t="shared" si="0"/>
        <v>19.8</v>
      </c>
      <c r="G29" s="7">
        <f t="shared" si="1"/>
        <v>147.83999999999997</v>
      </c>
      <c r="I29" s="2">
        <f t="shared" si="2"/>
        <v>4.5</v>
      </c>
    </row>
    <row r="30" spans="1:9">
      <c r="A30" s="6">
        <v>28</v>
      </c>
      <c r="B30" s="6" t="s">
        <v>892</v>
      </c>
      <c r="C30" s="6">
        <v>4</v>
      </c>
      <c r="D30" s="6">
        <v>0.3</v>
      </c>
      <c r="E30" s="6">
        <v>2.5</v>
      </c>
      <c r="F30" s="1010">
        <f t="shared" si="0"/>
        <v>13.200000000000001</v>
      </c>
      <c r="G30" s="7">
        <f t="shared" si="1"/>
        <v>98.56</v>
      </c>
      <c r="I30" s="2">
        <f t="shared" si="2"/>
        <v>3</v>
      </c>
    </row>
    <row r="31" spans="1:9">
      <c r="A31" s="6">
        <v>29</v>
      </c>
      <c r="B31" s="6" t="s">
        <v>893</v>
      </c>
      <c r="C31" s="6">
        <v>1</v>
      </c>
      <c r="D31" s="6">
        <v>0.4</v>
      </c>
      <c r="E31" s="6">
        <v>3.92</v>
      </c>
      <c r="F31" s="1010">
        <f t="shared" si="0"/>
        <v>6.8992000000000004</v>
      </c>
      <c r="G31" s="7">
        <f t="shared" si="1"/>
        <v>38.016000000000005</v>
      </c>
      <c r="I31" s="2">
        <f t="shared" si="2"/>
        <v>1.5680000000000001</v>
      </c>
    </row>
    <row r="32" spans="1:9">
      <c r="A32" s="6">
        <v>30</v>
      </c>
      <c r="B32" s="6" t="s">
        <v>894</v>
      </c>
      <c r="C32" s="6">
        <v>1</v>
      </c>
      <c r="D32" s="6">
        <v>0.4</v>
      </c>
      <c r="E32" s="6">
        <v>2.9</v>
      </c>
      <c r="F32" s="1010">
        <f t="shared" si="0"/>
        <v>5.1040000000000001</v>
      </c>
      <c r="G32" s="7">
        <f t="shared" si="1"/>
        <v>29.04</v>
      </c>
      <c r="I32" s="2">
        <f t="shared" si="2"/>
        <v>1.1599999999999999</v>
      </c>
    </row>
    <row r="33" spans="1:11">
      <c r="A33" s="6">
        <v>31</v>
      </c>
      <c r="B33" s="6" t="s">
        <v>895</v>
      </c>
      <c r="C33" s="6">
        <v>2</v>
      </c>
      <c r="D33" s="6">
        <v>0.4</v>
      </c>
      <c r="E33" s="6">
        <v>3.84</v>
      </c>
      <c r="F33" s="1010">
        <f t="shared" si="0"/>
        <v>13.516800000000002</v>
      </c>
      <c r="G33" s="7">
        <f t="shared" si="1"/>
        <v>74.624000000000009</v>
      </c>
      <c r="I33" s="2">
        <f t="shared" si="2"/>
        <v>3.0720000000000001</v>
      </c>
    </row>
    <row r="34" spans="1:11">
      <c r="A34" s="6">
        <v>32</v>
      </c>
      <c r="B34" s="6" t="s">
        <v>896</v>
      </c>
      <c r="C34" s="6">
        <v>2</v>
      </c>
      <c r="D34" s="6">
        <v>0.4</v>
      </c>
      <c r="E34" s="6">
        <v>2.6469999999999998</v>
      </c>
      <c r="F34" s="1010">
        <f t="shared" si="0"/>
        <v>9.3174400000000013</v>
      </c>
      <c r="G34" s="7">
        <f t="shared" si="1"/>
        <v>53.627200000000002</v>
      </c>
      <c r="I34" s="2">
        <f t="shared" si="2"/>
        <v>2.1175999999999999</v>
      </c>
    </row>
    <row r="35" spans="1:11">
      <c r="A35" s="6">
        <v>33</v>
      </c>
      <c r="B35" s="6" t="s">
        <v>897</v>
      </c>
      <c r="C35" s="6">
        <v>3</v>
      </c>
      <c r="D35" s="6">
        <v>0.4</v>
      </c>
      <c r="E35" s="6">
        <v>2.7170000000000001</v>
      </c>
      <c r="F35" s="1010">
        <f t="shared" si="0"/>
        <v>14.345760000000004</v>
      </c>
      <c r="G35" s="7">
        <f t="shared" si="1"/>
        <v>82.288799999999995</v>
      </c>
      <c r="I35" s="2">
        <f t="shared" si="2"/>
        <v>3.2604000000000006</v>
      </c>
    </row>
    <row r="36" spans="1:11">
      <c r="A36" s="6">
        <v>34</v>
      </c>
      <c r="B36" s="6" t="s">
        <v>898</v>
      </c>
      <c r="C36" s="6">
        <v>4</v>
      </c>
      <c r="D36" s="6">
        <v>0.4</v>
      </c>
      <c r="E36" s="6">
        <v>1.7</v>
      </c>
      <c r="F36" s="1010">
        <f t="shared" si="0"/>
        <v>11.968000000000002</v>
      </c>
      <c r="G36" s="7">
        <f t="shared" si="1"/>
        <v>73.920000000000016</v>
      </c>
      <c r="I36" s="2">
        <f t="shared" si="2"/>
        <v>2.72</v>
      </c>
    </row>
    <row r="37" spans="1:11">
      <c r="A37" s="6">
        <v>35</v>
      </c>
      <c r="B37" s="6" t="s">
        <v>899</v>
      </c>
      <c r="C37" s="6">
        <v>1</v>
      </c>
      <c r="D37" s="6">
        <v>0.4</v>
      </c>
      <c r="E37" s="6">
        <v>0.75900000000000001</v>
      </c>
      <c r="F37" s="1010">
        <f t="shared" si="0"/>
        <v>1.3358400000000004</v>
      </c>
      <c r="G37" s="7">
        <f t="shared" si="1"/>
        <v>10.199200000000001</v>
      </c>
      <c r="I37" s="2">
        <f t="shared" si="2"/>
        <v>0.30360000000000004</v>
      </c>
    </row>
    <row r="38" spans="1:11">
      <c r="A38" s="6">
        <v>36</v>
      </c>
      <c r="B38" s="6" t="s">
        <v>900</v>
      </c>
      <c r="C38" s="6">
        <v>2</v>
      </c>
      <c r="D38" s="6">
        <v>0.3</v>
      </c>
      <c r="E38" s="6">
        <v>2.73</v>
      </c>
      <c r="F38" s="1010">
        <f t="shared" si="0"/>
        <v>7.2072000000000003</v>
      </c>
      <c r="G38" s="7">
        <f t="shared" si="1"/>
        <v>53.328000000000003</v>
      </c>
      <c r="I38" s="2">
        <f t="shared" si="2"/>
        <v>1.6379999999999999</v>
      </c>
    </row>
    <row r="39" spans="1:11">
      <c r="A39" s="6">
        <v>37</v>
      </c>
      <c r="B39" s="6" t="s">
        <v>901</v>
      </c>
      <c r="C39" s="6">
        <v>4</v>
      </c>
      <c r="D39" s="6">
        <v>0.4</v>
      </c>
      <c r="E39" s="6">
        <v>2.2000000000000002</v>
      </c>
      <c r="F39" s="1010">
        <f t="shared" si="0"/>
        <v>15.488000000000003</v>
      </c>
      <c r="G39" s="7">
        <f t="shared" si="1"/>
        <v>91.52000000000001</v>
      </c>
      <c r="I39" s="2">
        <f t="shared" si="2"/>
        <v>3.5200000000000005</v>
      </c>
    </row>
    <row r="40" spans="1:11">
      <c r="A40" s="6">
        <v>38</v>
      </c>
      <c r="B40" s="6" t="s">
        <v>902</v>
      </c>
      <c r="C40" s="6">
        <v>3</v>
      </c>
      <c r="D40" s="6">
        <v>0.4</v>
      </c>
      <c r="E40" s="6">
        <v>2.5</v>
      </c>
      <c r="F40" s="1010">
        <f t="shared" ref="F40:F45" si="3">C40*D40*E40*$G$1</f>
        <v>13.200000000000003</v>
      </c>
      <c r="G40" s="7">
        <f t="shared" ref="G40:G45" si="4">(D40+E40)*2*C40*$G$1</f>
        <v>76.56</v>
      </c>
      <c r="I40" s="2">
        <f t="shared" si="2"/>
        <v>3.0000000000000004</v>
      </c>
    </row>
    <row r="41" spans="1:11">
      <c r="A41" s="6">
        <v>39</v>
      </c>
      <c r="B41" s="6" t="s">
        <v>903</v>
      </c>
      <c r="C41" s="6">
        <v>1</v>
      </c>
      <c r="D41" s="6">
        <v>0.4</v>
      </c>
      <c r="E41" s="6">
        <v>3.92</v>
      </c>
      <c r="F41" s="1010">
        <f t="shared" si="3"/>
        <v>6.8992000000000004</v>
      </c>
      <c r="G41" s="7">
        <f t="shared" si="4"/>
        <v>38.016000000000005</v>
      </c>
      <c r="I41" s="2">
        <f t="shared" si="2"/>
        <v>1.5680000000000001</v>
      </c>
    </row>
    <row r="42" spans="1:11">
      <c r="A42" s="6">
        <v>40</v>
      </c>
      <c r="B42" s="6" t="s">
        <v>904</v>
      </c>
      <c r="C42" s="6">
        <v>4</v>
      </c>
      <c r="D42" s="6">
        <v>0.3</v>
      </c>
      <c r="E42" s="6">
        <v>2.2000000000000002</v>
      </c>
      <c r="F42" s="1010">
        <f t="shared" si="3"/>
        <v>11.616000000000001</v>
      </c>
      <c r="G42" s="7">
        <f t="shared" si="4"/>
        <v>88</v>
      </c>
      <c r="I42" s="2">
        <f t="shared" si="2"/>
        <v>2.64</v>
      </c>
    </row>
    <row r="43" spans="1:11">
      <c r="A43" s="6">
        <v>41</v>
      </c>
      <c r="B43" s="6" t="s">
        <v>905</v>
      </c>
      <c r="C43" s="6">
        <v>2</v>
      </c>
      <c r="D43" s="6">
        <v>0.23</v>
      </c>
      <c r="E43" s="6">
        <v>3.1</v>
      </c>
      <c r="F43" s="1010">
        <f t="shared" si="3"/>
        <v>6.2744000000000009</v>
      </c>
      <c r="G43" s="7">
        <f t="shared" si="4"/>
        <v>58.608000000000004</v>
      </c>
      <c r="I43" s="2">
        <f t="shared" si="2"/>
        <v>1.4260000000000002</v>
      </c>
    </row>
    <row r="44" spans="1:11">
      <c r="A44" s="6">
        <v>42</v>
      </c>
      <c r="B44" s="6" t="s">
        <v>906</v>
      </c>
      <c r="C44" s="6">
        <v>4</v>
      </c>
      <c r="D44" s="6">
        <v>0.23</v>
      </c>
      <c r="E44" s="6">
        <v>2.38</v>
      </c>
      <c r="F44" s="1010">
        <f t="shared" si="3"/>
        <v>9.6342400000000001</v>
      </c>
      <c r="G44" s="7">
        <f t="shared" si="4"/>
        <v>91.872</v>
      </c>
      <c r="I44" s="2">
        <f t="shared" si="2"/>
        <v>2.1896</v>
      </c>
    </row>
    <row r="45" spans="1:11">
      <c r="A45" s="6">
        <v>43</v>
      </c>
      <c r="B45" s="6" t="s">
        <v>907</v>
      </c>
      <c r="C45" s="6">
        <v>4</v>
      </c>
      <c r="D45" s="6">
        <v>0.23</v>
      </c>
      <c r="E45" s="6">
        <v>3.43</v>
      </c>
      <c r="F45" s="1010">
        <f t="shared" si="3"/>
        <v>13.884640000000003</v>
      </c>
      <c r="G45" s="7">
        <f t="shared" si="4"/>
        <v>128.83200000000002</v>
      </c>
      <c r="I45" s="2">
        <f t="shared" si="2"/>
        <v>3.1556000000000002</v>
      </c>
    </row>
    <row r="46" spans="1:11">
      <c r="A46" s="1195" t="s">
        <v>232</v>
      </c>
      <c r="B46" s="1196"/>
      <c r="C46" s="1196"/>
      <c r="D46" s="1196"/>
      <c r="E46" s="1197"/>
      <c r="F46" s="9">
        <f>SUM(F3:F45)</f>
        <v>384.96832000000001</v>
      </c>
      <c r="G46" s="9">
        <f>SUM(G3:G45)</f>
        <v>2513.4911999999999</v>
      </c>
      <c r="H46" s="1">
        <f>G282+G283+G284+G285</f>
        <v>3218.0940000000005</v>
      </c>
      <c r="I46" s="9">
        <f>SUM(I3:I45)</f>
        <v>87.492800000000003</v>
      </c>
      <c r="K46" s="1">
        <f>G46/F46</f>
        <v>6.5290858219190602</v>
      </c>
    </row>
    <row r="47" spans="1:11">
      <c r="F47" s="2"/>
      <c r="G47" s="2"/>
    </row>
    <row r="48" spans="1:11">
      <c r="A48" s="1194" t="s">
        <v>908</v>
      </c>
      <c r="B48" s="1194"/>
      <c r="C48" s="1194"/>
      <c r="D48" s="1194"/>
      <c r="E48" s="1194"/>
      <c r="F48" s="1194"/>
      <c r="G48" s="3">
        <v>4.2</v>
      </c>
    </row>
    <row r="49" spans="1:12" ht="27.6">
      <c r="A49" s="4" t="s">
        <v>197</v>
      </c>
      <c r="B49" s="4" t="s">
        <v>859</v>
      </c>
      <c r="C49" s="4" t="s">
        <v>324</v>
      </c>
      <c r="D49" s="4" t="s">
        <v>860</v>
      </c>
      <c r="E49" s="4" t="s">
        <v>861</v>
      </c>
      <c r="F49" s="5" t="s">
        <v>862</v>
      </c>
      <c r="G49" s="5" t="s">
        <v>863</v>
      </c>
    </row>
    <row r="50" spans="1:12">
      <c r="A50" s="6">
        <v>1</v>
      </c>
      <c r="B50" s="6" t="s">
        <v>865</v>
      </c>
      <c r="C50" s="6">
        <v>2</v>
      </c>
      <c r="D50" s="6">
        <v>0.3</v>
      </c>
      <c r="E50" s="6">
        <v>0.75</v>
      </c>
      <c r="F50" s="7">
        <f>C50*D50*E50*$G$48</f>
        <v>1.89</v>
      </c>
      <c r="G50" s="7">
        <f>(D50+E50)*2*C50*$G$48</f>
        <v>17.64</v>
      </c>
      <c r="K50" s="1" t="s">
        <v>909</v>
      </c>
      <c r="L50" s="2">
        <f>G46+G93+G139+G186+G287+G298+G306+G318+G327+G356</f>
        <v>51310.247407246366</v>
      </c>
    </row>
    <row r="51" spans="1:12">
      <c r="A51" s="6">
        <v>2</v>
      </c>
      <c r="B51" s="6" t="s">
        <v>866</v>
      </c>
      <c r="C51" s="6">
        <v>1</v>
      </c>
      <c r="D51" s="6">
        <v>0.4</v>
      </c>
      <c r="E51" s="6">
        <v>3.19</v>
      </c>
      <c r="F51" s="7">
        <f t="shared" ref="F51:F92" si="5">C51*D51*E51*$G$48</f>
        <v>5.3592000000000004</v>
      </c>
      <c r="G51" s="7">
        <f t="shared" ref="G51:G92" si="6">(D51+E51)*2*C51*$G$48</f>
        <v>30.155999999999999</v>
      </c>
      <c r="K51" s="1" t="s">
        <v>910</v>
      </c>
      <c r="L51" s="2">
        <f>G274+G336+G343</f>
        <v>119624.04345181159</v>
      </c>
    </row>
    <row r="52" spans="1:12">
      <c r="A52" s="6">
        <v>3</v>
      </c>
      <c r="B52" s="6" t="s">
        <v>867</v>
      </c>
      <c r="C52" s="6">
        <v>4</v>
      </c>
      <c r="D52" s="6">
        <v>0.4</v>
      </c>
      <c r="E52" s="6">
        <v>1.05</v>
      </c>
      <c r="F52" s="7">
        <f t="shared" si="5"/>
        <v>7.0560000000000009</v>
      </c>
      <c r="G52" s="7">
        <f t="shared" si="6"/>
        <v>48.720000000000006</v>
      </c>
      <c r="L52" s="30">
        <f>SUM(L50:L51)</f>
        <v>170934.29085905798</v>
      </c>
    </row>
    <row r="53" spans="1:12">
      <c r="A53" s="6">
        <v>4</v>
      </c>
      <c r="B53" s="6" t="s">
        <v>868</v>
      </c>
      <c r="C53" s="6">
        <v>10</v>
      </c>
      <c r="D53" s="6">
        <v>0.4</v>
      </c>
      <c r="E53" s="6">
        <v>1.5</v>
      </c>
      <c r="F53" s="7">
        <f t="shared" si="5"/>
        <v>25.200000000000003</v>
      </c>
      <c r="G53" s="7">
        <f t="shared" si="6"/>
        <v>159.6</v>
      </c>
    </row>
    <row r="54" spans="1:12">
      <c r="A54" s="6">
        <v>5</v>
      </c>
      <c r="B54" s="6" t="s">
        <v>869</v>
      </c>
      <c r="C54" s="6">
        <v>1</v>
      </c>
      <c r="D54" s="6">
        <v>0.6</v>
      </c>
      <c r="E54" s="6">
        <v>0.6</v>
      </c>
      <c r="F54" s="7">
        <f t="shared" si="5"/>
        <v>1.512</v>
      </c>
      <c r="G54" s="7">
        <f t="shared" si="6"/>
        <v>10.08</v>
      </c>
    </row>
    <row r="55" spans="1:12" ht="27.6">
      <c r="A55" s="6">
        <v>6</v>
      </c>
      <c r="B55" s="8" t="s">
        <v>870</v>
      </c>
      <c r="C55" s="6">
        <v>20</v>
      </c>
      <c r="D55" s="6">
        <v>0.6</v>
      </c>
      <c r="E55" s="6">
        <v>0.6</v>
      </c>
      <c r="F55" s="7">
        <f t="shared" si="5"/>
        <v>30.24</v>
      </c>
      <c r="G55" s="7">
        <f t="shared" si="6"/>
        <v>201.60000000000002</v>
      </c>
    </row>
    <row r="56" spans="1:12">
      <c r="A56" s="6">
        <v>7</v>
      </c>
      <c r="B56" s="6" t="s">
        <v>871</v>
      </c>
      <c r="C56" s="6">
        <v>1</v>
      </c>
      <c r="D56" s="6">
        <v>0.4</v>
      </c>
      <c r="E56" s="6">
        <v>2.4</v>
      </c>
      <c r="F56" s="7">
        <f t="shared" si="5"/>
        <v>4.032</v>
      </c>
      <c r="G56" s="7">
        <f t="shared" si="6"/>
        <v>23.52</v>
      </c>
    </row>
    <row r="57" spans="1:12">
      <c r="A57" s="6">
        <v>8</v>
      </c>
      <c r="B57" s="6" t="s">
        <v>872</v>
      </c>
      <c r="C57" s="6">
        <v>1</v>
      </c>
      <c r="D57" s="6">
        <v>0.4</v>
      </c>
      <c r="E57" s="6">
        <v>3.77</v>
      </c>
      <c r="F57" s="7">
        <f t="shared" si="5"/>
        <v>6.3336000000000006</v>
      </c>
      <c r="G57" s="7">
        <f t="shared" si="6"/>
        <v>35.027999999999999</v>
      </c>
    </row>
    <row r="58" spans="1:12">
      <c r="A58" s="6">
        <v>9</v>
      </c>
      <c r="B58" s="6" t="s">
        <v>873</v>
      </c>
      <c r="C58" s="6">
        <v>1</v>
      </c>
      <c r="D58" s="6">
        <v>0.4</v>
      </c>
      <c r="E58" s="6">
        <v>1.3</v>
      </c>
      <c r="F58" s="7">
        <f t="shared" si="5"/>
        <v>2.1840000000000002</v>
      </c>
      <c r="G58" s="7">
        <f t="shared" si="6"/>
        <v>14.280000000000003</v>
      </c>
    </row>
    <row r="59" spans="1:12">
      <c r="A59" s="6">
        <v>10</v>
      </c>
      <c r="B59" s="6" t="s">
        <v>874</v>
      </c>
      <c r="C59" s="6">
        <v>1</v>
      </c>
      <c r="D59" s="6">
        <v>0.4</v>
      </c>
      <c r="E59" s="6">
        <v>3.35</v>
      </c>
      <c r="F59" s="7">
        <f t="shared" si="5"/>
        <v>5.628000000000001</v>
      </c>
      <c r="G59" s="7">
        <f t="shared" si="6"/>
        <v>31.5</v>
      </c>
    </row>
    <row r="60" spans="1:12">
      <c r="A60" s="6">
        <v>11</v>
      </c>
      <c r="B60" s="6" t="s">
        <v>875</v>
      </c>
      <c r="C60" s="6">
        <v>1</v>
      </c>
      <c r="D60" s="6">
        <v>0.4</v>
      </c>
      <c r="E60" s="6">
        <v>2.1</v>
      </c>
      <c r="F60" s="7">
        <f t="shared" si="5"/>
        <v>3.5280000000000005</v>
      </c>
      <c r="G60" s="7">
        <f t="shared" si="6"/>
        <v>21</v>
      </c>
    </row>
    <row r="61" spans="1:12">
      <c r="A61" s="6">
        <v>12</v>
      </c>
      <c r="B61" s="6" t="s">
        <v>876</v>
      </c>
      <c r="C61" s="6">
        <v>2</v>
      </c>
      <c r="D61" s="6">
        <v>0.4</v>
      </c>
      <c r="E61" s="6">
        <v>2.6</v>
      </c>
      <c r="F61" s="7">
        <f t="shared" si="5"/>
        <v>8.7360000000000007</v>
      </c>
      <c r="G61" s="7">
        <f t="shared" si="6"/>
        <v>50.400000000000006</v>
      </c>
    </row>
    <row r="62" spans="1:12">
      <c r="A62" s="6">
        <v>13</v>
      </c>
      <c r="B62" s="6" t="s">
        <v>877</v>
      </c>
      <c r="C62" s="6">
        <v>1</v>
      </c>
      <c r="D62" s="6">
        <v>0.4</v>
      </c>
      <c r="E62" s="6">
        <v>3.2</v>
      </c>
      <c r="F62" s="7">
        <f t="shared" si="5"/>
        <v>5.3760000000000012</v>
      </c>
      <c r="G62" s="7">
        <f t="shared" si="6"/>
        <v>30.240000000000002</v>
      </c>
    </row>
    <row r="63" spans="1:12">
      <c r="A63" s="6">
        <v>14</v>
      </c>
      <c r="B63" s="6" t="s">
        <v>878</v>
      </c>
      <c r="C63" s="6">
        <v>2</v>
      </c>
      <c r="D63" s="6">
        <v>0.4</v>
      </c>
      <c r="E63" s="6">
        <v>2.67</v>
      </c>
      <c r="F63" s="7">
        <f t="shared" si="5"/>
        <v>8.9712000000000014</v>
      </c>
      <c r="G63" s="7">
        <f t="shared" si="6"/>
        <v>51.576000000000001</v>
      </c>
    </row>
    <row r="64" spans="1:12">
      <c r="A64" s="6">
        <v>15</v>
      </c>
      <c r="B64" s="6" t="s">
        <v>879</v>
      </c>
      <c r="C64" s="6">
        <v>1</v>
      </c>
      <c r="D64" s="6">
        <v>0.4</v>
      </c>
      <c r="E64" s="6">
        <v>1.85</v>
      </c>
      <c r="F64" s="7">
        <f t="shared" si="5"/>
        <v>3.1080000000000005</v>
      </c>
      <c r="G64" s="7">
        <f t="shared" si="6"/>
        <v>18.900000000000002</v>
      </c>
    </row>
    <row r="65" spans="1:7">
      <c r="A65" s="6">
        <v>16</v>
      </c>
      <c r="B65" s="6" t="s">
        <v>880</v>
      </c>
      <c r="C65" s="6">
        <v>1</v>
      </c>
      <c r="D65" s="6">
        <v>0.4</v>
      </c>
      <c r="E65" s="6">
        <v>1</v>
      </c>
      <c r="F65" s="7">
        <f t="shared" si="5"/>
        <v>1.6800000000000002</v>
      </c>
      <c r="G65" s="7">
        <f t="shared" si="6"/>
        <v>11.76</v>
      </c>
    </row>
    <row r="66" spans="1:7">
      <c r="A66" s="6">
        <v>17</v>
      </c>
      <c r="B66" s="6" t="s">
        <v>881</v>
      </c>
      <c r="C66" s="6">
        <v>1</v>
      </c>
      <c r="D66" s="6">
        <v>0.4</v>
      </c>
      <c r="E66" s="6">
        <v>3.58</v>
      </c>
      <c r="F66" s="7">
        <f t="shared" si="5"/>
        <v>6.0144000000000011</v>
      </c>
      <c r="G66" s="7">
        <f t="shared" si="6"/>
        <v>33.432000000000002</v>
      </c>
    </row>
    <row r="67" spans="1:7">
      <c r="A67" s="6">
        <v>18</v>
      </c>
      <c r="B67" s="6" t="s">
        <v>882</v>
      </c>
      <c r="C67" s="6">
        <v>1</v>
      </c>
      <c r="D67" s="6">
        <v>0.4</v>
      </c>
      <c r="E67" s="6">
        <v>2.2999999999999998</v>
      </c>
      <c r="F67" s="7">
        <f t="shared" si="5"/>
        <v>3.8639999999999999</v>
      </c>
      <c r="G67" s="7">
        <f t="shared" si="6"/>
        <v>22.68</v>
      </c>
    </row>
    <row r="68" spans="1:7">
      <c r="A68" s="6">
        <v>19</v>
      </c>
      <c r="B68" s="6" t="s">
        <v>883</v>
      </c>
      <c r="C68" s="6">
        <v>1</v>
      </c>
      <c r="D68" s="6">
        <v>0.4</v>
      </c>
      <c r="E68" s="6">
        <v>2</v>
      </c>
      <c r="F68" s="7">
        <f t="shared" si="5"/>
        <v>3.3600000000000003</v>
      </c>
      <c r="G68" s="7">
        <f t="shared" si="6"/>
        <v>20.16</v>
      </c>
    </row>
    <row r="69" spans="1:7">
      <c r="A69" s="6">
        <v>20</v>
      </c>
      <c r="B69" s="6" t="s">
        <v>884</v>
      </c>
      <c r="C69" s="6">
        <v>4</v>
      </c>
      <c r="D69" s="6">
        <v>0.4</v>
      </c>
      <c r="E69" s="6">
        <v>1.68</v>
      </c>
      <c r="F69" s="7">
        <f t="shared" si="5"/>
        <v>11.289600000000002</v>
      </c>
      <c r="G69" s="7">
        <f t="shared" si="6"/>
        <v>69.888000000000005</v>
      </c>
    </row>
    <row r="70" spans="1:7">
      <c r="A70" s="6">
        <v>21</v>
      </c>
      <c r="B70" s="6" t="s">
        <v>885</v>
      </c>
      <c r="C70" s="6">
        <v>1</v>
      </c>
      <c r="D70" s="6">
        <v>0.4</v>
      </c>
      <c r="E70" s="6">
        <v>1.34</v>
      </c>
      <c r="F70" s="7">
        <f t="shared" si="5"/>
        <v>2.2512000000000003</v>
      </c>
      <c r="G70" s="7">
        <f t="shared" si="6"/>
        <v>14.616000000000003</v>
      </c>
    </row>
    <row r="71" spans="1:7">
      <c r="A71" s="6">
        <v>22</v>
      </c>
      <c r="B71" s="6" t="s">
        <v>886</v>
      </c>
      <c r="C71" s="6">
        <v>3</v>
      </c>
      <c r="D71" s="6">
        <v>0.4</v>
      </c>
      <c r="E71" s="6">
        <v>1.2</v>
      </c>
      <c r="F71" s="7">
        <f t="shared" si="5"/>
        <v>6.0480000000000009</v>
      </c>
      <c r="G71" s="7">
        <f t="shared" si="6"/>
        <v>40.320000000000007</v>
      </c>
    </row>
    <row r="72" spans="1:7">
      <c r="A72" s="6">
        <v>23</v>
      </c>
      <c r="B72" s="6" t="s">
        <v>887</v>
      </c>
      <c r="C72" s="6">
        <v>2</v>
      </c>
      <c r="D72" s="6">
        <v>0.4</v>
      </c>
      <c r="E72" s="6">
        <v>4.8499999999999996</v>
      </c>
      <c r="F72" s="7">
        <f t="shared" si="5"/>
        <v>16.295999999999999</v>
      </c>
      <c r="G72" s="7">
        <f t="shared" si="6"/>
        <v>88.2</v>
      </c>
    </row>
    <row r="73" spans="1:7">
      <c r="A73" s="6">
        <v>24</v>
      </c>
      <c r="B73" s="6" t="s">
        <v>888</v>
      </c>
      <c r="C73" s="6">
        <v>6</v>
      </c>
      <c r="D73" s="6">
        <v>0.4</v>
      </c>
      <c r="E73" s="6">
        <v>1.8</v>
      </c>
      <c r="F73" s="7">
        <f t="shared" si="5"/>
        <v>18.144000000000005</v>
      </c>
      <c r="G73" s="7">
        <f t="shared" si="6"/>
        <v>110.88000000000001</v>
      </c>
    </row>
    <row r="74" spans="1:7">
      <c r="A74" s="6">
        <v>25</v>
      </c>
      <c r="B74" s="6" t="s">
        <v>889</v>
      </c>
      <c r="C74" s="6">
        <v>2</v>
      </c>
      <c r="D74" s="6">
        <v>0.23</v>
      </c>
      <c r="E74" s="6">
        <v>0.8</v>
      </c>
      <c r="F74" s="7">
        <f t="shared" si="5"/>
        <v>1.5456000000000003</v>
      </c>
      <c r="G74" s="7">
        <f t="shared" si="6"/>
        <v>17.304000000000002</v>
      </c>
    </row>
    <row r="75" spans="1:7">
      <c r="A75" s="6">
        <v>26</v>
      </c>
      <c r="B75" s="6" t="s">
        <v>890</v>
      </c>
      <c r="C75" s="6">
        <v>2</v>
      </c>
      <c r="D75" s="6">
        <v>0.3</v>
      </c>
      <c r="E75" s="6">
        <v>2.5</v>
      </c>
      <c r="F75" s="7">
        <f t="shared" si="5"/>
        <v>6.3000000000000007</v>
      </c>
      <c r="G75" s="7">
        <f t="shared" si="6"/>
        <v>47.04</v>
      </c>
    </row>
    <row r="76" spans="1:7">
      <c r="A76" s="6">
        <v>27</v>
      </c>
      <c r="B76" s="6" t="s">
        <v>891</v>
      </c>
      <c r="C76" s="6">
        <v>6</v>
      </c>
      <c r="D76" s="6">
        <v>0.3</v>
      </c>
      <c r="E76" s="6">
        <v>2.5</v>
      </c>
      <c r="F76" s="7">
        <f t="shared" si="5"/>
        <v>18.900000000000002</v>
      </c>
      <c r="G76" s="7">
        <f t="shared" si="6"/>
        <v>141.11999999999998</v>
      </c>
    </row>
    <row r="77" spans="1:7">
      <c r="A77" s="6">
        <v>28</v>
      </c>
      <c r="B77" s="6" t="s">
        <v>892</v>
      </c>
      <c r="C77" s="6">
        <v>4</v>
      </c>
      <c r="D77" s="6">
        <v>0.3</v>
      </c>
      <c r="E77" s="6">
        <v>2.5</v>
      </c>
      <c r="F77" s="7">
        <f t="shared" si="5"/>
        <v>12.600000000000001</v>
      </c>
      <c r="G77" s="7">
        <f t="shared" si="6"/>
        <v>94.08</v>
      </c>
    </row>
    <row r="78" spans="1:7">
      <c r="A78" s="6">
        <v>29</v>
      </c>
      <c r="B78" s="6" t="s">
        <v>893</v>
      </c>
      <c r="C78" s="6">
        <v>1</v>
      </c>
      <c r="D78" s="6">
        <v>0.4</v>
      </c>
      <c r="E78" s="6">
        <v>3.92</v>
      </c>
      <c r="F78" s="7">
        <f t="shared" si="5"/>
        <v>6.5856000000000003</v>
      </c>
      <c r="G78" s="7">
        <f t="shared" si="6"/>
        <v>36.288000000000004</v>
      </c>
    </row>
    <row r="79" spans="1:7">
      <c r="A79" s="6">
        <v>30</v>
      </c>
      <c r="B79" s="6" t="s">
        <v>894</v>
      </c>
      <c r="C79" s="6">
        <v>1</v>
      </c>
      <c r="D79" s="6">
        <v>0.4</v>
      </c>
      <c r="E79" s="6">
        <v>2.9</v>
      </c>
      <c r="F79" s="7">
        <f t="shared" si="5"/>
        <v>4.8719999999999999</v>
      </c>
      <c r="G79" s="7">
        <f t="shared" si="6"/>
        <v>27.72</v>
      </c>
    </row>
    <row r="80" spans="1:7">
      <c r="A80" s="6">
        <v>31</v>
      </c>
      <c r="B80" s="6" t="s">
        <v>895</v>
      </c>
      <c r="C80" s="6">
        <v>2</v>
      </c>
      <c r="D80" s="6">
        <v>0.4</v>
      </c>
      <c r="E80" s="6">
        <v>3.84</v>
      </c>
      <c r="F80" s="7">
        <f t="shared" si="5"/>
        <v>12.9024</v>
      </c>
      <c r="G80" s="7">
        <f t="shared" si="6"/>
        <v>71.232000000000014</v>
      </c>
    </row>
    <row r="81" spans="1:8">
      <c r="A81" s="6">
        <v>32</v>
      </c>
      <c r="B81" s="6" t="s">
        <v>896</v>
      </c>
      <c r="C81" s="6">
        <v>2</v>
      </c>
      <c r="D81" s="6">
        <v>0.4</v>
      </c>
      <c r="E81" s="6">
        <v>2.6469999999999998</v>
      </c>
      <c r="F81" s="7">
        <f t="shared" si="5"/>
        <v>8.8939199999999996</v>
      </c>
      <c r="G81" s="7">
        <f t="shared" si="6"/>
        <v>51.189599999999999</v>
      </c>
    </row>
    <row r="82" spans="1:8">
      <c r="A82" s="6">
        <v>33</v>
      </c>
      <c r="B82" s="6" t="s">
        <v>897</v>
      </c>
      <c r="C82" s="6">
        <v>3</v>
      </c>
      <c r="D82" s="6">
        <v>0.4</v>
      </c>
      <c r="E82" s="6">
        <v>2.7170000000000001</v>
      </c>
      <c r="F82" s="7">
        <f t="shared" si="5"/>
        <v>13.693680000000004</v>
      </c>
      <c r="G82" s="7">
        <f t="shared" si="6"/>
        <v>78.548400000000001</v>
      </c>
    </row>
    <row r="83" spans="1:8">
      <c r="A83" s="6">
        <v>34</v>
      </c>
      <c r="B83" s="6" t="s">
        <v>898</v>
      </c>
      <c r="C83" s="6">
        <v>4</v>
      </c>
      <c r="D83" s="6">
        <v>0.4</v>
      </c>
      <c r="E83" s="6">
        <v>1.7</v>
      </c>
      <c r="F83" s="7">
        <f t="shared" si="5"/>
        <v>11.424000000000001</v>
      </c>
      <c r="G83" s="7">
        <f t="shared" si="6"/>
        <v>70.56</v>
      </c>
    </row>
    <row r="84" spans="1:8">
      <c r="A84" s="6">
        <v>35</v>
      </c>
      <c r="B84" s="6" t="s">
        <v>899</v>
      </c>
      <c r="C84" s="6">
        <v>1</v>
      </c>
      <c r="D84" s="6">
        <v>0.4</v>
      </c>
      <c r="E84" s="6">
        <v>0.75900000000000001</v>
      </c>
      <c r="F84" s="7">
        <f t="shared" si="5"/>
        <v>1.2751200000000003</v>
      </c>
      <c r="G84" s="7">
        <f t="shared" si="6"/>
        <v>9.7355999999999998</v>
      </c>
    </row>
    <row r="85" spans="1:8">
      <c r="A85" s="6">
        <v>36</v>
      </c>
      <c r="B85" s="6" t="s">
        <v>900</v>
      </c>
      <c r="C85" s="6">
        <v>2</v>
      </c>
      <c r="D85" s="6">
        <v>0.3</v>
      </c>
      <c r="E85" s="6">
        <v>2.73</v>
      </c>
      <c r="F85" s="7">
        <f t="shared" si="5"/>
        <v>6.8795999999999999</v>
      </c>
      <c r="G85" s="7">
        <f t="shared" si="6"/>
        <v>50.903999999999996</v>
      </c>
    </row>
    <row r="86" spans="1:8">
      <c r="A86" s="6">
        <v>37</v>
      </c>
      <c r="B86" s="6" t="s">
        <v>901</v>
      </c>
      <c r="C86" s="6">
        <v>4</v>
      </c>
      <c r="D86" s="6">
        <v>0.4</v>
      </c>
      <c r="E86" s="6">
        <v>2.2000000000000002</v>
      </c>
      <c r="F86" s="7">
        <f t="shared" si="5"/>
        <v>14.784000000000002</v>
      </c>
      <c r="G86" s="7">
        <f t="shared" si="6"/>
        <v>87.360000000000014</v>
      </c>
    </row>
    <row r="87" spans="1:8">
      <c r="A87" s="6">
        <v>38</v>
      </c>
      <c r="B87" s="6" t="s">
        <v>902</v>
      </c>
      <c r="C87" s="6">
        <v>3</v>
      </c>
      <c r="D87" s="6">
        <v>0.4</v>
      </c>
      <c r="E87" s="6">
        <v>2.5</v>
      </c>
      <c r="F87" s="7">
        <f t="shared" si="5"/>
        <v>12.600000000000003</v>
      </c>
      <c r="G87" s="7">
        <f t="shared" si="6"/>
        <v>73.08</v>
      </c>
    </row>
    <row r="88" spans="1:8">
      <c r="A88" s="6">
        <v>39</v>
      </c>
      <c r="B88" s="6" t="s">
        <v>903</v>
      </c>
      <c r="C88" s="6">
        <v>1</v>
      </c>
      <c r="D88" s="6">
        <v>0.4</v>
      </c>
      <c r="E88" s="6">
        <v>3.92</v>
      </c>
      <c r="F88" s="7">
        <f t="shared" si="5"/>
        <v>6.5856000000000003</v>
      </c>
      <c r="G88" s="7">
        <f t="shared" si="6"/>
        <v>36.288000000000004</v>
      </c>
    </row>
    <row r="89" spans="1:8">
      <c r="A89" s="6">
        <v>40</v>
      </c>
      <c r="B89" s="6" t="s">
        <v>904</v>
      </c>
      <c r="C89" s="6">
        <v>4</v>
      </c>
      <c r="D89" s="6">
        <v>0.3</v>
      </c>
      <c r="E89" s="6">
        <v>2.2000000000000002</v>
      </c>
      <c r="F89" s="7">
        <f t="shared" si="5"/>
        <v>11.088000000000001</v>
      </c>
      <c r="G89" s="7">
        <f t="shared" si="6"/>
        <v>84</v>
      </c>
    </row>
    <row r="90" spans="1:8">
      <c r="A90" s="6">
        <v>41</v>
      </c>
      <c r="B90" s="6" t="s">
        <v>905</v>
      </c>
      <c r="C90" s="6">
        <v>2</v>
      </c>
      <c r="D90" s="6">
        <v>0.23</v>
      </c>
      <c r="E90" s="6">
        <v>3.1</v>
      </c>
      <c r="F90" s="7">
        <f t="shared" si="5"/>
        <v>5.9892000000000012</v>
      </c>
      <c r="G90" s="7">
        <f t="shared" si="6"/>
        <v>55.944000000000003</v>
      </c>
    </row>
    <row r="91" spans="1:8">
      <c r="A91" s="6">
        <v>42</v>
      </c>
      <c r="B91" s="6" t="s">
        <v>906</v>
      </c>
      <c r="C91" s="6">
        <v>4</v>
      </c>
      <c r="D91" s="6">
        <v>0.23</v>
      </c>
      <c r="E91" s="6">
        <v>2.38</v>
      </c>
      <c r="F91" s="7">
        <f t="shared" si="5"/>
        <v>9.1963200000000001</v>
      </c>
      <c r="G91" s="7">
        <f t="shared" si="6"/>
        <v>87.695999999999998</v>
      </c>
    </row>
    <row r="92" spans="1:8">
      <c r="A92" s="6">
        <v>43</v>
      </c>
      <c r="B92" s="6" t="s">
        <v>907</v>
      </c>
      <c r="C92" s="6">
        <v>4</v>
      </c>
      <c r="D92" s="6">
        <v>0.23</v>
      </c>
      <c r="E92" s="6">
        <v>3.43</v>
      </c>
      <c r="F92" s="7">
        <f t="shared" si="5"/>
        <v>13.253520000000002</v>
      </c>
      <c r="G92" s="7">
        <f t="shared" si="6"/>
        <v>122.97600000000001</v>
      </c>
    </row>
    <row r="93" spans="1:8">
      <c r="A93" s="1195" t="s">
        <v>232</v>
      </c>
      <c r="B93" s="1196"/>
      <c r="C93" s="1196"/>
      <c r="D93" s="1196"/>
      <c r="E93" s="1197"/>
      <c r="F93" s="9">
        <f>SUM(F50:F92)</f>
        <v>367.46976000000006</v>
      </c>
      <c r="G93" s="9">
        <f>SUM(G50:G92)</f>
        <v>2399.2415999999994</v>
      </c>
      <c r="H93" s="2"/>
    </row>
    <row r="95" spans="1:8">
      <c r="A95" s="1194" t="s">
        <v>911</v>
      </c>
      <c r="B95" s="1194"/>
      <c r="C95" s="1194"/>
      <c r="D95" s="1194"/>
      <c r="E95" s="1194"/>
      <c r="F95" s="1194"/>
      <c r="G95" s="3">
        <v>4.2</v>
      </c>
    </row>
    <row r="96" spans="1:8" ht="27.6">
      <c r="A96" s="4" t="s">
        <v>197</v>
      </c>
      <c r="B96" s="4" t="s">
        <v>859</v>
      </c>
      <c r="C96" s="4" t="s">
        <v>324</v>
      </c>
      <c r="D96" s="4" t="s">
        <v>860</v>
      </c>
      <c r="E96" s="4" t="s">
        <v>861</v>
      </c>
      <c r="F96" s="5" t="s">
        <v>862</v>
      </c>
      <c r="G96" s="5" t="s">
        <v>863</v>
      </c>
    </row>
    <row r="97" spans="1:7">
      <c r="A97" s="6">
        <v>1</v>
      </c>
      <c r="B97" s="6" t="s">
        <v>866</v>
      </c>
      <c r="C97" s="6">
        <v>1</v>
      </c>
      <c r="D97" s="6">
        <v>0.4</v>
      </c>
      <c r="E97" s="6">
        <v>3.19</v>
      </c>
      <c r="F97" s="7">
        <f>C97*D97*E97*$G$95</f>
        <v>5.3592000000000004</v>
      </c>
      <c r="G97" s="7">
        <f>(D97+E97)*2*C97*$G$95</f>
        <v>30.155999999999999</v>
      </c>
    </row>
    <row r="98" spans="1:7">
      <c r="A98" s="6">
        <v>2</v>
      </c>
      <c r="B98" s="6" t="s">
        <v>867</v>
      </c>
      <c r="C98" s="6">
        <v>4</v>
      </c>
      <c r="D98" s="6">
        <v>0.4</v>
      </c>
      <c r="E98" s="6">
        <v>1.05</v>
      </c>
      <c r="F98" s="7">
        <f t="shared" ref="F98:F138" si="7">C98*D98*E98*$G$95</f>
        <v>7.0560000000000009</v>
      </c>
      <c r="G98" s="7">
        <f t="shared" ref="G98:G138" si="8">(D98+E98)*2*C98*$G$95</f>
        <v>48.720000000000006</v>
      </c>
    </row>
    <row r="99" spans="1:7">
      <c r="A99" s="6">
        <v>3</v>
      </c>
      <c r="B99" s="6" t="s">
        <v>868</v>
      </c>
      <c r="C99" s="6">
        <v>10</v>
      </c>
      <c r="D99" s="6">
        <v>0.4</v>
      </c>
      <c r="E99" s="6">
        <v>1.5</v>
      </c>
      <c r="F99" s="7">
        <f t="shared" si="7"/>
        <v>25.200000000000003</v>
      </c>
      <c r="G99" s="7">
        <f t="shared" si="8"/>
        <v>159.6</v>
      </c>
    </row>
    <row r="100" spans="1:7">
      <c r="A100" s="6">
        <v>4</v>
      </c>
      <c r="B100" s="6" t="s">
        <v>869</v>
      </c>
      <c r="C100" s="6">
        <v>1</v>
      </c>
      <c r="D100" s="6">
        <v>0.6</v>
      </c>
      <c r="E100" s="6">
        <v>0.6</v>
      </c>
      <c r="F100" s="7">
        <f t="shared" si="7"/>
        <v>1.512</v>
      </c>
      <c r="G100" s="7">
        <f t="shared" si="8"/>
        <v>10.08</v>
      </c>
    </row>
    <row r="101" spans="1:7" ht="27.6">
      <c r="A101" s="6">
        <v>5</v>
      </c>
      <c r="B101" s="8" t="s">
        <v>870</v>
      </c>
      <c r="C101" s="6">
        <v>20</v>
      </c>
      <c r="D101" s="6">
        <v>0.6</v>
      </c>
      <c r="E101" s="6">
        <v>0.6</v>
      </c>
      <c r="F101" s="7">
        <f t="shared" si="7"/>
        <v>30.24</v>
      </c>
      <c r="G101" s="7">
        <f t="shared" si="8"/>
        <v>201.60000000000002</v>
      </c>
    </row>
    <row r="102" spans="1:7">
      <c r="A102" s="6">
        <v>6</v>
      </c>
      <c r="B102" s="6" t="s">
        <v>871</v>
      </c>
      <c r="C102" s="6">
        <v>1</v>
      </c>
      <c r="D102" s="6">
        <v>0.4</v>
      </c>
      <c r="E102" s="6">
        <v>2.4</v>
      </c>
      <c r="F102" s="7">
        <f t="shared" si="7"/>
        <v>4.032</v>
      </c>
      <c r="G102" s="7">
        <f t="shared" si="8"/>
        <v>23.52</v>
      </c>
    </row>
    <row r="103" spans="1:7">
      <c r="A103" s="6">
        <v>7</v>
      </c>
      <c r="B103" s="6" t="s">
        <v>872</v>
      </c>
      <c r="C103" s="6">
        <v>1</v>
      </c>
      <c r="D103" s="6">
        <v>0.4</v>
      </c>
      <c r="E103" s="6">
        <v>3.77</v>
      </c>
      <c r="F103" s="7">
        <f t="shared" si="7"/>
        <v>6.3336000000000006</v>
      </c>
      <c r="G103" s="7">
        <f t="shared" si="8"/>
        <v>35.027999999999999</v>
      </c>
    </row>
    <row r="104" spans="1:7">
      <c r="A104" s="6">
        <v>8</v>
      </c>
      <c r="B104" s="6" t="s">
        <v>873</v>
      </c>
      <c r="C104" s="6">
        <v>1</v>
      </c>
      <c r="D104" s="6">
        <v>0.4</v>
      </c>
      <c r="E104" s="6">
        <v>1.3</v>
      </c>
      <c r="F104" s="7">
        <f t="shared" si="7"/>
        <v>2.1840000000000002</v>
      </c>
      <c r="G104" s="7">
        <f t="shared" si="8"/>
        <v>14.280000000000003</v>
      </c>
    </row>
    <row r="105" spans="1:7">
      <c r="A105" s="6">
        <v>9</v>
      </c>
      <c r="B105" s="6" t="s">
        <v>874</v>
      </c>
      <c r="C105" s="6">
        <v>1</v>
      </c>
      <c r="D105" s="6">
        <v>0.4</v>
      </c>
      <c r="E105" s="6">
        <v>3.35</v>
      </c>
      <c r="F105" s="7">
        <f t="shared" si="7"/>
        <v>5.628000000000001</v>
      </c>
      <c r="G105" s="7">
        <f t="shared" si="8"/>
        <v>31.5</v>
      </c>
    </row>
    <row r="106" spans="1:7">
      <c r="A106" s="6">
        <v>10</v>
      </c>
      <c r="B106" s="6" t="s">
        <v>875</v>
      </c>
      <c r="C106" s="6">
        <v>1</v>
      </c>
      <c r="D106" s="6">
        <v>0.4</v>
      </c>
      <c r="E106" s="6">
        <v>2.1</v>
      </c>
      <c r="F106" s="7">
        <f t="shared" si="7"/>
        <v>3.5280000000000005</v>
      </c>
      <c r="G106" s="7">
        <f t="shared" si="8"/>
        <v>21</v>
      </c>
    </row>
    <row r="107" spans="1:7">
      <c r="A107" s="6">
        <v>11</v>
      </c>
      <c r="B107" s="6" t="s">
        <v>876</v>
      </c>
      <c r="C107" s="6">
        <v>2</v>
      </c>
      <c r="D107" s="6">
        <v>0.4</v>
      </c>
      <c r="E107" s="6">
        <v>2.6</v>
      </c>
      <c r="F107" s="7">
        <f t="shared" si="7"/>
        <v>8.7360000000000007</v>
      </c>
      <c r="G107" s="7">
        <f t="shared" si="8"/>
        <v>50.400000000000006</v>
      </c>
    </row>
    <row r="108" spans="1:7">
      <c r="A108" s="6">
        <v>12</v>
      </c>
      <c r="B108" s="6" t="s">
        <v>877</v>
      </c>
      <c r="C108" s="6">
        <v>1</v>
      </c>
      <c r="D108" s="6">
        <v>0.4</v>
      </c>
      <c r="E108" s="6">
        <v>3.2</v>
      </c>
      <c r="F108" s="7">
        <f t="shared" si="7"/>
        <v>5.3760000000000012</v>
      </c>
      <c r="G108" s="7">
        <f t="shared" si="8"/>
        <v>30.240000000000002</v>
      </c>
    </row>
    <row r="109" spans="1:7">
      <c r="A109" s="6">
        <v>13</v>
      </c>
      <c r="B109" s="6" t="s">
        <v>878</v>
      </c>
      <c r="C109" s="6">
        <v>2</v>
      </c>
      <c r="D109" s="6">
        <v>0.4</v>
      </c>
      <c r="E109" s="6">
        <v>2.67</v>
      </c>
      <c r="F109" s="7">
        <f t="shared" si="7"/>
        <v>8.9712000000000014</v>
      </c>
      <c r="G109" s="7">
        <f t="shared" si="8"/>
        <v>51.576000000000001</v>
      </c>
    </row>
    <row r="110" spans="1:7">
      <c r="A110" s="6">
        <v>14</v>
      </c>
      <c r="B110" s="6" t="s">
        <v>879</v>
      </c>
      <c r="C110" s="6">
        <v>1</v>
      </c>
      <c r="D110" s="6">
        <v>0.4</v>
      </c>
      <c r="E110" s="6">
        <v>1.85</v>
      </c>
      <c r="F110" s="7">
        <f t="shared" si="7"/>
        <v>3.1080000000000005</v>
      </c>
      <c r="G110" s="7">
        <f t="shared" si="8"/>
        <v>18.900000000000002</v>
      </c>
    </row>
    <row r="111" spans="1:7">
      <c r="A111" s="6">
        <v>15</v>
      </c>
      <c r="B111" s="6" t="s">
        <v>880</v>
      </c>
      <c r="C111" s="6">
        <v>1</v>
      </c>
      <c r="D111" s="6">
        <v>0.4</v>
      </c>
      <c r="E111" s="6">
        <v>1</v>
      </c>
      <c r="F111" s="7">
        <f t="shared" si="7"/>
        <v>1.6800000000000002</v>
      </c>
      <c r="G111" s="7">
        <f t="shared" si="8"/>
        <v>11.76</v>
      </c>
    </row>
    <row r="112" spans="1:7">
      <c r="A112" s="6">
        <v>16</v>
      </c>
      <c r="B112" s="6" t="s">
        <v>881</v>
      </c>
      <c r="C112" s="6">
        <v>1</v>
      </c>
      <c r="D112" s="6">
        <v>0.4</v>
      </c>
      <c r="E112" s="6">
        <v>3.58</v>
      </c>
      <c r="F112" s="7">
        <f t="shared" si="7"/>
        <v>6.0144000000000011</v>
      </c>
      <c r="G112" s="7">
        <f t="shared" si="8"/>
        <v>33.432000000000002</v>
      </c>
    </row>
    <row r="113" spans="1:7">
      <c r="A113" s="6">
        <v>17</v>
      </c>
      <c r="B113" s="6" t="s">
        <v>882</v>
      </c>
      <c r="C113" s="6">
        <v>1</v>
      </c>
      <c r="D113" s="6">
        <v>0.4</v>
      </c>
      <c r="E113" s="6">
        <v>2.2999999999999998</v>
      </c>
      <c r="F113" s="7">
        <f t="shared" si="7"/>
        <v>3.8639999999999999</v>
      </c>
      <c r="G113" s="7">
        <f t="shared" si="8"/>
        <v>22.68</v>
      </c>
    </row>
    <row r="114" spans="1:7">
      <c r="A114" s="6">
        <v>18</v>
      </c>
      <c r="B114" s="6" t="s">
        <v>883</v>
      </c>
      <c r="C114" s="6">
        <v>1</v>
      </c>
      <c r="D114" s="6">
        <v>0.4</v>
      </c>
      <c r="E114" s="6">
        <v>2</v>
      </c>
      <c r="F114" s="7">
        <f t="shared" si="7"/>
        <v>3.3600000000000003</v>
      </c>
      <c r="G114" s="7">
        <f t="shared" si="8"/>
        <v>20.16</v>
      </c>
    </row>
    <row r="115" spans="1:7">
      <c r="A115" s="6">
        <v>19</v>
      </c>
      <c r="B115" s="6" t="s">
        <v>884</v>
      </c>
      <c r="C115" s="6">
        <v>4</v>
      </c>
      <c r="D115" s="6">
        <v>0.4</v>
      </c>
      <c r="E115" s="6">
        <v>1.68</v>
      </c>
      <c r="F115" s="7">
        <f t="shared" si="7"/>
        <v>11.289600000000002</v>
      </c>
      <c r="G115" s="7">
        <f t="shared" si="8"/>
        <v>69.888000000000005</v>
      </c>
    </row>
    <row r="116" spans="1:7">
      <c r="A116" s="6">
        <v>20</v>
      </c>
      <c r="B116" s="6" t="s">
        <v>885</v>
      </c>
      <c r="C116" s="6">
        <v>1</v>
      </c>
      <c r="D116" s="6">
        <v>0.4</v>
      </c>
      <c r="E116" s="6">
        <v>1.34</v>
      </c>
      <c r="F116" s="7">
        <f t="shared" si="7"/>
        <v>2.2512000000000003</v>
      </c>
      <c r="G116" s="7">
        <f t="shared" si="8"/>
        <v>14.616000000000003</v>
      </c>
    </row>
    <row r="117" spans="1:7">
      <c r="A117" s="6">
        <v>21</v>
      </c>
      <c r="B117" s="6" t="s">
        <v>886</v>
      </c>
      <c r="C117" s="6">
        <v>3</v>
      </c>
      <c r="D117" s="6">
        <v>0.4</v>
      </c>
      <c r="E117" s="6">
        <v>1.2</v>
      </c>
      <c r="F117" s="7">
        <f t="shared" si="7"/>
        <v>6.0480000000000009</v>
      </c>
      <c r="G117" s="7">
        <f t="shared" si="8"/>
        <v>40.320000000000007</v>
      </c>
    </row>
    <row r="118" spans="1:7">
      <c r="A118" s="6">
        <v>22</v>
      </c>
      <c r="B118" s="6" t="s">
        <v>887</v>
      </c>
      <c r="C118" s="6">
        <v>2</v>
      </c>
      <c r="D118" s="6">
        <v>0.4</v>
      </c>
      <c r="E118" s="6">
        <v>4.8499999999999996</v>
      </c>
      <c r="F118" s="7">
        <f t="shared" si="7"/>
        <v>16.295999999999999</v>
      </c>
      <c r="G118" s="7">
        <f t="shared" si="8"/>
        <v>88.2</v>
      </c>
    </row>
    <row r="119" spans="1:7">
      <c r="A119" s="6">
        <v>23</v>
      </c>
      <c r="B119" s="6" t="s">
        <v>888</v>
      </c>
      <c r="C119" s="6">
        <v>6</v>
      </c>
      <c r="D119" s="6">
        <v>0.4</v>
      </c>
      <c r="E119" s="6">
        <v>1.8</v>
      </c>
      <c r="F119" s="7">
        <f t="shared" si="7"/>
        <v>18.144000000000005</v>
      </c>
      <c r="G119" s="7">
        <f t="shared" si="8"/>
        <v>110.88000000000001</v>
      </c>
    </row>
    <row r="120" spans="1:7">
      <c r="A120" s="6">
        <v>24</v>
      </c>
      <c r="B120" s="6" t="s">
        <v>889</v>
      </c>
      <c r="C120" s="6">
        <v>2</v>
      </c>
      <c r="D120" s="6">
        <v>0.23</v>
      </c>
      <c r="E120" s="6">
        <v>0.8</v>
      </c>
      <c r="F120" s="7">
        <f t="shared" si="7"/>
        <v>1.5456000000000003</v>
      </c>
      <c r="G120" s="7">
        <f t="shared" si="8"/>
        <v>17.304000000000002</v>
      </c>
    </row>
    <row r="121" spans="1:7">
      <c r="A121" s="6">
        <v>25</v>
      </c>
      <c r="B121" s="6" t="s">
        <v>890</v>
      </c>
      <c r="C121" s="6">
        <v>2</v>
      </c>
      <c r="D121" s="6">
        <v>0.3</v>
      </c>
      <c r="E121" s="6">
        <v>2.5</v>
      </c>
      <c r="F121" s="7">
        <f t="shared" si="7"/>
        <v>6.3000000000000007</v>
      </c>
      <c r="G121" s="7">
        <f t="shared" si="8"/>
        <v>47.04</v>
      </c>
    </row>
    <row r="122" spans="1:7">
      <c r="A122" s="6">
        <v>26</v>
      </c>
      <c r="B122" s="6" t="s">
        <v>891</v>
      </c>
      <c r="C122" s="6">
        <v>6</v>
      </c>
      <c r="D122" s="6">
        <v>0.3</v>
      </c>
      <c r="E122" s="6">
        <v>2.5</v>
      </c>
      <c r="F122" s="7">
        <f t="shared" si="7"/>
        <v>18.900000000000002</v>
      </c>
      <c r="G122" s="7">
        <f t="shared" si="8"/>
        <v>141.11999999999998</v>
      </c>
    </row>
    <row r="123" spans="1:7">
      <c r="A123" s="6">
        <v>27</v>
      </c>
      <c r="B123" s="6" t="s">
        <v>892</v>
      </c>
      <c r="C123" s="6">
        <v>4</v>
      </c>
      <c r="D123" s="6">
        <v>0.3</v>
      </c>
      <c r="E123" s="6">
        <v>2.5</v>
      </c>
      <c r="F123" s="7">
        <f t="shared" si="7"/>
        <v>12.600000000000001</v>
      </c>
      <c r="G123" s="7">
        <f t="shared" si="8"/>
        <v>94.08</v>
      </c>
    </row>
    <row r="124" spans="1:7">
      <c r="A124" s="6">
        <v>28</v>
      </c>
      <c r="B124" s="6" t="s">
        <v>893</v>
      </c>
      <c r="C124" s="6">
        <v>1</v>
      </c>
      <c r="D124" s="6">
        <v>0.4</v>
      </c>
      <c r="E124" s="6">
        <v>3.92</v>
      </c>
      <c r="F124" s="7">
        <f t="shared" si="7"/>
        <v>6.5856000000000003</v>
      </c>
      <c r="G124" s="7">
        <f t="shared" si="8"/>
        <v>36.288000000000004</v>
      </c>
    </row>
    <row r="125" spans="1:7">
      <c r="A125" s="6">
        <v>29</v>
      </c>
      <c r="B125" s="6" t="s">
        <v>894</v>
      </c>
      <c r="C125" s="6">
        <v>1</v>
      </c>
      <c r="D125" s="6">
        <v>0.4</v>
      </c>
      <c r="E125" s="6">
        <v>2.9</v>
      </c>
      <c r="F125" s="7">
        <f t="shared" si="7"/>
        <v>4.8719999999999999</v>
      </c>
      <c r="G125" s="7">
        <f t="shared" si="8"/>
        <v>27.72</v>
      </c>
    </row>
    <row r="126" spans="1:7">
      <c r="A126" s="6">
        <v>30</v>
      </c>
      <c r="B126" s="6" t="s">
        <v>895</v>
      </c>
      <c r="C126" s="6">
        <v>2</v>
      </c>
      <c r="D126" s="6">
        <v>0.4</v>
      </c>
      <c r="E126" s="6">
        <v>3.84</v>
      </c>
      <c r="F126" s="7">
        <f t="shared" si="7"/>
        <v>12.9024</v>
      </c>
      <c r="G126" s="7">
        <f t="shared" si="8"/>
        <v>71.232000000000014</v>
      </c>
    </row>
    <row r="127" spans="1:7">
      <c r="A127" s="6">
        <v>31</v>
      </c>
      <c r="B127" s="6" t="s">
        <v>896</v>
      </c>
      <c r="C127" s="6">
        <v>2</v>
      </c>
      <c r="D127" s="6">
        <v>0.4</v>
      </c>
      <c r="E127" s="6">
        <v>2.6469999999999998</v>
      </c>
      <c r="F127" s="7">
        <f t="shared" si="7"/>
        <v>8.8939199999999996</v>
      </c>
      <c r="G127" s="7">
        <f t="shared" si="8"/>
        <v>51.189599999999999</v>
      </c>
    </row>
    <row r="128" spans="1:7">
      <c r="A128" s="6">
        <v>32</v>
      </c>
      <c r="B128" s="6" t="s">
        <v>897</v>
      </c>
      <c r="C128" s="6">
        <v>3</v>
      </c>
      <c r="D128" s="6">
        <v>0.4</v>
      </c>
      <c r="E128" s="6">
        <v>2.7170000000000001</v>
      </c>
      <c r="F128" s="7">
        <f t="shared" si="7"/>
        <v>13.693680000000004</v>
      </c>
      <c r="G128" s="7">
        <f t="shared" si="8"/>
        <v>78.548400000000001</v>
      </c>
    </row>
    <row r="129" spans="1:8">
      <c r="A129" s="6">
        <v>33</v>
      </c>
      <c r="B129" s="6" t="s">
        <v>898</v>
      </c>
      <c r="C129" s="6">
        <v>4</v>
      </c>
      <c r="D129" s="6">
        <v>0.4</v>
      </c>
      <c r="E129" s="6">
        <v>1.7</v>
      </c>
      <c r="F129" s="7">
        <f t="shared" si="7"/>
        <v>11.424000000000001</v>
      </c>
      <c r="G129" s="7">
        <f t="shared" si="8"/>
        <v>70.56</v>
      </c>
    </row>
    <row r="130" spans="1:8">
      <c r="A130" s="6">
        <v>34</v>
      </c>
      <c r="B130" s="6" t="s">
        <v>899</v>
      </c>
      <c r="C130" s="6">
        <v>1</v>
      </c>
      <c r="D130" s="6">
        <v>0.4</v>
      </c>
      <c r="E130" s="6">
        <v>0.75900000000000001</v>
      </c>
      <c r="F130" s="7">
        <f t="shared" si="7"/>
        <v>1.2751200000000003</v>
      </c>
      <c r="G130" s="7">
        <f t="shared" si="8"/>
        <v>9.7355999999999998</v>
      </c>
    </row>
    <row r="131" spans="1:8">
      <c r="A131" s="6">
        <v>35</v>
      </c>
      <c r="B131" s="6" t="s">
        <v>900</v>
      </c>
      <c r="C131" s="6">
        <v>2</v>
      </c>
      <c r="D131" s="6">
        <v>0.3</v>
      </c>
      <c r="E131" s="6">
        <v>2.73</v>
      </c>
      <c r="F131" s="7">
        <f t="shared" si="7"/>
        <v>6.8795999999999999</v>
      </c>
      <c r="G131" s="7">
        <f t="shared" si="8"/>
        <v>50.903999999999996</v>
      </c>
    </row>
    <row r="132" spans="1:8">
      <c r="A132" s="6">
        <v>36</v>
      </c>
      <c r="B132" s="6" t="s">
        <v>901</v>
      </c>
      <c r="C132" s="6">
        <v>4</v>
      </c>
      <c r="D132" s="6">
        <v>0.4</v>
      </c>
      <c r="E132" s="6">
        <v>2.2000000000000002</v>
      </c>
      <c r="F132" s="7">
        <f t="shared" si="7"/>
        <v>14.784000000000002</v>
      </c>
      <c r="G132" s="7">
        <f t="shared" si="8"/>
        <v>87.360000000000014</v>
      </c>
    </row>
    <row r="133" spans="1:8">
      <c r="A133" s="6">
        <v>37</v>
      </c>
      <c r="B133" s="6" t="s">
        <v>902</v>
      </c>
      <c r="C133" s="6">
        <v>3</v>
      </c>
      <c r="D133" s="6">
        <v>0.4</v>
      </c>
      <c r="E133" s="6">
        <v>2.5</v>
      </c>
      <c r="F133" s="7">
        <f t="shared" si="7"/>
        <v>12.600000000000003</v>
      </c>
      <c r="G133" s="7">
        <f t="shared" si="8"/>
        <v>73.08</v>
      </c>
    </row>
    <row r="134" spans="1:8">
      <c r="A134" s="6">
        <v>38</v>
      </c>
      <c r="B134" s="6" t="s">
        <v>903</v>
      </c>
      <c r="C134" s="6">
        <v>1</v>
      </c>
      <c r="D134" s="6">
        <v>0.4</v>
      </c>
      <c r="E134" s="6">
        <v>3.92</v>
      </c>
      <c r="F134" s="7">
        <f t="shared" si="7"/>
        <v>6.5856000000000003</v>
      </c>
      <c r="G134" s="7">
        <f t="shared" si="8"/>
        <v>36.288000000000004</v>
      </c>
    </row>
    <row r="135" spans="1:8">
      <c r="A135" s="6">
        <v>39</v>
      </c>
      <c r="B135" s="6" t="s">
        <v>904</v>
      </c>
      <c r="C135" s="6">
        <v>4</v>
      </c>
      <c r="D135" s="6">
        <v>0.3</v>
      </c>
      <c r="E135" s="6">
        <v>2.2000000000000002</v>
      </c>
      <c r="F135" s="7">
        <f t="shared" si="7"/>
        <v>11.088000000000001</v>
      </c>
      <c r="G135" s="7">
        <f t="shared" si="8"/>
        <v>84</v>
      </c>
    </row>
    <row r="136" spans="1:8">
      <c r="A136" s="6">
        <v>40</v>
      </c>
      <c r="B136" s="6" t="s">
        <v>905</v>
      </c>
      <c r="C136" s="6">
        <v>2</v>
      </c>
      <c r="D136" s="6">
        <v>0.23</v>
      </c>
      <c r="E136" s="6">
        <v>3.1</v>
      </c>
      <c r="F136" s="7">
        <f t="shared" si="7"/>
        <v>5.9892000000000012</v>
      </c>
      <c r="G136" s="7">
        <f t="shared" si="8"/>
        <v>55.944000000000003</v>
      </c>
    </row>
    <row r="137" spans="1:8">
      <c r="A137" s="6">
        <v>41</v>
      </c>
      <c r="B137" s="6" t="s">
        <v>906</v>
      </c>
      <c r="C137" s="6">
        <v>4</v>
      </c>
      <c r="D137" s="6">
        <v>0.23</v>
      </c>
      <c r="E137" s="6">
        <v>2.38</v>
      </c>
      <c r="F137" s="7">
        <f t="shared" si="7"/>
        <v>9.1963200000000001</v>
      </c>
      <c r="G137" s="7">
        <f t="shared" si="8"/>
        <v>87.695999999999998</v>
      </c>
    </row>
    <row r="138" spans="1:8">
      <c r="A138" s="6">
        <v>42</v>
      </c>
      <c r="B138" s="6" t="s">
        <v>907</v>
      </c>
      <c r="C138" s="6">
        <v>4</v>
      </c>
      <c r="D138" s="6">
        <v>0.23</v>
      </c>
      <c r="E138" s="6">
        <v>3.43</v>
      </c>
      <c r="F138" s="7">
        <f t="shared" si="7"/>
        <v>13.253520000000002</v>
      </c>
      <c r="G138" s="7">
        <f t="shared" si="8"/>
        <v>122.97600000000001</v>
      </c>
    </row>
    <row r="139" spans="1:8">
      <c r="A139" s="1195" t="s">
        <v>232</v>
      </c>
      <c r="B139" s="1196"/>
      <c r="C139" s="1196"/>
      <c r="D139" s="1196"/>
      <c r="E139" s="1197"/>
      <c r="F139" s="9">
        <f>SUM(F102:F138)</f>
        <v>296.21256</v>
      </c>
      <c r="G139" s="9">
        <f>SUM(G102:G138)</f>
        <v>1931.4455999999996</v>
      </c>
      <c r="H139" s="2"/>
    </row>
    <row r="141" spans="1:8">
      <c r="A141" s="1194" t="s">
        <v>912</v>
      </c>
      <c r="B141" s="1194"/>
      <c r="C141" s="1194"/>
      <c r="D141" s="1194"/>
      <c r="E141" s="1194"/>
      <c r="F141" s="1194"/>
      <c r="G141" s="3">
        <v>2.9</v>
      </c>
    </row>
    <row r="142" spans="1:8" ht="27.6">
      <c r="A142" s="4" t="s">
        <v>197</v>
      </c>
      <c r="B142" s="4" t="s">
        <v>859</v>
      </c>
      <c r="C142" s="4" t="s">
        <v>324</v>
      </c>
      <c r="D142" s="4" t="s">
        <v>860</v>
      </c>
      <c r="E142" s="4" t="s">
        <v>861</v>
      </c>
      <c r="F142" s="5" t="s">
        <v>862</v>
      </c>
      <c r="G142" s="5" t="s">
        <v>863</v>
      </c>
    </row>
    <row r="143" spans="1:8">
      <c r="A143" s="6">
        <v>1</v>
      </c>
      <c r="B143" s="6" t="s">
        <v>866</v>
      </c>
      <c r="C143" s="6">
        <v>1</v>
      </c>
      <c r="D143" s="6">
        <v>0.4</v>
      </c>
      <c r="E143" s="6">
        <v>3.19</v>
      </c>
      <c r="F143" s="7">
        <f>C143*D143*E143*$G$141</f>
        <v>3.7004000000000001</v>
      </c>
      <c r="G143" s="7">
        <f>(D143+E143)*2*C143*$G$141</f>
        <v>20.821999999999999</v>
      </c>
    </row>
    <row r="144" spans="1:8">
      <c r="A144" s="6">
        <v>2</v>
      </c>
      <c r="B144" s="6" t="s">
        <v>867</v>
      </c>
      <c r="C144" s="6">
        <v>4</v>
      </c>
      <c r="D144" s="6">
        <v>0.4</v>
      </c>
      <c r="E144" s="6">
        <v>1.05</v>
      </c>
      <c r="F144" s="7">
        <f t="shared" ref="F144:F184" si="9">C144*D144*E144*$G$141</f>
        <v>4.8719999999999999</v>
      </c>
      <c r="G144" s="7">
        <f t="shared" ref="G144:G184" si="10">(D144+E144)*2*C144*$G$141</f>
        <v>33.64</v>
      </c>
    </row>
    <row r="145" spans="1:7">
      <c r="A145" s="6">
        <v>3</v>
      </c>
      <c r="B145" s="6" t="s">
        <v>868</v>
      </c>
      <c r="C145" s="6">
        <v>10</v>
      </c>
      <c r="D145" s="6">
        <v>0.4</v>
      </c>
      <c r="E145" s="6">
        <v>1.5</v>
      </c>
      <c r="F145" s="7">
        <f t="shared" si="9"/>
        <v>17.399999999999999</v>
      </c>
      <c r="G145" s="7">
        <f t="shared" si="10"/>
        <v>110.2</v>
      </c>
    </row>
    <row r="146" spans="1:7">
      <c r="A146" s="6">
        <v>4</v>
      </c>
      <c r="B146" s="6" t="s">
        <v>869</v>
      </c>
      <c r="C146" s="6">
        <v>1</v>
      </c>
      <c r="D146" s="6">
        <v>0.6</v>
      </c>
      <c r="E146" s="6">
        <v>0.6</v>
      </c>
      <c r="F146" s="7">
        <f t="shared" si="9"/>
        <v>1.044</v>
      </c>
      <c r="G146" s="7">
        <f t="shared" si="10"/>
        <v>6.96</v>
      </c>
    </row>
    <row r="147" spans="1:7" ht="27.6">
      <c r="A147" s="6">
        <v>5</v>
      </c>
      <c r="B147" s="8" t="s">
        <v>870</v>
      </c>
      <c r="C147" s="6">
        <v>20</v>
      </c>
      <c r="D147" s="6">
        <v>0.6</v>
      </c>
      <c r="E147" s="6">
        <v>0.6</v>
      </c>
      <c r="F147" s="7">
        <f t="shared" si="9"/>
        <v>20.88</v>
      </c>
      <c r="G147" s="7">
        <f t="shared" si="10"/>
        <v>139.19999999999999</v>
      </c>
    </row>
    <row r="148" spans="1:7">
      <c r="A148" s="6">
        <v>6</v>
      </c>
      <c r="B148" s="6" t="s">
        <v>871</v>
      </c>
      <c r="C148" s="6">
        <v>1</v>
      </c>
      <c r="D148" s="6">
        <v>0.4</v>
      </c>
      <c r="E148" s="6">
        <v>2.4</v>
      </c>
      <c r="F148" s="7">
        <f t="shared" si="9"/>
        <v>2.7839999999999998</v>
      </c>
      <c r="G148" s="7">
        <f t="shared" si="10"/>
        <v>16.239999999999998</v>
      </c>
    </row>
    <row r="149" spans="1:7">
      <c r="A149" s="6">
        <v>7</v>
      </c>
      <c r="B149" s="6" t="s">
        <v>872</v>
      </c>
      <c r="C149" s="6">
        <v>1</v>
      </c>
      <c r="D149" s="6">
        <v>0.4</v>
      </c>
      <c r="E149" s="6">
        <v>3.77</v>
      </c>
      <c r="F149" s="7">
        <f t="shared" si="9"/>
        <v>4.3731999999999998</v>
      </c>
      <c r="G149" s="7">
        <f t="shared" si="10"/>
        <v>24.186</v>
      </c>
    </row>
    <row r="150" spans="1:7">
      <c r="A150" s="6">
        <v>8</v>
      </c>
      <c r="B150" s="6" t="s">
        <v>873</v>
      </c>
      <c r="C150" s="6">
        <v>1</v>
      </c>
      <c r="D150" s="6">
        <v>0.4</v>
      </c>
      <c r="E150" s="6">
        <v>1.3</v>
      </c>
      <c r="F150" s="7">
        <f t="shared" si="9"/>
        <v>1.508</v>
      </c>
      <c r="G150" s="7">
        <f t="shared" si="10"/>
        <v>9.8600000000000012</v>
      </c>
    </row>
    <row r="151" spans="1:7">
      <c r="A151" s="6">
        <v>9</v>
      </c>
      <c r="B151" s="6" t="s">
        <v>874</v>
      </c>
      <c r="C151" s="6">
        <v>1</v>
      </c>
      <c r="D151" s="6">
        <v>0.4</v>
      </c>
      <c r="E151" s="6">
        <v>3.35</v>
      </c>
      <c r="F151" s="7">
        <f t="shared" si="9"/>
        <v>3.8860000000000001</v>
      </c>
      <c r="G151" s="7">
        <f t="shared" si="10"/>
        <v>21.75</v>
      </c>
    </row>
    <row r="152" spans="1:7">
      <c r="A152" s="6">
        <v>10</v>
      </c>
      <c r="B152" s="6" t="s">
        <v>875</v>
      </c>
      <c r="C152" s="6">
        <v>1</v>
      </c>
      <c r="D152" s="6">
        <v>0.4</v>
      </c>
      <c r="E152" s="6">
        <v>2.1</v>
      </c>
      <c r="F152" s="7">
        <f t="shared" si="9"/>
        <v>2.4359999999999999</v>
      </c>
      <c r="G152" s="7">
        <f t="shared" si="10"/>
        <v>14.5</v>
      </c>
    </row>
    <row r="153" spans="1:7">
      <c r="A153" s="6">
        <v>11</v>
      </c>
      <c r="B153" s="6" t="s">
        <v>876</v>
      </c>
      <c r="C153" s="6">
        <v>2</v>
      </c>
      <c r="D153" s="6">
        <v>0.4</v>
      </c>
      <c r="E153" s="6">
        <v>2.6</v>
      </c>
      <c r="F153" s="7">
        <f t="shared" si="9"/>
        <v>6.032</v>
      </c>
      <c r="G153" s="7">
        <f t="shared" si="10"/>
        <v>34.799999999999997</v>
      </c>
    </row>
    <row r="154" spans="1:7">
      <c r="A154" s="6">
        <v>12</v>
      </c>
      <c r="B154" s="6" t="s">
        <v>877</v>
      </c>
      <c r="C154" s="6">
        <v>1</v>
      </c>
      <c r="D154" s="6">
        <v>0.4</v>
      </c>
      <c r="E154" s="6">
        <v>3.2</v>
      </c>
      <c r="F154" s="7">
        <f t="shared" si="9"/>
        <v>3.7120000000000006</v>
      </c>
      <c r="G154" s="7">
        <f t="shared" si="10"/>
        <v>20.88</v>
      </c>
    </row>
    <row r="155" spans="1:7">
      <c r="A155" s="6">
        <v>13</v>
      </c>
      <c r="B155" s="6" t="s">
        <v>878</v>
      </c>
      <c r="C155" s="6">
        <v>2</v>
      </c>
      <c r="D155" s="6">
        <v>0.4</v>
      </c>
      <c r="E155" s="6">
        <v>2.67</v>
      </c>
      <c r="F155" s="7">
        <f t="shared" si="9"/>
        <v>6.1943999999999999</v>
      </c>
      <c r="G155" s="7">
        <f t="shared" si="10"/>
        <v>35.611999999999995</v>
      </c>
    </row>
    <row r="156" spans="1:7">
      <c r="A156" s="6">
        <v>14</v>
      </c>
      <c r="B156" s="6" t="s">
        <v>879</v>
      </c>
      <c r="C156" s="6">
        <v>1</v>
      </c>
      <c r="D156" s="6">
        <v>0.4</v>
      </c>
      <c r="E156" s="6">
        <v>1.85</v>
      </c>
      <c r="F156" s="7">
        <f t="shared" si="9"/>
        <v>2.1460000000000004</v>
      </c>
      <c r="G156" s="7">
        <f t="shared" si="10"/>
        <v>13.049999999999999</v>
      </c>
    </row>
    <row r="157" spans="1:7">
      <c r="A157" s="6">
        <v>15</v>
      </c>
      <c r="B157" s="6" t="s">
        <v>880</v>
      </c>
      <c r="C157" s="6">
        <v>1</v>
      </c>
      <c r="D157" s="6">
        <v>0.4</v>
      </c>
      <c r="E157" s="6">
        <v>1</v>
      </c>
      <c r="F157" s="7">
        <f t="shared" si="9"/>
        <v>1.1599999999999999</v>
      </c>
      <c r="G157" s="7">
        <f t="shared" si="10"/>
        <v>8.1199999999999992</v>
      </c>
    </row>
    <row r="158" spans="1:7">
      <c r="A158" s="6">
        <v>16</v>
      </c>
      <c r="B158" s="6" t="s">
        <v>881</v>
      </c>
      <c r="C158" s="6">
        <v>1</v>
      </c>
      <c r="D158" s="6">
        <v>0.4</v>
      </c>
      <c r="E158" s="6">
        <v>3.58</v>
      </c>
      <c r="F158" s="7">
        <f t="shared" si="9"/>
        <v>4.1528</v>
      </c>
      <c r="G158" s="7">
        <f t="shared" si="10"/>
        <v>23.084</v>
      </c>
    </row>
    <row r="159" spans="1:7">
      <c r="A159" s="6">
        <v>17</v>
      </c>
      <c r="B159" s="6" t="s">
        <v>882</v>
      </c>
      <c r="C159" s="6">
        <v>1</v>
      </c>
      <c r="D159" s="6">
        <v>0.4</v>
      </c>
      <c r="E159" s="6">
        <v>2.2999999999999998</v>
      </c>
      <c r="F159" s="7">
        <f t="shared" si="9"/>
        <v>2.6679999999999997</v>
      </c>
      <c r="G159" s="7">
        <f t="shared" si="10"/>
        <v>15.659999999999998</v>
      </c>
    </row>
    <row r="160" spans="1:7">
      <c r="A160" s="6">
        <v>18</v>
      </c>
      <c r="B160" s="6" t="s">
        <v>883</v>
      </c>
      <c r="C160" s="6">
        <v>1</v>
      </c>
      <c r="D160" s="6">
        <v>0.4</v>
      </c>
      <c r="E160" s="6">
        <v>2</v>
      </c>
      <c r="F160" s="7">
        <f t="shared" si="9"/>
        <v>2.3199999999999998</v>
      </c>
      <c r="G160" s="7">
        <f t="shared" si="10"/>
        <v>13.92</v>
      </c>
    </row>
    <row r="161" spans="1:7">
      <c r="A161" s="6">
        <v>19</v>
      </c>
      <c r="B161" s="6" t="s">
        <v>884</v>
      </c>
      <c r="C161" s="6">
        <v>4</v>
      </c>
      <c r="D161" s="6">
        <v>0.4</v>
      </c>
      <c r="E161" s="6">
        <v>1.68</v>
      </c>
      <c r="F161" s="7">
        <f t="shared" si="9"/>
        <v>7.7952000000000004</v>
      </c>
      <c r="G161" s="7">
        <f t="shared" si="10"/>
        <v>48.256</v>
      </c>
    </row>
    <row r="162" spans="1:7">
      <c r="A162" s="6">
        <v>20</v>
      </c>
      <c r="B162" s="6" t="s">
        <v>885</v>
      </c>
      <c r="C162" s="6">
        <v>1</v>
      </c>
      <c r="D162" s="6">
        <v>0.4</v>
      </c>
      <c r="E162" s="6">
        <v>1.34</v>
      </c>
      <c r="F162" s="7">
        <f t="shared" si="9"/>
        <v>1.5544</v>
      </c>
      <c r="G162" s="7">
        <f t="shared" si="10"/>
        <v>10.092000000000001</v>
      </c>
    </row>
    <row r="163" spans="1:7">
      <c r="A163" s="6">
        <v>21</v>
      </c>
      <c r="B163" s="6" t="s">
        <v>886</v>
      </c>
      <c r="C163" s="6">
        <v>3</v>
      </c>
      <c r="D163" s="6">
        <v>0.4</v>
      </c>
      <c r="E163" s="6">
        <v>1.2</v>
      </c>
      <c r="F163" s="7">
        <f t="shared" si="9"/>
        <v>4.1760000000000002</v>
      </c>
      <c r="G163" s="7">
        <f t="shared" si="10"/>
        <v>27.840000000000003</v>
      </c>
    </row>
    <row r="164" spans="1:7">
      <c r="A164" s="6">
        <v>22</v>
      </c>
      <c r="B164" s="6" t="s">
        <v>887</v>
      </c>
      <c r="C164" s="6">
        <v>2</v>
      </c>
      <c r="D164" s="6">
        <v>0.4</v>
      </c>
      <c r="E164" s="6">
        <v>4.8499999999999996</v>
      </c>
      <c r="F164" s="7">
        <f t="shared" si="9"/>
        <v>11.251999999999999</v>
      </c>
      <c r="G164" s="7">
        <f t="shared" si="10"/>
        <v>60.9</v>
      </c>
    </row>
    <row r="165" spans="1:7">
      <c r="A165" s="6">
        <v>23</v>
      </c>
      <c r="B165" s="6" t="s">
        <v>888</v>
      </c>
      <c r="C165" s="6">
        <v>6</v>
      </c>
      <c r="D165" s="6">
        <v>0.4</v>
      </c>
      <c r="E165" s="6">
        <v>1.8</v>
      </c>
      <c r="F165" s="7">
        <f t="shared" si="9"/>
        <v>12.528000000000002</v>
      </c>
      <c r="G165" s="7">
        <f t="shared" si="10"/>
        <v>76.56</v>
      </c>
    </row>
    <row r="166" spans="1:7">
      <c r="A166" s="6">
        <v>24</v>
      </c>
      <c r="B166" s="6" t="s">
        <v>889</v>
      </c>
      <c r="C166" s="6">
        <v>2</v>
      </c>
      <c r="D166" s="6">
        <v>0.23</v>
      </c>
      <c r="E166" s="6">
        <v>0.8</v>
      </c>
      <c r="F166" s="7">
        <f t="shared" si="9"/>
        <v>1.0672000000000001</v>
      </c>
      <c r="G166" s="7">
        <f t="shared" si="10"/>
        <v>11.948</v>
      </c>
    </row>
    <row r="167" spans="1:7">
      <c r="A167" s="6">
        <v>25</v>
      </c>
      <c r="B167" s="6" t="s">
        <v>890</v>
      </c>
      <c r="C167" s="6">
        <v>2</v>
      </c>
      <c r="D167" s="6">
        <v>0.3</v>
      </c>
      <c r="E167" s="6">
        <v>2.5</v>
      </c>
      <c r="F167" s="7">
        <f t="shared" si="9"/>
        <v>4.3499999999999996</v>
      </c>
      <c r="G167" s="7">
        <f t="shared" si="10"/>
        <v>32.479999999999997</v>
      </c>
    </row>
    <row r="168" spans="1:7">
      <c r="A168" s="6">
        <v>26</v>
      </c>
      <c r="B168" s="6" t="s">
        <v>891</v>
      </c>
      <c r="C168" s="6">
        <v>6</v>
      </c>
      <c r="D168" s="6">
        <v>0.3</v>
      </c>
      <c r="E168" s="6">
        <v>2.5</v>
      </c>
      <c r="F168" s="7">
        <f t="shared" si="9"/>
        <v>13.049999999999999</v>
      </c>
      <c r="G168" s="7">
        <f t="shared" si="10"/>
        <v>97.439999999999984</v>
      </c>
    </row>
    <row r="169" spans="1:7">
      <c r="A169" s="6">
        <v>27</v>
      </c>
      <c r="B169" s="6" t="s">
        <v>892</v>
      </c>
      <c r="C169" s="6">
        <v>4</v>
      </c>
      <c r="D169" s="6">
        <v>0.3</v>
      </c>
      <c r="E169" s="6">
        <v>2.5</v>
      </c>
      <c r="F169" s="7">
        <f t="shared" si="9"/>
        <v>8.6999999999999993</v>
      </c>
      <c r="G169" s="7">
        <f t="shared" si="10"/>
        <v>64.959999999999994</v>
      </c>
    </row>
    <row r="170" spans="1:7">
      <c r="A170" s="6">
        <v>28</v>
      </c>
      <c r="B170" s="6" t="s">
        <v>893</v>
      </c>
      <c r="C170" s="6">
        <v>1</v>
      </c>
      <c r="D170" s="6">
        <v>0.4</v>
      </c>
      <c r="E170" s="6">
        <v>3.92</v>
      </c>
      <c r="F170" s="7">
        <f t="shared" si="9"/>
        <v>4.5472000000000001</v>
      </c>
      <c r="G170" s="7">
        <f t="shared" si="10"/>
        <v>25.056000000000001</v>
      </c>
    </row>
    <row r="171" spans="1:7">
      <c r="A171" s="6">
        <v>29</v>
      </c>
      <c r="B171" s="6" t="s">
        <v>894</v>
      </c>
      <c r="C171" s="6">
        <v>1</v>
      </c>
      <c r="D171" s="6">
        <v>0.4</v>
      </c>
      <c r="E171" s="6">
        <v>2.9</v>
      </c>
      <c r="F171" s="7">
        <f t="shared" si="9"/>
        <v>3.3639999999999999</v>
      </c>
      <c r="G171" s="7">
        <f t="shared" si="10"/>
        <v>19.139999999999997</v>
      </c>
    </row>
    <row r="172" spans="1:7">
      <c r="A172" s="6">
        <v>30</v>
      </c>
      <c r="B172" s="6" t="s">
        <v>895</v>
      </c>
      <c r="C172" s="6">
        <v>2</v>
      </c>
      <c r="D172" s="6">
        <v>0.4</v>
      </c>
      <c r="E172" s="6">
        <v>3.84</v>
      </c>
      <c r="F172" s="7">
        <f t="shared" si="9"/>
        <v>8.9087999999999994</v>
      </c>
      <c r="G172" s="7">
        <f t="shared" si="10"/>
        <v>49.183999999999997</v>
      </c>
    </row>
    <row r="173" spans="1:7">
      <c r="A173" s="6">
        <v>31</v>
      </c>
      <c r="B173" s="6" t="s">
        <v>896</v>
      </c>
      <c r="C173" s="6">
        <v>2</v>
      </c>
      <c r="D173" s="6">
        <v>0.4</v>
      </c>
      <c r="E173" s="6">
        <v>2.6469999999999998</v>
      </c>
      <c r="F173" s="7">
        <f t="shared" si="9"/>
        <v>6.1410399999999994</v>
      </c>
      <c r="G173" s="7">
        <f t="shared" si="10"/>
        <v>35.345199999999998</v>
      </c>
    </row>
    <row r="174" spans="1:7">
      <c r="A174" s="6">
        <v>32</v>
      </c>
      <c r="B174" s="6" t="s">
        <v>897</v>
      </c>
      <c r="C174" s="6">
        <v>3</v>
      </c>
      <c r="D174" s="6">
        <v>0.4</v>
      </c>
      <c r="E174" s="6">
        <v>2.7170000000000001</v>
      </c>
      <c r="F174" s="7">
        <f t="shared" si="9"/>
        <v>9.4551600000000011</v>
      </c>
      <c r="G174" s="7">
        <f t="shared" si="10"/>
        <v>54.23579999999999</v>
      </c>
    </row>
    <row r="175" spans="1:7">
      <c r="A175" s="6">
        <v>33</v>
      </c>
      <c r="B175" s="6" t="s">
        <v>898</v>
      </c>
      <c r="C175" s="6">
        <v>4</v>
      </c>
      <c r="D175" s="6">
        <v>0.4</v>
      </c>
      <c r="E175" s="6">
        <v>1.7</v>
      </c>
      <c r="F175" s="7">
        <f t="shared" si="9"/>
        <v>7.8879999999999999</v>
      </c>
      <c r="G175" s="7">
        <f t="shared" si="10"/>
        <v>48.72</v>
      </c>
    </row>
    <row r="176" spans="1:7">
      <c r="A176" s="6">
        <v>34</v>
      </c>
      <c r="B176" s="6" t="s">
        <v>899</v>
      </c>
      <c r="C176" s="6">
        <v>1</v>
      </c>
      <c r="D176" s="6">
        <v>0.4</v>
      </c>
      <c r="E176" s="6">
        <v>0.75900000000000001</v>
      </c>
      <c r="F176" s="7">
        <f t="shared" si="9"/>
        <v>0.88044000000000011</v>
      </c>
      <c r="G176" s="7">
        <f t="shared" si="10"/>
        <v>6.7222</v>
      </c>
    </row>
    <row r="177" spans="1:9">
      <c r="A177" s="6">
        <v>35</v>
      </c>
      <c r="B177" s="6" t="s">
        <v>900</v>
      </c>
      <c r="C177" s="6">
        <v>2</v>
      </c>
      <c r="D177" s="6">
        <v>0.3</v>
      </c>
      <c r="E177" s="6">
        <v>2.73</v>
      </c>
      <c r="F177" s="7">
        <f t="shared" si="9"/>
        <v>4.7501999999999995</v>
      </c>
      <c r="G177" s="7">
        <f t="shared" si="10"/>
        <v>35.147999999999996</v>
      </c>
    </row>
    <row r="178" spans="1:9">
      <c r="A178" s="6">
        <v>36</v>
      </c>
      <c r="B178" s="6" t="s">
        <v>901</v>
      </c>
      <c r="C178" s="6">
        <v>4</v>
      </c>
      <c r="D178" s="6">
        <v>0.4</v>
      </c>
      <c r="E178" s="6">
        <v>2.2000000000000002</v>
      </c>
      <c r="F178" s="7">
        <f t="shared" si="9"/>
        <v>10.208</v>
      </c>
      <c r="G178" s="7">
        <f t="shared" si="10"/>
        <v>60.32</v>
      </c>
    </row>
    <row r="179" spans="1:9">
      <c r="A179" s="6">
        <v>37</v>
      </c>
      <c r="B179" s="6" t="s">
        <v>902</v>
      </c>
      <c r="C179" s="6">
        <v>3</v>
      </c>
      <c r="D179" s="6">
        <v>0.4</v>
      </c>
      <c r="E179" s="6">
        <v>2.5</v>
      </c>
      <c r="F179" s="7">
        <f t="shared" si="9"/>
        <v>8.7000000000000011</v>
      </c>
      <c r="G179" s="7">
        <f t="shared" si="10"/>
        <v>50.459999999999994</v>
      </c>
    </row>
    <row r="180" spans="1:9">
      <c r="A180" s="6">
        <v>38</v>
      </c>
      <c r="B180" s="6" t="s">
        <v>903</v>
      </c>
      <c r="C180" s="6">
        <v>1</v>
      </c>
      <c r="D180" s="6">
        <v>0.4</v>
      </c>
      <c r="E180" s="6">
        <v>3.92</v>
      </c>
      <c r="F180" s="7">
        <f t="shared" si="9"/>
        <v>4.5472000000000001</v>
      </c>
      <c r="G180" s="7">
        <f t="shared" si="10"/>
        <v>25.056000000000001</v>
      </c>
    </row>
    <row r="181" spans="1:9">
      <c r="A181" s="6">
        <v>39</v>
      </c>
      <c r="B181" s="6" t="s">
        <v>904</v>
      </c>
      <c r="C181" s="6">
        <v>4</v>
      </c>
      <c r="D181" s="6">
        <v>0.3</v>
      </c>
      <c r="E181" s="6">
        <v>2.2000000000000002</v>
      </c>
      <c r="F181" s="7">
        <f t="shared" si="9"/>
        <v>7.6559999999999997</v>
      </c>
      <c r="G181" s="7">
        <f t="shared" si="10"/>
        <v>58</v>
      </c>
    </row>
    <row r="182" spans="1:9">
      <c r="A182" s="6">
        <v>40</v>
      </c>
      <c r="B182" s="6" t="s">
        <v>905</v>
      </c>
      <c r="C182" s="6">
        <v>2</v>
      </c>
      <c r="D182" s="6">
        <v>0.23</v>
      </c>
      <c r="E182" s="6">
        <v>3.1</v>
      </c>
      <c r="F182" s="7">
        <f t="shared" si="9"/>
        <v>4.1354000000000006</v>
      </c>
      <c r="G182" s="7">
        <f t="shared" si="10"/>
        <v>38.628</v>
      </c>
    </row>
    <row r="183" spans="1:9">
      <c r="A183" s="6">
        <v>41</v>
      </c>
      <c r="B183" s="6" t="s">
        <v>906</v>
      </c>
      <c r="C183" s="6">
        <v>4</v>
      </c>
      <c r="D183" s="6">
        <v>0.23</v>
      </c>
      <c r="E183" s="6">
        <v>2.38</v>
      </c>
      <c r="F183" s="7">
        <f t="shared" si="9"/>
        <v>6.3498399999999995</v>
      </c>
      <c r="G183" s="7">
        <f t="shared" si="10"/>
        <v>60.551999999999992</v>
      </c>
    </row>
    <row r="184" spans="1:9">
      <c r="A184" s="6">
        <v>42</v>
      </c>
      <c r="B184" s="6" t="s">
        <v>907</v>
      </c>
      <c r="C184" s="6">
        <v>4</v>
      </c>
      <c r="D184" s="6">
        <v>0.23</v>
      </c>
      <c r="E184" s="6">
        <v>3.43</v>
      </c>
      <c r="F184" s="7">
        <f t="shared" si="9"/>
        <v>9.1512399999999996</v>
      </c>
      <c r="G184" s="7">
        <f t="shared" si="10"/>
        <v>84.912000000000006</v>
      </c>
    </row>
    <row r="185" spans="1:9">
      <c r="A185" s="1198" t="s">
        <v>232</v>
      </c>
      <c r="B185" s="1199"/>
      <c r="C185" s="1199"/>
      <c r="D185" s="1199"/>
      <c r="E185" s="1200"/>
      <c r="F185" s="7">
        <f>SUM(F148:F184)</f>
        <v>204.52772000000002</v>
      </c>
      <c r="G185" s="7">
        <f>SUM(G148:G184)</f>
        <v>1333.6171999999999</v>
      </c>
      <c r="H185" s="2"/>
      <c r="I185" s="2"/>
    </row>
    <row r="186" spans="1:9">
      <c r="A186" s="1113" t="s">
        <v>232</v>
      </c>
      <c r="B186" s="1113"/>
      <c r="C186" s="1113"/>
      <c r="D186" s="1113"/>
      <c r="E186" s="1113"/>
      <c r="F186" s="9">
        <f>F185*3</f>
        <v>613.58316000000002</v>
      </c>
      <c r="G186" s="9">
        <f>G185*3</f>
        <v>4000.8516</v>
      </c>
      <c r="H186" s="21">
        <v>3</v>
      </c>
    </row>
    <row r="188" spans="1:9">
      <c r="A188" s="1194" t="s">
        <v>913</v>
      </c>
      <c r="B188" s="1194"/>
      <c r="C188" s="1194"/>
      <c r="D188" s="1194"/>
      <c r="E188" s="1194"/>
      <c r="F188" s="1194"/>
      <c r="G188" s="3">
        <v>3.5</v>
      </c>
    </row>
    <row r="189" spans="1:9" ht="27.6">
      <c r="A189" s="4" t="s">
        <v>197</v>
      </c>
      <c r="B189" s="4" t="s">
        <v>859</v>
      </c>
      <c r="C189" s="4" t="s">
        <v>324</v>
      </c>
      <c r="D189" s="4" t="s">
        <v>860</v>
      </c>
      <c r="E189" s="4" t="s">
        <v>861</v>
      </c>
      <c r="F189" s="5" t="s">
        <v>862</v>
      </c>
      <c r="G189" s="5" t="s">
        <v>863</v>
      </c>
    </row>
    <row r="190" spans="1:9">
      <c r="A190" s="6">
        <v>1</v>
      </c>
      <c r="B190" s="6" t="s">
        <v>866</v>
      </c>
      <c r="C190" s="6">
        <v>1</v>
      </c>
      <c r="D190" s="6">
        <v>0.4</v>
      </c>
      <c r="E190" s="6">
        <v>3.19</v>
      </c>
      <c r="F190" s="7">
        <f>C190*D190*E190*$G$188</f>
        <v>4.4660000000000002</v>
      </c>
      <c r="G190" s="7">
        <f>(D190+E190)*2*C190*$G$188</f>
        <v>25.13</v>
      </c>
    </row>
    <row r="191" spans="1:9">
      <c r="A191" s="6">
        <v>2</v>
      </c>
      <c r="B191" s="6" t="s">
        <v>867</v>
      </c>
      <c r="C191" s="6">
        <v>4</v>
      </c>
      <c r="D191" s="6">
        <v>0.4</v>
      </c>
      <c r="E191" s="6">
        <v>1.05</v>
      </c>
      <c r="F191" s="7">
        <f t="shared" ref="F191:F231" si="11">C191*D191*E191*$G$188</f>
        <v>5.8800000000000008</v>
      </c>
      <c r="G191" s="7">
        <f t="shared" ref="G191:G231" si="12">(D191+E191)*2*C191*$G$188</f>
        <v>40.600000000000009</v>
      </c>
    </row>
    <row r="192" spans="1:9">
      <c r="A192" s="6">
        <v>3</v>
      </c>
      <c r="B192" s="6" t="s">
        <v>868</v>
      </c>
      <c r="C192" s="6">
        <v>10</v>
      </c>
      <c r="D192" s="6">
        <v>0.4</v>
      </c>
      <c r="E192" s="6">
        <v>1.5</v>
      </c>
      <c r="F192" s="7">
        <f t="shared" si="11"/>
        <v>21</v>
      </c>
      <c r="G192" s="7">
        <f t="shared" si="12"/>
        <v>133</v>
      </c>
    </row>
    <row r="193" spans="1:7">
      <c r="A193" s="6">
        <v>4</v>
      </c>
      <c r="B193" s="6" t="s">
        <v>869</v>
      </c>
      <c r="C193" s="6">
        <v>1</v>
      </c>
      <c r="D193" s="6">
        <v>0.6</v>
      </c>
      <c r="E193" s="6">
        <v>0.6</v>
      </c>
      <c r="F193" s="7">
        <f t="shared" si="11"/>
        <v>1.26</v>
      </c>
      <c r="G193" s="7">
        <f t="shared" si="12"/>
        <v>8.4</v>
      </c>
    </row>
    <row r="194" spans="1:7" ht="27.6">
      <c r="A194" s="6">
        <v>5</v>
      </c>
      <c r="B194" s="8" t="s">
        <v>870</v>
      </c>
      <c r="C194" s="6">
        <v>20</v>
      </c>
      <c r="D194" s="6">
        <v>0.6</v>
      </c>
      <c r="E194" s="6">
        <v>0.6</v>
      </c>
      <c r="F194" s="7">
        <f t="shared" si="11"/>
        <v>25.199999999999996</v>
      </c>
      <c r="G194" s="7">
        <f t="shared" si="12"/>
        <v>168</v>
      </c>
    </row>
    <row r="195" spans="1:7">
      <c r="A195" s="6">
        <v>6</v>
      </c>
      <c r="B195" s="6" t="s">
        <v>871</v>
      </c>
      <c r="C195" s="6">
        <v>1</v>
      </c>
      <c r="D195" s="6">
        <v>0.4</v>
      </c>
      <c r="E195" s="6">
        <v>2.4</v>
      </c>
      <c r="F195" s="7">
        <f t="shared" si="11"/>
        <v>3.36</v>
      </c>
      <c r="G195" s="7">
        <f t="shared" si="12"/>
        <v>19.599999999999998</v>
      </c>
    </row>
    <row r="196" spans="1:7">
      <c r="A196" s="6">
        <v>7</v>
      </c>
      <c r="B196" s="6" t="s">
        <v>872</v>
      </c>
      <c r="C196" s="6">
        <v>1</v>
      </c>
      <c r="D196" s="6">
        <v>0.4</v>
      </c>
      <c r="E196" s="6">
        <v>3.77</v>
      </c>
      <c r="F196" s="7">
        <f t="shared" si="11"/>
        <v>5.2780000000000005</v>
      </c>
      <c r="G196" s="7">
        <f t="shared" si="12"/>
        <v>29.189999999999998</v>
      </c>
    </row>
    <row r="197" spans="1:7">
      <c r="A197" s="6">
        <v>8</v>
      </c>
      <c r="B197" s="6" t="s">
        <v>873</v>
      </c>
      <c r="C197" s="6">
        <v>1</v>
      </c>
      <c r="D197" s="6">
        <v>0.4</v>
      </c>
      <c r="E197" s="6">
        <v>1.3</v>
      </c>
      <c r="F197" s="7">
        <f t="shared" si="11"/>
        <v>1.82</v>
      </c>
      <c r="G197" s="7">
        <f t="shared" si="12"/>
        <v>11.900000000000002</v>
      </c>
    </row>
    <row r="198" spans="1:7">
      <c r="A198" s="6">
        <v>9</v>
      </c>
      <c r="B198" s="6" t="s">
        <v>874</v>
      </c>
      <c r="C198" s="6">
        <v>1</v>
      </c>
      <c r="D198" s="6">
        <v>0.4</v>
      </c>
      <c r="E198" s="6">
        <v>3.35</v>
      </c>
      <c r="F198" s="7">
        <f t="shared" si="11"/>
        <v>4.6900000000000004</v>
      </c>
      <c r="G198" s="7">
        <f t="shared" si="12"/>
        <v>26.25</v>
      </c>
    </row>
    <row r="199" spans="1:7">
      <c r="A199" s="6">
        <v>10</v>
      </c>
      <c r="B199" s="6" t="s">
        <v>875</v>
      </c>
      <c r="C199" s="6">
        <v>1</v>
      </c>
      <c r="D199" s="6">
        <v>0.4</v>
      </c>
      <c r="E199" s="6">
        <v>2.1</v>
      </c>
      <c r="F199" s="7">
        <f t="shared" si="11"/>
        <v>2.9400000000000004</v>
      </c>
      <c r="G199" s="7">
        <f t="shared" si="12"/>
        <v>17.5</v>
      </c>
    </row>
    <row r="200" spans="1:7">
      <c r="A200" s="6">
        <v>11</v>
      </c>
      <c r="B200" s="6" t="s">
        <v>876</v>
      </c>
      <c r="C200" s="6">
        <v>2</v>
      </c>
      <c r="D200" s="6">
        <v>0.4</v>
      </c>
      <c r="E200" s="6">
        <v>2.6</v>
      </c>
      <c r="F200" s="7">
        <f t="shared" si="11"/>
        <v>7.28</v>
      </c>
      <c r="G200" s="7">
        <f t="shared" si="12"/>
        <v>42</v>
      </c>
    </row>
    <row r="201" spans="1:7">
      <c r="A201" s="6">
        <v>12</v>
      </c>
      <c r="B201" s="6" t="s">
        <v>877</v>
      </c>
      <c r="C201" s="6">
        <v>1</v>
      </c>
      <c r="D201" s="6">
        <v>0.4</v>
      </c>
      <c r="E201" s="6">
        <v>3.2</v>
      </c>
      <c r="F201" s="7">
        <f t="shared" si="11"/>
        <v>4.4800000000000004</v>
      </c>
      <c r="G201" s="7">
        <f t="shared" si="12"/>
        <v>25.2</v>
      </c>
    </row>
    <row r="202" spans="1:7">
      <c r="A202" s="6">
        <v>13</v>
      </c>
      <c r="B202" s="6" t="s">
        <v>878</v>
      </c>
      <c r="C202" s="6">
        <v>2</v>
      </c>
      <c r="D202" s="6">
        <v>0.4</v>
      </c>
      <c r="E202" s="6">
        <v>2.67</v>
      </c>
      <c r="F202" s="7">
        <f t="shared" si="11"/>
        <v>7.4760000000000009</v>
      </c>
      <c r="G202" s="7">
        <f t="shared" si="12"/>
        <v>42.98</v>
      </c>
    </row>
    <row r="203" spans="1:7">
      <c r="A203" s="6">
        <v>14</v>
      </c>
      <c r="B203" s="6" t="s">
        <v>879</v>
      </c>
      <c r="C203" s="6">
        <v>1</v>
      </c>
      <c r="D203" s="6">
        <v>0.4</v>
      </c>
      <c r="E203" s="6">
        <v>1.85</v>
      </c>
      <c r="F203" s="7">
        <f t="shared" si="11"/>
        <v>2.5900000000000003</v>
      </c>
      <c r="G203" s="7">
        <f t="shared" si="12"/>
        <v>15.75</v>
      </c>
    </row>
    <row r="204" spans="1:7">
      <c r="A204" s="6">
        <v>15</v>
      </c>
      <c r="B204" s="6" t="s">
        <v>880</v>
      </c>
      <c r="C204" s="6">
        <v>1</v>
      </c>
      <c r="D204" s="6">
        <v>0.4</v>
      </c>
      <c r="E204" s="6">
        <v>1</v>
      </c>
      <c r="F204" s="7">
        <f t="shared" si="11"/>
        <v>1.4000000000000001</v>
      </c>
      <c r="G204" s="7">
        <f t="shared" si="12"/>
        <v>9.7999999999999989</v>
      </c>
    </row>
    <row r="205" spans="1:7">
      <c r="A205" s="6">
        <v>16</v>
      </c>
      <c r="B205" s="6" t="s">
        <v>881</v>
      </c>
      <c r="C205" s="6">
        <v>1</v>
      </c>
      <c r="D205" s="6">
        <v>0.4</v>
      </c>
      <c r="E205" s="6">
        <v>3.58</v>
      </c>
      <c r="F205" s="7">
        <f t="shared" si="11"/>
        <v>5.0120000000000005</v>
      </c>
      <c r="G205" s="7">
        <f t="shared" si="12"/>
        <v>27.86</v>
      </c>
    </row>
    <row r="206" spans="1:7">
      <c r="A206" s="6">
        <v>17</v>
      </c>
      <c r="B206" s="6" t="s">
        <v>882</v>
      </c>
      <c r="C206" s="6">
        <v>1</v>
      </c>
      <c r="D206" s="6">
        <v>0.4</v>
      </c>
      <c r="E206" s="6">
        <v>2.2999999999999998</v>
      </c>
      <c r="F206" s="7">
        <f t="shared" si="11"/>
        <v>3.2199999999999998</v>
      </c>
      <c r="G206" s="7">
        <f t="shared" si="12"/>
        <v>18.899999999999999</v>
      </c>
    </row>
    <row r="207" spans="1:7">
      <c r="A207" s="6">
        <v>18</v>
      </c>
      <c r="B207" s="6" t="s">
        <v>883</v>
      </c>
      <c r="C207" s="6">
        <v>1</v>
      </c>
      <c r="D207" s="6">
        <v>0.4</v>
      </c>
      <c r="E207" s="6">
        <v>2</v>
      </c>
      <c r="F207" s="7">
        <f t="shared" si="11"/>
        <v>2.8000000000000003</v>
      </c>
      <c r="G207" s="7">
        <f t="shared" si="12"/>
        <v>16.8</v>
      </c>
    </row>
    <row r="208" spans="1:7">
      <c r="A208" s="6">
        <v>19</v>
      </c>
      <c r="B208" s="6" t="s">
        <v>884</v>
      </c>
      <c r="C208" s="6">
        <v>4</v>
      </c>
      <c r="D208" s="6">
        <v>0.4</v>
      </c>
      <c r="E208" s="6">
        <v>1.68</v>
      </c>
      <c r="F208" s="7">
        <f t="shared" si="11"/>
        <v>9.4080000000000013</v>
      </c>
      <c r="G208" s="7">
        <f t="shared" si="12"/>
        <v>58.24</v>
      </c>
    </row>
    <row r="209" spans="1:7">
      <c r="A209" s="6">
        <v>20</v>
      </c>
      <c r="B209" s="6" t="s">
        <v>885</v>
      </c>
      <c r="C209" s="6">
        <v>1</v>
      </c>
      <c r="D209" s="6">
        <v>0.4</v>
      </c>
      <c r="E209" s="6">
        <v>1.34</v>
      </c>
      <c r="F209" s="7">
        <f t="shared" si="11"/>
        <v>1.8760000000000001</v>
      </c>
      <c r="G209" s="7">
        <f t="shared" si="12"/>
        <v>12.180000000000001</v>
      </c>
    </row>
    <row r="210" spans="1:7">
      <c r="A210" s="6">
        <v>21</v>
      </c>
      <c r="B210" s="6" t="s">
        <v>886</v>
      </c>
      <c r="C210" s="6">
        <v>3</v>
      </c>
      <c r="D210" s="6">
        <v>0.4</v>
      </c>
      <c r="E210" s="6">
        <v>1.2</v>
      </c>
      <c r="F210" s="7">
        <f t="shared" si="11"/>
        <v>5.0400000000000009</v>
      </c>
      <c r="G210" s="7">
        <f t="shared" si="12"/>
        <v>33.600000000000009</v>
      </c>
    </row>
    <row r="211" spans="1:7">
      <c r="A211" s="6">
        <v>22</v>
      </c>
      <c r="B211" s="6" t="s">
        <v>887</v>
      </c>
      <c r="C211" s="6">
        <v>2</v>
      </c>
      <c r="D211" s="6">
        <v>0.4</v>
      </c>
      <c r="E211" s="6">
        <v>4.8499999999999996</v>
      </c>
      <c r="F211" s="7">
        <f t="shared" si="11"/>
        <v>13.58</v>
      </c>
      <c r="G211" s="7">
        <f t="shared" si="12"/>
        <v>73.5</v>
      </c>
    </row>
    <row r="212" spans="1:7">
      <c r="A212" s="6">
        <v>23</v>
      </c>
      <c r="B212" s="6" t="s">
        <v>888</v>
      </c>
      <c r="C212" s="6">
        <v>6</v>
      </c>
      <c r="D212" s="6">
        <v>0.4</v>
      </c>
      <c r="E212" s="6">
        <v>1.8</v>
      </c>
      <c r="F212" s="7">
        <f t="shared" si="11"/>
        <v>15.120000000000005</v>
      </c>
      <c r="G212" s="7">
        <f t="shared" si="12"/>
        <v>92.4</v>
      </c>
    </row>
    <row r="213" spans="1:7">
      <c r="A213" s="6">
        <v>24</v>
      </c>
      <c r="B213" s="6" t="s">
        <v>889</v>
      </c>
      <c r="C213" s="6">
        <v>2</v>
      </c>
      <c r="D213" s="6">
        <v>0.23</v>
      </c>
      <c r="E213" s="6">
        <v>0.8</v>
      </c>
      <c r="F213" s="7">
        <f t="shared" si="11"/>
        <v>1.2880000000000003</v>
      </c>
      <c r="G213" s="7">
        <f t="shared" si="12"/>
        <v>14.42</v>
      </c>
    </row>
    <row r="214" spans="1:7">
      <c r="A214" s="6">
        <v>25</v>
      </c>
      <c r="B214" s="6" t="s">
        <v>890</v>
      </c>
      <c r="C214" s="6">
        <v>2</v>
      </c>
      <c r="D214" s="6">
        <v>0.3</v>
      </c>
      <c r="E214" s="6">
        <v>2.5</v>
      </c>
      <c r="F214" s="7">
        <f t="shared" si="11"/>
        <v>5.25</v>
      </c>
      <c r="G214" s="7">
        <f t="shared" si="12"/>
        <v>39.199999999999996</v>
      </c>
    </row>
    <row r="215" spans="1:7">
      <c r="A215" s="6">
        <v>26</v>
      </c>
      <c r="B215" s="6" t="s">
        <v>891</v>
      </c>
      <c r="C215" s="6">
        <v>6</v>
      </c>
      <c r="D215" s="6">
        <v>0.3</v>
      </c>
      <c r="E215" s="6">
        <v>2.5</v>
      </c>
      <c r="F215" s="7">
        <f t="shared" si="11"/>
        <v>15.75</v>
      </c>
      <c r="G215" s="7">
        <f t="shared" si="12"/>
        <v>117.59999999999998</v>
      </c>
    </row>
    <row r="216" spans="1:7">
      <c r="A216" s="6">
        <v>27</v>
      </c>
      <c r="B216" s="6" t="s">
        <v>892</v>
      </c>
      <c r="C216" s="6">
        <v>4</v>
      </c>
      <c r="D216" s="6">
        <v>0.3</v>
      </c>
      <c r="E216" s="6">
        <v>2.5</v>
      </c>
      <c r="F216" s="7">
        <f t="shared" si="11"/>
        <v>10.5</v>
      </c>
      <c r="G216" s="7">
        <f t="shared" si="12"/>
        <v>78.399999999999991</v>
      </c>
    </row>
    <row r="217" spans="1:7">
      <c r="A217" s="6">
        <v>28</v>
      </c>
      <c r="B217" s="6" t="s">
        <v>893</v>
      </c>
      <c r="C217" s="6">
        <v>1</v>
      </c>
      <c r="D217" s="6">
        <v>0.4</v>
      </c>
      <c r="E217" s="6">
        <v>3.92</v>
      </c>
      <c r="F217" s="7">
        <f t="shared" si="11"/>
        <v>5.4880000000000004</v>
      </c>
      <c r="G217" s="7">
        <f t="shared" si="12"/>
        <v>30.240000000000002</v>
      </c>
    </row>
    <row r="218" spans="1:7">
      <c r="A218" s="6">
        <v>29</v>
      </c>
      <c r="B218" s="6" t="s">
        <v>894</v>
      </c>
      <c r="C218" s="6">
        <v>1</v>
      </c>
      <c r="D218" s="6">
        <v>0.4</v>
      </c>
      <c r="E218" s="6">
        <v>2.9</v>
      </c>
      <c r="F218" s="7">
        <f t="shared" si="11"/>
        <v>4.0599999999999996</v>
      </c>
      <c r="G218" s="7">
        <f t="shared" si="12"/>
        <v>23.099999999999998</v>
      </c>
    </row>
    <row r="219" spans="1:7">
      <c r="A219" s="6">
        <v>30</v>
      </c>
      <c r="B219" s="6" t="s">
        <v>895</v>
      </c>
      <c r="C219" s="6">
        <v>2</v>
      </c>
      <c r="D219" s="6">
        <v>0.4</v>
      </c>
      <c r="E219" s="6">
        <v>3.84</v>
      </c>
      <c r="F219" s="7">
        <f t="shared" si="11"/>
        <v>10.752000000000001</v>
      </c>
      <c r="G219" s="7">
        <f t="shared" si="12"/>
        <v>59.36</v>
      </c>
    </row>
    <row r="220" spans="1:7">
      <c r="A220" s="6">
        <v>31</v>
      </c>
      <c r="B220" s="6" t="s">
        <v>896</v>
      </c>
      <c r="C220" s="6">
        <v>2</v>
      </c>
      <c r="D220" s="6">
        <v>0.4</v>
      </c>
      <c r="E220" s="6">
        <v>2.6469999999999998</v>
      </c>
      <c r="F220" s="7">
        <f t="shared" si="11"/>
        <v>7.4116</v>
      </c>
      <c r="G220" s="7">
        <f t="shared" si="12"/>
        <v>42.657999999999994</v>
      </c>
    </row>
    <row r="221" spans="1:7">
      <c r="A221" s="6">
        <v>32</v>
      </c>
      <c r="B221" s="6" t="s">
        <v>897</v>
      </c>
      <c r="C221" s="6">
        <v>3</v>
      </c>
      <c r="D221" s="6">
        <v>0.4</v>
      </c>
      <c r="E221" s="6">
        <v>2.7170000000000001</v>
      </c>
      <c r="F221" s="7">
        <f t="shared" si="11"/>
        <v>11.411400000000002</v>
      </c>
      <c r="G221" s="7">
        <f t="shared" si="12"/>
        <v>65.456999999999994</v>
      </c>
    </row>
    <row r="222" spans="1:7">
      <c r="A222" s="6">
        <v>33</v>
      </c>
      <c r="B222" s="6" t="s">
        <v>898</v>
      </c>
      <c r="C222" s="6">
        <v>4</v>
      </c>
      <c r="D222" s="6">
        <v>0.4</v>
      </c>
      <c r="E222" s="6">
        <v>1.7</v>
      </c>
      <c r="F222" s="7">
        <f t="shared" si="11"/>
        <v>9.5200000000000014</v>
      </c>
      <c r="G222" s="7">
        <f t="shared" si="12"/>
        <v>58.800000000000004</v>
      </c>
    </row>
    <row r="223" spans="1:7">
      <c r="A223" s="6">
        <v>34</v>
      </c>
      <c r="B223" s="6" t="s">
        <v>899</v>
      </c>
      <c r="C223" s="6">
        <v>1</v>
      </c>
      <c r="D223" s="6">
        <v>0.4</v>
      </c>
      <c r="E223" s="6">
        <v>0.75900000000000001</v>
      </c>
      <c r="F223" s="7">
        <f t="shared" si="11"/>
        <v>1.0626000000000002</v>
      </c>
      <c r="G223" s="7">
        <f t="shared" si="12"/>
        <v>8.1129999999999995</v>
      </c>
    </row>
    <row r="224" spans="1:7">
      <c r="A224" s="6">
        <v>35</v>
      </c>
      <c r="B224" s="6" t="s">
        <v>900</v>
      </c>
      <c r="C224" s="6">
        <v>2</v>
      </c>
      <c r="D224" s="6">
        <v>0.3</v>
      </c>
      <c r="E224" s="6">
        <v>2.73</v>
      </c>
      <c r="F224" s="7">
        <f t="shared" si="11"/>
        <v>5.7329999999999997</v>
      </c>
      <c r="G224" s="7">
        <f t="shared" si="12"/>
        <v>42.419999999999995</v>
      </c>
    </row>
    <row r="225" spans="1:7">
      <c r="A225" s="6">
        <v>36</v>
      </c>
      <c r="B225" s="6" t="s">
        <v>901</v>
      </c>
      <c r="C225" s="6">
        <v>4</v>
      </c>
      <c r="D225" s="6">
        <v>0.4</v>
      </c>
      <c r="E225" s="6">
        <v>2.2000000000000002</v>
      </c>
      <c r="F225" s="7">
        <f t="shared" si="11"/>
        <v>12.320000000000002</v>
      </c>
      <c r="G225" s="7">
        <f t="shared" si="12"/>
        <v>72.8</v>
      </c>
    </row>
    <row r="226" spans="1:7">
      <c r="A226" s="6">
        <v>37</v>
      </c>
      <c r="B226" s="6" t="s">
        <v>902</v>
      </c>
      <c r="C226" s="6">
        <v>3</v>
      </c>
      <c r="D226" s="6">
        <v>0.4</v>
      </c>
      <c r="E226" s="6">
        <v>2.5</v>
      </c>
      <c r="F226" s="7">
        <f t="shared" si="11"/>
        <v>10.500000000000002</v>
      </c>
      <c r="G226" s="7">
        <f t="shared" si="12"/>
        <v>60.899999999999991</v>
      </c>
    </row>
    <row r="227" spans="1:7">
      <c r="A227" s="6">
        <v>38</v>
      </c>
      <c r="B227" s="6" t="s">
        <v>903</v>
      </c>
      <c r="C227" s="6">
        <v>1</v>
      </c>
      <c r="D227" s="6">
        <v>0.4</v>
      </c>
      <c r="E227" s="6">
        <v>3.92</v>
      </c>
      <c r="F227" s="7">
        <f t="shared" si="11"/>
        <v>5.4880000000000004</v>
      </c>
      <c r="G227" s="7">
        <f t="shared" si="12"/>
        <v>30.240000000000002</v>
      </c>
    </row>
    <row r="228" spans="1:7">
      <c r="A228" s="6">
        <v>39</v>
      </c>
      <c r="B228" s="6" t="s">
        <v>904</v>
      </c>
      <c r="C228" s="6">
        <v>4</v>
      </c>
      <c r="D228" s="6">
        <v>0.3</v>
      </c>
      <c r="E228" s="6">
        <v>2.2000000000000002</v>
      </c>
      <c r="F228" s="7">
        <f t="shared" si="11"/>
        <v>9.24</v>
      </c>
      <c r="G228" s="7">
        <f t="shared" si="12"/>
        <v>70</v>
      </c>
    </row>
    <row r="229" spans="1:7">
      <c r="A229" s="6">
        <v>40</v>
      </c>
      <c r="B229" s="6" t="s">
        <v>905</v>
      </c>
      <c r="C229" s="6">
        <v>2</v>
      </c>
      <c r="D229" s="6">
        <v>0.23</v>
      </c>
      <c r="E229" s="6">
        <v>3.1</v>
      </c>
      <c r="F229" s="7">
        <f t="shared" si="11"/>
        <v>4.9910000000000005</v>
      </c>
      <c r="G229" s="7">
        <f t="shared" si="12"/>
        <v>46.620000000000005</v>
      </c>
    </row>
    <row r="230" spans="1:7">
      <c r="A230" s="6">
        <v>41</v>
      </c>
      <c r="B230" s="6" t="s">
        <v>906</v>
      </c>
      <c r="C230" s="6">
        <v>4</v>
      </c>
      <c r="D230" s="6">
        <v>0.23</v>
      </c>
      <c r="E230" s="6">
        <v>2.38</v>
      </c>
      <c r="F230" s="7">
        <f t="shared" si="11"/>
        <v>7.6635999999999997</v>
      </c>
      <c r="G230" s="7">
        <f t="shared" si="12"/>
        <v>73.08</v>
      </c>
    </row>
    <row r="231" spans="1:7">
      <c r="A231" s="6">
        <v>42</v>
      </c>
      <c r="B231" s="6" t="s">
        <v>907</v>
      </c>
      <c r="C231" s="6">
        <v>4</v>
      </c>
      <c r="D231" s="6">
        <v>0.23</v>
      </c>
      <c r="E231" s="6">
        <v>3.43</v>
      </c>
      <c r="F231" s="7">
        <f t="shared" si="11"/>
        <v>11.044600000000001</v>
      </c>
      <c r="G231" s="7">
        <f t="shared" si="12"/>
        <v>102.48</v>
      </c>
    </row>
    <row r="232" spans="1:7">
      <c r="A232" s="1113" t="s">
        <v>232</v>
      </c>
      <c r="B232" s="1113"/>
      <c r="C232" s="1113"/>
      <c r="D232" s="1113"/>
      <c r="E232" s="1113"/>
      <c r="F232" s="9">
        <f>SUM(F190:F231)</f>
        <v>304.64980000000003</v>
      </c>
      <c r="G232" s="9">
        <f>SUM(G190:G231)</f>
        <v>1984.6679999999997</v>
      </c>
    </row>
    <row r="234" spans="1:7">
      <c r="A234" s="1194" t="s">
        <v>914</v>
      </c>
      <c r="B234" s="1194"/>
      <c r="C234" s="1194"/>
      <c r="D234" s="1194"/>
      <c r="E234" s="1194"/>
      <c r="F234" s="1194"/>
      <c r="G234" s="3">
        <v>3.1</v>
      </c>
    </row>
    <row r="235" spans="1:7" ht="27.6">
      <c r="A235" s="4" t="s">
        <v>197</v>
      </c>
      <c r="B235" s="4" t="s">
        <v>859</v>
      </c>
      <c r="C235" s="4" t="s">
        <v>324</v>
      </c>
      <c r="D235" s="4" t="s">
        <v>860</v>
      </c>
      <c r="E235" s="4" t="s">
        <v>861</v>
      </c>
      <c r="F235" s="5" t="s">
        <v>862</v>
      </c>
      <c r="G235" s="5" t="s">
        <v>863</v>
      </c>
    </row>
    <row r="236" spans="1:7">
      <c r="A236" s="6">
        <v>1</v>
      </c>
      <c r="B236" s="6" t="s">
        <v>871</v>
      </c>
      <c r="C236" s="6">
        <v>1</v>
      </c>
      <c r="D236" s="6">
        <v>0.4</v>
      </c>
      <c r="E236" s="6">
        <v>2.4</v>
      </c>
      <c r="F236" s="7">
        <f t="shared" ref="F236:F271" si="13">C236*D236*E236*$G$234</f>
        <v>2.976</v>
      </c>
      <c r="G236" s="7">
        <f t="shared" ref="G236:G271" si="14">(D236+E236)*2*C236*$G$234</f>
        <v>17.36</v>
      </c>
    </row>
    <row r="237" spans="1:7">
      <c r="A237" s="6">
        <v>2</v>
      </c>
      <c r="B237" s="6" t="s">
        <v>872</v>
      </c>
      <c r="C237" s="6">
        <v>1</v>
      </c>
      <c r="D237" s="6">
        <v>0.4</v>
      </c>
      <c r="E237" s="6">
        <v>3.77</v>
      </c>
      <c r="F237" s="7">
        <f t="shared" si="13"/>
        <v>4.6748000000000003</v>
      </c>
      <c r="G237" s="7">
        <f t="shared" si="14"/>
        <v>25.853999999999999</v>
      </c>
    </row>
    <row r="238" spans="1:7">
      <c r="A238" s="6">
        <v>3</v>
      </c>
      <c r="B238" s="6" t="s">
        <v>873</v>
      </c>
      <c r="C238" s="6">
        <v>1</v>
      </c>
      <c r="D238" s="6">
        <v>0.4</v>
      </c>
      <c r="E238" s="6">
        <v>1.3</v>
      </c>
      <c r="F238" s="7">
        <f t="shared" si="13"/>
        <v>1.6120000000000001</v>
      </c>
      <c r="G238" s="7">
        <f t="shared" si="14"/>
        <v>10.540000000000001</v>
      </c>
    </row>
    <row r="239" spans="1:7">
      <c r="A239" s="6">
        <v>4</v>
      </c>
      <c r="B239" s="6" t="s">
        <v>874</v>
      </c>
      <c r="C239" s="6">
        <v>1</v>
      </c>
      <c r="D239" s="6">
        <v>0.4</v>
      </c>
      <c r="E239" s="6">
        <v>3.35</v>
      </c>
      <c r="F239" s="7">
        <f t="shared" si="13"/>
        <v>4.1540000000000008</v>
      </c>
      <c r="G239" s="7">
        <f t="shared" si="14"/>
        <v>23.25</v>
      </c>
    </row>
    <row r="240" spans="1:7">
      <c r="A240" s="6">
        <v>5</v>
      </c>
      <c r="B240" s="6" t="s">
        <v>875</v>
      </c>
      <c r="C240" s="6">
        <v>1</v>
      </c>
      <c r="D240" s="6">
        <v>0.4</v>
      </c>
      <c r="E240" s="6">
        <v>2.1</v>
      </c>
      <c r="F240" s="7">
        <f t="shared" si="13"/>
        <v>2.6040000000000005</v>
      </c>
      <c r="G240" s="7">
        <f t="shared" si="14"/>
        <v>15.5</v>
      </c>
    </row>
    <row r="241" spans="1:7">
      <c r="A241" s="6">
        <v>6</v>
      </c>
      <c r="B241" s="6" t="s">
        <v>876</v>
      </c>
      <c r="C241" s="6">
        <v>2</v>
      </c>
      <c r="D241" s="6">
        <v>0.4</v>
      </c>
      <c r="E241" s="6">
        <v>2.6</v>
      </c>
      <c r="F241" s="7">
        <f t="shared" si="13"/>
        <v>6.4480000000000004</v>
      </c>
      <c r="G241" s="7">
        <f t="shared" si="14"/>
        <v>37.200000000000003</v>
      </c>
    </row>
    <row r="242" spans="1:7">
      <c r="A242" s="6">
        <v>7</v>
      </c>
      <c r="B242" s="6" t="s">
        <v>877</v>
      </c>
      <c r="C242" s="6">
        <v>1</v>
      </c>
      <c r="D242" s="6">
        <v>0.4</v>
      </c>
      <c r="E242" s="6">
        <v>3.2</v>
      </c>
      <c r="F242" s="7">
        <f t="shared" si="13"/>
        <v>3.9680000000000009</v>
      </c>
      <c r="G242" s="7">
        <f t="shared" si="14"/>
        <v>22.32</v>
      </c>
    </row>
    <row r="243" spans="1:7">
      <c r="A243" s="6">
        <v>8</v>
      </c>
      <c r="B243" s="6" t="s">
        <v>878</v>
      </c>
      <c r="C243" s="6">
        <v>2</v>
      </c>
      <c r="D243" s="6">
        <v>0.4</v>
      </c>
      <c r="E243" s="6">
        <v>2.67</v>
      </c>
      <c r="F243" s="7">
        <f t="shared" si="13"/>
        <v>6.6216000000000008</v>
      </c>
      <c r="G243" s="7">
        <f t="shared" si="14"/>
        <v>38.067999999999998</v>
      </c>
    </row>
    <row r="244" spans="1:7">
      <c r="A244" s="6">
        <v>9</v>
      </c>
      <c r="B244" s="6" t="s">
        <v>879</v>
      </c>
      <c r="C244" s="6">
        <v>1</v>
      </c>
      <c r="D244" s="6">
        <v>0.4</v>
      </c>
      <c r="E244" s="6">
        <v>1.85</v>
      </c>
      <c r="F244" s="7">
        <f t="shared" si="13"/>
        <v>2.2940000000000005</v>
      </c>
      <c r="G244" s="7">
        <f t="shared" si="14"/>
        <v>13.950000000000001</v>
      </c>
    </row>
    <row r="245" spans="1:7">
      <c r="A245" s="6">
        <v>10</v>
      </c>
      <c r="B245" s="6" t="s">
        <v>880</v>
      </c>
      <c r="C245" s="6">
        <v>1</v>
      </c>
      <c r="D245" s="6">
        <v>0.4</v>
      </c>
      <c r="E245" s="6">
        <v>1</v>
      </c>
      <c r="F245" s="7">
        <f t="shared" si="13"/>
        <v>1.2400000000000002</v>
      </c>
      <c r="G245" s="7">
        <f t="shared" si="14"/>
        <v>8.68</v>
      </c>
    </row>
    <row r="246" spans="1:7">
      <c r="A246" s="6">
        <v>11</v>
      </c>
      <c r="B246" s="6" t="s">
        <v>881</v>
      </c>
      <c r="C246" s="6">
        <v>1</v>
      </c>
      <c r="D246" s="6">
        <v>0.4</v>
      </c>
      <c r="E246" s="6">
        <v>3.58</v>
      </c>
      <c r="F246" s="7">
        <f t="shared" si="13"/>
        <v>4.4392000000000005</v>
      </c>
      <c r="G246" s="7">
        <f t="shared" si="14"/>
        <v>24.676000000000002</v>
      </c>
    </row>
    <row r="247" spans="1:7">
      <c r="A247" s="6">
        <v>12</v>
      </c>
      <c r="B247" s="6" t="s">
        <v>882</v>
      </c>
      <c r="C247" s="6">
        <v>1</v>
      </c>
      <c r="D247" s="6">
        <v>0.4</v>
      </c>
      <c r="E247" s="6">
        <v>2.2999999999999998</v>
      </c>
      <c r="F247" s="7">
        <f t="shared" si="13"/>
        <v>2.8519999999999999</v>
      </c>
      <c r="G247" s="7">
        <f t="shared" si="14"/>
        <v>16.739999999999998</v>
      </c>
    </row>
    <row r="248" spans="1:7">
      <c r="A248" s="6">
        <v>13</v>
      </c>
      <c r="B248" s="6" t="s">
        <v>883</v>
      </c>
      <c r="C248" s="6">
        <v>1</v>
      </c>
      <c r="D248" s="6">
        <v>0.4</v>
      </c>
      <c r="E248" s="6">
        <v>2</v>
      </c>
      <c r="F248" s="7">
        <f t="shared" si="13"/>
        <v>2.4800000000000004</v>
      </c>
      <c r="G248" s="7">
        <f t="shared" si="14"/>
        <v>14.879999999999999</v>
      </c>
    </row>
    <row r="249" spans="1:7">
      <c r="A249" s="6">
        <v>14</v>
      </c>
      <c r="B249" s="6" t="s">
        <v>884</v>
      </c>
      <c r="C249" s="6">
        <v>4</v>
      </c>
      <c r="D249" s="6">
        <v>0.4</v>
      </c>
      <c r="E249" s="6">
        <v>1.68</v>
      </c>
      <c r="F249" s="7">
        <f t="shared" si="13"/>
        <v>8.3328000000000007</v>
      </c>
      <c r="G249" s="7">
        <f t="shared" si="14"/>
        <v>51.584000000000003</v>
      </c>
    </row>
    <row r="250" spans="1:7">
      <c r="A250" s="6">
        <v>15</v>
      </c>
      <c r="B250" s="6" t="s">
        <v>885</v>
      </c>
      <c r="C250" s="6">
        <v>1</v>
      </c>
      <c r="D250" s="6">
        <v>0.4</v>
      </c>
      <c r="E250" s="6">
        <v>1.34</v>
      </c>
      <c r="F250" s="7">
        <f t="shared" si="13"/>
        <v>1.6616000000000002</v>
      </c>
      <c r="G250" s="7">
        <f t="shared" si="14"/>
        <v>10.788000000000002</v>
      </c>
    </row>
    <row r="251" spans="1:7">
      <c r="A251" s="6">
        <v>16</v>
      </c>
      <c r="B251" s="6" t="s">
        <v>886</v>
      </c>
      <c r="C251" s="6">
        <v>3</v>
      </c>
      <c r="D251" s="6">
        <v>0.4</v>
      </c>
      <c r="E251" s="6">
        <v>1.2</v>
      </c>
      <c r="F251" s="7">
        <f t="shared" si="13"/>
        <v>4.4640000000000004</v>
      </c>
      <c r="G251" s="7">
        <f t="shared" si="14"/>
        <v>29.760000000000005</v>
      </c>
    </row>
    <row r="252" spans="1:7">
      <c r="A252" s="6">
        <v>17</v>
      </c>
      <c r="B252" s="6" t="s">
        <v>887</v>
      </c>
      <c r="C252" s="6">
        <v>2</v>
      </c>
      <c r="D252" s="6">
        <v>0.4</v>
      </c>
      <c r="E252" s="6">
        <v>4.8499999999999996</v>
      </c>
      <c r="F252" s="7">
        <f t="shared" si="13"/>
        <v>12.028</v>
      </c>
      <c r="G252" s="7">
        <f t="shared" si="14"/>
        <v>65.100000000000009</v>
      </c>
    </row>
    <row r="253" spans="1:7">
      <c r="A253" s="6">
        <v>18</v>
      </c>
      <c r="B253" s="6" t="s">
        <v>888</v>
      </c>
      <c r="C253" s="6">
        <v>6</v>
      </c>
      <c r="D253" s="6">
        <v>0.4</v>
      </c>
      <c r="E253" s="6">
        <v>1.8</v>
      </c>
      <c r="F253" s="7">
        <f t="shared" si="13"/>
        <v>13.392000000000005</v>
      </c>
      <c r="G253" s="7">
        <f t="shared" si="14"/>
        <v>81.84</v>
      </c>
    </row>
    <row r="254" spans="1:7">
      <c r="A254" s="6">
        <v>19</v>
      </c>
      <c r="B254" s="6" t="s">
        <v>889</v>
      </c>
      <c r="C254" s="6">
        <v>2</v>
      </c>
      <c r="D254" s="6">
        <v>0.23</v>
      </c>
      <c r="E254" s="6">
        <v>0.8</v>
      </c>
      <c r="F254" s="7">
        <f t="shared" si="13"/>
        <v>1.1408000000000003</v>
      </c>
      <c r="G254" s="7">
        <f t="shared" si="14"/>
        <v>12.772</v>
      </c>
    </row>
    <row r="255" spans="1:7">
      <c r="A255" s="6">
        <v>20</v>
      </c>
      <c r="B255" s="6" t="s">
        <v>890</v>
      </c>
      <c r="C255" s="6">
        <v>2</v>
      </c>
      <c r="D255" s="6">
        <v>0.3</v>
      </c>
      <c r="E255" s="6">
        <v>2.5</v>
      </c>
      <c r="F255" s="7">
        <f t="shared" si="13"/>
        <v>4.6500000000000004</v>
      </c>
      <c r="G255" s="7">
        <f t="shared" si="14"/>
        <v>34.72</v>
      </c>
    </row>
    <row r="256" spans="1:7">
      <c r="A256" s="6">
        <v>21</v>
      </c>
      <c r="B256" s="6" t="s">
        <v>891</v>
      </c>
      <c r="C256" s="6">
        <v>6</v>
      </c>
      <c r="D256" s="6">
        <v>0.3</v>
      </c>
      <c r="E256" s="6">
        <v>2.5</v>
      </c>
      <c r="F256" s="7">
        <f t="shared" si="13"/>
        <v>13.950000000000001</v>
      </c>
      <c r="G256" s="7">
        <f t="shared" si="14"/>
        <v>104.15999999999998</v>
      </c>
    </row>
    <row r="257" spans="1:8">
      <c r="A257" s="6">
        <v>22</v>
      </c>
      <c r="B257" s="6" t="s">
        <v>892</v>
      </c>
      <c r="C257" s="6">
        <v>4</v>
      </c>
      <c r="D257" s="6">
        <v>0.3</v>
      </c>
      <c r="E257" s="6">
        <v>2.5</v>
      </c>
      <c r="F257" s="7">
        <f t="shared" si="13"/>
        <v>9.3000000000000007</v>
      </c>
      <c r="G257" s="7">
        <f t="shared" si="14"/>
        <v>69.44</v>
      </c>
    </row>
    <row r="258" spans="1:8">
      <c r="A258" s="6">
        <v>23</v>
      </c>
      <c r="B258" s="6" t="s">
        <v>893</v>
      </c>
      <c r="C258" s="6">
        <v>1</v>
      </c>
      <c r="D258" s="6">
        <v>0.4</v>
      </c>
      <c r="E258" s="6">
        <v>3.92</v>
      </c>
      <c r="F258" s="7">
        <f t="shared" si="13"/>
        <v>4.8608000000000002</v>
      </c>
      <c r="G258" s="7">
        <f t="shared" si="14"/>
        <v>26.784000000000002</v>
      </c>
    </row>
    <row r="259" spans="1:8">
      <c r="A259" s="6">
        <v>24</v>
      </c>
      <c r="B259" s="6" t="s">
        <v>894</v>
      </c>
      <c r="C259" s="6">
        <v>1</v>
      </c>
      <c r="D259" s="6">
        <v>0.4</v>
      </c>
      <c r="E259" s="6">
        <v>2.9</v>
      </c>
      <c r="F259" s="7">
        <f t="shared" si="13"/>
        <v>3.5959999999999996</v>
      </c>
      <c r="G259" s="7">
        <f t="shared" si="14"/>
        <v>20.46</v>
      </c>
    </row>
    <row r="260" spans="1:8">
      <c r="A260" s="6">
        <v>25</v>
      </c>
      <c r="B260" s="6" t="s">
        <v>895</v>
      </c>
      <c r="C260" s="6">
        <v>2</v>
      </c>
      <c r="D260" s="6">
        <v>0.4</v>
      </c>
      <c r="E260" s="6">
        <v>3.84</v>
      </c>
      <c r="F260" s="7">
        <f t="shared" si="13"/>
        <v>9.523200000000001</v>
      </c>
      <c r="G260" s="7">
        <f t="shared" si="14"/>
        <v>52.576000000000008</v>
      </c>
    </row>
    <row r="261" spans="1:8">
      <c r="A261" s="6">
        <v>26</v>
      </c>
      <c r="B261" s="6" t="s">
        <v>896</v>
      </c>
      <c r="C261" s="6">
        <v>2</v>
      </c>
      <c r="D261" s="6">
        <v>0.4</v>
      </c>
      <c r="E261" s="6">
        <v>2.6469999999999998</v>
      </c>
      <c r="F261" s="7">
        <f t="shared" si="13"/>
        <v>6.5645600000000002</v>
      </c>
      <c r="G261" s="7">
        <f t="shared" si="14"/>
        <v>37.782799999999995</v>
      </c>
    </row>
    <row r="262" spans="1:8">
      <c r="A262" s="6">
        <v>27</v>
      </c>
      <c r="B262" s="6" t="s">
        <v>897</v>
      </c>
      <c r="C262" s="6">
        <v>3</v>
      </c>
      <c r="D262" s="6">
        <v>0.4</v>
      </c>
      <c r="E262" s="6">
        <v>2.7170000000000001</v>
      </c>
      <c r="F262" s="7">
        <f t="shared" si="13"/>
        <v>10.107240000000003</v>
      </c>
      <c r="G262" s="7">
        <f t="shared" si="14"/>
        <v>57.976199999999999</v>
      </c>
    </row>
    <row r="263" spans="1:8">
      <c r="A263" s="6">
        <v>28</v>
      </c>
      <c r="B263" s="6" t="s">
        <v>898</v>
      </c>
      <c r="C263" s="6">
        <v>4</v>
      </c>
      <c r="D263" s="6">
        <v>0.4</v>
      </c>
      <c r="E263" s="6">
        <v>1.7</v>
      </c>
      <c r="F263" s="7">
        <f t="shared" si="13"/>
        <v>8.4320000000000004</v>
      </c>
      <c r="G263" s="7">
        <f t="shared" si="14"/>
        <v>52.080000000000005</v>
      </c>
    </row>
    <row r="264" spans="1:8">
      <c r="A264" s="6">
        <v>29</v>
      </c>
      <c r="B264" s="6" t="s">
        <v>899</v>
      </c>
      <c r="C264" s="6">
        <v>1</v>
      </c>
      <c r="D264" s="6">
        <v>0.4</v>
      </c>
      <c r="E264" s="6">
        <v>0.75900000000000001</v>
      </c>
      <c r="F264" s="7">
        <f t="shared" si="13"/>
        <v>0.94116000000000011</v>
      </c>
      <c r="G264" s="7">
        <f t="shared" si="14"/>
        <v>7.1858000000000004</v>
      </c>
    </row>
    <row r="265" spans="1:8">
      <c r="A265" s="6">
        <v>30</v>
      </c>
      <c r="B265" s="6" t="s">
        <v>900</v>
      </c>
      <c r="C265" s="6">
        <v>2</v>
      </c>
      <c r="D265" s="6">
        <v>0.3</v>
      </c>
      <c r="E265" s="6">
        <v>2.73</v>
      </c>
      <c r="F265" s="7">
        <f t="shared" si="13"/>
        <v>5.0777999999999999</v>
      </c>
      <c r="G265" s="7">
        <f t="shared" si="14"/>
        <v>37.571999999999996</v>
      </c>
    </row>
    <row r="266" spans="1:8">
      <c r="A266" s="6">
        <v>31</v>
      </c>
      <c r="B266" s="6" t="s">
        <v>901</v>
      </c>
      <c r="C266" s="6">
        <v>4</v>
      </c>
      <c r="D266" s="6">
        <v>0.4</v>
      </c>
      <c r="E266" s="6">
        <v>2.2000000000000002</v>
      </c>
      <c r="F266" s="7">
        <f t="shared" si="13"/>
        <v>10.912000000000003</v>
      </c>
      <c r="G266" s="7">
        <f t="shared" si="14"/>
        <v>64.48</v>
      </c>
    </row>
    <row r="267" spans="1:8">
      <c r="A267" s="6">
        <v>32</v>
      </c>
      <c r="B267" s="6" t="s">
        <v>902</v>
      </c>
      <c r="C267" s="6">
        <v>3</v>
      </c>
      <c r="D267" s="6">
        <v>0.4</v>
      </c>
      <c r="E267" s="6">
        <v>2.5</v>
      </c>
      <c r="F267" s="7">
        <f t="shared" si="13"/>
        <v>9.3000000000000025</v>
      </c>
      <c r="G267" s="7">
        <f t="shared" si="14"/>
        <v>53.94</v>
      </c>
    </row>
    <row r="268" spans="1:8">
      <c r="A268" s="6">
        <v>33</v>
      </c>
      <c r="B268" s="6" t="s">
        <v>903</v>
      </c>
      <c r="C268" s="6">
        <v>1</v>
      </c>
      <c r="D268" s="6">
        <v>0.4</v>
      </c>
      <c r="E268" s="6">
        <v>3.92</v>
      </c>
      <c r="F268" s="7">
        <f t="shared" si="13"/>
        <v>4.8608000000000002</v>
      </c>
      <c r="G268" s="7">
        <f t="shared" si="14"/>
        <v>26.784000000000002</v>
      </c>
    </row>
    <row r="269" spans="1:8">
      <c r="A269" s="6">
        <v>34</v>
      </c>
      <c r="B269" s="6" t="s">
        <v>905</v>
      </c>
      <c r="C269" s="6">
        <v>2</v>
      </c>
      <c r="D269" s="6">
        <v>0.23</v>
      </c>
      <c r="E269" s="6">
        <v>3.1</v>
      </c>
      <c r="F269" s="7">
        <f t="shared" si="13"/>
        <v>4.4206000000000003</v>
      </c>
      <c r="G269" s="7">
        <f t="shared" si="14"/>
        <v>41.292000000000002</v>
      </c>
    </row>
    <row r="270" spans="1:8">
      <c r="A270" s="6">
        <v>35</v>
      </c>
      <c r="B270" s="6" t="s">
        <v>906</v>
      </c>
      <c r="C270" s="6">
        <v>4</v>
      </c>
      <c r="D270" s="6">
        <v>0.23</v>
      </c>
      <c r="E270" s="6">
        <v>2.38</v>
      </c>
      <c r="F270" s="7">
        <f t="shared" si="13"/>
        <v>6.7877600000000005</v>
      </c>
      <c r="G270" s="7">
        <f t="shared" si="14"/>
        <v>64.727999999999994</v>
      </c>
    </row>
    <row r="271" spans="1:8">
      <c r="A271" s="6">
        <v>36</v>
      </c>
      <c r="B271" s="6" t="s">
        <v>907</v>
      </c>
      <c r="C271" s="6">
        <v>4</v>
      </c>
      <c r="D271" s="6">
        <v>0.23</v>
      </c>
      <c r="E271" s="6">
        <v>3.43</v>
      </c>
      <c r="F271" s="7">
        <f t="shared" si="13"/>
        <v>9.7823600000000006</v>
      </c>
      <c r="G271" s="7">
        <f t="shared" si="14"/>
        <v>90.768000000000001</v>
      </c>
    </row>
    <row r="272" spans="1:8">
      <c r="A272" s="6">
        <v>37</v>
      </c>
      <c r="B272" s="6" t="s">
        <v>558</v>
      </c>
      <c r="C272" s="6">
        <v>1</v>
      </c>
      <c r="D272" s="6">
        <f>(10.22+6.522+10.688+11.06+9.73+11.04)*2</f>
        <v>118.52</v>
      </c>
      <c r="E272" s="6">
        <v>0.15</v>
      </c>
      <c r="F272" s="7">
        <f>C272*D272*E272*($G$234-0.7)</f>
        <v>42.667200000000001</v>
      </c>
      <c r="G272" s="7">
        <f>D272*(G234-0.7)*2</f>
        <v>568.89600000000007</v>
      </c>
      <c r="H272" s="1">
        <f>G272*29</f>
        <v>16497.984</v>
      </c>
    </row>
    <row r="273" spans="1:14">
      <c r="A273" s="1113" t="s">
        <v>232</v>
      </c>
      <c r="B273" s="1113"/>
      <c r="C273" s="1113"/>
      <c r="D273" s="1113"/>
      <c r="E273" s="1113"/>
      <c r="F273" s="9">
        <f>SUM(F236:F272)</f>
        <v>253.11628000000005</v>
      </c>
      <c r="G273" s="9">
        <f>SUM(G236:G272)</f>
        <v>1932.4868000000001</v>
      </c>
    </row>
    <row r="274" spans="1:14">
      <c r="A274" s="1113" t="s">
        <v>232</v>
      </c>
      <c r="B274" s="1113"/>
      <c r="C274" s="1113"/>
      <c r="D274" s="1113"/>
      <c r="E274" s="1113"/>
      <c r="F274" s="9">
        <f>F273*29</f>
        <v>7340.3721200000009</v>
      </c>
      <c r="G274" s="9">
        <f>G273*29</f>
        <v>56042.117200000001</v>
      </c>
      <c r="H274" s="21">
        <v>29</v>
      </c>
    </row>
    <row r="276" spans="1:14">
      <c r="A276" s="1191" t="s">
        <v>915</v>
      </c>
      <c r="B276" s="1192"/>
      <c r="C276" s="1192"/>
      <c r="D276" s="1192"/>
      <c r="E276" s="1192"/>
      <c r="F276" s="1192"/>
      <c r="G276" s="1193"/>
    </row>
    <row r="277" spans="1:14" ht="27.6">
      <c r="A277" s="4" t="s">
        <v>197</v>
      </c>
      <c r="B277" s="4" t="s">
        <v>2</v>
      </c>
      <c r="C277" s="4" t="s">
        <v>324</v>
      </c>
      <c r="D277" s="4" t="s">
        <v>567</v>
      </c>
      <c r="E277" s="4" t="s">
        <v>916</v>
      </c>
      <c r="F277" s="5" t="s">
        <v>862</v>
      </c>
      <c r="G277" s="5" t="s">
        <v>863</v>
      </c>
    </row>
    <row r="278" spans="1:14">
      <c r="A278" s="6">
        <v>1</v>
      </c>
      <c r="B278" s="6" t="s">
        <v>525</v>
      </c>
      <c r="C278" s="6">
        <v>1</v>
      </c>
      <c r="D278" s="6">
        <v>3418.07</v>
      </c>
      <c r="E278" s="6">
        <v>0.2</v>
      </c>
      <c r="F278" s="7">
        <f>PRODUCT(C278:E278)</f>
        <v>683.61400000000003</v>
      </c>
      <c r="G278" s="6"/>
    </row>
    <row r="279" spans="1:14">
      <c r="A279" s="6">
        <v>2</v>
      </c>
      <c r="B279" s="6" t="s">
        <v>917</v>
      </c>
      <c r="C279" s="6">
        <v>1</v>
      </c>
      <c r="D279" s="6">
        <v>2077.2399999999998</v>
      </c>
      <c r="E279" s="6">
        <v>2</v>
      </c>
      <c r="F279" s="1011">
        <f>PRODUCT(C279:E279)</f>
        <v>4154.4799999999996</v>
      </c>
      <c r="G279" s="6">
        <f>I279*2</f>
        <v>462.62</v>
      </c>
      <c r="I279" s="1">
        <v>231.31</v>
      </c>
      <c r="J279" s="1" t="s">
        <v>568</v>
      </c>
      <c r="L279" s="1">
        <v>2077.2399999999998</v>
      </c>
    </row>
    <row r="280" spans="1:14">
      <c r="A280" s="6"/>
      <c r="B280" s="6" t="s">
        <v>918</v>
      </c>
      <c r="C280" s="6">
        <v>1</v>
      </c>
      <c r="D280" s="6">
        <v>1340.75</v>
      </c>
      <c r="E280" s="6">
        <v>1.5</v>
      </c>
      <c r="F280" s="6">
        <f>PRODUCT(C280:E280)</f>
        <v>2011.125</v>
      </c>
      <c r="G280" s="6">
        <f>I280*2</f>
        <v>389.5</v>
      </c>
      <c r="I280" s="1">
        <v>194.75</v>
      </c>
      <c r="J280" s="1" t="s">
        <v>568</v>
      </c>
      <c r="L280" s="1">
        <v>1340.75</v>
      </c>
    </row>
    <row r="281" spans="1:14">
      <c r="A281" s="6">
        <v>3</v>
      </c>
      <c r="B281" s="6" t="s">
        <v>919</v>
      </c>
      <c r="C281" s="6">
        <v>1</v>
      </c>
      <c r="D281" s="6"/>
      <c r="E281" s="6"/>
      <c r="F281" s="6"/>
      <c r="G281" s="6">
        <f>I281*2</f>
        <v>252.68</v>
      </c>
      <c r="I281" s="1">
        <v>126.34</v>
      </c>
      <c r="J281" s="1" t="s">
        <v>568</v>
      </c>
    </row>
    <row r="282" spans="1:14">
      <c r="A282" s="6">
        <v>4</v>
      </c>
      <c r="B282" s="6" t="s">
        <v>50</v>
      </c>
      <c r="C282" s="6">
        <v>1</v>
      </c>
      <c r="D282" s="6"/>
      <c r="E282" s="6">
        <v>4.4000000000000004</v>
      </c>
      <c r="F282" s="7">
        <f>I282*E282*0.3</f>
        <v>336.45480000000003</v>
      </c>
      <c r="G282" s="6">
        <f>I282*E282*2</f>
        <v>2243.0320000000002</v>
      </c>
      <c r="I282" s="1">
        <v>254.89</v>
      </c>
      <c r="J282" s="1" t="s">
        <v>568</v>
      </c>
    </row>
    <row r="283" spans="1:14">
      <c r="A283" s="6">
        <v>5</v>
      </c>
      <c r="B283" s="6" t="s">
        <v>920</v>
      </c>
      <c r="C283" s="6">
        <v>1</v>
      </c>
      <c r="D283" s="6"/>
      <c r="E283" s="6">
        <v>4.4000000000000004</v>
      </c>
      <c r="F283" s="7">
        <f>I283*E283*0.3</f>
        <v>80.658600000000007</v>
      </c>
      <c r="G283" s="6">
        <f>I283*E283*2</f>
        <v>537.72400000000005</v>
      </c>
      <c r="I283" s="1">
        <f>3.62+5.5+1.2+2+2+9.4+2.69+4.87+1.29+1.75+2+4.84+1.325+1.94+5.85+1+1.35+1.98+2+4.5</f>
        <v>61.104999999999997</v>
      </c>
      <c r="J283" s="1" t="s">
        <v>568</v>
      </c>
    </row>
    <row r="284" spans="1:14">
      <c r="A284" s="6">
        <v>6</v>
      </c>
      <c r="B284" s="6" t="s">
        <v>921</v>
      </c>
      <c r="C284" s="6">
        <v>1</v>
      </c>
      <c r="D284" s="6"/>
      <c r="E284" s="6">
        <v>4.4000000000000004</v>
      </c>
      <c r="F284" s="7">
        <f>I284*E284*0.3</f>
        <v>31.429200000000005</v>
      </c>
      <c r="G284" s="6">
        <f>I284*E284*2</f>
        <v>209.52800000000005</v>
      </c>
      <c r="I284" s="1">
        <f>1.97+1.35+4.48+4.05+1.22+1.75+3.22+5.07+0.7</f>
        <v>23.810000000000002</v>
      </c>
      <c r="J284" s="1" t="s">
        <v>568</v>
      </c>
    </row>
    <row r="285" spans="1:14">
      <c r="A285" s="6">
        <v>7</v>
      </c>
      <c r="B285" s="6" t="s">
        <v>922</v>
      </c>
      <c r="C285" s="6">
        <v>1</v>
      </c>
      <c r="D285" s="6"/>
      <c r="E285" s="6">
        <f>E284/2</f>
        <v>2.2000000000000002</v>
      </c>
      <c r="F285" s="7">
        <f>I285*E285*0.3</f>
        <v>34.171500000000002</v>
      </c>
      <c r="G285" s="6">
        <f>I285*E285*2</f>
        <v>227.81000000000003</v>
      </c>
      <c r="I285" s="1">
        <f>5.05+4.9+1.5+4.08+8.275+4.72+5.16+3.7+9.49+4.9</f>
        <v>51.775000000000006</v>
      </c>
      <c r="J285" s="1" t="s">
        <v>568</v>
      </c>
      <c r="N285" s="1">
        <f>D279*0.2</f>
        <v>415.44799999999998</v>
      </c>
    </row>
    <row r="286" spans="1:14">
      <c r="A286" s="6">
        <v>8</v>
      </c>
      <c r="B286" s="6" t="s">
        <v>923</v>
      </c>
      <c r="C286" s="6">
        <v>1</v>
      </c>
      <c r="D286" s="7">
        <f>3244.39-I46</f>
        <v>3156.8971999999999</v>
      </c>
      <c r="E286" s="6">
        <v>0.2</v>
      </c>
      <c r="F286" s="7">
        <f>PRODUCT(C286:E286)</f>
        <v>631.37944000000005</v>
      </c>
      <c r="G286" s="6"/>
      <c r="N286" s="1">
        <v>4154</v>
      </c>
    </row>
    <row r="287" spans="1:14">
      <c r="A287" s="1113" t="s">
        <v>232</v>
      </c>
      <c r="B287" s="1113"/>
      <c r="C287" s="1113"/>
      <c r="D287" s="1113"/>
      <c r="E287" s="1113"/>
      <c r="F287" s="9">
        <f>SUM(F279:F286)</f>
        <v>7279.6985399999994</v>
      </c>
      <c r="G287" s="9">
        <f>SUM(G279:G285)</f>
        <v>4322.8940000000011</v>
      </c>
      <c r="N287" s="1">
        <v>271</v>
      </c>
    </row>
    <row r="288" spans="1:14">
      <c r="F288" s="2"/>
      <c r="N288" s="1">
        <v>50</v>
      </c>
    </row>
    <row r="289" spans="1:14">
      <c r="A289" s="1191" t="s">
        <v>924</v>
      </c>
      <c r="B289" s="1192"/>
      <c r="C289" s="1192"/>
      <c r="D289" s="1192"/>
      <c r="E289" s="1192"/>
      <c r="F289" s="1192"/>
      <c r="G289" s="1193"/>
    </row>
    <row r="290" spans="1:14" ht="33.75" customHeight="1">
      <c r="A290" s="4" t="s">
        <v>197</v>
      </c>
      <c r="B290" s="4" t="s">
        <v>2</v>
      </c>
      <c r="C290" s="4" t="s">
        <v>324</v>
      </c>
      <c r="D290" s="4" t="s">
        <v>567</v>
      </c>
      <c r="E290" s="5" t="s">
        <v>925</v>
      </c>
      <c r="F290" s="5" t="s">
        <v>862</v>
      </c>
      <c r="G290" s="5" t="s">
        <v>863</v>
      </c>
    </row>
    <row r="291" spans="1:14">
      <c r="A291" s="6">
        <v>1</v>
      </c>
      <c r="B291" s="6" t="s">
        <v>926</v>
      </c>
      <c r="C291" s="6">
        <v>1</v>
      </c>
      <c r="D291" s="7">
        <v>948.77</v>
      </c>
      <c r="E291" s="7">
        <v>0.25</v>
      </c>
      <c r="F291" s="7">
        <f t="shared" ref="F291:F297" si="15">PRODUCT(C291:E291)</f>
        <v>237.1925</v>
      </c>
      <c r="G291" s="7">
        <f>D291</f>
        <v>948.77</v>
      </c>
    </row>
    <row r="292" spans="1:14">
      <c r="A292" s="6">
        <v>2</v>
      </c>
      <c r="B292" s="6" t="s">
        <v>927</v>
      </c>
      <c r="C292" s="6">
        <v>1</v>
      </c>
      <c r="D292" s="7">
        <v>99.92</v>
      </c>
      <c r="E292" s="7">
        <f>0.4-E291</f>
        <v>0.15000000000000002</v>
      </c>
      <c r="F292" s="7">
        <f t="shared" si="15"/>
        <v>14.988000000000003</v>
      </c>
      <c r="G292" s="7">
        <f>I292*E292</f>
        <v>27.080700000000007</v>
      </c>
      <c r="I292" s="1">
        <f>114.4+(7.87+7.2+7.299+7.299+7.3+7.59+10.79+10.79)</f>
        <v>180.53800000000001</v>
      </c>
      <c r="J292" s="1" t="s">
        <v>568</v>
      </c>
      <c r="N292" s="1">
        <f>(2.6+2.6+2.6+2.6)*11</f>
        <v>114.4</v>
      </c>
    </row>
    <row r="293" spans="1:14">
      <c r="A293" s="6">
        <v>3</v>
      </c>
      <c r="B293" s="6" t="s">
        <v>928</v>
      </c>
      <c r="C293" s="6">
        <v>1</v>
      </c>
      <c r="D293" s="7">
        <v>396.01</v>
      </c>
      <c r="E293" s="7">
        <v>0.15</v>
      </c>
      <c r="F293" s="7">
        <f t="shared" si="15"/>
        <v>59.401499999999999</v>
      </c>
      <c r="G293" s="7">
        <f>D293</f>
        <v>396.01</v>
      </c>
    </row>
    <row r="294" spans="1:14">
      <c r="A294" s="6">
        <v>4</v>
      </c>
      <c r="B294" s="6" t="s">
        <v>929</v>
      </c>
      <c r="C294" s="6">
        <v>1</v>
      </c>
      <c r="D294" s="7">
        <v>81.03</v>
      </c>
      <c r="E294" s="7">
        <v>0.15</v>
      </c>
      <c r="F294" s="7">
        <f t="shared" si="15"/>
        <v>12.154500000000001</v>
      </c>
      <c r="G294" s="7">
        <f>D294</f>
        <v>81.03</v>
      </c>
    </row>
    <row r="295" spans="1:14">
      <c r="A295" s="6">
        <v>5</v>
      </c>
      <c r="B295" s="6" t="s">
        <v>930</v>
      </c>
      <c r="C295" s="6">
        <v>1</v>
      </c>
      <c r="D295" s="7">
        <v>313.39999999999998</v>
      </c>
      <c r="E295" s="10">
        <v>0.17499999999999999</v>
      </c>
      <c r="F295" s="1010">
        <f t="shared" si="15"/>
        <v>54.844999999999992</v>
      </c>
      <c r="G295" s="7">
        <f>D295</f>
        <v>313.39999999999998</v>
      </c>
    </row>
    <row r="296" spans="1:14">
      <c r="A296" s="6">
        <v>6</v>
      </c>
      <c r="B296" s="6" t="s">
        <v>931</v>
      </c>
      <c r="C296" s="6">
        <v>1</v>
      </c>
      <c r="D296" s="7">
        <v>150.96</v>
      </c>
      <c r="E296" s="7">
        <v>0.15</v>
      </c>
      <c r="F296" s="1010">
        <f t="shared" si="15"/>
        <v>22.644000000000002</v>
      </c>
      <c r="G296" s="7">
        <f>D296</f>
        <v>150.96</v>
      </c>
    </row>
    <row r="297" spans="1:14">
      <c r="A297" s="6">
        <v>7</v>
      </c>
      <c r="B297" s="6" t="s">
        <v>932</v>
      </c>
      <c r="C297" s="6">
        <v>1</v>
      </c>
      <c r="D297" s="7">
        <f>752.69+7.31+10.299+11.36+63.56+7.45+3.32</f>
        <v>855.98900000000015</v>
      </c>
      <c r="E297" s="10">
        <v>0.125</v>
      </c>
      <c r="F297" s="1010">
        <f t="shared" si="15"/>
        <v>106.99862500000002</v>
      </c>
      <c r="G297" s="7">
        <f>D297</f>
        <v>855.98900000000015</v>
      </c>
    </row>
    <row r="298" spans="1:14">
      <c r="A298" s="1113" t="s">
        <v>232</v>
      </c>
      <c r="B298" s="1113"/>
      <c r="C298" s="1113"/>
      <c r="D298" s="1113"/>
      <c r="E298" s="1113"/>
      <c r="F298" s="9">
        <f>SUM(F291:F297)</f>
        <v>508.22412499999996</v>
      </c>
      <c r="G298" s="9">
        <f>SUM(G291:G297)</f>
        <v>2773.2397000000001</v>
      </c>
      <c r="I298" s="1">
        <f>G298/F298</f>
        <v>5.4567258097005933</v>
      </c>
    </row>
    <row r="299" spans="1:14">
      <c r="F299" s="2"/>
    </row>
    <row r="300" spans="1:14">
      <c r="A300" s="1191" t="s">
        <v>933</v>
      </c>
      <c r="B300" s="1192"/>
      <c r="C300" s="1192"/>
      <c r="D300" s="1192"/>
      <c r="E300" s="1192"/>
      <c r="F300" s="1192"/>
      <c r="G300" s="1193"/>
    </row>
    <row r="301" spans="1:14" ht="27.6">
      <c r="A301" s="4" t="s">
        <v>197</v>
      </c>
      <c r="B301" s="4" t="s">
        <v>2</v>
      </c>
      <c r="C301" s="4" t="s">
        <v>860</v>
      </c>
      <c r="D301" s="5" t="s">
        <v>217</v>
      </c>
      <c r="E301" s="5" t="s">
        <v>545</v>
      </c>
      <c r="F301" s="5" t="s">
        <v>862</v>
      </c>
      <c r="G301" s="5" t="s">
        <v>863</v>
      </c>
    </row>
    <row r="302" spans="1:14">
      <c r="A302" s="6">
        <v>1</v>
      </c>
      <c r="B302" s="6" t="s">
        <v>934</v>
      </c>
      <c r="C302" s="7">
        <f>(38.42)/D302</f>
        <v>128.06666666666666</v>
      </c>
      <c r="D302" s="7">
        <v>0.3</v>
      </c>
      <c r="E302" s="7">
        <v>0.7</v>
      </c>
      <c r="F302" s="7">
        <f t="shared" ref="F302" si="16">PRODUCT(C302:E302)</f>
        <v>26.893999999999995</v>
      </c>
      <c r="G302" s="7">
        <f>(C302*(D302+E302+E302))</f>
        <v>217.71333333333331</v>
      </c>
      <c r="K302" s="1">
        <f>29.56+2.99</f>
        <v>32.549999999999997</v>
      </c>
    </row>
    <row r="303" spans="1:14">
      <c r="A303" s="6">
        <v>2</v>
      </c>
      <c r="B303" s="6" t="s">
        <v>935</v>
      </c>
      <c r="C303" s="7">
        <f>35.73/D303</f>
        <v>102.08571428571429</v>
      </c>
      <c r="D303" s="7">
        <v>0.35</v>
      </c>
      <c r="E303" s="7">
        <v>0.7</v>
      </c>
      <c r="F303" s="1010">
        <f t="shared" ref="F303:F305" si="17">PRODUCT(C303:E303)</f>
        <v>25.010999999999996</v>
      </c>
      <c r="G303" s="7">
        <f>(C303*(D303+E303+E303))</f>
        <v>178.64999999999998</v>
      </c>
    </row>
    <row r="304" spans="1:14">
      <c r="A304" s="6">
        <v>3</v>
      </c>
      <c r="B304" s="6" t="s">
        <v>936</v>
      </c>
      <c r="C304" s="7">
        <f>96.62/D304</f>
        <v>420.08695652173913</v>
      </c>
      <c r="D304" s="7">
        <v>0.23</v>
      </c>
      <c r="E304" s="7">
        <v>0.7</v>
      </c>
      <c r="F304" s="1010">
        <f t="shared" si="17"/>
        <v>67.634</v>
      </c>
      <c r="G304" s="7">
        <f>(C304*(D304+E304+E304))</f>
        <v>684.74173913043478</v>
      </c>
    </row>
    <row r="305" spans="1:10">
      <c r="A305" s="6">
        <v>4</v>
      </c>
      <c r="B305" s="6" t="s">
        <v>937</v>
      </c>
      <c r="C305" s="7">
        <f>(2.57+0.403)/D305</f>
        <v>19.82</v>
      </c>
      <c r="D305" s="7">
        <v>0.15</v>
      </c>
      <c r="E305" s="7">
        <v>0.7</v>
      </c>
      <c r="F305" s="1010">
        <f t="shared" si="17"/>
        <v>2.0810999999999997</v>
      </c>
      <c r="G305" s="7">
        <f>(C305*(D305+E305+E305))</f>
        <v>30.720999999999997</v>
      </c>
    </row>
    <row r="306" spans="1:10">
      <c r="A306" s="1113" t="s">
        <v>232</v>
      </c>
      <c r="B306" s="1113"/>
      <c r="C306" s="1113"/>
      <c r="D306" s="1113"/>
      <c r="E306" s="1113"/>
      <c r="F306" s="9">
        <f>SUM(F302:F305)</f>
        <v>121.62009999999999</v>
      </c>
      <c r="G306" s="9">
        <f>SUM(G302:G305)</f>
        <v>1111.826072463768</v>
      </c>
    </row>
    <row r="308" spans="1:10">
      <c r="A308" s="1191" t="s">
        <v>938</v>
      </c>
      <c r="B308" s="1192"/>
      <c r="C308" s="1192"/>
      <c r="D308" s="1192"/>
      <c r="E308" s="1192"/>
      <c r="F308" s="1192"/>
      <c r="G308" s="1193"/>
    </row>
    <row r="309" spans="1:10" ht="27.6">
      <c r="A309" s="4" t="s">
        <v>197</v>
      </c>
      <c r="B309" s="4" t="s">
        <v>2</v>
      </c>
      <c r="C309" s="4" t="s">
        <v>324</v>
      </c>
      <c r="D309" s="4" t="s">
        <v>567</v>
      </c>
      <c r="E309" s="5" t="s">
        <v>925</v>
      </c>
      <c r="F309" s="5" t="s">
        <v>862</v>
      </c>
      <c r="G309" s="5" t="s">
        <v>863</v>
      </c>
    </row>
    <row r="310" spans="1:10">
      <c r="A310" s="6">
        <v>1</v>
      </c>
      <c r="B310" s="6" t="s">
        <v>926</v>
      </c>
      <c r="C310" s="6">
        <v>1</v>
      </c>
      <c r="D310" s="7">
        <v>1025.94</v>
      </c>
      <c r="E310" s="7">
        <v>0.25</v>
      </c>
      <c r="F310" s="7">
        <f t="shared" ref="F310:F316" si="18">PRODUCT(C310:E310)</f>
        <v>256.48500000000001</v>
      </c>
      <c r="G310" s="7">
        <f>D310</f>
        <v>1025.94</v>
      </c>
    </row>
    <row r="311" spans="1:10">
      <c r="A311" s="6">
        <v>2</v>
      </c>
      <c r="B311" s="6" t="s">
        <v>927</v>
      </c>
      <c r="C311" s="6">
        <v>1</v>
      </c>
      <c r="D311" s="7">
        <v>112.04</v>
      </c>
      <c r="E311" s="7">
        <f>0.4-E310</f>
        <v>0.15000000000000002</v>
      </c>
      <c r="F311" s="7">
        <f t="shared" si="18"/>
        <v>16.806000000000004</v>
      </c>
      <c r="G311" s="7">
        <f>I311*E311</f>
        <v>30.465000000000007</v>
      </c>
      <c r="I311" s="1">
        <f>((2.6+2.6)*2*12)+(8.06+7.61+7.49+7.49+7.49+7.559+10.8+10.8+11.001)</f>
        <v>203.10000000000002</v>
      </c>
      <c r="J311" s="1" t="s">
        <v>568</v>
      </c>
    </row>
    <row r="312" spans="1:10">
      <c r="A312" s="6">
        <v>3</v>
      </c>
      <c r="B312" s="6" t="s">
        <v>928</v>
      </c>
      <c r="C312" s="6">
        <v>1</v>
      </c>
      <c r="D312" s="7">
        <v>280.70999999999998</v>
      </c>
      <c r="E312" s="7">
        <v>0.15</v>
      </c>
      <c r="F312" s="7">
        <f t="shared" si="18"/>
        <v>42.106499999999997</v>
      </c>
      <c r="G312" s="7">
        <f>D312</f>
        <v>280.70999999999998</v>
      </c>
    </row>
    <row r="313" spans="1:10">
      <c r="A313" s="6">
        <v>4</v>
      </c>
      <c r="B313" s="6" t="s">
        <v>929</v>
      </c>
      <c r="C313" s="6">
        <v>1</v>
      </c>
      <c r="D313" s="7">
        <v>81.03</v>
      </c>
      <c r="E313" s="7">
        <v>0.15</v>
      </c>
      <c r="F313" s="7">
        <f t="shared" si="18"/>
        <v>12.154500000000001</v>
      </c>
      <c r="G313" s="7">
        <f>D313</f>
        <v>81.03</v>
      </c>
    </row>
    <row r="314" spans="1:10">
      <c r="A314" s="6">
        <v>5</v>
      </c>
      <c r="B314" s="6" t="s">
        <v>930</v>
      </c>
      <c r="C314" s="6">
        <v>1</v>
      </c>
      <c r="D314" s="7">
        <v>313.39999999999998</v>
      </c>
      <c r="E314" s="10">
        <v>0.17499999999999999</v>
      </c>
      <c r="F314" s="7">
        <f t="shared" si="18"/>
        <v>54.844999999999992</v>
      </c>
      <c r="G314" s="7">
        <f>D314</f>
        <v>313.39999999999998</v>
      </c>
    </row>
    <row r="315" spans="1:10">
      <c r="A315" s="6">
        <v>6</v>
      </c>
      <c r="B315" s="6" t="s">
        <v>931</v>
      </c>
      <c r="C315" s="6">
        <v>1</v>
      </c>
      <c r="D315" s="7">
        <v>150.96</v>
      </c>
      <c r="E315" s="7">
        <v>0.15</v>
      </c>
      <c r="F315" s="7">
        <f t="shared" si="18"/>
        <v>22.644000000000002</v>
      </c>
      <c r="G315" s="7">
        <f>D315</f>
        <v>150.96</v>
      </c>
    </row>
    <row r="316" spans="1:10">
      <c r="A316" s="6">
        <v>7</v>
      </c>
      <c r="B316" s="6" t="s">
        <v>932</v>
      </c>
      <c r="C316" s="6">
        <v>1</v>
      </c>
      <c r="D316" s="7">
        <f>752.69+7.31+10.299+11.36+63.56+7.45+3.32</f>
        <v>855.98900000000015</v>
      </c>
      <c r="E316" s="10">
        <v>0.125</v>
      </c>
      <c r="F316" s="7">
        <f t="shared" si="18"/>
        <v>106.99862500000002</v>
      </c>
      <c r="G316" s="7">
        <f>D316</f>
        <v>855.98900000000015</v>
      </c>
    </row>
    <row r="317" spans="1:10">
      <c r="A317" s="1113" t="s">
        <v>232</v>
      </c>
      <c r="B317" s="1113"/>
      <c r="C317" s="1113"/>
      <c r="D317" s="1113"/>
      <c r="E317" s="1113"/>
      <c r="F317" s="9">
        <f>SUM(F310:F316)</f>
        <v>512.039625</v>
      </c>
      <c r="G317" s="9">
        <f>SUM(G310:G316)</f>
        <v>2738.4940000000001</v>
      </c>
    </row>
    <row r="318" spans="1:10">
      <c r="A318" s="1113" t="s">
        <v>232</v>
      </c>
      <c r="B318" s="1113"/>
      <c r="C318" s="1113"/>
      <c r="D318" s="1113"/>
      <c r="E318" s="1113"/>
      <c r="F318" s="9">
        <f>F317*H318</f>
        <v>3072.2377500000002</v>
      </c>
      <c r="G318" s="9">
        <f>G317*H318</f>
        <v>16430.964</v>
      </c>
      <c r="H318" s="21">
        <v>6</v>
      </c>
    </row>
    <row r="320" spans="1:10">
      <c r="A320" s="1191" t="s">
        <v>939</v>
      </c>
      <c r="B320" s="1192"/>
      <c r="C320" s="1192"/>
      <c r="D320" s="1192"/>
      <c r="E320" s="1192"/>
      <c r="F320" s="1192"/>
      <c r="G320" s="1193"/>
    </row>
    <row r="321" spans="1:13" ht="27.6">
      <c r="A321" s="4" t="s">
        <v>197</v>
      </c>
      <c r="B321" s="4" t="s">
        <v>2</v>
      </c>
      <c r="C321" s="4" t="s">
        <v>860</v>
      </c>
      <c r="D321" s="5" t="s">
        <v>217</v>
      </c>
      <c r="E321" s="5" t="s">
        <v>545</v>
      </c>
      <c r="F321" s="5" t="s">
        <v>862</v>
      </c>
      <c r="G321" s="5" t="s">
        <v>863</v>
      </c>
    </row>
    <row r="322" spans="1:13">
      <c r="A322" s="6">
        <v>1</v>
      </c>
      <c r="B322" s="6" t="s">
        <v>934</v>
      </c>
      <c r="C322" s="7">
        <f>(72.7-(8*1.05))/D322</f>
        <v>214.33333333333334</v>
      </c>
      <c r="D322" s="7">
        <v>0.3</v>
      </c>
      <c r="E322" s="7">
        <v>0.7</v>
      </c>
      <c r="F322" s="7">
        <f t="shared" ref="F322:F325" si="19">PRODUCT(C322:E322)</f>
        <v>45.01</v>
      </c>
      <c r="G322" s="7">
        <f>(C322*(D322+E322+E322))</f>
        <v>364.36666666666667</v>
      </c>
    </row>
    <row r="323" spans="1:13">
      <c r="A323" s="6">
        <v>2</v>
      </c>
      <c r="B323" s="6" t="s">
        <v>935</v>
      </c>
      <c r="C323" s="7">
        <f>25.73/D323</f>
        <v>73.51428571428572</v>
      </c>
      <c r="D323" s="7">
        <v>0.35</v>
      </c>
      <c r="E323" s="7">
        <v>0.7</v>
      </c>
      <c r="F323" s="7">
        <f t="shared" si="19"/>
        <v>18.010999999999999</v>
      </c>
      <c r="G323" s="7">
        <f>(C323*(D323+E323+E323))</f>
        <v>128.65</v>
      </c>
    </row>
    <row r="324" spans="1:13">
      <c r="A324" s="6">
        <v>3</v>
      </c>
      <c r="B324" s="6" t="s">
        <v>936</v>
      </c>
      <c r="C324" s="7">
        <f>96.62/D324</f>
        <v>420.08695652173913</v>
      </c>
      <c r="D324" s="7">
        <v>0.23</v>
      </c>
      <c r="E324" s="7">
        <v>0.7</v>
      </c>
      <c r="F324" s="7">
        <f t="shared" si="19"/>
        <v>67.634</v>
      </c>
      <c r="G324" s="7">
        <f>(C324*(D324+E324+E324))</f>
        <v>684.74173913043478</v>
      </c>
    </row>
    <row r="325" spans="1:13">
      <c r="A325" s="6">
        <v>4</v>
      </c>
      <c r="B325" s="6" t="s">
        <v>937</v>
      </c>
      <c r="C325" s="7">
        <f>(2.57+0.403)/D325</f>
        <v>19.82</v>
      </c>
      <c r="D325" s="7">
        <v>0.15</v>
      </c>
      <c r="E325" s="7">
        <v>0.7</v>
      </c>
      <c r="F325" s="7">
        <f t="shared" si="19"/>
        <v>2.0810999999999997</v>
      </c>
      <c r="G325" s="7">
        <f>(C325*(D325+E325+E325))</f>
        <v>30.720999999999997</v>
      </c>
    </row>
    <row r="326" spans="1:13">
      <c r="A326" s="1113" t="s">
        <v>232</v>
      </c>
      <c r="B326" s="1113"/>
      <c r="C326" s="1113"/>
      <c r="D326" s="1113"/>
      <c r="E326" s="1113"/>
      <c r="F326" s="9">
        <f>SUM(F322:F325)</f>
        <v>132.73609999999999</v>
      </c>
      <c r="G326" s="9">
        <f>SUM(G322:G325)</f>
        <v>1208.4794057971014</v>
      </c>
    </row>
    <row r="327" spans="1:13">
      <c r="A327" s="1113" t="s">
        <v>232</v>
      </c>
      <c r="B327" s="1113"/>
      <c r="C327" s="1113"/>
      <c r="D327" s="1113"/>
      <c r="E327" s="1113"/>
      <c r="F327" s="9">
        <f>F326*H327</f>
        <v>796.41660000000002</v>
      </c>
      <c r="G327" s="9">
        <f>G326*H327</f>
        <v>7250.8764347826091</v>
      </c>
      <c r="H327" s="21">
        <v>6</v>
      </c>
    </row>
    <row r="329" spans="1:13">
      <c r="A329" s="1191" t="s">
        <v>940</v>
      </c>
      <c r="B329" s="1192"/>
      <c r="C329" s="1192"/>
      <c r="D329" s="1192"/>
      <c r="E329" s="1192"/>
      <c r="F329" s="1192"/>
      <c r="G329" s="1193"/>
    </row>
    <row r="330" spans="1:13" ht="27.6">
      <c r="A330" s="4" t="s">
        <v>197</v>
      </c>
      <c r="B330" s="4" t="s">
        <v>2</v>
      </c>
      <c r="C330" s="4" t="s">
        <v>324</v>
      </c>
      <c r="D330" s="4" t="s">
        <v>567</v>
      </c>
      <c r="E330" s="5" t="s">
        <v>925</v>
      </c>
      <c r="F330" s="5" t="s">
        <v>862</v>
      </c>
      <c r="G330" s="5" t="s">
        <v>863</v>
      </c>
      <c r="L330" s="9">
        <f>G327+G343+G306</f>
        <v>40692.738884057966</v>
      </c>
      <c r="M330" s="4" t="s">
        <v>1227</v>
      </c>
    </row>
    <row r="331" spans="1:13">
      <c r="A331" s="6">
        <v>1</v>
      </c>
      <c r="B331" s="6" t="s">
        <v>930</v>
      </c>
      <c r="C331" s="6">
        <v>1</v>
      </c>
      <c r="D331" s="7">
        <v>283.20999999999998</v>
      </c>
      <c r="E331" s="7">
        <v>0.17499999999999999</v>
      </c>
      <c r="F331" s="7">
        <f t="shared" ref="F331:F334" si="20">PRODUCT(C331:E331)</f>
        <v>49.561749999999996</v>
      </c>
      <c r="G331" s="7">
        <f>D331</f>
        <v>283.20999999999998</v>
      </c>
    </row>
    <row r="332" spans="1:13">
      <c r="A332" s="6">
        <v>2</v>
      </c>
      <c r="B332" s="6" t="s">
        <v>931</v>
      </c>
      <c r="C332" s="6">
        <v>1</v>
      </c>
      <c r="D332" s="7">
        <v>117.04</v>
      </c>
      <c r="E332" s="7">
        <v>0.15</v>
      </c>
      <c r="F332" s="7">
        <f t="shared" si="20"/>
        <v>17.556000000000001</v>
      </c>
      <c r="G332" s="7">
        <f>D332</f>
        <v>117.04</v>
      </c>
    </row>
    <row r="333" spans="1:13">
      <c r="A333" s="6">
        <v>3</v>
      </c>
      <c r="B333" s="6" t="s">
        <v>941</v>
      </c>
      <c r="C333" s="6">
        <v>1</v>
      </c>
      <c r="D333" s="7">
        <v>489.08</v>
      </c>
      <c r="E333" s="10">
        <v>0.125</v>
      </c>
      <c r="F333" s="7">
        <f t="shared" si="20"/>
        <v>61.134999999999998</v>
      </c>
      <c r="G333" s="7">
        <f>D333</f>
        <v>489.08</v>
      </c>
    </row>
    <row r="334" spans="1:13">
      <c r="A334" s="6"/>
      <c r="B334" s="6" t="s">
        <v>242</v>
      </c>
      <c r="C334" s="6">
        <v>1</v>
      </c>
      <c r="D334" s="7">
        <v>86.58</v>
      </c>
      <c r="E334" s="10">
        <v>0.125</v>
      </c>
      <c r="F334" s="7">
        <f t="shared" si="20"/>
        <v>10.8225</v>
      </c>
      <c r="G334" s="7">
        <f>(D334*2)+(I334*0.125)</f>
        <v>188.32137499999999</v>
      </c>
      <c r="I334" s="1">
        <f>0.75+19.81+0.75+0.75+8.8+0.75+0.75+9.99+9.5+10.32+1.5+1.77+10.007+7.45+10.007+1.77+1.77+10.007+3.8+3.65+6.12+1.27</f>
        <v>121.29100000000001</v>
      </c>
      <c r="J334" s="1" t="s">
        <v>568</v>
      </c>
      <c r="L334" s="9">
        <f>G336+G318+G298</f>
        <v>50456.093574999999</v>
      </c>
      <c r="M334" s="4" t="s">
        <v>55</v>
      </c>
    </row>
    <row r="335" spans="1:13">
      <c r="A335" s="1113" t="s">
        <v>232</v>
      </c>
      <c r="B335" s="1113"/>
      <c r="C335" s="1113"/>
      <c r="D335" s="1113"/>
      <c r="E335" s="1113"/>
      <c r="F335" s="9">
        <f>SUM(F331:F334)</f>
        <v>139.07524999999998</v>
      </c>
      <c r="G335" s="9">
        <f>SUM(G331:G334)</f>
        <v>1077.6513749999999</v>
      </c>
    </row>
    <row r="336" spans="1:13">
      <c r="A336" s="1113" t="s">
        <v>232</v>
      </c>
      <c r="B336" s="1113"/>
      <c r="C336" s="1113"/>
      <c r="D336" s="1113"/>
      <c r="E336" s="1113"/>
      <c r="F336" s="9">
        <f>F335*H336</f>
        <v>4033.1822499999994</v>
      </c>
      <c r="G336" s="9">
        <f>G335*H336</f>
        <v>31251.889874999997</v>
      </c>
      <c r="H336" s="21">
        <v>29</v>
      </c>
      <c r="L336" s="2"/>
    </row>
    <row r="338" spans="1:12">
      <c r="A338" s="1191" t="s">
        <v>940</v>
      </c>
      <c r="B338" s="1192"/>
      <c r="C338" s="1192"/>
      <c r="D338" s="1192"/>
      <c r="E338" s="1192"/>
      <c r="F338" s="1192"/>
      <c r="G338" s="1193"/>
    </row>
    <row r="339" spans="1:12" ht="27.6">
      <c r="A339" s="4" t="s">
        <v>197</v>
      </c>
      <c r="B339" s="4" t="s">
        <v>2</v>
      </c>
      <c r="C339" s="4" t="s">
        <v>860</v>
      </c>
      <c r="D339" s="5" t="s">
        <v>217</v>
      </c>
      <c r="E339" s="5" t="s">
        <v>545</v>
      </c>
      <c r="F339" s="5" t="s">
        <v>862</v>
      </c>
      <c r="G339" s="5" t="s">
        <v>863</v>
      </c>
    </row>
    <row r="340" spans="1:12">
      <c r="A340" s="6">
        <v>1</v>
      </c>
      <c r="B340" s="6" t="s">
        <v>936</v>
      </c>
      <c r="C340" s="7">
        <f>131.47/D340</f>
        <v>571.60869565217388</v>
      </c>
      <c r="D340" s="7">
        <v>0.23</v>
      </c>
      <c r="E340" s="7">
        <v>0.7</v>
      </c>
      <c r="F340" s="7">
        <f t="shared" ref="F340:F341" si="21">PRODUCT(C340:E340)</f>
        <v>92.028999999999996</v>
      </c>
      <c r="G340" s="7">
        <f>(C340*(D340+E340+E340))</f>
        <v>931.72217391304332</v>
      </c>
    </row>
    <row r="341" spans="1:12">
      <c r="A341" s="6">
        <v>2</v>
      </c>
      <c r="B341" s="6" t="s">
        <v>937</v>
      </c>
      <c r="C341" s="7">
        <f>(17.72)/D341</f>
        <v>118.13333333333333</v>
      </c>
      <c r="D341" s="7">
        <v>0.15</v>
      </c>
      <c r="E341" s="7">
        <v>0.7</v>
      </c>
      <c r="F341" s="7">
        <f t="shared" si="21"/>
        <v>12.403999999999998</v>
      </c>
      <c r="G341" s="7">
        <f>(C341*(D341+E341+E341))</f>
        <v>183.10666666666663</v>
      </c>
    </row>
    <row r="342" spans="1:12">
      <c r="A342" s="1113" t="s">
        <v>232</v>
      </c>
      <c r="B342" s="1113"/>
      <c r="C342" s="1113"/>
      <c r="D342" s="1113"/>
      <c r="E342" s="1113"/>
      <c r="F342" s="9">
        <f>SUM(F340:F341)</f>
        <v>104.43299999999999</v>
      </c>
      <c r="G342" s="9">
        <f>SUM(G340:G341)</f>
        <v>1114.82884057971</v>
      </c>
    </row>
    <row r="343" spans="1:12">
      <c r="A343" s="1113" t="s">
        <v>232</v>
      </c>
      <c r="B343" s="1113"/>
      <c r="C343" s="1113"/>
      <c r="D343" s="1113"/>
      <c r="E343" s="1113"/>
      <c r="F343" s="9">
        <f>F342*H343</f>
        <v>3028.5569999999998</v>
      </c>
      <c r="G343" s="9">
        <f>G342*H343</f>
        <v>32330.036376811589</v>
      </c>
      <c r="H343" s="21">
        <v>29</v>
      </c>
      <c r="L343" s="2"/>
    </row>
    <row r="344" spans="1:12">
      <c r="F344" s="2"/>
    </row>
    <row r="345" spans="1:12">
      <c r="A345" s="1191" t="s">
        <v>942</v>
      </c>
      <c r="B345" s="1192"/>
      <c r="C345" s="1192"/>
      <c r="D345" s="1192"/>
      <c r="E345" s="1192"/>
      <c r="F345" s="1192"/>
      <c r="G345" s="1193"/>
    </row>
    <row r="346" spans="1:12" ht="27.6">
      <c r="A346" s="4" t="s">
        <v>197</v>
      </c>
      <c r="B346" s="4" t="s">
        <v>2</v>
      </c>
      <c r="C346" s="4" t="s">
        <v>324</v>
      </c>
      <c r="D346" s="5" t="s">
        <v>567</v>
      </c>
      <c r="E346" s="5" t="s">
        <v>545</v>
      </c>
      <c r="F346" s="5" t="s">
        <v>862</v>
      </c>
      <c r="G346" s="5" t="s">
        <v>863</v>
      </c>
    </row>
    <row r="347" spans="1:12">
      <c r="A347" s="6">
        <v>1</v>
      </c>
      <c r="B347" s="6" t="s">
        <v>943</v>
      </c>
      <c r="C347" s="6">
        <v>4</v>
      </c>
      <c r="D347" s="6">
        <v>46.27</v>
      </c>
      <c r="E347" s="6">
        <v>0.2</v>
      </c>
      <c r="F347" s="7">
        <f t="shared" ref="F347:F351" si="22">PRODUCT(C347:E347)</f>
        <v>37.016000000000005</v>
      </c>
      <c r="G347" s="6">
        <f>C347*D347</f>
        <v>185.08</v>
      </c>
    </row>
    <row r="348" spans="1:12">
      <c r="A348" s="6">
        <v>2</v>
      </c>
      <c r="B348" s="6" t="s">
        <v>944</v>
      </c>
      <c r="C348" s="6">
        <v>4</v>
      </c>
      <c r="D348" s="6">
        <f>I348*0.15</f>
        <v>4.1144999999999996</v>
      </c>
      <c r="E348" s="6">
        <v>1.75</v>
      </c>
      <c r="F348" s="7">
        <f t="shared" si="22"/>
        <v>28.801499999999997</v>
      </c>
      <c r="G348" s="6">
        <f>C348*I348*2</f>
        <v>219.44</v>
      </c>
      <c r="I348" s="1">
        <v>27.43</v>
      </c>
      <c r="J348" s="1" t="s">
        <v>568</v>
      </c>
    </row>
    <row r="349" spans="1:12">
      <c r="A349" s="6">
        <v>3</v>
      </c>
      <c r="B349" s="6" t="s">
        <v>945</v>
      </c>
      <c r="C349" s="6">
        <v>1</v>
      </c>
      <c r="D349" s="6">
        <v>15.46</v>
      </c>
      <c r="E349" s="6">
        <v>4.8600000000000003</v>
      </c>
      <c r="F349" s="7">
        <f t="shared" si="22"/>
        <v>75.135600000000011</v>
      </c>
      <c r="G349" s="6">
        <f>I349*E349</f>
        <v>566.77320000000009</v>
      </c>
      <c r="I349" s="1">
        <f>(15.92+19.6+22.79)*2</f>
        <v>116.62</v>
      </c>
      <c r="J349" s="1" t="s">
        <v>568</v>
      </c>
    </row>
    <row r="350" spans="1:12">
      <c r="A350" s="6">
        <v>4</v>
      </c>
      <c r="B350" s="6" t="s">
        <v>946</v>
      </c>
      <c r="C350" s="6">
        <v>2</v>
      </c>
      <c r="D350" s="6">
        <v>78.77</v>
      </c>
      <c r="E350" s="6">
        <v>0.15</v>
      </c>
      <c r="F350" s="7">
        <f t="shared" si="22"/>
        <v>23.630999999999997</v>
      </c>
      <c r="G350" s="6">
        <f>C350*D350</f>
        <v>157.54</v>
      </c>
    </row>
    <row r="351" spans="1:12">
      <c r="A351" s="6">
        <v>5</v>
      </c>
      <c r="B351" s="6" t="s">
        <v>947</v>
      </c>
      <c r="C351" s="6">
        <v>1</v>
      </c>
      <c r="D351" s="6">
        <f>I351*0.2</f>
        <v>22.548000000000002</v>
      </c>
      <c r="E351" s="6">
        <v>1.75</v>
      </c>
      <c r="F351" s="7">
        <f t="shared" si="22"/>
        <v>39.459000000000003</v>
      </c>
      <c r="G351" s="6">
        <f>I351*E351*2</f>
        <v>394.59</v>
      </c>
      <c r="I351" s="1">
        <f>(9.64+11.76+12.73+12.5+9.74)*2</f>
        <v>112.74</v>
      </c>
      <c r="J351" s="1" t="s">
        <v>568</v>
      </c>
    </row>
    <row r="352" spans="1:12">
      <c r="A352" s="6">
        <v>6</v>
      </c>
      <c r="B352" s="6" t="s">
        <v>555</v>
      </c>
      <c r="C352" s="6">
        <v>1</v>
      </c>
      <c r="D352" s="6">
        <v>60.22</v>
      </c>
      <c r="E352" s="6">
        <v>0.25</v>
      </c>
      <c r="F352" s="7">
        <f>PRODUCT(C352:E352)</f>
        <v>15.055</v>
      </c>
      <c r="G352" s="6">
        <f>D352</f>
        <v>60.22</v>
      </c>
    </row>
    <row r="353" spans="1:13">
      <c r="A353" s="6">
        <v>7</v>
      </c>
      <c r="B353" s="6" t="s">
        <v>948</v>
      </c>
      <c r="C353" s="6">
        <v>1</v>
      </c>
      <c r="D353" s="6">
        <f>I353*1.2</f>
        <v>39.431999999999995</v>
      </c>
      <c r="E353" s="6">
        <v>0.2</v>
      </c>
      <c r="F353" s="7">
        <f>PRODUCT(C353:E353)</f>
        <v>7.8863999999999992</v>
      </c>
      <c r="G353" s="6">
        <f>I353*1.2*2</f>
        <v>78.86399999999999</v>
      </c>
      <c r="I353" s="1">
        <v>32.86</v>
      </c>
      <c r="J353" s="1" t="s">
        <v>568</v>
      </c>
    </row>
    <row r="354" spans="1:13">
      <c r="A354" s="6">
        <v>8</v>
      </c>
      <c r="B354" s="6" t="s">
        <v>949</v>
      </c>
      <c r="C354" s="6">
        <v>1</v>
      </c>
      <c r="D354" s="6">
        <f>41.97*0.4</f>
        <v>16.788</v>
      </c>
      <c r="E354" s="6">
        <v>6.5</v>
      </c>
      <c r="F354" s="6">
        <f>PRODUCT(C354:E354)</f>
        <v>109.122</v>
      </c>
      <c r="G354" s="6">
        <f>I354*E354</f>
        <v>3648.19</v>
      </c>
      <c r="I354" s="1">
        <f>189.9+45.42+80.45+245.49</f>
        <v>561.26</v>
      </c>
      <c r="J354" s="1" t="s">
        <v>568</v>
      </c>
    </row>
    <row r="355" spans="1:13">
      <c r="A355" s="6">
        <v>9</v>
      </c>
      <c r="B355" s="6" t="s">
        <v>950</v>
      </c>
      <c r="C355" s="6">
        <v>6</v>
      </c>
      <c r="D355" s="6">
        <f>23.66+48.5</f>
        <v>72.16</v>
      </c>
      <c r="E355" s="6">
        <v>1.2</v>
      </c>
      <c r="F355" s="6">
        <f>PRODUCT(C355:E355)</f>
        <v>519.55199999999991</v>
      </c>
      <c r="G355" s="6">
        <f>C355*I355*2</f>
        <v>3264.7200000000003</v>
      </c>
      <c r="I355" s="1">
        <f>226.56+45.5</f>
        <v>272.06</v>
      </c>
      <c r="J355" s="1" t="s">
        <v>568</v>
      </c>
    </row>
    <row r="356" spans="1:13">
      <c r="A356" s="1113" t="s">
        <v>232</v>
      </c>
      <c r="B356" s="1113"/>
      <c r="C356" s="1113"/>
      <c r="D356" s="1113"/>
      <c r="E356" s="1113"/>
      <c r="F356" s="9">
        <f>SUM(F347:F355)</f>
        <v>855.6585</v>
      </c>
      <c r="G356" s="9">
        <f>SUM(G347:G355)</f>
        <v>8575.4171999999999</v>
      </c>
    </row>
    <row r="358" spans="1:13" s="810" customFormat="1" ht="14.25" customHeight="1"/>
    <row r="359" spans="1:13" s="810" customFormat="1" ht="14.25" customHeight="1">
      <c r="A359" s="898" t="s">
        <v>224</v>
      </c>
      <c r="B359" s="898"/>
      <c r="C359" s="898"/>
      <c r="D359" s="898"/>
      <c r="E359" s="898"/>
      <c r="F359" s="898"/>
    </row>
    <row r="360" spans="1:13" ht="27.6">
      <c r="A360" s="899" t="s">
        <v>197</v>
      </c>
      <c r="B360" s="899" t="s">
        <v>2</v>
      </c>
      <c r="C360" s="899" t="s">
        <v>324</v>
      </c>
      <c r="D360" s="900" t="s">
        <v>567</v>
      </c>
      <c r="E360" s="900" t="s">
        <v>545</v>
      </c>
      <c r="F360" s="900" t="s">
        <v>862</v>
      </c>
      <c r="G360" s="810"/>
      <c r="H360" s="810"/>
      <c r="I360" s="810"/>
      <c r="J360" s="810"/>
      <c r="K360" s="810"/>
      <c r="L360" s="810"/>
      <c r="M360" s="810"/>
    </row>
    <row r="361" spans="1:13">
      <c r="A361" s="6">
        <v>1</v>
      </c>
      <c r="B361" s="6" t="s">
        <v>223</v>
      </c>
      <c r="C361" s="6">
        <v>1</v>
      </c>
      <c r="D361" s="8">
        <v>2077.2399999999998</v>
      </c>
      <c r="E361" s="8">
        <v>2.9</v>
      </c>
      <c r="F361" s="6">
        <f>PRODUCT(C361:E361)</f>
        <v>6023.9959999999992</v>
      </c>
      <c r="G361" s="810"/>
      <c r="H361" s="810"/>
      <c r="I361" s="810"/>
      <c r="J361" s="810"/>
      <c r="K361" s="810"/>
      <c r="L361" s="810"/>
      <c r="M361" s="810"/>
    </row>
    <row r="362" spans="1:13">
      <c r="A362" s="6">
        <v>2</v>
      </c>
      <c r="B362" s="6" t="s">
        <v>223</v>
      </c>
      <c r="C362" s="6">
        <v>1</v>
      </c>
      <c r="D362" s="6">
        <v>84.44</v>
      </c>
      <c r="E362" s="6">
        <f>0.5*1.6*1.6</f>
        <v>1.2800000000000002</v>
      </c>
      <c r="F362" s="6">
        <f>PRODUCT(C362:E362)</f>
        <v>108.08320000000002</v>
      </c>
    </row>
    <row r="363" spans="1:13">
      <c r="A363" s="1113" t="s">
        <v>232</v>
      </c>
      <c r="B363" s="1113"/>
      <c r="C363" s="1113"/>
      <c r="D363" s="1113"/>
      <c r="E363" s="1113"/>
      <c r="F363" s="6">
        <f>SUM(F361:F362)</f>
        <v>6132.0791999999992</v>
      </c>
      <c r="K363" s="1">
        <v>6.42</v>
      </c>
      <c r="L363" s="1">
        <v>6.52</v>
      </c>
      <c r="M363" s="1">
        <f>K363*L363</f>
        <v>41.858399999999996</v>
      </c>
    </row>
    <row r="364" spans="1:13">
      <c r="K364" s="1">
        <v>7.57</v>
      </c>
      <c r="L364" s="1">
        <v>6.31</v>
      </c>
      <c r="M364" s="1">
        <f>K364*L364</f>
        <v>47.7667</v>
      </c>
    </row>
    <row r="365" spans="1:13">
      <c r="K365" s="1">
        <v>9.98</v>
      </c>
      <c r="L365" s="1">
        <v>7.66</v>
      </c>
      <c r="M365" s="1">
        <f>K365*L365</f>
        <v>76.44680000000001</v>
      </c>
    </row>
    <row r="366" spans="1:13">
      <c r="K366" s="1">
        <v>6.21</v>
      </c>
      <c r="L366" s="1">
        <v>6.52</v>
      </c>
      <c r="M366" s="1">
        <f>K366*L366</f>
        <v>40.489199999999997</v>
      </c>
    </row>
    <row r="367" spans="1:13">
      <c r="K367" s="1">
        <v>6.45</v>
      </c>
      <c r="L367" s="1">
        <v>6.42</v>
      </c>
      <c r="M367" s="1">
        <f>K367*L367</f>
        <v>41.408999999999999</v>
      </c>
    </row>
    <row r="368" spans="1:13">
      <c r="M368" s="1">
        <f>SUM(M363:M367)</f>
        <v>247.9701</v>
      </c>
    </row>
    <row r="369" spans="13:13">
      <c r="M369" s="1">
        <f>M368*2</f>
        <v>495.9402</v>
      </c>
    </row>
    <row r="370" spans="13:13">
      <c r="M370" s="1">
        <f>M369*1.5</f>
        <v>743.91030000000001</v>
      </c>
    </row>
  </sheetData>
  <mergeCells count="35">
    <mergeCell ref="A363:E363"/>
    <mergeCell ref="A139:E139"/>
    <mergeCell ref="A289:G289"/>
    <mergeCell ref="A141:F141"/>
    <mergeCell ref="A185:E185"/>
    <mergeCell ref="A186:E186"/>
    <mergeCell ref="A188:F188"/>
    <mergeCell ref="A232:E232"/>
    <mergeCell ref="A234:F234"/>
    <mergeCell ref="A343:E343"/>
    <mergeCell ref="A345:G345"/>
    <mergeCell ref="A335:E335"/>
    <mergeCell ref="A336:E336"/>
    <mergeCell ref="A338:G338"/>
    <mergeCell ref="A327:E327"/>
    <mergeCell ref="A329:G329"/>
    <mergeCell ref="A1:F1"/>
    <mergeCell ref="A46:E46"/>
    <mergeCell ref="A48:F48"/>
    <mergeCell ref="A93:E93"/>
    <mergeCell ref="A95:F95"/>
    <mergeCell ref="A273:E273"/>
    <mergeCell ref="A287:E287"/>
    <mergeCell ref="A356:E356"/>
    <mergeCell ref="A306:E306"/>
    <mergeCell ref="A274:E274"/>
    <mergeCell ref="A300:G300"/>
    <mergeCell ref="A276:G276"/>
    <mergeCell ref="A298:E298"/>
    <mergeCell ref="A308:G308"/>
    <mergeCell ref="A317:E317"/>
    <mergeCell ref="A320:G320"/>
    <mergeCell ref="A326:E326"/>
    <mergeCell ref="A318:E318"/>
    <mergeCell ref="A342:E342"/>
  </mergeCells>
  <pageMargins left="0.7" right="0.7" top="0.75" bottom="0.75" header="0.3" footer="0.3"/>
  <pageSetup paperSize="9" orientation="portrait" verticalDpi="0" r:id="rId1"/>
  <ignoredErrors>
    <ignoredError sqref="G292 G311" formula="1"/>
  </ignoredError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9F5E2-FC47-4D83-A9E8-2457B072F956}">
  <dimension ref="A1:P150"/>
  <sheetViews>
    <sheetView workbookViewId="0">
      <selection activeCell="F7" sqref="F7"/>
    </sheetView>
  </sheetViews>
  <sheetFormatPr defaultColWidth="8.88671875" defaultRowHeight="13.8"/>
  <cols>
    <col min="1" max="1" width="8.88671875" style="23"/>
    <col min="2" max="2" width="33.88671875" style="23" customWidth="1"/>
    <col min="3" max="3" width="12.33203125" style="23" bestFit="1" customWidth="1"/>
    <col min="4" max="4" width="10.88671875" style="23" bestFit="1" customWidth="1"/>
    <col min="5" max="5" width="11.44140625" style="23" bestFit="1" customWidth="1"/>
    <col min="6" max="6" width="17.33203125" style="23" bestFit="1" customWidth="1"/>
    <col min="7" max="7" width="8.88671875" style="23" customWidth="1"/>
    <col min="8" max="8" width="12.88671875" style="23" customWidth="1"/>
    <col min="9" max="9" width="16.6640625" style="23" bestFit="1" customWidth="1"/>
    <col min="10" max="10" width="7.5546875" style="23" customWidth="1"/>
    <col min="11" max="11" width="15.6640625" style="23" customWidth="1"/>
    <col min="12" max="12" width="16.88671875" style="23" bestFit="1" customWidth="1"/>
    <col min="13" max="13" width="16.88671875" style="23" customWidth="1"/>
    <col min="14" max="14" width="8.88671875" style="23"/>
    <col min="15" max="15" width="16.33203125" style="23" customWidth="1"/>
    <col min="16" max="16" width="13.109375" style="23" bestFit="1" customWidth="1"/>
    <col min="17" max="16384" width="8.88671875" style="23"/>
  </cols>
  <sheetData>
    <row r="1" spans="1:16">
      <c r="A1" s="1202" t="s">
        <v>514</v>
      </c>
      <c r="B1" s="1203"/>
      <c r="C1" s="1203"/>
      <c r="D1" s="1203"/>
      <c r="E1" s="1203"/>
      <c r="F1" s="1203"/>
      <c r="G1" s="1203"/>
      <c r="H1" s="1203"/>
      <c r="I1" s="1203"/>
      <c r="J1" s="1012"/>
    </row>
    <row r="2" spans="1:16" s="1" customFormat="1" ht="27.6">
      <c r="A2" s="18" t="s">
        <v>515</v>
      </c>
      <c r="B2" s="18" t="s">
        <v>516</v>
      </c>
      <c r="C2" s="19" t="s">
        <v>517</v>
      </c>
      <c r="D2" s="19" t="s">
        <v>199</v>
      </c>
      <c r="E2" s="19" t="s">
        <v>518</v>
      </c>
      <c r="F2" s="19" t="s">
        <v>519</v>
      </c>
      <c r="I2" s="19" t="s">
        <v>520</v>
      </c>
      <c r="J2" s="1013"/>
      <c r="O2" t="s">
        <v>521</v>
      </c>
      <c r="P2" s="37">
        <f>110/1000</f>
        <v>0.11</v>
      </c>
    </row>
    <row r="3" spans="1:16" ht="14.4">
      <c r="A3" s="11"/>
      <c r="B3" s="12"/>
      <c r="C3" s="13"/>
      <c r="D3" s="14"/>
      <c r="E3" s="13"/>
      <c r="F3" s="14"/>
      <c r="I3" s="24"/>
      <c r="O3" t="s">
        <v>522</v>
      </c>
      <c r="P3" s="37">
        <f>110/1000</f>
        <v>0.11</v>
      </c>
    </row>
    <row r="4" spans="1:16" ht="14.4">
      <c r="A4" s="15" t="s">
        <v>206</v>
      </c>
      <c r="B4" s="16" t="s">
        <v>523</v>
      </c>
      <c r="C4" s="13"/>
      <c r="D4" s="14"/>
      <c r="E4" s="13"/>
      <c r="F4" s="14"/>
      <c r="I4" s="24"/>
      <c r="K4" s="1205" t="s">
        <v>1226</v>
      </c>
      <c r="L4" s="1205"/>
      <c r="M4" s="1205"/>
      <c r="O4" t="s">
        <v>524</v>
      </c>
      <c r="P4" s="37">
        <f>100/1000</f>
        <v>0.1</v>
      </c>
    </row>
    <row r="5" spans="1:16" ht="14.4">
      <c r="A5" s="11"/>
      <c r="B5" s="17" t="s">
        <v>525</v>
      </c>
      <c r="C5" s="13">
        <f>'Measurement Sheet'!F278</f>
        <v>683.61400000000003</v>
      </c>
      <c r="D5" s="14" t="s">
        <v>526</v>
      </c>
      <c r="E5" s="13">
        <f>C5</f>
        <v>683.61400000000003</v>
      </c>
      <c r="F5" s="14"/>
      <c r="I5" s="24"/>
      <c r="K5" s="1011" t="s">
        <v>332</v>
      </c>
      <c r="L5" s="1011" t="s">
        <v>329</v>
      </c>
      <c r="M5" s="1011" t="s">
        <v>1223</v>
      </c>
      <c r="O5" t="s">
        <v>527</v>
      </c>
      <c r="P5" s="37">
        <f>150/1000</f>
        <v>0.15</v>
      </c>
    </row>
    <row r="6" spans="1:16" ht="14.4">
      <c r="A6" s="11"/>
      <c r="B6" s="17" t="s">
        <v>528</v>
      </c>
      <c r="C6" s="13">
        <f>'Measurement Sheet'!F279+'Measurement Sheet'!F280</f>
        <v>6165.6049999999996</v>
      </c>
      <c r="D6" s="14" t="s">
        <v>47</v>
      </c>
      <c r="E6" s="13">
        <f>C6</f>
        <v>6165.6049999999996</v>
      </c>
      <c r="F6" s="14"/>
      <c r="I6" s="174">
        <f>E6*P2</f>
        <v>678.21654999999998</v>
      </c>
      <c r="J6" s="1014"/>
      <c r="K6" s="1011">
        <v>4154</v>
      </c>
      <c r="L6" s="1016">
        <f>P2*K6</f>
        <v>456.94</v>
      </c>
      <c r="M6" s="1011">
        <v>462.62</v>
      </c>
      <c r="O6" t="s">
        <v>529</v>
      </c>
      <c r="P6" s="37">
        <f>80/1000</f>
        <v>0.08</v>
      </c>
    </row>
    <row r="7" spans="1:16" ht="14.4">
      <c r="A7" s="11"/>
      <c r="B7" s="17" t="s">
        <v>50</v>
      </c>
      <c r="C7" s="13">
        <f>'Measurement Sheet'!F282</f>
        <v>336.45480000000003</v>
      </c>
      <c r="D7" s="14" t="s">
        <v>47</v>
      </c>
      <c r="E7" s="13">
        <f>C7</f>
        <v>336.45480000000003</v>
      </c>
      <c r="F7" s="14"/>
      <c r="I7" s="174">
        <f>E7*P3</f>
        <v>37.010028000000005</v>
      </c>
      <c r="J7" s="1014"/>
      <c r="K7" s="1011"/>
      <c r="L7" s="1011"/>
      <c r="M7" s="1011"/>
      <c r="O7" t="s">
        <v>530</v>
      </c>
      <c r="P7" s="37">
        <f>150/1000</f>
        <v>0.15</v>
      </c>
    </row>
    <row r="8" spans="1:16" ht="14.4">
      <c r="A8" s="11"/>
      <c r="B8" s="17" t="s">
        <v>531</v>
      </c>
      <c r="C8" s="13">
        <f>SUM('Measurement Sheet'!F283:F285)</f>
        <v>146.25930000000002</v>
      </c>
      <c r="D8" s="14" t="s">
        <v>47</v>
      </c>
      <c r="E8" s="13">
        <f>C8</f>
        <v>146.25930000000002</v>
      </c>
      <c r="F8" s="14"/>
      <c r="I8" s="174">
        <f>E8*P9</f>
        <v>23.401488000000004</v>
      </c>
      <c r="J8" s="1014"/>
      <c r="K8" s="1011"/>
      <c r="L8" s="1011"/>
      <c r="M8" s="1011"/>
      <c r="O8" t="s">
        <v>532</v>
      </c>
      <c r="P8" s="37">
        <f>180/1000</f>
        <v>0.18</v>
      </c>
    </row>
    <row r="9" spans="1:16" ht="14.4">
      <c r="A9" s="15" t="s">
        <v>217</v>
      </c>
      <c r="B9" s="16" t="s">
        <v>248</v>
      </c>
      <c r="C9" s="13"/>
      <c r="D9" s="14"/>
      <c r="E9" s="13"/>
      <c r="F9" s="14"/>
      <c r="I9" s="174"/>
      <c r="J9" s="1014"/>
      <c r="K9" s="1011"/>
      <c r="L9" s="1011"/>
      <c r="M9" s="1011"/>
      <c r="O9" t="s">
        <v>533</v>
      </c>
      <c r="P9" s="37">
        <f>160/1000</f>
        <v>0.16</v>
      </c>
    </row>
    <row r="10" spans="1:16" ht="14.4">
      <c r="A10" s="11"/>
      <c r="B10" s="17" t="s">
        <v>534</v>
      </c>
      <c r="C10" s="13">
        <f>'Measurement Sheet'!F286</f>
        <v>631.37944000000005</v>
      </c>
      <c r="D10" s="14" t="s">
        <v>53</v>
      </c>
      <c r="E10" s="13">
        <f>C10</f>
        <v>631.37944000000005</v>
      </c>
      <c r="F10" s="14"/>
      <c r="I10" s="174"/>
      <c r="J10" s="1014"/>
      <c r="K10" s="1011"/>
      <c r="L10" s="1011"/>
      <c r="M10" s="1011"/>
      <c r="O10" t="s">
        <v>476</v>
      </c>
      <c r="P10" s="37">
        <f>100/1000</f>
        <v>0.1</v>
      </c>
    </row>
    <row r="11" spans="1:16" ht="14.4">
      <c r="A11" s="11"/>
      <c r="B11" s="17" t="s">
        <v>532</v>
      </c>
      <c r="C11" s="13">
        <f>'Measurement Sheet'!F46</f>
        <v>384.96832000000001</v>
      </c>
      <c r="D11" s="14" t="s">
        <v>47</v>
      </c>
      <c r="E11" s="13">
        <f>C11</f>
        <v>384.96832000000001</v>
      </c>
      <c r="F11" s="14"/>
      <c r="I11" s="174">
        <f>E10*P8</f>
        <v>113.64829920000001</v>
      </c>
      <c r="J11" s="1014"/>
      <c r="K11" s="1011">
        <v>310</v>
      </c>
      <c r="L11" s="1017">
        <f>K11*P8</f>
        <v>55.8</v>
      </c>
      <c r="M11" s="1017">
        <v>2023</v>
      </c>
      <c r="O11" t="s">
        <v>535</v>
      </c>
      <c r="P11" s="37">
        <f>80/1000</f>
        <v>0.08</v>
      </c>
    </row>
    <row r="12" spans="1:16" ht="14.4">
      <c r="A12" s="11"/>
      <c r="B12" s="17" t="s">
        <v>476</v>
      </c>
      <c r="C12" s="13">
        <f>5.58*6</f>
        <v>33.480000000000004</v>
      </c>
      <c r="D12" s="14" t="s">
        <v>47</v>
      </c>
      <c r="E12" s="13">
        <f>C12</f>
        <v>33.480000000000004</v>
      </c>
      <c r="F12" s="14"/>
      <c r="G12" s="23">
        <f>5.58*6</f>
        <v>33.480000000000004</v>
      </c>
      <c r="H12" s="23" t="s">
        <v>476</v>
      </c>
      <c r="I12" s="174">
        <f>E12*P10</f>
        <v>3.3480000000000008</v>
      </c>
      <c r="J12" s="1014"/>
      <c r="K12" s="1011"/>
      <c r="L12" s="1017">
        <f>I12</f>
        <v>3.3480000000000008</v>
      </c>
      <c r="M12" s="1017">
        <v>150</v>
      </c>
      <c r="P12" s="37"/>
    </row>
    <row r="13" spans="1:16">
      <c r="A13" s="15" t="s">
        <v>222</v>
      </c>
      <c r="B13" s="16" t="s">
        <v>249</v>
      </c>
      <c r="C13" s="13"/>
      <c r="D13" s="14"/>
      <c r="E13" s="13"/>
      <c r="F13" s="14"/>
      <c r="I13" s="174"/>
      <c r="J13" s="1014"/>
      <c r="K13" s="1011"/>
      <c r="L13" s="1011"/>
      <c r="M13" s="1011"/>
    </row>
    <row r="14" spans="1:16">
      <c r="A14" s="15"/>
      <c r="B14" s="17" t="s">
        <v>532</v>
      </c>
      <c r="C14" s="13">
        <f>'Measurement Sheet'!F93</f>
        <v>367.46976000000006</v>
      </c>
      <c r="D14" s="14" t="s">
        <v>47</v>
      </c>
      <c r="E14" s="13">
        <f>C14</f>
        <v>367.46976000000006</v>
      </c>
      <c r="F14" s="14"/>
      <c r="I14" s="174">
        <f>E14*P8</f>
        <v>66.144556800000004</v>
      </c>
      <c r="J14" s="1014"/>
      <c r="K14" s="1011"/>
      <c r="L14" s="1011"/>
      <c r="M14" s="1011"/>
    </row>
    <row r="15" spans="1:16">
      <c r="A15" s="15"/>
      <c r="B15" s="17" t="s">
        <v>58</v>
      </c>
      <c r="C15" s="13">
        <f>'Measurement Sheet'!F306</f>
        <v>121.62009999999999</v>
      </c>
      <c r="D15" s="14" t="s">
        <v>48</v>
      </c>
      <c r="E15" s="13">
        <f>C15</f>
        <v>121.62009999999999</v>
      </c>
      <c r="F15" s="14"/>
      <c r="I15" s="174">
        <f>C15*P7</f>
        <v>18.243015</v>
      </c>
      <c r="J15" s="1014"/>
      <c r="K15" s="1011">
        <v>94.73</v>
      </c>
      <c r="L15" s="1011">
        <f>K15*P5</f>
        <v>14.2095</v>
      </c>
      <c r="M15" s="1011">
        <v>894</v>
      </c>
    </row>
    <row r="16" spans="1:16">
      <c r="A16" s="15"/>
      <c r="B16" s="17" t="s">
        <v>536</v>
      </c>
      <c r="C16" s="13">
        <f>'Measurement Sheet'!F298</f>
        <v>508.22412499999996</v>
      </c>
      <c r="D16" s="14" t="s">
        <v>48</v>
      </c>
      <c r="E16" s="13">
        <f>C16</f>
        <v>508.22412499999996</v>
      </c>
      <c r="F16" s="14"/>
      <c r="I16" s="174">
        <f>E16*P4</f>
        <v>50.822412499999999</v>
      </c>
      <c r="J16" s="1014"/>
      <c r="K16" s="1011">
        <v>184.49</v>
      </c>
      <c r="L16" s="1011">
        <f>K16*P4</f>
        <v>18.449000000000002</v>
      </c>
      <c r="M16" s="1011">
        <v>1320</v>
      </c>
    </row>
    <row r="17" spans="1:13">
      <c r="A17" s="15"/>
      <c r="B17" s="17" t="s">
        <v>476</v>
      </c>
      <c r="C17" s="13">
        <f>C12</f>
        <v>33.480000000000004</v>
      </c>
      <c r="D17" s="14" t="s">
        <v>48</v>
      </c>
      <c r="E17" s="13">
        <f>C17</f>
        <v>33.480000000000004</v>
      </c>
      <c r="F17" s="14"/>
      <c r="I17" s="174">
        <f>E17*P10</f>
        <v>3.3480000000000008</v>
      </c>
      <c r="J17" s="1014"/>
      <c r="K17" s="23">
        <f>SUM(K6:K16)</f>
        <v>4743.2199999999993</v>
      </c>
      <c r="L17" s="23">
        <f t="shared" ref="L17:M17" si="0">SUM(L6:L16)</f>
        <v>548.74649999999997</v>
      </c>
      <c r="M17" s="23">
        <f t="shared" si="0"/>
        <v>4849.62</v>
      </c>
    </row>
    <row r="18" spans="1:13">
      <c r="A18" s="15" t="s">
        <v>537</v>
      </c>
      <c r="B18" s="16" t="s">
        <v>538</v>
      </c>
      <c r="C18" s="13"/>
      <c r="D18" s="14"/>
      <c r="E18" s="13"/>
      <c r="F18" s="14"/>
      <c r="I18" s="174"/>
      <c r="J18" s="1014"/>
      <c r="L18" s="994"/>
      <c r="M18" s="994"/>
    </row>
    <row r="19" spans="1:13">
      <c r="A19" s="15"/>
      <c r="B19" s="17" t="s">
        <v>532</v>
      </c>
      <c r="C19" s="13">
        <f>'Measurement Sheet'!F139</f>
        <v>296.21256</v>
      </c>
      <c r="D19" s="14" t="s">
        <v>47</v>
      </c>
      <c r="E19" s="13">
        <f>C19</f>
        <v>296.21256</v>
      </c>
      <c r="F19" s="14"/>
      <c r="I19" s="174">
        <f>E19*P8</f>
        <v>53.318260799999997</v>
      </c>
      <c r="J19" s="1014"/>
      <c r="K19" s="23">
        <v>6651.51</v>
      </c>
      <c r="L19" s="994"/>
      <c r="M19" s="994"/>
    </row>
    <row r="20" spans="1:13">
      <c r="A20" s="15"/>
      <c r="B20" s="17" t="s">
        <v>58</v>
      </c>
      <c r="C20" s="13">
        <f>'Measurement Sheet'!F326</f>
        <v>132.73609999999999</v>
      </c>
      <c r="D20" s="14" t="s">
        <v>48</v>
      </c>
      <c r="E20" s="13">
        <f>C20</f>
        <v>132.73609999999999</v>
      </c>
      <c r="F20" s="14"/>
      <c r="I20" s="174">
        <f>E20*P5</f>
        <v>19.910414999999997</v>
      </c>
      <c r="J20" s="1014"/>
      <c r="K20" s="1014">
        <f>SUM(I6:I17)</f>
        <v>994.18234949999999</v>
      </c>
      <c r="L20" s="994"/>
      <c r="M20" s="994"/>
    </row>
    <row r="21" spans="1:13">
      <c r="A21" s="15"/>
      <c r="B21" s="17" t="s">
        <v>536</v>
      </c>
      <c r="C21" s="13">
        <f>'Measurement Sheet'!F317</f>
        <v>512.039625</v>
      </c>
      <c r="D21" s="14" t="s">
        <v>48</v>
      </c>
      <c r="E21" s="13">
        <f>C21</f>
        <v>512.039625</v>
      </c>
      <c r="F21" s="14"/>
      <c r="I21" s="174">
        <f>E21*P4</f>
        <v>51.203962500000003</v>
      </c>
      <c r="J21" s="1014"/>
      <c r="K21" s="23">
        <f>(K20*1000)/(K19*10.76)</f>
        <v>13.891000560126608</v>
      </c>
      <c r="L21" s="994"/>
      <c r="M21" s="994"/>
    </row>
    <row r="22" spans="1:13">
      <c r="A22" s="15"/>
      <c r="B22" s="17" t="s">
        <v>476</v>
      </c>
      <c r="C22" s="13">
        <f>C17</f>
        <v>33.480000000000004</v>
      </c>
      <c r="D22" s="14" t="s">
        <v>48</v>
      </c>
      <c r="E22" s="13">
        <f>C22</f>
        <v>33.480000000000004</v>
      </c>
      <c r="F22" s="14"/>
      <c r="I22" s="174">
        <f>E22*P10</f>
        <v>3.3480000000000008</v>
      </c>
      <c r="J22" s="1014"/>
      <c r="L22" s="994"/>
      <c r="M22" s="994"/>
    </row>
    <row r="23" spans="1:13">
      <c r="A23" s="15" t="s">
        <v>539</v>
      </c>
      <c r="B23" s="16" t="s">
        <v>540</v>
      </c>
      <c r="C23" s="13"/>
      <c r="D23" s="14"/>
      <c r="E23" s="13"/>
      <c r="F23" s="14"/>
      <c r="I23" s="174"/>
      <c r="J23" s="1014"/>
    </row>
    <row r="24" spans="1:13">
      <c r="A24" s="15"/>
      <c r="B24" s="17" t="s">
        <v>532</v>
      </c>
      <c r="C24" s="13">
        <f>'Measurement Sheet'!F185</f>
        <v>204.52772000000002</v>
      </c>
      <c r="D24" s="14" t="s">
        <v>47</v>
      </c>
      <c r="E24" s="13">
        <f>C24</f>
        <v>204.52772000000002</v>
      </c>
      <c r="F24" s="14"/>
      <c r="I24" s="174">
        <f>E24*P8</f>
        <v>36.814989600000004</v>
      </c>
      <c r="J24" s="1014"/>
    </row>
    <row r="25" spans="1:13">
      <c r="A25" s="15"/>
      <c r="B25" s="17" t="s">
        <v>58</v>
      </c>
      <c r="C25" s="13">
        <f>$C$20</f>
        <v>132.73609999999999</v>
      </c>
      <c r="D25" s="14" t="s">
        <v>48</v>
      </c>
      <c r="E25" s="13">
        <f>C25</f>
        <v>132.73609999999999</v>
      </c>
      <c r="F25" s="14"/>
      <c r="I25" s="174">
        <f>E25*P5</f>
        <v>19.910414999999997</v>
      </c>
      <c r="J25" s="1014"/>
    </row>
    <row r="26" spans="1:13">
      <c r="A26" s="15"/>
      <c r="B26" s="17" t="s">
        <v>536</v>
      </c>
      <c r="C26" s="13">
        <f>$C$21</f>
        <v>512.039625</v>
      </c>
      <c r="D26" s="14" t="s">
        <v>48</v>
      </c>
      <c r="E26" s="13">
        <f>C26</f>
        <v>512.039625</v>
      </c>
      <c r="F26" s="14"/>
      <c r="I26" s="174">
        <f>E26*P4</f>
        <v>51.203962500000003</v>
      </c>
      <c r="J26" s="1014"/>
    </row>
    <row r="27" spans="1:13">
      <c r="A27" s="15"/>
      <c r="B27" s="17" t="s">
        <v>476</v>
      </c>
      <c r="C27" s="13">
        <f>$C$22</f>
        <v>33.480000000000004</v>
      </c>
      <c r="D27" s="14" t="s">
        <v>48</v>
      </c>
      <c r="E27" s="13">
        <f>C27</f>
        <v>33.480000000000004</v>
      </c>
      <c r="F27" s="14"/>
      <c r="I27" s="174">
        <f>E27*P10</f>
        <v>3.3480000000000008</v>
      </c>
      <c r="J27" s="1014"/>
    </row>
    <row r="28" spans="1:13">
      <c r="A28" s="15" t="s">
        <v>541</v>
      </c>
      <c r="B28" s="16" t="s">
        <v>542</v>
      </c>
      <c r="C28" s="13"/>
      <c r="D28" s="14"/>
      <c r="E28" s="13"/>
      <c r="F28" s="14"/>
      <c r="I28" s="174"/>
      <c r="J28" s="1014"/>
    </row>
    <row r="29" spans="1:13">
      <c r="A29" s="15"/>
      <c r="B29" s="17" t="s">
        <v>532</v>
      </c>
      <c r="C29" s="13">
        <f>$C$24</f>
        <v>204.52772000000002</v>
      </c>
      <c r="D29" s="14" t="s">
        <v>47</v>
      </c>
      <c r="E29" s="13">
        <f>C29</f>
        <v>204.52772000000002</v>
      </c>
      <c r="F29" s="14"/>
      <c r="I29" s="174">
        <f>E29*P8</f>
        <v>36.814989600000004</v>
      </c>
      <c r="J29" s="1014"/>
    </row>
    <row r="30" spans="1:13">
      <c r="A30" s="15"/>
      <c r="B30" s="17" t="s">
        <v>58</v>
      </c>
      <c r="C30" s="13">
        <f>$C$20</f>
        <v>132.73609999999999</v>
      </c>
      <c r="D30" s="14" t="s">
        <v>48</v>
      </c>
      <c r="E30" s="13">
        <f>C30</f>
        <v>132.73609999999999</v>
      </c>
      <c r="F30" s="14"/>
      <c r="I30" s="174">
        <f>E30*P5</f>
        <v>19.910414999999997</v>
      </c>
      <c r="J30" s="1014"/>
    </row>
    <row r="31" spans="1:13">
      <c r="A31" s="15"/>
      <c r="B31" s="17" t="s">
        <v>536</v>
      </c>
      <c r="C31" s="13">
        <f>$C$21</f>
        <v>512.039625</v>
      </c>
      <c r="D31" s="14" t="s">
        <v>48</v>
      </c>
      <c r="E31" s="13">
        <f>C31</f>
        <v>512.039625</v>
      </c>
      <c r="F31" s="14"/>
      <c r="I31" s="174">
        <f>E31*P4</f>
        <v>51.203962500000003</v>
      </c>
      <c r="J31" s="1014"/>
    </row>
    <row r="32" spans="1:13">
      <c r="A32" s="15"/>
      <c r="B32" s="17" t="s">
        <v>476</v>
      </c>
      <c r="C32" s="13">
        <f>$C$22</f>
        <v>33.480000000000004</v>
      </c>
      <c r="D32" s="14" t="s">
        <v>48</v>
      </c>
      <c r="E32" s="13">
        <f>C32</f>
        <v>33.480000000000004</v>
      </c>
      <c r="F32" s="14"/>
      <c r="I32" s="174">
        <f>E32*P10</f>
        <v>3.3480000000000008</v>
      </c>
      <c r="J32" s="1014"/>
    </row>
    <row r="33" spans="1:10">
      <c r="A33" s="15" t="s">
        <v>543</v>
      </c>
      <c r="B33" s="16" t="s">
        <v>544</v>
      </c>
      <c r="C33" s="13"/>
      <c r="D33" s="14"/>
      <c r="E33" s="13"/>
      <c r="F33" s="14"/>
      <c r="I33" s="174"/>
      <c r="J33" s="1014"/>
    </row>
    <row r="34" spans="1:10">
      <c r="A34" s="15"/>
      <c r="B34" s="17" t="s">
        <v>532</v>
      </c>
      <c r="C34" s="13">
        <f>$C$29</f>
        <v>204.52772000000002</v>
      </c>
      <c r="D34" s="14" t="s">
        <v>47</v>
      </c>
      <c r="E34" s="13">
        <f>C34</f>
        <v>204.52772000000002</v>
      </c>
      <c r="F34" s="14"/>
      <c r="I34" s="174">
        <f>E34*P8</f>
        <v>36.814989600000004</v>
      </c>
      <c r="J34" s="1014"/>
    </row>
    <row r="35" spans="1:10">
      <c r="A35" s="15"/>
      <c r="B35" s="17" t="s">
        <v>58</v>
      </c>
      <c r="C35" s="13">
        <f>$C$20</f>
        <v>132.73609999999999</v>
      </c>
      <c r="D35" s="14" t="s">
        <v>48</v>
      </c>
      <c r="E35" s="13">
        <f>C35</f>
        <v>132.73609999999999</v>
      </c>
      <c r="F35" s="14"/>
      <c r="I35" s="174">
        <f>E35*P5</f>
        <v>19.910414999999997</v>
      </c>
      <c r="J35" s="1014"/>
    </row>
    <row r="36" spans="1:10">
      <c r="A36" s="15"/>
      <c r="B36" s="17" t="s">
        <v>536</v>
      </c>
      <c r="C36" s="13">
        <f>$C$21</f>
        <v>512.039625</v>
      </c>
      <c r="D36" s="14" t="s">
        <v>48</v>
      </c>
      <c r="E36" s="13">
        <f>C36</f>
        <v>512.039625</v>
      </c>
      <c r="F36" s="14"/>
      <c r="I36" s="174">
        <f>E36*P4</f>
        <v>51.203962500000003</v>
      </c>
      <c r="J36" s="1014"/>
    </row>
    <row r="37" spans="1:10">
      <c r="A37" s="15"/>
      <c r="B37" s="17" t="s">
        <v>476</v>
      </c>
      <c r="C37" s="13">
        <f>G37</f>
        <v>22.32</v>
      </c>
      <c r="D37" s="14" t="s">
        <v>48</v>
      </c>
      <c r="E37" s="13">
        <f>C37</f>
        <v>22.32</v>
      </c>
      <c r="F37" s="14"/>
      <c r="G37" s="23">
        <f>5.58*4</f>
        <v>22.32</v>
      </c>
      <c r="H37" s="23" t="s">
        <v>476</v>
      </c>
      <c r="I37" s="174">
        <f>E37*P10</f>
        <v>2.2320000000000002</v>
      </c>
      <c r="J37" s="1014"/>
    </row>
    <row r="38" spans="1:10">
      <c r="A38" s="15" t="s">
        <v>545</v>
      </c>
      <c r="B38" s="16" t="s">
        <v>546</v>
      </c>
      <c r="C38" s="13"/>
      <c r="D38" s="14"/>
      <c r="E38" s="13"/>
      <c r="F38" s="14"/>
      <c r="I38" s="174"/>
      <c r="J38" s="1014"/>
    </row>
    <row r="39" spans="1:10">
      <c r="A39" s="15"/>
      <c r="B39" s="17" t="s">
        <v>532</v>
      </c>
      <c r="C39" s="13">
        <f>'Measurement Sheet'!F232</f>
        <v>304.64980000000003</v>
      </c>
      <c r="D39" s="14" t="s">
        <v>47</v>
      </c>
      <c r="E39" s="13">
        <f>C39</f>
        <v>304.64980000000003</v>
      </c>
      <c r="F39" s="14"/>
      <c r="I39" s="174">
        <f>E39*P8</f>
        <v>54.836964000000002</v>
      </c>
      <c r="J39" s="1014"/>
    </row>
    <row r="40" spans="1:10">
      <c r="A40" s="15"/>
      <c r="B40" s="17" t="s">
        <v>58</v>
      </c>
      <c r="C40" s="13">
        <f>$C$20</f>
        <v>132.73609999999999</v>
      </c>
      <c r="D40" s="14" t="s">
        <v>48</v>
      </c>
      <c r="E40" s="13">
        <f>C40</f>
        <v>132.73609999999999</v>
      </c>
      <c r="F40" s="14"/>
      <c r="I40" s="174">
        <f>E40*P5</f>
        <v>19.910414999999997</v>
      </c>
      <c r="J40" s="1014"/>
    </row>
    <row r="41" spans="1:10">
      <c r="A41" s="15"/>
      <c r="B41" s="17" t="s">
        <v>536</v>
      </c>
      <c r="C41" s="13">
        <f>$C$21</f>
        <v>512.039625</v>
      </c>
      <c r="D41" s="14" t="s">
        <v>48</v>
      </c>
      <c r="E41" s="13">
        <f>C41</f>
        <v>512.039625</v>
      </c>
      <c r="F41" s="14"/>
      <c r="I41" s="174">
        <f>E41*P4</f>
        <v>51.203962500000003</v>
      </c>
      <c r="J41" s="1014"/>
    </row>
    <row r="42" spans="1:10">
      <c r="A42" s="15"/>
      <c r="B42" s="17" t="s">
        <v>476</v>
      </c>
      <c r="C42" s="13">
        <f>C37</f>
        <v>22.32</v>
      </c>
      <c r="D42" s="14" t="s">
        <v>48</v>
      </c>
      <c r="E42" s="13">
        <f>C42</f>
        <v>22.32</v>
      </c>
      <c r="F42" s="14"/>
      <c r="I42" s="174">
        <f>E42*P10</f>
        <v>2.2320000000000002</v>
      </c>
      <c r="J42" s="1014"/>
    </row>
    <row r="43" spans="1:10">
      <c r="A43" s="15" t="s">
        <v>547</v>
      </c>
      <c r="B43" s="16" t="s">
        <v>548</v>
      </c>
      <c r="C43" s="13"/>
      <c r="D43" s="14"/>
      <c r="E43" s="13"/>
      <c r="F43" s="14"/>
      <c r="I43" s="174"/>
      <c r="J43" s="1014"/>
    </row>
    <row r="44" spans="1:10">
      <c r="A44" s="15"/>
      <c r="B44" s="17" t="s">
        <v>532</v>
      </c>
      <c r="C44" s="13">
        <f>'Measurement Sheet'!F273</f>
        <v>253.11628000000005</v>
      </c>
      <c r="D44" s="14" t="s">
        <v>47</v>
      </c>
      <c r="E44" s="13">
        <f>C44</f>
        <v>253.11628000000005</v>
      </c>
      <c r="F44" s="14"/>
      <c r="I44" s="174">
        <f>E44*P8</f>
        <v>45.560930400000004</v>
      </c>
      <c r="J44" s="1014"/>
    </row>
    <row r="45" spans="1:10">
      <c r="A45" s="15"/>
      <c r="B45" s="17" t="s">
        <v>58</v>
      </c>
      <c r="C45" s="13">
        <f>$C$20</f>
        <v>132.73609999999999</v>
      </c>
      <c r="D45" s="14" t="s">
        <v>48</v>
      </c>
      <c r="E45" s="13">
        <f>C45</f>
        <v>132.73609999999999</v>
      </c>
      <c r="F45" s="14"/>
      <c r="I45" s="174">
        <f>E45*P5</f>
        <v>19.910414999999997</v>
      </c>
      <c r="J45" s="1014"/>
    </row>
    <row r="46" spans="1:10">
      <c r="A46" s="15"/>
      <c r="B46" s="17" t="s">
        <v>536</v>
      </c>
      <c r="C46" s="13">
        <f>$C$21</f>
        <v>512.039625</v>
      </c>
      <c r="D46" s="14" t="s">
        <v>48</v>
      </c>
      <c r="E46" s="13">
        <f>C46</f>
        <v>512.039625</v>
      </c>
      <c r="F46" s="14"/>
      <c r="I46" s="174">
        <f>E46*P4</f>
        <v>51.203962500000003</v>
      </c>
      <c r="J46" s="1014"/>
    </row>
    <row r="47" spans="1:10">
      <c r="A47" s="15"/>
      <c r="B47" s="17" t="s">
        <v>476</v>
      </c>
      <c r="C47" s="13">
        <f>C42</f>
        <v>22.32</v>
      </c>
      <c r="D47" s="14" t="s">
        <v>48</v>
      </c>
      <c r="E47" s="13">
        <f>C47</f>
        <v>22.32</v>
      </c>
      <c r="F47" s="14"/>
      <c r="I47" s="174">
        <f>E47*P10</f>
        <v>2.2320000000000002</v>
      </c>
      <c r="J47" s="1014"/>
    </row>
    <row r="48" spans="1:10">
      <c r="A48" s="15" t="s">
        <v>549</v>
      </c>
      <c r="B48" s="16" t="s">
        <v>550</v>
      </c>
      <c r="C48" s="13"/>
      <c r="D48" s="14"/>
      <c r="E48" s="13"/>
      <c r="F48" s="14"/>
      <c r="I48" s="174"/>
      <c r="J48" s="1014"/>
    </row>
    <row r="49" spans="1:14">
      <c r="A49" s="15"/>
      <c r="B49" s="17" t="s">
        <v>532</v>
      </c>
      <c r="C49" s="13">
        <f>'Measurement Sheet'!$F$273*29</f>
        <v>7340.3721200000009</v>
      </c>
      <c r="D49" s="14" t="s">
        <v>47</v>
      </c>
      <c r="E49" s="13">
        <f>C49</f>
        <v>7340.3721200000009</v>
      </c>
      <c r="F49" s="14"/>
      <c r="I49" s="174">
        <f>E49*P8</f>
        <v>1321.2669816</v>
      </c>
      <c r="J49" s="1014"/>
      <c r="L49" s="23">
        <f>2340.4+160</f>
        <v>2500.4</v>
      </c>
    </row>
    <row r="50" spans="1:14">
      <c r="A50" s="15"/>
      <c r="B50" s="17" t="s">
        <v>58</v>
      </c>
      <c r="C50" s="13">
        <f>'Measurement Sheet'!$F$342*29</f>
        <v>3028.5569999999998</v>
      </c>
      <c r="D50" s="14" t="s">
        <v>48</v>
      </c>
      <c r="E50" s="13">
        <f>C50</f>
        <v>3028.5569999999998</v>
      </c>
      <c r="F50" s="14"/>
      <c r="I50" s="174">
        <f>E50*P7</f>
        <v>454.28354999999993</v>
      </c>
      <c r="J50" s="1014"/>
    </row>
    <row r="51" spans="1:14">
      <c r="A51" s="15"/>
      <c r="B51" s="17" t="s">
        <v>536</v>
      </c>
      <c r="C51" s="13">
        <f>'Measurement Sheet'!$F$335*29</f>
        <v>4033.1822499999994</v>
      </c>
      <c r="D51" s="14" t="s">
        <v>48</v>
      </c>
      <c r="E51" s="13">
        <f>C51</f>
        <v>4033.1822499999994</v>
      </c>
      <c r="F51" s="14"/>
      <c r="I51" s="174">
        <f>E51*P6</f>
        <v>322.65457999999995</v>
      </c>
      <c r="J51" s="1014"/>
    </row>
    <row r="52" spans="1:14">
      <c r="A52" s="15"/>
      <c r="B52" s="17" t="s">
        <v>476</v>
      </c>
      <c r="C52" s="13">
        <f>$C$47*29</f>
        <v>647.28</v>
      </c>
      <c r="D52" s="14" t="s">
        <v>48</v>
      </c>
      <c r="E52" s="13">
        <f>C52</f>
        <v>647.28</v>
      </c>
      <c r="F52" s="14"/>
      <c r="I52" s="174">
        <f>E52*P10</f>
        <v>64.727999999999994</v>
      </c>
      <c r="J52" s="1014"/>
    </row>
    <row r="53" spans="1:14">
      <c r="A53" s="15" t="s">
        <v>551</v>
      </c>
      <c r="B53" s="16" t="s">
        <v>552</v>
      </c>
      <c r="C53" s="13"/>
      <c r="D53" s="14"/>
      <c r="E53" s="13"/>
      <c r="F53" s="14"/>
      <c r="I53" s="174"/>
      <c r="J53" s="1014"/>
      <c r="L53" s="23">
        <f>SUM('Construction Area'!C14:C44)</f>
        <v>41812.719999999987</v>
      </c>
    </row>
    <row r="54" spans="1:14">
      <c r="A54" s="15"/>
      <c r="B54" s="17" t="s">
        <v>553</v>
      </c>
      <c r="C54" s="13">
        <f>'Measurement Sheet'!F347+'Measurement Sheet'!F348</f>
        <v>65.817499999999995</v>
      </c>
      <c r="D54" s="14" t="s">
        <v>47</v>
      </c>
      <c r="E54" s="13">
        <f t="shared" ref="E54:E59" si="1">C54</f>
        <v>65.817499999999995</v>
      </c>
      <c r="F54" s="14"/>
      <c r="I54" s="174">
        <f>E54*P9</f>
        <v>10.530799999999999</v>
      </c>
      <c r="J54" s="1014"/>
      <c r="L54" s="23">
        <f>(L49*1000)/(L53*10.764)</f>
        <v>5.5555540980113696</v>
      </c>
    </row>
    <row r="55" spans="1:14">
      <c r="A55" s="15"/>
      <c r="B55" s="17" t="s">
        <v>554</v>
      </c>
      <c r="C55" s="13">
        <f>'Measurement Sheet'!F349+'Measurement Sheet'!F350+'Measurement Sheet'!F351</f>
        <v>138.22560000000001</v>
      </c>
      <c r="D55" s="14" t="s">
        <v>47</v>
      </c>
      <c r="E55" s="13">
        <f t="shared" si="1"/>
        <v>138.22560000000001</v>
      </c>
      <c r="F55" s="14"/>
      <c r="I55" s="174">
        <f>E55*P10</f>
        <v>13.822560000000003</v>
      </c>
      <c r="J55" s="1014"/>
    </row>
    <row r="56" spans="1:14">
      <c r="A56" s="15"/>
      <c r="B56" s="17" t="s">
        <v>555</v>
      </c>
      <c r="C56" s="13">
        <f>'Measurement Sheet'!F352+'Measurement Sheet'!F353</f>
        <v>22.941399999999998</v>
      </c>
      <c r="D56" s="14" t="s">
        <v>47</v>
      </c>
      <c r="E56" s="13">
        <f t="shared" si="1"/>
        <v>22.941399999999998</v>
      </c>
      <c r="F56" s="14"/>
      <c r="I56" s="174">
        <f>E56*P9</f>
        <v>3.6706239999999997</v>
      </c>
      <c r="J56" s="1014"/>
    </row>
    <row r="57" spans="1:14">
      <c r="A57" s="15"/>
      <c r="B57" s="17" t="s">
        <v>556</v>
      </c>
      <c r="C57" s="13">
        <f>'Measurement Sheet'!F354</f>
        <v>109.122</v>
      </c>
      <c r="D57" s="14" t="s">
        <v>47</v>
      </c>
      <c r="E57" s="13">
        <f t="shared" si="1"/>
        <v>109.122</v>
      </c>
      <c r="F57" s="14"/>
      <c r="I57" s="174">
        <f>E57*P11</f>
        <v>8.7297600000000006</v>
      </c>
      <c r="J57" s="1014"/>
    </row>
    <row r="58" spans="1:14">
      <c r="A58" s="15"/>
      <c r="B58" s="17" t="s">
        <v>557</v>
      </c>
      <c r="C58" s="13">
        <f>'Measurement Sheet'!F355</f>
        <v>519.55199999999991</v>
      </c>
      <c r="D58" s="14" t="s">
        <v>47</v>
      </c>
      <c r="E58" s="13">
        <f t="shared" si="1"/>
        <v>519.55199999999991</v>
      </c>
      <c r="F58" s="14"/>
      <c r="I58" s="174">
        <f>E58*P11</f>
        <v>41.564159999999994</v>
      </c>
      <c r="J58" s="1014"/>
    </row>
    <row r="59" spans="1:14">
      <c r="A59" s="15"/>
      <c r="B59" s="17" t="s">
        <v>558</v>
      </c>
      <c r="C59" s="13">
        <f>'Measurement Sheet'!F272*'Measurement Sheet'!H274</f>
        <v>1237.3488</v>
      </c>
      <c r="D59" s="14" t="s">
        <v>48</v>
      </c>
      <c r="E59" s="13">
        <f t="shared" si="1"/>
        <v>1237.3488</v>
      </c>
      <c r="F59" s="14"/>
      <c r="I59" s="174">
        <f>E59*P11</f>
        <v>98.987904</v>
      </c>
      <c r="J59" s="1014"/>
    </row>
    <row r="60" spans="1:14">
      <c r="A60" s="24"/>
      <c r="B60" s="24"/>
      <c r="C60" s="24"/>
      <c r="D60" s="25" t="s">
        <v>442</v>
      </c>
      <c r="E60" s="26">
        <f>SUM(E3:E59)</f>
        <v>32058.569664999992</v>
      </c>
      <c r="F60" s="24"/>
      <c r="H60" s="38" t="s">
        <v>442</v>
      </c>
      <c r="I60" s="175">
        <f>SUM(I3:I59)</f>
        <v>4042.0086581</v>
      </c>
      <c r="J60" s="1015"/>
      <c r="L60" s="35">
        <f>'Construction Area'!S45</f>
        <v>650726.7483600002</v>
      </c>
      <c r="M60" s="35"/>
      <c r="N60" s="23" t="s">
        <v>559</v>
      </c>
    </row>
    <row r="62" spans="1:14">
      <c r="L62" s="36">
        <f>(I60*1000)/L60</f>
        <v>6.2115299060426024</v>
      </c>
      <c r="M62" s="36"/>
      <c r="N62" s="23" t="s">
        <v>320</v>
      </c>
    </row>
    <row r="63" spans="1:14">
      <c r="B63" s="1201" t="s">
        <v>560</v>
      </c>
      <c r="C63" s="1201"/>
      <c r="D63" s="1201"/>
      <c r="E63" s="1201"/>
      <c r="F63" s="1201"/>
    </row>
    <row r="64" spans="1:14">
      <c r="B64" s="40" t="s">
        <v>2</v>
      </c>
      <c r="C64" s="40" t="s">
        <v>561</v>
      </c>
      <c r="D64" s="40" t="s">
        <v>562</v>
      </c>
      <c r="E64" s="40" t="s">
        <v>5</v>
      </c>
      <c r="F64" s="40" t="s">
        <v>205</v>
      </c>
    </row>
    <row r="65" spans="2:6">
      <c r="B65" s="22" t="s">
        <v>525</v>
      </c>
      <c r="C65" s="14" t="s">
        <v>526</v>
      </c>
      <c r="D65" s="882">
        <f ca="1">SUMIF($B$3:$E$59,B65,$E$3:$E$59)</f>
        <v>683.61400000000003</v>
      </c>
      <c r="E65" s="176">
        <f>'Rate List - Flats'!G239</f>
        <v>8040</v>
      </c>
      <c r="F65" s="177">
        <f ca="1">D65*E65</f>
        <v>5496256.5600000005</v>
      </c>
    </row>
    <row r="66" spans="2:6">
      <c r="B66" s="22" t="s">
        <v>528</v>
      </c>
      <c r="C66" s="14" t="s">
        <v>47</v>
      </c>
      <c r="D66" s="882">
        <f t="shared" ref="D66:D79" ca="1" si="2">SUMIF($B$3:$E$59,B66,$E$3:$E$59)</f>
        <v>6165.6049999999996</v>
      </c>
      <c r="E66" s="176">
        <f>'Rate List - Flats'!G243</f>
        <v>10754</v>
      </c>
      <c r="F66" s="177">
        <f t="shared" ref="F66:F79" ca="1" si="3">D66*E66</f>
        <v>66304916.169999994</v>
      </c>
    </row>
    <row r="67" spans="2:6">
      <c r="B67" s="22" t="s">
        <v>50</v>
      </c>
      <c r="C67" s="14" t="s">
        <v>47</v>
      </c>
      <c r="D67" s="882">
        <f t="shared" ca="1" si="2"/>
        <v>336.45480000000003</v>
      </c>
      <c r="E67" s="176">
        <f>'Rate List - Flats'!G243</f>
        <v>10754</v>
      </c>
      <c r="F67" s="177">
        <f t="shared" ca="1" si="3"/>
        <v>3618234.9192000004</v>
      </c>
    </row>
    <row r="68" spans="2:6">
      <c r="B68" s="22" t="s">
        <v>531</v>
      </c>
      <c r="C68" s="14" t="s">
        <v>47</v>
      </c>
      <c r="D68" s="882">
        <f t="shared" ca="1" si="2"/>
        <v>146.25930000000002</v>
      </c>
      <c r="E68" s="176">
        <f>'Rate List - Flats'!G243</f>
        <v>10754</v>
      </c>
      <c r="F68" s="177">
        <f t="shared" ca="1" si="3"/>
        <v>1572872.5122000002</v>
      </c>
    </row>
    <row r="69" spans="2:6">
      <c r="B69" s="22" t="s">
        <v>534</v>
      </c>
      <c r="C69" s="14" t="s">
        <v>53</v>
      </c>
      <c r="D69" s="882">
        <f t="shared" ca="1" si="2"/>
        <v>631.37944000000005</v>
      </c>
      <c r="E69" s="176">
        <f>'Rate List - Flats'!G241</f>
        <v>9347</v>
      </c>
      <c r="F69" s="177">
        <f t="shared" ca="1" si="3"/>
        <v>5901503.6256800005</v>
      </c>
    </row>
    <row r="70" spans="2:6">
      <c r="B70" s="22" t="s">
        <v>532</v>
      </c>
      <c r="C70" s="14" t="s">
        <v>47</v>
      </c>
      <c r="D70" s="882">
        <f t="shared" ca="1" si="2"/>
        <v>9560.3720000000012</v>
      </c>
      <c r="E70" s="176">
        <f>'Rate List - Flats'!G243</f>
        <v>10754</v>
      </c>
      <c r="F70" s="177">
        <f t="shared" ca="1" si="3"/>
        <v>102812240.48800002</v>
      </c>
    </row>
    <row r="71" spans="2:6">
      <c r="B71" s="22" t="s">
        <v>476</v>
      </c>
      <c r="C71" s="14" t="s">
        <v>48</v>
      </c>
      <c r="D71" s="882">
        <f t="shared" ca="1" si="2"/>
        <v>881.64</v>
      </c>
      <c r="E71" s="176">
        <f>'Rate List - Flats'!G242</f>
        <v>10050</v>
      </c>
      <c r="F71" s="177">
        <f t="shared" ca="1" si="3"/>
        <v>8860482</v>
      </c>
    </row>
    <row r="72" spans="2:6">
      <c r="B72" s="22" t="s">
        <v>58</v>
      </c>
      <c r="C72" s="14" t="s">
        <v>48</v>
      </c>
      <c r="D72" s="882">
        <f t="shared" ca="1" si="2"/>
        <v>3946.5936999999994</v>
      </c>
      <c r="E72" s="176">
        <f>'Rate List - Flats'!G242</f>
        <v>10050</v>
      </c>
      <c r="F72" s="177">
        <f t="shared" ca="1" si="3"/>
        <v>39663266.684999995</v>
      </c>
    </row>
    <row r="73" spans="2:6">
      <c r="B73" s="22" t="s">
        <v>536</v>
      </c>
      <c r="C73" s="14" t="s">
        <v>48</v>
      </c>
      <c r="D73" s="882">
        <f t="shared" ca="1" si="2"/>
        <v>7613.6441249999989</v>
      </c>
      <c r="E73" s="176">
        <f>'Rate List - Flats'!G242</f>
        <v>10050</v>
      </c>
      <c r="F73" s="177">
        <f t="shared" ca="1" si="3"/>
        <v>76517123.456249982</v>
      </c>
    </row>
    <row r="74" spans="2:6">
      <c r="B74" s="22" t="s">
        <v>553</v>
      </c>
      <c r="C74" s="14" t="s">
        <v>47</v>
      </c>
      <c r="D74" s="882">
        <f t="shared" ca="1" si="2"/>
        <v>65.817499999999995</v>
      </c>
      <c r="E74" s="176">
        <f>'Rate List - Flats'!G243</f>
        <v>10754</v>
      </c>
      <c r="F74" s="177">
        <f t="shared" ca="1" si="3"/>
        <v>707801.3949999999</v>
      </c>
    </row>
    <row r="75" spans="2:6">
      <c r="B75" s="22" t="s">
        <v>554</v>
      </c>
      <c r="C75" s="14" t="s">
        <v>47</v>
      </c>
      <c r="D75" s="882">
        <f t="shared" ca="1" si="2"/>
        <v>138.22560000000001</v>
      </c>
      <c r="E75" s="176">
        <f>'Rate List - Flats'!G243</f>
        <v>10754</v>
      </c>
      <c r="F75" s="177">
        <f t="shared" ca="1" si="3"/>
        <v>1486478.1024000002</v>
      </c>
    </row>
    <row r="76" spans="2:6">
      <c r="B76" s="22" t="s">
        <v>555</v>
      </c>
      <c r="C76" s="14" t="s">
        <v>47</v>
      </c>
      <c r="D76" s="882">
        <f t="shared" ca="1" si="2"/>
        <v>22.941399999999998</v>
      </c>
      <c r="E76" s="176">
        <f>'Rate List - Flats'!G243</f>
        <v>10754</v>
      </c>
      <c r="F76" s="177">
        <f t="shared" ca="1" si="3"/>
        <v>246711.81559999997</v>
      </c>
    </row>
    <row r="77" spans="2:6">
      <c r="B77" s="22" t="s">
        <v>556</v>
      </c>
      <c r="C77" s="14" t="s">
        <v>47</v>
      </c>
      <c r="D77" s="882">
        <f t="shared" ca="1" si="2"/>
        <v>109.122</v>
      </c>
      <c r="E77" s="176">
        <f>'Rate List - Flats'!G243</f>
        <v>10754</v>
      </c>
      <c r="F77" s="177">
        <f t="shared" ca="1" si="3"/>
        <v>1173497.9879999999</v>
      </c>
    </row>
    <row r="78" spans="2:6">
      <c r="B78" s="22" t="s">
        <v>557</v>
      </c>
      <c r="C78" s="14" t="s">
        <v>47</v>
      </c>
      <c r="D78" s="882">
        <f t="shared" ca="1" si="2"/>
        <v>519.55199999999991</v>
      </c>
      <c r="E78" s="176">
        <f>'Rate List - Flats'!G243</f>
        <v>10754</v>
      </c>
      <c r="F78" s="177">
        <f t="shared" ca="1" si="3"/>
        <v>5587262.2079999987</v>
      </c>
    </row>
    <row r="79" spans="2:6">
      <c r="B79" s="22" t="s">
        <v>558</v>
      </c>
      <c r="C79" s="14" t="s">
        <v>48</v>
      </c>
      <c r="D79" s="882">
        <f t="shared" ca="1" si="2"/>
        <v>1237.3488</v>
      </c>
      <c r="E79" s="176">
        <f>'Rate List - Flats'!G242</f>
        <v>10050</v>
      </c>
      <c r="F79" s="177">
        <f t="shared" ca="1" si="3"/>
        <v>12435355.439999999</v>
      </c>
    </row>
    <row r="80" spans="2:6">
      <c r="B80" s="24"/>
      <c r="C80" s="25" t="s">
        <v>442</v>
      </c>
      <c r="D80" s="26">
        <f ca="1">SUM(D65:D79)</f>
        <v>32058.569664999999</v>
      </c>
      <c r="E80" s="24"/>
      <c r="F80" s="26">
        <f ca="1">SUM(F65:F79)</f>
        <v>332384003.36532992</v>
      </c>
    </row>
    <row r="81" spans="3:13">
      <c r="H81" s="35">
        <v>650726.7483600002</v>
      </c>
      <c r="I81" s="23" t="s">
        <v>559</v>
      </c>
      <c r="L81" s="23">
        <f>6.45*83</f>
        <v>535.35</v>
      </c>
    </row>
    <row r="82" spans="3:13">
      <c r="L82" s="23">
        <f>0.05*12000</f>
        <v>600</v>
      </c>
    </row>
    <row r="83" spans="3:13">
      <c r="C83" s="1204" t="s">
        <v>563</v>
      </c>
      <c r="D83" s="1204"/>
      <c r="H83" s="36">
        <f ca="1">D80/H81</f>
        <v>4.9265793585089118E-2</v>
      </c>
      <c r="I83" s="23" t="s">
        <v>320</v>
      </c>
      <c r="L83" s="23">
        <f>SUM(L81:L82)</f>
        <v>1135.3499999999999</v>
      </c>
    </row>
    <row r="84" spans="3:13">
      <c r="C84" s="14" t="s">
        <v>526</v>
      </c>
      <c r="D84" s="1025">
        <f ca="1">SUMIF($C$65:$C$79,C84,$D$65:$D$79)</f>
        <v>683.61400000000003</v>
      </c>
      <c r="L84" s="884">
        <f>+L83*'Construction Area'!S45</f>
        <v>738802613.75052619</v>
      </c>
      <c r="M84" s="884"/>
    </row>
    <row r="85" spans="3:13">
      <c r="C85" s="14" t="s">
        <v>53</v>
      </c>
      <c r="D85" s="1025">
        <f t="shared" ref="D85:D87" ca="1" si="4">SUMIF($C$65:$C$79,C85,$D$65:$D$79)</f>
        <v>631.37944000000005</v>
      </c>
    </row>
    <row r="86" spans="3:13">
      <c r="C86" s="14" t="s">
        <v>48</v>
      </c>
      <c r="D86" s="1025">
        <f t="shared" ca="1" si="4"/>
        <v>13679.226624999999</v>
      </c>
    </row>
    <row r="87" spans="3:13">
      <c r="C87" s="14" t="s">
        <v>47</v>
      </c>
      <c r="D87" s="1025">
        <f t="shared" ca="1" si="4"/>
        <v>17064.349599999998</v>
      </c>
      <c r="H87" s="36"/>
    </row>
    <row r="88" spans="3:13">
      <c r="C88" s="25" t="s">
        <v>442</v>
      </c>
      <c r="D88" s="881">
        <f ca="1">SUM(D84:D87)</f>
        <v>32058.569664999995</v>
      </c>
    </row>
    <row r="89" spans="3:13" ht="14.4">
      <c r="C89"/>
    </row>
    <row r="90" spans="3:13" ht="14.4">
      <c r="C90"/>
      <c r="D90" s="23">
        <f>32166.65</f>
        <v>32166.65</v>
      </c>
    </row>
    <row r="91" spans="3:13" ht="14.4">
      <c r="C91"/>
    </row>
    <row r="92" spans="3:13" ht="14.4">
      <c r="C92"/>
    </row>
    <row r="93" spans="3:13" ht="14.4">
      <c r="C93"/>
    </row>
    <row r="94" spans="3:13" ht="14.4">
      <c r="C94"/>
    </row>
    <row r="95" spans="3:13" ht="14.4">
      <c r="C95"/>
    </row>
    <row r="96" spans="3:13" ht="14.4">
      <c r="C96"/>
    </row>
    <row r="97" spans="2:3" ht="14.4">
      <c r="C97"/>
    </row>
    <row r="98" spans="2:3" ht="14.4">
      <c r="C98"/>
    </row>
    <row r="106" spans="2:3">
      <c r="B106" s="17" t="s">
        <v>525</v>
      </c>
    </row>
    <row r="107" spans="2:3">
      <c r="B107" s="17" t="s">
        <v>528</v>
      </c>
    </row>
    <row r="108" spans="2:3">
      <c r="B108" s="17" t="s">
        <v>50</v>
      </c>
    </row>
    <row r="109" spans="2:3">
      <c r="B109" s="17" t="s">
        <v>531</v>
      </c>
    </row>
    <row r="110" spans="2:3">
      <c r="B110" s="17" t="s">
        <v>534</v>
      </c>
    </row>
    <row r="111" spans="2:3">
      <c r="B111" s="17" t="s">
        <v>532</v>
      </c>
    </row>
    <row r="112" spans="2:3">
      <c r="B112" s="17" t="s">
        <v>476</v>
      </c>
    </row>
    <row r="113" spans="2:2">
      <c r="B113" s="17" t="s">
        <v>58</v>
      </c>
    </row>
    <row r="114" spans="2:2">
      <c r="B114" s="17" t="s">
        <v>536</v>
      </c>
    </row>
    <row r="115" spans="2:2">
      <c r="B115" s="17" t="s">
        <v>553</v>
      </c>
    </row>
    <row r="116" spans="2:2">
      <c r="B116" s="17" t="s">
        <v>554</v>
      </c>
    </row>
    <row r="117" spans="2:2">
      <c r="B117" s="17" t="s">
        <v>555</v>
      </c>
    </row>
    <row r="118" spans="2:2">
      <c r="B118" s="17" t="s">
        <v>556</v>
      </c>
    </row>
    <row r="119" spans="2:2">
      <c r="B119" s="17" t="s">
        <v>557</v>
      </c>
    </row>
    <row r="120" spans="2:2">
      <c r="B120" s="17" t="s">
        <v>558</v>
      </c>
    </row>
    <row r="121" spans="2:2" ht="14.4">
      <c r="B121"/>
    </row>
    <row r="122" spans="2:2" ht="14.4">
      <c r="B122"/>
    </row>
    <row r="123" spans="2:2" ht="14.4">
      <c r="B123"/>
    </row>
    <row r="124" spans="2:2" ht="14.4">
      <c r="B124"/>
    </row>
    <row r="125" spans="2:2" ht="14.4">
      <c r="B125"/>
    </row>
    <row r="126" spans="2:2" ht="14.4">
      <c r="B126"/>
    </row>
    <row r="127" spans="2:2" ht="14.4">
      <c r="B127"/>
    </row>
    <row r="128" spans="2:2" ht="14.4">
      <c r="B128"/>
    </row>
    <row r="129" spans="2:2" ht="14.4">
      <c r="B129"/>
    </row>
    <row r="130" spans="2:2" ht="14.4">
      <c r="B130"/>
    </row>
    <row r="131" spans="2:2" ht="14.4">
      <c r="B131"/>
    </row>
    <row r="132" spans="2:2" ht="14.4">
      <c r="B132"/>
    </row>
    <row r="133" spans="2:2" ht="14.4">
      <c r="B133"/>
    </row>
    <row r="134" spans="2:2" ht="14.4">
      <c r="B134"/>
    </row>
    <row r="135" spans="2:2" ht="14.4">
      <c r="B135"/>
    </row>
    <row r="136" spans="2:2" ht="14.4">
      <c r="B136"/>
    </row>
    <row r="137" spans="2:2" ht="14.4">
      <c r="B137"/>
    </row>
    <row r="138" spans="2:2" ht="14.4">
      <c r="B138"/>
    </row>
    <row r="139" spans="2:2" ht="14.4">
      <c r="B139"/>
    </row>
    <row r="140" spans="2:2" ht="14.4">
      <c r="B140"/>
    </row>
    <row r="141" spans="2:2" ht="14.4">
      <c r="B141"/>
    </row>
    <row r="142" spans="2:2" ht="14.4">
      <c r="B142"/>
    </row>
    <row r="143" spans="2:2" ht="14.4">
      <c r="B143"/>
    </row>
    <row r="144" spans="2:2" ht="14.4">
      <c r="B144"/>
    </row>
    <row r="145" spans="2:2" ht="14.4">
      <c r="B145"/>
    </row>
    <row r="146" spans="2:2" ht="14.4">
      <c r="B146"/>
    </row>
    <row r="147" spans="2:2" ht="14.4">
      <c r="B147"/>
    </row>
    <row r="148" spans="2:2" ht="14.4">
      <c r="B148"/>
    </row>
    <row r="149" spans="2:2" ht="14.4">
      <c r="B149"/>
    </row>
    <row r="150" spans="2:2" ht="14.4">
      <c r="B150"/>
    </row>
  </sheetData>
  <autoFilter ref="A64:P80" xr:uid="{53D9F5E2-FC47-4D83-A9E8-2457B072F956}"/>
  <mergeCells count="4">
    <mergeCell ref="B63:F63"/>
    <mergeCell ref="A1:I1"/>
    <mergeCell ref="C83:D83"/>
    <mergeCell ref="K4:M4"/>
  </mergeCells>
  <phoneticPr fontId="5" type="noConversion"/>
  <pageMargins left="0.7" right="0.7" top="0.75" bottom="0.75" header="0.3" footer="0.3"/>
  <pageSetup paperSize="9" orientation="portrait" verticalDpi="0" r:id="rId1"/>
  <ignoredErrors>
    <ignoredError sqref="E69" formula="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65F22-3179-4E9C-9A78-985A8BFBED53}">
  <dimension ref="D1:M10"/>
  <sheetViews>
    <sheetView workbookViewId="0">
      <selection activeCell="E4" sqref="E4"/>
    </sheetView>
  </sheetViews>
  <sheetFormatPr defaultColWidth="8.88671875" defaultRowHeight="13.8"/>
  <cols>
    <col min="1" max="1" width="8.88671875" style="23"/>
    <col min="2" max="2" width="23.33203125" style="23" bestFit="1" customWidth="1"/>
    <col min="3" max="3" width="9.44140625" style="23" bestFit="1" customWidth="1"/>
    <col min="4" max="4" width="17" style="23" customWidth="1"/>
    <col min="5" max="5" width="10.44140625" style="23" bestFit="1" customWidth="1"/>
    <col min="6" max="6" width="8.88671875" style="23"/>
    <col min="7" max="7" width="11.33203125" style="23" bestFit="1" customWidth="1"/>
    <col min="8" max="8" width="17.6640625" style="23" bestFit="1" customWidth="1"/>
    <col min="9" max="11" width="8.88671875" style="23"/>
    <col min="12" max="12" width="14.109375" style="23" bestFit="1" customWidth="1"/>
    <col min="13" max="16384" width="8.88671875" style="23"/>
  </cols>
  <sheetData>
    <row r="1" spans="4:13">
      <c r="D1" s="1116" t="s">
        <v>1225</v>
      </c>
      <c r="E1" s="1116"/>
      <c r="F1" s="1116"/>
      <c r="G1" s="1116"/>
      <c r="H1" s="1116"/>
    </row>
    <row r="2" spans="4:13">
      <c r="D2" s="1020" t="s">
        <v>566</v>
      </c>
      <c r="E2" s="1020" t="s">
        <v>562</v>
      </c>
      <c r="F2" s="1020" t="s">
        <v>315</v>
      </c>
      <c r="G2" s="1020" t="s">
        <v>5</v>
      </c>
      <c r="H2" s="1020" t="s">
        <v>205</v>
      </c>
    </row>
    <row r="3" spans="4:13">
      <c r="D3" s="24" t="s">
        <v>1221</v>
      </c>
      <c r="E3" s="174">
        <f>'Concrete &amp; Steel Summary'!K17</f>
        <v>4743.2199999999993</v>
      </c>
      <c r="F3" s="1021" t="s">
        <v>11</v>
      </c>
      <c r="G3" s="1022">
        <v>10368.023490711463</v>
      </c>
      <c r="H3" s="1018">
        <f>E3*G3</f>
        <v>49177816.38161242</v>
      </c>
    </row>
    <row r="4" spans="4:13">
      <c r="D4" s="24" t="s">
        <v>1222</v>
      </c>
      <c r="E4" s="174">
        <f>'Concrete &amp; Steel Summary'!L17</f>
        <v>548.74649999999997</v>
      </c>
      <c r="F4" s="1021" t="s">
        <v>87</v>
      </c>
      <c r="G4" s="1022">
        <v>79310</v>
      </c>
      <c r="H4" s="1018">
        <f>E4*G4</f>
        <v>43521084.914999999</v>
      </c>
    </row>
    <row r="5" spans="4:13">
      <c r="D5" s="24" t="s">
        <v>980</v>
      </c>
      <c r="E5" s="174">
        <f>'Concrete &amp; Steel Summary'!M17</f>
        <v>4849.62</v>
      </c>
      <c r="F5" s="1021" t="s">
        <v>1224</v>
      </c>
      <c r="G5" s="1022">
        <v>1086</v>
      </c>
      <c r="H5" s="1018">
        <f>E5*G5</f>
        <v>5266687.32</v>
      </c>
    </row>
    <row r="6" spans="4:13">
      <c r="D6" s="24" t="s">
        <v>207</v>
      </c>
      <c r="E6" s="174">
        <f>1902*7.5</f>
        <v>14265</v>
      </c>
      <c r="F6" s="1021" t="s">
        <v>11</v>
      </c>
      <c r="G6" s="1022">
        <v>450</v>
      </c>
      <c r="H6" s="1018">
        <f>E6*G6</f>
        <v>6419250</v>
      </c>
    </row>
    <row r="7" spans="4:13">
      <c r="D7" s="24" t="s">
        <v>125</v>
      </c>
      <c r="E7" s="174">
        <v>1902</v>
      </c>
      <c r="F7" s="1021" t="s">
        <v>1224</v>
      </c>
      <c r="G7" s="1022">
        <v>1350</v>
      </c>
      <c r="H7" s="1018">
        <f>E7*G7</f>
        <v>2567700</v>
      </c>
      <c r="L7" s="35"/>
    </row>
    <row r="8" spans="4:13" ht="14.4" customHeight="1">
      <c r="D8" s="1206" t="s">
        <v>232</v>
      </c>
      <c r="E8" s="1206"/>
      <c r="F8" s="1206"/>
      <c r="G8" s="1206"/>
      <c r="H8" s="1019">
        <f>SUM(H3:H7)</f>
        <v>106952538.6166124</v>
      </c>
      <c r="J8" s="23">
        <f>1000*7*450</f>
        <v>3150000</v>
      </c>
      <c r="M8" s="23">
        <f>84</f>
        <v>84</v>
      </c>
    </row>
    <row r="9" spans="4:13">
      <c r="H9" s="36"/>
      <c r="M9" s="23">
        <f>M8*0.3</f>
        <v>25.2</v>
      </c>
    </row>
    <row r="10" spans="4:13">
      <c r="M10" s="23">
        <f>M9*18%</f>
        <v>4.5359999999999996</v>
      </c>
    </row>
  </sheetData>
  <mergeCells count="2">
    <mergeCell ref="D8:G8"/>
    <mergeCell ref="D1:H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efa92c7-9322-4983-99e6-4723cbf93022" xsi:nil="true"/>
    <lcf76f155ced4ddcb4097134ff3c332f xmlns="f6a6ae4b-eee4-4174-9c43-d171da5f278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C22A07E2EFE594D8AED1AF4BA84BB03" ma:contentTypeVersion="16" ma:contentTypeDescription="Create a new document." ma:contentTypeScope="" ma:versionID="cd1b2e4ebc97efb3230b7e91d3cb5a26">
  <xsd:schema xmlns:xsd="http://www.w3.org/2001/XMLSchema" xmlns:xs="http://www.w3.org/2001/XMLSchema" xmlns:p="http://schemas.microsoft.com/office/2006/metadata/properties" xmlns:ns2="befa92c7-9322-4983-99e6-4723cbf93022" xmlns:ns3="f6a6ae4b-eee4-4174-9c43-d171da5f278b" targetNamespace="http://schemas.microsoft.com/office/2006/metadata/properties" ma:root="true" ma:fieldsID="6eff9f903503b02e02c02fd58bdc23df" ns2:_="" ns3:_="">
    <xsd:import namespace="befa92c7-9322-4983-99e6-4723cbf93022"/>
    <xsd:import namespace="f6a6ae4b-eee4-4174-9c43-d171da5f278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Locatio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fa92c7-9322-4983-99e6-4723cbf9302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9d71f60d-ff64-455f-abba-50692d4be5ab}" ma:internalName="TaxCatchAll" ma:showField="CatchAllData" ma:web="befa92c7-9322-4983-99e6-4723cbf9302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6a6ae4b-eee4-4174-9c43-d171da5f278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e7c87945-748b-48d6-b655-7ccb84a3ce9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AC3BB1-8261-4339-A633-DCCFF1560937}">
  <ds:schemaRefs>
    <ds:schemaRef ds:uri="http://schemas.microsoft.com/office/2006/metadata/properties"/>
    <ds:schemaRef ds:uri="http://schemas.microsoft.com/office/infopath/2007/PartnerControls"/>
    <ds:schemaRef ds:uri="befa92c7-9322-4983-99e6-4723cbf93022"/>
    <ds:schemaRef ds:uri="f6a6ae4b-eee4-4174-9c43-d171da5f278b"/>
  </ds:schemaRefs>
</ds:datastoreItem>
</file>

<file path=customXml/itemProps2.xml><?xml version="1.0" encoding="utf-8"?>
<ds:datastoreItem xmlns:ds="http://schemas.openxmlformats.org/officeDocument/2006/customXml" ds:itemID="{FBF94762-8BAC-4BF8-899F-B73CD41C99A4}">
  <ds:schemaRefs>
    <ds:schemaRef ds:uri="http://schemas.microsoft.com/sharepoint/v3/contenttype/forms"/>
  </ds:schemaRefs>
</ds:datastoreItem>
</file>

<file path=customXml/itemProps3.xml><?xml version="1.0" encoding="utf-8"?>
<ds:datastoreItem xmlns:ds="http://schemas.openxmlformats.org/officeDocument/2006/customXml" ds:itemID="{8E6ACFEF-AE6F-4A54-A486-AEF778E55A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fa92c7-9322-4983-99e6-4723cbf93022"/>
    <ds:schemaRef ds:uri="f6a6ae4b-eee4-4174-9c43-d171da5f27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Civil BOQ (LD Patel R1)</vt:lpstr>
      <vt:lpstr>Civil BOQ (Punit Rates R2)</vt:lpstr>
      <vt:lpstr>Excavation Qty for BOQ</vt:lpstr>
      <vt:lpstr>Construction Area</vt:lpstr>
      <vt:lpstr>Summary</vt:lpstr>
      <vt:lpstr>Cost Sheet Tower</vt:lpstr>
      <vt:lpstr>Cost Sheet office</vt:lpstr>
      <vt:lpstr>Room Conf</vt:lpstr>
      <vt:lpstr>Flat Sizes</vt:lpstr>
      <vt:lpstr>Office Sizes</vt:lpstr>
      <vt:lpstr>Waterproofing</vt:lpstr>
      <vt:lpstr>Infra</vt:lpstr>
      <vt:lpstr>Amenities</vt:lpstr>
      <vt:lpstr>Preliminary</vt:lpstr>
      <vt:lpstr>Internal Finishes Offices</vt:lpstr>
      <vt:lpstr>Rate List - Office</vt:lpstr>
      <vt:lpstr>Internal Finishes Flats</vt:lpstr>
      <vt:lpstr>Sheet1</vt:lpstr>
      <vt:lpstr>Rate List - Flats</vt:lpstr>
      <vt:lpstr>Doors</vt:lpstr>
      <vt:lpstr>Windows</vt:lpstr>
      <vt:lpstr>D&amp;W Schedule</vt:lpstr>
      <vt:lpstr>Shuttering Summary</vt:lpstr>
      <vt:lpstr>Excavation</vt:lpstr>
      <vt:lpstr>Shore Pile</vt:lpstr>
      <vt:lpstr>Tremix</vt:lpstr>
      <vt:lpstr>Blockwork &amp; Plaster &amp; Painting</vt:lpstr>
      <vt:lpstr>MEP Summary</vt:lpstr>
      <vt:lpstr>Electrical</vt:lpstr>
      <vt:lpstr>Plumbing</vt:lpstr>
      <vt:lpstr>Fire Fighting</vt:lpstr>
      <vt:lpstr>Lifts</vt:lpstr>
      <vt:lpstr>Measurement Sheet</vt:lpstr>
      <vt:lpstr>Concrete &amp; Steel Summary</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Mohit More</dc:creator>
  <cp:keywords/>
  <dc:description/>
  <cp:lastModifiedBy>Krunal Prajapati</cp:lastModifiedBy>
  <cp:revision/>
  <dcterms:created xsi:type="dcterms:W3CDTF">2015-06-05T18:17:20Z</dcterms:created>
  <dcterms:modified xsi:type="dcterms:W3CDTF">2026-08-31T07:03:33Z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2m" linkTarget="Prop_2m">
    <vt:lpwstr>#REF!</vt:lpwstr>
  </property>
  <property fmtid="{D5CDD505-2E9C-101B-9397-08002B2CF9AE}" pid="3" name="ContentTypeId">
    <vt:lpwstr>0x0101003C22A07E2EFE594D8AED1AF4BA84BB03</vt:lpwstr>
  </property>
  <property fmtid="{D5CDD505-2E9C-101B-9397-08002B2CF9AE}" pid="4" name="MediaServiceImageTags">
    <vt:lpwstr/>
  </property>
</Properties>
</file>